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drawings/drawing3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4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drawings/drawing5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6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7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drigo\Documents\ENGINEERING\DEVING\"/>
    </mc:Choice>
  </mc:AlternateContent>
  <bookViews>
    <workbookView xWindow="240" yWindow="120" windowWidth="20736" windowHeight="10176" firstSheet="2" activeTab="11" xr2:uid="{00000000-000D-0000-FFFF-FFFF00000000}"/>
  </bookViews>
  <sheets>
    <sheet name="GEO_MEXICO" sheetId="10" state="hidden" r:id="rId1"/>
    <sheet name="Datos" sheetId="3" r:id="rId2"/>
    <sheet name="Cuartos" sheetId="2" r:id="rId3"/>
    <sheet name="Puertas" sheetId="1" r:id="rId4"/>
    <sheet name="HOJA DE BALANCE" sheetId="27" state="hidden" r:id="rId5"/>
    <sheet name="DatosDMFA" sheetId="5" state="hidden" r:id="rId6"/>
    <sheet name="Inyección" sheetId="4" r:id="rId7"/>
    <sheet name="COMPOSITION" sheetId="11" state="hidden" r:id="rId8"/>
    <sheet name="CONSTANTS" sheetId="12" state="hidden" r:id="rId9"/>
    <sheet name="VARIABLES" sheetId="13" state="hidden" r:id="rId10"/>
    <sheet name="INY_RESUMEN" sheetId="30" state="hidden" r:id="rId11"/>
    <sheet name="Retorno" sheetId="28" r:id="rId12"/>
    <sheet name="Extracción" sheetId="29" r:id="rId13"/>
    <sheet name="Colección" sheetId="25" r:id="rId14"/>
    <sheet name="Psicrometría" sheetId="22" r:id="rId15"/>
    <sheet name="ATMOSPHERIC_VARIABLES" sheetId="14" state="hidden" r:id="rId16"/>
    <sheet name="CHART_VALUES" sheetId="16" state="hidden" r:id="rId17"/>
    <sheet name="THERMO_WATER_SAT" sheetId="17" state="hidden" r:id="rId18"/>
    <sheet name="PSY_CHART_LINES" sheetId="18" state="hidden" r:id="rId19"/>
    <sheet name="PSYCHROMETRIC CHART" sheetId="19" r:id="rId20"/>
    <sheet name="Psicrométrico" sheetId="6" state="hidden" r:id="rId21"/>
  </sheets>
  <functionGroups builtInGroupCount="19"/>
  <externalReferences>
    <externalReference r:id="rId22"/>
    <externalReference r:id="rId23"/>
  </externalReferences>
  <definedNames>
    <definedName name="____Tdb1">[1]Properties!$B$9</definedName>
    <definedName name="____Twb1">[1]Properties!$B$10</definedName>
    <definedName name="____Twb2">[1]Properties!$F$10</definedName>
    <definedName name="_Tdb3" localSheetId="12">#REF!</definedName>
    <definedName name="_Tdb3" localSheetId="4">#REF!</definedName>
    <definedName name="_Tdb3" localSheetId="10">#REF!</definedName>
    <definedName name="_Tdb3" localSheetId="11">#REF!</definedName>
    <definedName name="_Tdb3">#REF!</definedName>
    <definedName name="_Twb3" localSheetId="12">#REF!</definedName>
    <definedName name="_Twb3" localSheetId="4">#REF!</definedName>
    <definedName name="_Twb3" localSheetId="10">#REF!</definedName>
    <definedName name="_Twb3" localSheetId="11">#REF!</definedName>
    <definedName name="_Twb3">#REF!</definedName>
    <definedName name="a">[1]Properties!$F$9</definedName>
    <definedName name="A_0">Datos!$C$63</definedName>
    <definedName name="A_1">Datos!$C$64</definedName>
    <definedName name="A_2">Datos!$C$65</definedName>
    <definedName name="A_3">Datos!$C$66</definedName>
    <definedName name="A_4">Datos!$C$67</definedName>
    <definedName name="A_5">Datos!$C$68</definedName>
    <definedName name="AE">Cuartos!$DY$117</definedName>
    <definedName name="AETOT">Cuartos!$ED$117</definedName>
    <definedName name="AOT">Cuartos!$EA$117</definedName>
    <definedName name="APHg">'[1]Htg Coil'!$B$12</definedName>
    <definedName name="APinHg">[1]Properties!$B$13</definedName>
    <definedName name="APinHgIn">'[1]Clg-Coil'!$B$12</definedName>
    <definedName name="APpsia">'[1]Htg Coil'!$B$11</definedName>
    <definedName name="AR">Cuartos!$DX$117</definedName>
    <definedName name="AS">Cuartos!$DU$117</definedName>
    <definedName name="ASP_01">Puertas!$S$15:$S$114</definedName>
    <definedName name="ASP_02">Puertas!$T$15:$T$114</definedName>
    <definedName name="ASPCuarto_01">Puertas!$K$15:$V$114</definedName>
    <definedName name="ASPCuarto_02">Puertas!$O$15:$X$114</definedName>
    <definedName name="ASPN">Cuartos!$EC$117</definedName>
    <definedName name="ASPP">Cuartos!$DV$117</definedName>
    <definedName name="ASTOT">Cuartos!$DW$117</definedName>
    <definedName name="AtmPress">[1]Properties!$B$12</definedName>
    <definedName name="AtmPressIn">'[1]Clg-Coil'!$B$11</definedName>
    <definedName name="BH">Datos!$G$38</definedName>
    <definedName name="BHP">'[1]Clg-Coil'!$I$6</definedName>
    <definedName name="BPFactor">'[1]Clg Coil-BP'!$B$6</definedName>
    <definedName name="BS">Datos!$G$35</definedName>
    <definedName name="C_01">CHART_VALUES!$C$4</definedName>
    <definedName name="C_02">CHART_VALUES!$C$5</definedName>
    <definedName name="C_03">CHART_VALUES!$C$6</definedName>
    <definedName name="C_04">CHART_VALUES!$C$7</definedName>
    <definedName name="C_05">CHART_VALUES!$C$8</definedName>
    <definedName name="C_06">CHART_VALUES!$C$9</definedName>
    <definedName name="C_07">CHART_VALUES!$C$10</definedName>
    <definedName name="C_08">CHART_VALUES!$C$11</definedName>
    <definedName name="C_09">CHART_VALUES!$C$12</definedName>
    <definedName name="C_10">CHART_VALUES!$C$13</definedName>
    <definedName name="C_11">CHART_VALUES!$C$14</definedName>
    <definedName name="C_12">CHART_VALUES!$C$15</definedName>
    <definedName name="C_13">CHART_VALUES!$C$16</definedName>
    <definedName name="CP">Cuartos!$DZ$117</definedName>
    <definedName name="CPRES_01">[2]SlotFlowCalc!$B$8:$C$32</definedName>
    <definedName name="CPRES_02">[2]SlotFlowCalc!$B$33:$C$57</definedName>
    <definedName name="CPRES_03">[2]SlotFlowCalc!$B$58:$C$82</definedName>
    <definedName name="CPRES_04">[2]SlotFlowCalc!$B$83:$C$107</definedName>
    <definedName name="CUARTO" localSheetId="4">'HOJA DE BALANCE'!#REF!</definedName>
    <definedName name="CUARTO">Cuartos!$B$17:$H$116</definedName>
    <definedName name="DISP_INY" localSheetId="10">INY_RESUMEN!$C$34:$C$183</definedName>
    <definedName name="DISP_INY">Inyección!#REF!</definedName>
    <definedName name="DMFA">DatosDMFA!$A$2:$G$101</definedName>
    <definedName name="Elev">'[1]Clg Coil-BP'!$B$11</definedName>
    <definedName name="Elevation">[1]Properties!$B$11</definedName>
    <definedName name="ElevH">'[1]Htg Coil'!$B$10</definedName>
    <definedName name="ElevIn">'[1]Clg-Coil'!$B$10</definedName>
    <definedName name="EnalFluid">'[1]Htg Coil'!$J$16</definedName>
    <definedName name="EnalHru">'[1]Heat Rec''ry'!$H$22</definedName>
    <definedName name="EnalOut">'[1]Heat Rec''ry'!$E$22</definedName>
    <definedName name="EnalRet">'[1]Clg Coil-BP'!$B$20</definedName>
    <definedName name="EnalRm">'[1]Heat Rec''ry'!$B$22</definedName>
    <definedName name="EnalSup">'[1]Clg Coil-BP'!$F$20</definedName>
    <definedName name="FanEff">'[1]Clg-Coil'!$I$4</definedName>
    <definedName name="FluidTemp">'[1]Htg Coil'!$J$15</definedName>
    <definedName name="FluidType">'[1]Htg Coil'!$J$14</definedName>
    <definedName name="Geographic_Locations">GEO_MEXICO!$A$2:$E$114</definedName>
    <definedName name="HRatio1">[1]Properties!$B$15</definedName>
    <definedName name="HRatio2">[1]Properties!$F$15</definedName>
    <definedName name="HRatio3" localSheetId="12">#REF!</definedName>
    <definedName name="HRatio3" localSheetId="4">#REF!</definedName>
    <definedName name="HRatio3" localSheetId="10">#REF!</definedName>
    <definedName name="HRatio3" localSheetId="11">#REF!</definedName>
    <definedName name="HRatio3">#REF!</definedName>
    <definedName name="HRatioadp">'[1]Clg Coil-BP'!$F$10</definedName>
    <definedName name="HRatioHin">'[1]Htg Coil'!$B$15</definedName>
    <definedName name="HRatioHout">'[1]Htg Coil'!$F$10</definedName>
    <definedName name="HRatioHru">'[1]Heat Rec''ry'!$H$18</definedName>
    <definedName name="HRatioIn">'[1]Clg-Coil'!$B$15</definedName>
    <definedName name="HRatioNet">'[1]Clg-Coil'!$I$15</definedName>
    <definedName name="HRatioOA">'[1]Htg Coil'!$J$6</definedName>
    <definedName name="HRatioOut">'[1]Heat Rec''ry'!$E$18</definedName>
    <definedName name="HRatioRet">'[1]Clg Coil-BP'!$B$16</definedName>
    <definedName name="HRatioRm">'[1]Heat Rec''ry'!$B$18</definedName>
    <definedName name="HRatioSup">'[1]Clg Coil-BP'!$F$16</definedName>
    <definedName name="INYECCION">DatosDMFA!$A$2:$C$101</definedName>
    <definedName name="LatEff">'[1]Heat Rec''ry'!$B$7</definedName>
    <definedName name="mflow1" localSheetId="12">#REF!</definedName>
    <definedName name="mflow1" localSheetId="4">#REF!</definedName>
    <definedName name="mflow1" localSheetId="10">#REF!</definedName>
    <definedName name="mflow1" localSheetId="11">#REF!</definedName>
    <definedName name="mflow1">#REF!</definedName>
    <definedName name="mflow2" localSheetId="12">#REF!</definedName>
    <definedName name="mflow2" localSheetId="4">#REF!</definedName>
    <definedName name="mflow2" localSheetId="10">#REF!</definedName>
    <definedName name="mflow2" localSheetId="11">#REF!</definedName>
    <definedName name="mflow2">#REF!</definedName>
    <definedName name="mflow3" localSheetId="12">#REF!</definedName>
    <definedName name="mflow3" localSheetId="4">#REF!</definedName>
    <definedName name="mflow3" localSheetId="10">#REF!</definedName>
    <definedName name="mflow3" localSheetId="11">#REF!</definedName>
    <definedName name="mflow3">#REF!</definedName>
    <definedName name="mflowHin">'[1]Htg Coil'!$B$6</definedName>
    <definedName name="mflowIn">'[1]Clg-Coil'!$F$8</definedName>
    <definedName name="mflowOut">'[1]Heat Rec''ry'!$B$11</definedName>
    <definedName name="mflowRet">'[1]Clg Coil-BP'!$F$4</definedName>
    <definedName name="mfluid">'[1]Htg Coil'!$J$17</definedName>
    <definedName name="MotorEff">'[1]Clg-Coil'!$I$5</definedName>
    <definedName name="MW_MDA_RATIO">CONSTANTS!$C$8</definedName>
    <definedName name="OAVentInfil">'[1]Htg Coil'!$J$5</definedName>
    <definedName name="P_TOTAL">ATMOSPHERIC_VARIABLES!$C$3</definedName>
    <definedName name="PRES">Datos!$C$70</definedName>
    <definedName name="PRESIONES">Puertas!$A$15:$D$145</definedName>
    <definedName name="_xlnm.Print_Area" localSheetId="13">Colección!$AY$12:$EJ$64</definedName>
    <definedName name="_xlnm.Print_Area" localSheetId="2">Cuartos!$A$1:$U$127</definedName>
    <definedName name="_xlnm.Print_Area" localSheetId="12">Extracción!$AY$12:$EJ$64</definedName>
    <definedName name="_xlnm.Print_Area" localSheetId="4">'HOJA DE BALANCE'!$A$1:$U$127</definedName>
    <definedName name="_xlnm.Print_Area" localSheetId="10">INY_RESUMEN!$AA$26:$AZ$73</definedName>
    <definedName name="_xlnm.Print_Area" localSheetId="6">Inyección!#REF!</definedName>
    <definedName name="_xlnm.Print_Area" localSheetId="3">Puertas!$A$1:$U$127</definedName>
    <definedName name="_xlnm.Print_Area" localSheetId="11">Retorno!$AY$12:$EJ$64</definedName>
    <definedName name="PSICRO">Datos!$C$69</definedName>
    <definedName name="Qair1" localSheetId="12">#REF!</definedName>
    <definedName name="Qair1" localSheetId="4">#REF!</definedName>
    <definedName name="Qair1" localSheetId="10">#REF!</definedName>
    <definedName name="Qair1" localSheetId="11">#REF!</definedName>
    <definedName name="Qair1">#REF!</definedName>
    <definedName name="Qair2" localSheetId="12">#REF!</definedName>
    <definedName name="Qair2" localSheetId="4">#REF!</definedName>
    <definedName name="Qair2" localSheetId="10">#REF!</definedName>
    <definedName name="Qair2" localSheetId="11">#REF!</definedName>
    <definedName name="Qair2">#REF!</definedName>
    <definedName name="QairEx">'[1]Heat Rec''ry'!$B$15</definedName>
    <definedName name="QairHin">'[1]Htg Coil'!$B$3</definedName>
    <definedName name="QairIn">'[1]Clg-Coil'!$B$3</definedName>
    <definedName name="QairOut">'[1]Heat Rec''ry'!$B$9</definedName>
    <definedName name="QairRet">'[1]Clg Coil-BP'!$B$4</definedName>
    <definedName name="qFan">'[1]Clg-Coil'!$I$7</definedName>
    <definedName name="qFurn">'[1]Htg Coil'!$B$4</definedName>
    <definedName name="qHumid">'[1]Htg Coil'!$J$18</definedName>
    <definedName name="QSairIn">'[1]Clg-Coil'!$B$6</definedName>
    <definedName name="qSenHru">'[1]Heat Rec''ry'!$E$15</definedName>
    <definedName name="qSenNet">'[1]Clg-Coil'!$I$9</definedName>
    <definedName name="qSensible">'[1]Clg Coil-BP'!$F$13</definedName>
    <definedName name="qTotal">'[1]Clg Coil-BP'!$F$12</definedName>
    <definedName name="qTotalHru">'[1]Heat Rec''ry'!$E$14</definedName>
    <definedName name="qTotNet">'[1]Clg-Coil'!$I$8</definedName>
    <definedName name="SC">'[1]Clg-Coil'!$B$5</definedName>
    <definedName name="SenEff">'[1]Heat Rec''ry'!$B$6</definedName>
    <definedName name="SpHtHin">'[1]Htg Coil'!$B$18</definedName>
    <definedName name="SpHtIn">'[1]Clg-Coil'!$B$18</definedName>
    <definedName name="SpHtOut">'[1]Heat Rec''ry'!$E$21</definedName>
    <definedName name="SpHtRet">'[1]Clg Coil-BP'!$B$19</definedName>
    <definedName name="SpVol1">[1]Properties!$B$20</definedName>
    <definedName name="SpVol2">[1]Properties!$F$20</definedName>
    <definedName name="SpVol3" localSheetId="12">#REF!</definedName>
    <definedName name="SpVol3" localSheetId="4">#REF!</definedName>
    <definedName name="SpVol3" localSheetId="10">#REF!</definedName>
    <definedName name="SpVol3" localSheetId="11">#REF!</definedName>
    <definedName name="SpVol3">#REF!</definedName>
    <definedName name="SpVolHin">'[1]Htg Coil'!$B$20</definedName>
    <definedName name="SpVolIn">'[1]Clg-Coil'!$B$20</definedName>
    <definedName name="SpVolOut">'[1]Heat Rec''ry'!$E$23</definedName>
    <definedName name="SpVolRet">'[1]Clg Coil-BP'!$B$21</definedName>
    <definedName name="SpVolSup">'[1]Clg Coil-BP'!$F$21</definedName>
    <definedName name="SupFankW">'[1]Heat Rec''ry'!$B$12</definedName>
    <definedName name="Tadp">'[1]Clg Coil-BP'!$B$5</definedName>
    <definedName name="TC">'[1]Clg-Coil'!$B$4</definedName>
    <definedName name="TdbHin">'[1]Htg Coil'!$B$8</definedName>
    <definedName name="TdbHout">'[1]Htg Coil'!$F$6</definedName>
    <definedName name="TdbHru">'[1]Heat Rec''ry'!$H$14</definedName>
    <definedName name="TdbIn">'[1]Clg-Coil'!$B$8</definedName>
    <definedName name="TdbNet">'[1]Clg-Coil'!$I$12</definedName>
    <definedName name="TdbOut">'[1]Heat Rec''ry'!$F$9</definedName>
    <definedName name="TdbOutAir">'[1]Htg Coil'!$J$3</definedName>
    <definedName name="TdbRet">'[1]Clg Coil-BP'!$B$9</definedName>
    <definedName name="TdbRm">'[1]Heat Rec''ry'!$F$6</definedName>
    <definedName name="TdbSup">'[1]Clg Coil-BP'!$F$8</definedName>
    <definedName name="TotalPress">'[1]Clg-Coil'!$I$3</definedName>
    <definedName name="TwbHin">'[1]Htg Coil'!$B$9</definedName>
    <definedName name="TwbHout">'[1]Htg Coil'!$F$7</definedName>
    <definedName name="TwbHru">'[1]Heat Rec''ry'!$H$15</definedName>
    <definedName name="TwbIn">'[1]Clg-Coil'!$B$9</definedName>
    <definedName name="TwbNet">'[1]Clg-Coil'!$I$13</definedName>
    <definedName name="TwbOut">'[1]Heat Rec''ry'!$F$10</definedName>
    <definedName name="TwbOutAir">'[1]Htg Coil'!$J$4</definedName>
    <definedName name="TwbRet">'[1]Clg Coil-BP'!$B$10</definedName>
    <definedName name="TwbRm">'[1]Heat Rec''ry'!$F$7</definedName>
    <definedName name="TwbSup">'[1]Clg Coil-BP'!$F$9</definedName>
    <definedName name="UBICACION">Datos!$B$77:$F$119</definedName>
    <definedName name="z_ALTITUDE">ATMOSPHERIC_VARIABLES!$C$2</definedName>
  </definedNames>
  <calcPr calcId="171027"/>
</workbook>
</file>

<file path=xl/calcChain.xml><?xml version="1.0" encoding="utf-8"?>
<calcChain xmlns="http://schemas.openxmlformats.org/spreadsheetml/2006/main">
  <c r="O15" i="1" l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AX35" i="30" l="1"/>
  <c r="AX36" i="30"/>
  <c r="AX37" i="30"/>
  <c r="AX38" i="30"/>
  <c r="AX39" i="30"/>
  <c r="AX40" i="30"/>
  <c r="AX41" i="30"/>
  <c r="AX42" i="30"/>
  <c r="AX43" i="30"/>
  <c r="AX44" i="30"/>
  <c r="AX45" i="30"/>
  <c r="AX46" i="30"/>
  <c r="AX47" i="30"/>
  <c r="AX48" i="30"/>
  <c r="AX49" i="30"/>
  <c r="AX50" i="30"/>
  <c r="AX51" i="30"/>
  <c r="AX52" i="30"/>
  <c r="AX53" i="30"/>
  <c r="AX54" i="30"/>
  <c r="AX55" i="30"/>
  <c r="AX56" i="30"/>
  <c r="AX57" i="30"/>
  <c r="AX58" i="30"/>
  <c r="AX59" i="30"/>
  <c r="AX60" i="30"/>
  <c r="AX61" i="30"/>
  <c r="AX62" i="30"/>
  <c r="AX63" i="30"/>
  <c r="AX64" i="30"/>
  <c r="AX65" i="30"/>
  <c r="AX66" i="30"/>
  <c r="AX67" i="30"/>
  <c r="AX68" i="30"/>
  <c r="AX69" i="30"/>
  <c r="AX70" i="30"/>
  <c r="AX71" i="30"/>
  <c r="AX72" i="30"/>
  <c r="AX34" i="30"/>
  <c r="AT35" i="30"/>
  <c r="AT36" i="30"/>
  <c r="AT37" i="30"/>
  <c r="AT38" i="30"/>
  <c r="AT39" i="30"/>
  <c r="AT40" i="30"/>
  <c r="AT41" i="30"/>
  <c r="AT42" i="30"/>
  <c r="AT43" i="30"/>
  <c r="AT44" i="30"/>
  <c r="AT45" i="30"/>
  <c r="AT46" i="30"/>
  <c r="AT47" i="30"/>
  <c r="AT48" i="30"/>
  <c r="AT49" i="30"/>
  <c r="AT50" i="30"/>
  <c r="AT51" i="30"/>
  <c r="AT52" i="30"/>
  <c r="AT53" i="30"/>
  <c r="AT54" i="30"/>
  <c r="AT55" i="30"/>
  <c r="AT56" i="30"/>
  <c r="AT57" i="30"/>
  <c r="AT58" i="30"/>
  <c r="AT59" i="30"/>
  <c r="AT60" i="30"/>
  <c r="AT61" i="30"/>
  <c r="AT62" i="30"/>
  <c r="AT63" i="30"/>
  <c r="AT64" i="30"/>
  <c r="AT65" i="30"/>
  <c r="AT66" i="30"/>
  <c r="AT67" i="30"/>
  <c r="AT68" i="30"/>
  <c r="AT69" i="30"/>
  <c r="AT70" i="30"/>
  <c r="AT71" i="30"/>
  <c r="AT72" i="30"/>
  <c r="AT34" i="30"/>
  <c r="AB35" i="30"/>
  <c r="AB36" i="30"/>
  <c r="AB37" i="30"/>
  <c r="AB38" i="30"/>
  <c r="AB39" i="30"/>
  <c r="AB40" i="30"/>
  <c r="AB41" i="30"/>
  <c r="AB42" i="30"/>
  <c r="AB43" i="30"/>
  <c r="AB44" i="30"/>
  <c r="AB45" i="30"/>
  <c r="AB46" i="30"/>
  <c r="AB47" i="30"/>
  <c r="AB48" i="30"/>
  <c r="AB49" i="30"/>
  <c r="AB50" i="30"/>
  <c r="AB51" i="30"/>
  <c r="AB52" i="30"/>
  <c r="AB53" i="30"/>
  <c r="AB54" i="30"/>
  <c r="AB55" i="30"/>
  <c r="AB56" i="30"/>
  <c r="AB57" i="30"/>
  <c r="AB58" i="30"/>
  <c r="AB59" i="30"/>
  <c r="AB60" i="30"/>
  <c r="AB61" i="30"/>
  <c r="AB62" i="30"/>
  <c r="AB63" i="30"/>
  <c r="AB64" i="30"/>
  <c r="AB65" i="30"/>
  <c r="AB66" i="30"/>
  <c r="AB67" i="30"/>
  <c r="AB68" i="30"/>
  <c r="AB69" i="30"/>
  <c r="AB70" i="30"/>
  <c r="AB71" i="30"/>
  <c r="AB72" i="30"/>
  <c r="AB34" i="30"/>
  <c r="H35" i="30"/>
  <c r="I35" i="30" s="1"/>
  <c r="H36" i="30"/>
  <c r="I36" i="30" s="1"/>
  <c r="H37" i="30"/>
  <c r="I37" i="30" s="1"/>
  <c r="L37" i="30" s="1"/>
  <c r="H38" i="30"/>
  <c r="I38" i="30" s="1"/>
  <c r="L38" i="30" s="1"/>
  <c r="H39" i="30"/>
  <c r="I39" i="30" s="1"/>
  <c r="L39" i="30" s="1"/>
  <c r="H40" i="30"/>
  <c r="I40" i="30" s="1"/>
  <c r="J40" i="30" s="1"/>
  <c r="H41" i="30"/>
  <c r="I41" i="30" s="1"/>
  <c r="L41" i="30" s="1"/>
  <c r="H42" i="30"/>
  <c r="I42" i="30" s="1"/>
  <c r="L42" i="30" s="1"/>
  <c r="H43" i="30"/>
  <c r="I43" i="30" s="1"/>
  <c r="L43" i="30" s="1"/>
  <c r="H44" i="30"/>
  <c r="I44" i="30" s="1"/>
  <c r="L44" i="30" s="1"/>
  <c r="H45" i="30"/>
  <c r="I45" i="30" s="1"/>
  <c r="K45" i="30" s="1"/>
  <c r="H46" i="30"/>
  <c r="I46" i="30" s="1"/>
  <c r="L46" i="30" s="1"/>
  <c r="H47" i="30"/>
  <c r="I47" i="30" s="1"/>
  <c r="L47" i="30" s="1"/>
  <c r="H48" i="30"/>
  <c r="I48" i="30" s="1"/>
  <c r="L48" i="30" s="1"/>
  <c r="H49" i="30"/>
  <c r="I49" i="30" s="1"/>
  <c r="L49" i="30" s="1"/>
  <c r="H50" i="30"/>
  <c r="I50" i="30" s="1"/>
  <c r="L50" i="30" s="1"/>
  <c r="H51" i="30"/>
  <c r="I51" i="30" s="1"/>
  <c r="L51" i="30" s="1"/>
  <c r="H52" i="30"/>
  <c r="I52" i="30" s="1"/>
  <c r="L52" i="30" s="1"/>
  <c r="H53" i="30"/>
  <c r="I53" i="30" s="1"/>
  <c r="L53" i="30" s="1"/>
  <c r="H54" i="30"/>
  <c r="I54" i="30" s="1"/>
  <c r="L54" i="30" s="1"/>
  <c r="H55" i="30"/>
  <c r="I55" i="30" s="1"/>
  <c r="L55" i="30" s="1"/>
  <c r="H56" i="30"/>
  <c r="I56" i="30" s="1"/>
  <c r="L56" i="30" s="1"/>
  <c r="H57" i="30"/>
  <c r="I57" i="30" s="1"/>
  <c r="L57" i="30" s="1"/>
  <c r="H58" i="30"/>
  <c r="I58" i="30" s="1"/>
  <c r="L58" i="30" s="1"/>
  <c r="H59" i="30"/>
  <c r="I59" i="30" s="1"/>
  <c r="L59" i="30" s="1"/>
  <c r="H60" i="30"/>
  <c r="I60" i="30" s="1"/>
  <c r="L60" i="30" s="1"/>
  <c r="H61" i="30"/>
  <c r="I61" i="30" s="1"/>
  <c r="L61" i="30" s="1"/>
  <c r="H62" i="30"/>
  <c r="I62" i="30" s="1"/>
  <c r="L62" i="30" s="1"/>
  <c r="H63" i="30"/>
  <c r="I63" i="30" s="1"/>
  <c r="L63" i="30" s="1"/>
  <c r="H64" i="30"/>
  <c r="I64" i="30" s="1"/>
  <c r="L64" i="30" s="1"/>
  <c r="H65" i="30"/>
  <c r="I65" i="30" s="1"/>
  <c r="K65" i="30" s="1"/>
  <c r="H66" i="30"/>
  <c r="I66" i="30" s="1"/>
  <c r="L66" i="30" s="1"/>
  <c r="H67" i="30"/>
  <c r="I67" i="30" s="1"/>
  <c r="L67" i="30" s="1"/>
  <c r="H68" i="30"/>
  <c r="I68" i="30" s="1"/>
  <c r="L68" i="30" s="1"/>
  <c r="H69" i="30"/>
  <c r="I69" i="30" s="1"/>
  <c r="L69" i="30" s="1"/>
  <c r="H70" i="30"/>
  <c r="I70" i="30" s="1"/>
  <c r="L70" i="30" s="1"/>
  <c r="H71" i="30"/>
  <c r="I71" i="30" s="1"/>
  <c r="L71" i="30" s="1"/>
  <c r="H72" i="30"/>
  <c r="I72" i="30" s="1"/>
  <c r="L72" i="30" s="1"/>
  <c r="H73" i="30"/>
  <c r="I73" i="30" s="1"/>
  <c r="L73" i="30" s="1"/>
  <c r="H74" i="30"/>
  <c r="I74" i="30" s="1"/>
  <c r="L74" i="30" s="1"/>
  <c r="H75" i="30"/>
  <c r="I75" i="30" s="1"/>
  <c r="L75" i="30" s="1"/>
  <c r="H76" i="30"/>
  <c r="I76" i="30" s="1"/>
  <c r="L76" i="30" s="1"/>
  <c r="H77" i="30"/>
  <c r="I77" i="30" s="1"/>
  <c r="K77" i="30" s="1"/>
  <c r="H78" i="30"/>
  <c r="I78" i="30" s="1"/>
  <c r="L78" i="30" s="1"/>
  <c r="H79" i="30"/>
  <c r="I79" i="30" s="1"/>
  <c r="L79" i="30" s="1"/>
  <c r="H80" i="30"/>
  <c r="I80" i="30" s="1"/>
  <c r="L80" i="30" s="1"/>
  <c r="H81" i="30"/>
  <c r="I81" i="30" s="1"/>
  <c r="L81" i="30" s="1"/>
  <c r="H82" i="30"/>
  <c r="I82" i="30" s="1"/>
  <c r="L82" i="30" s="1"/>
  <c r="H83" i="30"/>
  <c r="I83" i="30" s="1"/>
  <c r="L83" i="30" s="1"/>
  <c r="H84" i="30"/>
  <c r="I84" i="30" s="1"/>
  <c r="L84" i="30" s="1"/>
  <c r="H85" i="30"/>
  <c r="I85" i="30" s="1"/>
  <c r="L85" i="30" s="1"/>
  <c r="H86" i="30"/>
  <c r="I86" i="30" s="1"/>
  <c r="L86" i="30" s="1"/>
  <c r="H87" i="30"/>
  <c r="I87" i="30" s="1"/>
  <c r="L87" i="30" s="1"/>
  <c r="H88" i="30"/>
  <c r="I88" i="30" s="1"/>
  <c r="L88" i="30" s="1"/>
  <c r="H89" i="30"/>
  <c r="I89" i="30" s="1"/>
  <c r="L89" i="30" s="1"/>
  <c r="H90" i="30"/>
  <c r="I90" i="30" s="1"/>
  <c r="L90" i="30" s="1"/>
  <c r="H91" i="30"/>
  <c r="I91" i="30" s="1"/>
  <c r="L91" i="30" s="1"/>
  <c r="H92" i="30"/>
  <c r="I92" i="30" s="1"/>
  <c r="L92" i="30" s="1"/>
  <c r="H93" i="30"/>
  <c r="I93" i="30" s="1"/>
  <c r="L93" i="30" s="1"/>
  <c r="H94" i="30"/>
  <c r="I94" i="30" s="1"/>
  <c r="L94" i="30" s="1"/>
  <c r="H95" i="30"/>
  <c r="I95" i="30" s="1"/>
  <c r="L95" i="30" s="1"/>
  <c r="H96" i="30"/>
  <c r="I96" i="30" s="1"/>
  <c r="L96" i="30" s="1"/>
  <c r="H97" i="30"/>
  <c r="I97" i="30" s="1"/>
  <c r="K97" i="30" s="1"/>
  <c r="H98" i="30"/>
  <c r="I98" i="30" s="1"/>
  <c r="L98" i="30" s="1"/>
  <c r="H99" i="30"/>
  <c r="I99" i="30" s="1"/>
  <c r="L99" i="30" s="1"/>
  <c r="H100" i="30"/>
  <c r="I100" i="30" s="1"/>
  <c r="L100" i="30" s="1"/>
  <c r="H101" i="30"/>
  <c r="I101" i="30" s="1"/>
  <c r="L101" i="30" s="1"/>
  <c r="H102" i="30"/>
  <c r="I102" i="30" s="1"/>
  <c r="L102" i="30" s="1"/>
  <c r="H103" i="30"/>
  <c r="I103" i="30" s="1"/>
  <c r="L103" i="30" s="1"/>
  <c r="H104" i="30"/>
  <c r="I104" i="30" s="1"/>
  <c r="L104" i="30" s="1"/>
  <c r="H105" i="30"/>
  <c r="I105" i="30" s="1"/>
  <c r="L105" i="30" s="1"/>
  <c r="H106" i="30"/>
  <c r="I106" i="30" s="1"/>
  <c r="L106" i="30" s="1"/>
  <c r="H107" i="30"/>
  <c r="I107" i="30" s="1"/>
  <c r="L107" i="30" s="1"/>
  <c r="H108" i="30"/>
  <c r="I108" i="30" s="1"/>
  <c r="L108" i="30" s="1"/>
  <c r="H109" i="30"/>
  <c r="I109" i="30" s="1"/>
  <c r="L109" i="30" s="1"/>
  <c r="H110" i="30"/>
  <c r="I110" i="30" s="1"/>
  <c r="L110" i="30" s="1"/>
  <c r="H111" i="30"/>
  <c r="I111" i="30" s="1"/>
  <c r="L111" i="30" s="1"/>
  <c r="H112" i="30"/>
  <c r="I112" i="30" s="1"/>
  <c r="L112" i="30" s="1"/>
  <c r="H113" i="30"/>
  <c r="I113" i="30" s="1"/>
  <c r="L113" i="30" s="1"/>
  <c r="H114" i="30"/>
  <c r="I114" i="30" s="1"/>
  <c r="L114" i="30" s="1"/>
  <c r="H115" i="30"/>
  <c r="I115" i="30" s="1"/>
  <c r="L115" i="30" s="1"/>
  <c r="H116" i="30"/>
  <c r="I116" i="30" s="1"/>
  <c r="L116" i="30" s="1"/>
  <c r="H117" i="30"/>
  <c r="I117" i="30" s="1"/>
  <c r="L117" i="30" s="1"/>
  <c r="H118" i="30"/>
  <c r="I118" i="30" s="1"/>
  <c r="L118" i="30" s="1"/>
  <c r="H119" i="30"/>
  <c r="I119" i="30" s="1"/>
  <c r="L119" i="30" s="1"/>
  <c r="H120" i="30"/>
  <c r="I120" i="30" s="1"/>
  <c r="L120" i="30" s="1"/>
  <c r="H121" i="30"/>
  <c r="I121" i="30" s="1"/>
  <c r="L121" i="30" s="1"/>
  <c r="H122" i="30"/>
  <c r="I122" i="30" s="1"/>
  <c r="L122" i="30" s="1"/>
  <c r="H123" i="30"/>
  <c r="I123" i="30" s="1"/>
  <c r="L123" i="30" s="1"/>
  <c r="H124" i="30"/>
  <c r="I124" i="30" s="1"/>
  <c r="L124" i="30" s="1"/>
  <c r="H125" i="30"/>
  <c r="I125" i="30" s="1"/>
  <c r="K125" i="30" s="1"/>
  <c r="H126" i="30"/>
  <c r="I126" i="30" s="1"/>
  <c r="L126" i="30" s="1"/>
  <c r="H127" i="30"/>
  <c r="I127" i="30" s="1"/>
  <c r="L127" i="30" s="1"/>
  <c r="H128" i="30"/>
  <c r="I128" i="30" s="1"/>
  <c r="L128" i="30" s="1"/>
  <c r="H129" i="30"/>
  <c r="I129" i="30" s="1"/>
  <c r="L129" i="30" s="1"/>
  <c r="H130" i="30"/>
  <c r="I130" i="30" s="1"/>
  <c r="L130" i="30" s="1"/>
  <c r="H131" i="30"/>
  <c r="I131" i="30" s="1"/>
  <c r="L131" i="30" s="1"/>
  <c r="H132" i="30"/>
  <c r="I132" i="30" s="1"/>
  <c r="L132" i="30" s="1"/>
  <c r="H133" i="30"/>
  <c r="I133" i="30" s="1"/>
  <c r="L133" i="30" s="1"/>
  <c r="H134" i="30"/>
  <c r="I134" i="30" s="1"/>
  <c r="L134" i="30" s="1"/>
  <c r="H135" i="30"/>
  <c r="I135" i="30" s="1"/>
  <c r="L135" i="30" s="1"/>
  <c r="H136" i="30"/>
  <c r="I136" i="30" s="1"/>
  <c r="J136" i="30" s="1"/>
  <c r="H137" i="30"/>
  <c r="I137" i="30" s="1"/>
  <c r="L137" i="30" s="1"/>
  <c r="H138" i="30"/>
  <c r="I138" i="30" s="1"/>
  <c r="L138" i="30" s="1"/>
  <c r="H139" i="30"/>
  <c r="I139" i="30" s="1"/>
  <c r="L139" i="30" s="1"/>
  <c r="H140" i="30"/>
  <c r="I140" i="30" s="1"/>
  <c r="L140" i="30" s="1"/>
  <c r="H141" i="30"/>
  <c r="I141" i="30" s="1"/>
  <c r="L141" i="30" s="1"/>
  <c r="H142" i="30"/>
  <c r="I142" i="30" s="1"/>
  <c r="L142" i="30" s="1"/>
  <c r="H143" i="30"/>
  <c r="I143" i="30" s="1"/>
  <c r="L143" i="30" s="1"/>
  <c r="H144" i="30"/>
  <c r="I144" i="30" s="1"/>
  <c r="L144" i="30" s="1"/>
  <c r="H145" i="30"/>
  <c r="I145" i="30" s="1"/>
  <c r="L145" i="30" s="1"/>
  <c r="H146" i="30"/>
  <c r="I146" i="30" s="1"/>
  <c r="L146" i="30" s="1"/>
  <c r="H147" i="30"/>
  <c r="I147" i="30" s="1"/>
  <c r="L147" i="30" s="1"/>
  <c r="H148" i="30"/>
  <c r="I148" i="30" s="1"/>
  <c r="L148" i="30" s="1"/>
  <c r="H149" i="30"/>
  <c r="I149" i="30" s="1"/>
  <c r="J149" i="30" s="1"/>
  <c r="H150" i="30"/>
  <c r="I150" i="30" s="1"/>
  <c r="L150" i="30" s="1"/>
  <c r="H151" i="30"/>
  <c r="I151" i="30" s="1"/>
  <c r="L151" i="30" s="1"/>
  <c r="H152" i="30"/>
  <c r="I152" i="30" s="1"/>
  <c r="L152" i="30" s="1"/>
  <c r="H153" i="30"/>
  <c r="I153" i="30" s="1"/>
  <c r="L153" i="30" s="1"/>
  <c r="H154" i="30"/>
  <c r="I154" i="30" s="1"/>
  <c r="L154" i="30" s="1"/>
  <c r="H155" i="30"/>
  <c r="I155" i="30" s="1"/>
  <c r="L155" i="30" s="1"/>
  <c r="H156" i="30"/>
  <c r="I156" i="30" s="1"/>
  <c r="L156" i="30" s="1"/>
  <c r="H157" i="30"/>
  <c r="I157" i="30" s="1"/>
  <c r="L157" i="30" s="1"/>
  <c r="H158" i="30"/>
  <c r="I158" i="30" s="1"/>
  <c r="L158" i="30" s="1"/>
  <c r="H159" i="30"/>
  <c r="I159" i="30" s="1"/>
  <c r="L159" i="30" s="1"/>
  <c r="H160" i="30"/>
  <c r="I160" i="30" s="1"/>
  <c r="L160" i="30" s="1"/>
  <c r="H161" i="30"/>
  <c r="I161" i="30" s="1"/>
  <c r="J161" i="30" s="1"/>
  <c r="H162" i="30"/>
  <c r="I162" i="30" s="1"/>
  <c r="L162" i="30" s="1"/>
  <c r="H163" i="30"/>
  <c r="I163" i="30" s="1"/>
  <c r="L163" i="30" s="1"/>
  <c r="H164" i="30"/>
  <c r="I164" i="30" s="1"/>
  <c r="L164" i="30" s="1"/>
  <c r="H165" i="30"/>
  <c r="I165" i="30" s="1"/>
  <c r="L165" i="30" s="1"/>
  <c r="H166" i="30"/>
  <c r="I166" i="30" s="1"/>
  <c r="L166" i="30" s="1"/>
  <c r="H167" i="30"/>
  <c r="I167" i="30" s="1"/>
  <c r="L167" i="30" s="1"/>
  <c r="H168" i="30"/>
  <c r="I168" i="30" s="1"/>
  <c r="L168" i="30" s="1"/>
  <c r="H169" i="30"/>
  <c r="I169" i="30" s="1"/>
  <c r="L169" i="30" s="1"/>
  <c r="H170" i="30"/>
  <c r="I170" i="30" s="1"/>
  <c r="L170" i="30" s="1"/>
  <c r="H171" i="30"/>
  <c r="I171" i="30" s="1"/>
  <c r="L171" i="30" s="1"/>
  <c r="H172" i="30"/>
  <c r="I172" i="30" s="1"/>
  <c r="L172" i="30" s="1"/>
  <c r="H173" i="30"/>
  <c r="I173" i="30" s="1"/>
  <c r="J173" i="30" s="1"/>
  <c r="H174" i="30"/>
  <c r="I174" i="30" s="1"/>
  <c r="L174" i="30" s="1"/>
  <c r="H175" i="30"/>
  <c r="I175" i="30" s="1"/>
  <c r="L175" i="30" s="1"/>
  <c r="H176" i="30"/>
  <c r="I176" i="30" s="1"/>
  <c r="L176" i="30" s="1"/>
  <c r="H177" i="30"/>
  <c r="I177" i="30" s="1"/>
  <c r="L177" i="30" s="1"/>
  <c r="H178" i="30"/>
  <c r="I178" i="30" s="1"/>
  <c r="L178" i="30" s="1"/>
  <c r="H179" i="30"/>
  <c r="I179" i="30" s="1"/>
  <c r="L179" i="30" s="1"/>
  <c r="H180" i="30"/>
  <c r="I180" i="30" s="1"/>
  <c r="L180" i="30" s="1"/>
  <c r="H181" i="30"/>
  <c r="I181" i="30" s="1"/>
  <c r="L181" i="30" s="1"/>
  <c r="H182" i="30"/>
  <c r="I182" i="30" s="1"/>
  <c r="L182" i="30" s="1"/>
  <c r="H183" i="30"/>
  <c r="I183" i="30" s="1"/>
  <c r="L183" i="30" s="1"/>
  <c r="AB26" i="30"/>
  <c r="AW183" i="30"/>
  <c r="AE181" i="30"/>
  <c r="AF181" i="30"/>
  <c r="AW180" i="30"/>
  <c r="AE180" i="30"/>
  <c r="AW179" i="30"/>
  <c r="AE177" i="30"/>
  <c r="AF177" i="30"/>
  <c r="AW176" i="30"/>
  <c r="AE176" i="30"/>
  <c r="AW175" i="30"/>
  <c r="AW173" i="30"/>
  <c r="AE173" i="30"/>
  <c r="AF173" i="30"/>
  <c r="AW172" i="30"/>
  <c r="AE172" i="30"/>
  <c r="AW171" i="30"/>
  <c r="AF170" i="30"/>
  <c r="AW169" i="30"/>
  <c r="AE169" i="30"/>
  <c r="AF169" i="30"/>
  <c r="AE168" i="30"/>
  <c r="AE167" i="30"/>
  <c r="AW167" i="30"/>
  <c r="AE165" i="30"/>
  <c r="AF165" i="30"/>
  <c r="AE164" i="30"/>
  <c r="AE163" i="30"/>
  <c r="AW163" i="30"/>
  <c r="AE161" i="30"/>
  <c r="AF161" i="30"/>
  <c r="AG161" i="30" s="1"/>
  <c r="AE160" i="30"/>
  <c r="AE159" i="30"/>
  <c r="AW159" i="30"/>
  <c r="AE157" i="30"/>
  <c r="AF157" i="30"/>
  <c r="AF156" i="30"/>
  <c r="AF154" i="30"/>
  <c r="AW153" i="30"/>
  <c r="AE153" i="30"/>
  <c r="AF153" i="30"/>
  <c r="AW152" i="30"/>
  <c r="AE151" i="30"/>
  <c r="AF151" i="30"/>
  <c r="AF150" i="30"/>
  <c r="AW149" i="30"/>
  <c r="AE149" i="30"/>
  <c r="AF149" i="30"/>
  <c r="AW148" i="30"/>
  <c r="AE147" i="30"/>
  <c r="AF147" i="30"/>
  <c r="AG147" i="30" s="1"/>
  <c r="AW145" i="30"/>
  <c r="AE145" i="30"/>
  <c r="AF145" i="30"/>
  <c r="AF143" i="30"/>
  <c r="AE143" i="30"/>
  <c r="AE141" i="30"/>
  <c r="AW141" i="30"/>
  <c r="AW140" i="30"/>
  <c r="AE139" i="30"/>
  <c r="AF139" i="30"/>
  <c r="AE138" i="30"/>
  <c r="AE137" i="30"/>
  <c r="AW137" i="30"/>
  <c r="AW136" i="30"/>
  <c r="AE135" i="30"/>
  <c r="AF135" i="30"/>
  <c r="AE134" i="30"/>
  <c r="AE133" i="30"/>
  <c r="AW133" i="30"/>
  <c r="AW132" i="30"/>
  <c r="AE131" i="30"/>
  <c r="AF131" i="30"/>
  <c r="AG131" i="30" s="1"/>
  <c r="AF130" i="30"/>
  <c r="AE129" i="30"/>
  <c r="AW129" i="30"/>
  <c r="AW128" i="30"/>
  <c r="AE127" i="30"/>
  <c r="AF127" i="30"/>
  <c r="AF126" i="30"/>
  <c r="AE125" i="30"/>
  <c r="AW125" i="30"/>
  <c r="AF124" i="30"/>
  <c r="AW123" i="30"/>
  <c r="AE123" i="30"/>
  <c r="AF123" i="30"/>
  <c r="AW122" i="30"/>
  <c r="AF122" i="30"/>
  <c r="AE120" i="30"/>
  <c r="AF120" i="30"/>
  <c r="AW119" i="30"/>
  <c r="AE119" i="30"/>
  <c r="AF119" i="30"/>
  <c r="AW118" i="30"/>
  <c r="AF118" i="30"/>
  <c r="AE116" i="30"/>
  <c r="AF116" i="30"/>
  <c r="AW115" i="30"/>
  <c r="AE115" i="30"/>
  <c r="AF115" i="30"/>
  <c r="AW114" i="30"/>
  <c r="AM114" i="30"/>
  <c r="AL114" i="30"/>
  <c r="AJ114" i="30"/>
  <c r="AK114" i="30" s="1"/>
  <c r="AF114" i="30"/>
  <c r="AM113" i="30"/>
  <c r="AL113" i="30"/>
  <c r="AJ113" i="30"/>
  <c r="AK113" i="30" s="1"/>
  <c r="AM112" i="30"/>
  <c r="AL112" i="30"/>
  <c r="AK112" i="30"/>
  <c r="AJ112" i="30"/>
  <c r="AE112" i="30"/>
  <c r="AF112" i="30"/>
  <c r="AW111" i="30"/>
  <c r="AM111" i="30"/>
  <c r="AL111" i="30"/>
  <c r="AJ111" i="30"/>
  <c r="AK111" i="30" s="1"/>
  <c r="AE111" i="30"/>
  <c r="AF111" i="30"/>
  <c r="AW110" i="30"/>
  <c r="AM110" i="30"/>
  <c r="AL110" i="30"/>
  <c r="AJ110" i="30"/>
  <c r="AK110" i="30" s="1"/>
  <c r="AF110" i="30"/>
  <c r="AM109" i="30"/>
  <c r="AL109" i="30"/>
  <c r="AJ109" i="30"/>
  <c r="AK109" i="30" s="1"/>
  <c r="AM108" i="30"/>
  <c r="AL108" i="30"/>
  <c r="AJ108" i="30"/>
  <c r="AK108" i="30" s="1"/>
  <c r="AE108" i="30"/>
  <c r="AF108" i="30"/>
  <c r="AW107" i="30"/>
  <c r="AM107" i="30"/>
  <c r="AL107" i="30"/>
  <c r="AJ107" i="30"/>
  <c r="AK107" i="30" s="1"/>
  <c r="AE107" i="30"/>
  <c r="AF107" i="30"/>
  <c r="AW106" i="30"/>
  <c r="AM106" i="30"/>
  <c r="AL106" i="30"/>
  <c r="AJ106" i="30"/>
  <c r="AK106" i="30" s="1"/>
  <c r="AF106" i="30"/>
  <c r="AM105" i="30"/>
  <c r="AL105" i="30"/>
  <c r="AJ105" i="30"/>
  <c r="AK105" i="30" s="1"/>
  <c r="AM104" i="30"/>
  <c r="AL104" i="30"/>
  <c r="AJ104" i="30"/>
  <c r="AK104" i="30" s="1"/>
  <c r="AE104" i="30"/>
  <c r="AF104" i="30"/>
  <c r="AW103" i="30"/>
  <c r="AM103" i="30"/>
  <c r="AL103" i="30"/>
  <c r="AJ103" i="30"/>
  <c r="AK103" i="30" s="1"/>
  <c r="AE103" i="30"/>
  <c r="AF103" i="30"/>
  <c r="AW102" i="30"/>
  <c r="AM102" i="30"/>
  <c r="AL102" i="30"/>
  <c r="AJ102" i="30"/>
  <c r="AK102" i="30" s="1"/>
  <c r="AF102" i="30"/>
  <c r="AM101" i="30"/>
  <c r="AL101" i="30"/>
  <c r="AJ101" i="30"/>
  <c r="AK101" i="30" s="1"/>
  <c r="AM100" i="30"/>
  <c r="AL100" i="30"/>
  <c r="AJ100" i="30"/>
  <c r="AK100" i="30" s="1"/>
  <c r="AE100" i="30"/>
  <c r="AF100" i="30"/>
  <c r="AW99" i="30"/>
  <c r="AM99" i="30"/>
  <c r="AL99" i="30"/>
  <c r="AJ99" i="30"/>
  <c r="AK99" i="30" s="1"/>
  <c r="AE99" i="30"/>
  <c r="AF99" i="30"/>
  <c r="AW98" i="30"/>
  <c r="AM98" i="30"/>
  <c r="AL98" i="30"/>
  <c r="AJ98" i="30"/>
  <c r="AK98" i="30" s="1"/>
  <c r="AF98" i="30"/>
  <c r="AM97" i="30"/>
  <c r="AL97" i="30"/>
  <c r="AJ97" i="30"/>
  <c r="AK97" i="30" s="1"/>
  <c r="AF97" i="30"/>
  <c r="AW96" i="30"/>
  <c r="AM96" i="30"/>
  <c r="AL96" i="30"/>
  <c r="AJ96" i="30"/>
  <c r="AK96" i="30" s="1"/>
  <c r="AE96" i="30"/>
  <c r="AM95" i="30"/>
  <c r="AL95" i="30"/>
  <c r="AK95" i="30"/>
  <c r="AJ95" i="30"/>
  <c r="AW95" i="30"/>
  <c r="AM94" i="30"/>
  <c r="AL94" i="30"/>
  <c r="AJ94" i="30"/>
  <c r="AK94" i="30" s="1"/>
  <c r="AW93" i="30"/>
  <c r="AM93" i="30"/>
  <c r="AL93" i="30"/>
  <c r="AJ93" i="30"/>
  <c r="AK93" i="30" s="1"/>
  <c r="AE93" i="30"/>
  <c r="AF93" i="30"/>
  <c r="AW92" i="30"/>
  <c r="AM92" i="30"/>
  <c r="AL92" i="30"/>
  <c r="AJ92" i="30"/>
  <c r="AK92" i="30" s="1"/>
  <c r="AE92" i="30"/>
  <c r="AM91" i="30"/>
  <c r="AL91" i="30"/>
  <c r="AJ91" i="30"/>
  <c r="AK91" i="30" s="1"/>
  <c r="AW91" i="30"/>
  <c r="AM90" i="30"/>
  <c r="AL90" i="30"/>
  <c r="AJ90" i="30"/>
  <c r="AK90" i="30" s="1"/>
  <c r="AW89" i="30"/>
  <c r="AM89" i="30"/>
  <c r="AL89" i="30"/>
  <c r="AJ89" i="30"/>
  <c r="AK89" i="30" s="1"/>
  <c r="AE89" i="30"/>
  <c r="AF89" i="30"/>
  <c r="AW88" i="30"/>
  <c r="AM88" i="30"/>
  <c r="AL88" i="30"/>
  <c r="AJ88" i="30"/>
  <c r="AK88" i="30" s="1"/>
  <c r="AE88" i="30"/>
  <c r="AM87" i="30"/>
  <c r="AL87" i="30"/>
  <c r="AJ87" i="30"/>
  <c r="AK87" i="30" s="1"/>
  <c r="AW87" i="30"/>
  <c r="AM86" i="30"/>
  <c r="AL86" i="30"/>
  <c r="AK86" i="30"/>
  <c r="AJ86" i="30"/>
  <c r="AW85" i="30"/>
  <c r="AM85" i="30"/>
  <c r="AL85" i="30"/>
  <c r="AJ85" i="30"/>
  <c r="AK85" i="30" s="1"/>
  <c r="AE85" i="30"/>
  <c r="AF85" i="30"/>
  <c r="AW84" i="30"/>
  <c r="AM84" i="30"/>
  <c r="AL84" i="30"/>
  <c r="AJ84" i="30"/>
  <c r="AK84" i="30" s="1"/>
  <c r="AE84" i="30"/>
  <c r="AM83" i="30"/>
  <c r="AL83" i="30"/>
  <c r="AJ83" i="30"/>
  <c r="AK83" i="30" s="1"/>
  <c r="AW83" i="30"/>
  <c r="AM82" i="30"/>
  <c r="AL82" i="30"/>
  <c r="AJ82" i="30"/>
  <c r="AK82" i="30" s="1"/>
  <c r="AW81" i="30"/>
  <c r="AM81" i="30"/>
  <c r="AL81" i="30"/>
  <c r="AK81" i="30"/>
  <c r="AJ81" i="30"/>
  <c r="AE81" i="30"/>
  <c r="AF81" i="30"/>
  <c r="AW80" i="30"/>
  <c r="AM80" i="30"/>
  <c r="AL80" i="30"/>
  <c r="AJ80" i="30"/>
  <c r="AK80" i="30" s="1"/>
  <c r="AE80" i="30"/>
  <c r="AM79" i="30"/>
  <c r="AL79" i="30"/>
  <c r="AJ79" i="30"/>
  <c r="AK79" i="30" s="1"/>
  <c r="AW79" i="30"/>
  <c r="AS78" i="30"/>
  <c r="AR78" i="30"/>
  <c r="AM78" i="30"/>
  <c r="AL78" i="30"/>
  <c r="AJ78" i="30"/>
  <c r="AK78" i="30" s="1"/>
  <c r="AE78" i="30"/>
  <c r="AS77" i="30"/>
  <c r="AR77" i="30"/>
  <c r="AM77" i="30"/>
  <c r="AL77" i="30"/>
  <c r="AK77" i="30"/>
  <c r="AJ77" i="30"/>
  <c r="AE77" i="30"/>
  <c r="AW77" i="30"/>
  <c r="AS76" i="30"/>
  <c r="AR76" i="30"/>
  <c r="AM76" i="30"/>
  <c r="AL76" i="30"/>
  <c r="AJ76" i="30"/>
  <c r="AK76" i="30" s="1"/>
  <c r="AF76" i="30"/>
  <c r="AS75" i="30"/>
  <c r="AR75" i="30"/>
  <c r="AM75" i="30"/>
  <c r="AL75" i="30"/>
  <c r="AJ75" i="30"/>
  <c r="AK75" i="30" s="1"/>
  <c r="AW75" i="30"/>
  <c r="AS74" i="30"/>
  <c r="AR74" i="30"/>
  <c r="AM74" i="30"/>
  <c r="AL74" i="30"/>
  <c r="AJ74" i="30"/>
  <c r="AK74" i="30" s="1"/>
  <c r="AE74" i="30"/>
  <c r="AS73" i="30"/>
  <c r="AR73" i="30"/>
  <c r="AM73" i="30"/>
  <c r="AL73" i="30"/>
  <c r="AJ73" i="30"/>
  <c r="AK73" i="30" s="1"/>
  <c r="AE73" i="30"/>
  <c r="AW73" i="30"/>
  <c r="AS72" i="30"/>
  <c r="AR72" i="30"/>
  <c r="AM72" i="30"/>
  <c r="AL72" i="30"/>
  <c r="AJ72" i="30"/>
  <c r="AK72" i="30" s="1"/>
  <c r="AF72" i="30"/>
  <c r="AE72" i="30"/>
  <c r="AW71" i="30"/>
  <c r="AS71" i="30"/>
  <c r="AR71" i="30"/>
  <c r="AM71" i="30"/>
  <c r="AL71" i="30"/>
  <c r="AJ71" i="30"/>
  <c r="AK71" i="30" s="1"/>
  <c r="AE71" i="30"/>
  <c r="AS70" i="30"/>
  <c r="AR70" i="30"/>
  <c r="AM70" i="30"/>
  <c r="AL70" i="30"/>
  <c r="AJ70" i="30"/>
  <c r="AK70" i="30" s="1"/>
  <c r="AE70" i="30"/>
  <c r="AS69" i="30"/>
  <c r="AR69" i="30"/>
  <c r="AM69" i="30"/>
  <c r="AL69" i="30"/>
  <c r="AJ69" i="30"/>
  <c r="AK69" i="30" s="1"/>
  <c r="AE69" i="30"/>
  <c r="AW69" i="30"/>
  <c r="AS68" i="30"/>
  <c r="AR68" i="30"/>
  <c r="AM68" i="30"/>
  <c r="AL68" i="30"/>
  <c r="AJ68" i="30"/>
  <c r="AK68" i="30" s="1"/>
  <c r="AF68" i="30"/>
  <c r="AW68" i="30"/>
  <c r="AS67" i="30"/>
  <c r="AR67" i="30"/>
  <c r="AM67" i="30"/>
  <c r="AL67" i="30"/>
  <c r="AJ67" i="30"/>
  <c r="AK67" i="30" s="1"/>
  <c r="AF67" i="30"/>
  <c r="AE67" i="30"/>
  <c r="AW67" i="30"/>
  <c r="AS66" i="30"/>
  <c r="AR66" i="30"/>
  <c r="AM66" i="30"/>
  <c r="AL66" i="30"/>
  <c r="AJ66" i="30"/>
  <c r="AK66" i="30" s="1"/>
  <c r="AF66" i="30"/>
  <c r="AS65" i="30"/>
  <c r="AR65" i="30"/>
  <c r="AM65" i="30"/>
  <c r="AL65" i="30"/>
  <c r="AJ65" i="30"/>
  <c r="AK65" i="30" s="1"/>
  <c r="AE65" i="30"/>
  <c r="AW65" i="30"/>
  <c r="DE64" i="30"/>
  <c r="CZ64" i="30"/>
  <c r="CY64" i="30"/>
  <c r="CX64" i="30"/>
  <c r="CW64" i="30"/>
  <c r="CS64" i="30"/>
  <c r="CN64" i="30"/>
  <c r="CM64" i="30"/>
  <c r="CL64" i="30"/>
  <c r="CK64" i="30"/>
  <c r="CG64" i="30"/>
  <c r="CB64" i="30"/>
  <c r="CA64" i="30"/>
  <c r="BZ64" i="30"/>
  <c r="BY64" i="30"/>
  <c r="BU64" i="30"/>
  <c r="BP64" i="30"/>
  <c r="BO64" i="30"/>
  <c r="BN64" i="30"/>
  <c r="BM64" i="30"/>
  <c r="BI64" i="30"/>
  <c r="BB64" i="30"/>
  <c r="BA64" i="30"/>
  <c r="AS64" i="30"/>
  <c r="AR64" i="30"/>
  <c r="AM64" i="30"/>
  <c r="AL64" i="30"/>
  <c r="AK64" i="30"/>
  <c r="AJ64" i="30"/>
  <c r="AF64" i="30"/>
  <c r="AE64" i="30"/>
  <c r="AW64" i="30"/>
  <c r="DG63" i="30"/>
  <c r="DE63" i="30"/>
  <c r="DB63" i="30"/>
  <c r="CZ63" i="30"/>
  <c r="CY63" i="30"/>
  <c r="CX63" i="30"/>
  <c r="CW63" i="30"/>
  <c r="CS63" i="30"/>
  <c r="CN63" i="30"/>
  <c r="CM63" i="30"/>
  <c r="CL63" i="30"/>
  <c r="CK63" i="30"/>
  <c r="CG63" i="30"/>
  <c r="CB63" i="30"/>
  <c r="CA63" i="30"/>
  <c r="BZ63" i="30"/>
  <c r="BY63" i="30"/>
  <c r="BU63" i="30"/>
  <c r="BP63" i="30"/>
  <c r="BO63" i="30"/>
  <c r="BN63" i="30"/>
  <c r="BM63" i="30"/>
  <c r="BI63" i="30"/>
  <c r="BB63" i="30"/>
  <c r="BA63" i="30"/>
  <c r="AS63" i="30"/>
  <c r="AR63" i="30"/>
  <c r="AM63" i="30"/>
  <c r="AL63" i="30"/>
  <c r="AJ63" i="30"/>
  <c r="AK63" i="30" s="1"/>
  <c r="AE63" i="30"/>
  <c r="BC64" i="30"/>
  <c r="AW63" i="30"/>
  <c r="DE62" i="30"/>
  <c r="CZ62" i="30"/>
  <c r="CY62" i="30"/>
  <c r="CX62" i="30"/>
  <c r="CW62" i="30"/>
  <c r="CS62" i="30"/>
  <c r="CN62" i="30"/>
  <c r="CM62" i="30"/>
  <c r="CL62" i="30"/>
  <c r="CK62" i="30"/>
  <c r="CI62" i="30"/>
  <c r="CG62" i="30"/>
  <c r="CD62" i="30"/>
  <c r="CB62" i="30"/>
  <c r="CA62" i="30"/>
  <c r="BZ62" i="30"/>
  <c r="BY62" i="30"/>
  <c r="BW62" i="30"/>
  <c r="BU62" i="30"/>
  <c r="BR62" i="30"/>
  <c r="BP62" i="30"/>
  <c r="BO62" i="30"/>
  <c r="BN62" i="30"/>
  <c r="BM62" i="30"/>
  <c r="BI62" i="30"/>
  <c r="BB62" i="30"/>
  <c r="BA62" i="30"/>
  <c r="AS62" i="30"/>
  <c r="AR62" i="30"/>
  <c r="AM62" i="30"/>
  <c r="AL62" i="30"/>
  <c r="AJ62" i="30"/>
  <c r="AK62" i="30" s="1"/>
  <c r="AF62" i="30"/>
  <c r="AE62" i="30"/>
  <c r="BC63" i="30"/>
  <c r="AW62" i="30"/>
  <c r="DE61" i="30"/>
  <c r="CZ61" i="30"/>
  <c r="CY61" i="30"/>
  <c r="CX61" i="30"/>
  <c r="CW61" i="30"/>
  <c r="CS61" i="30"/>
  <c r="CN61" i="30"/>
  <c r="CM61" i="30"/>
  <c r="CL61" i="30"/>
  <c r="CK61" i="30"/>
  <c r="CG61" i="30"/>
  <c r="CB61" i="30"/>
  <c r="CA61" i="30"/>
  <c r="BZ61" i="30"/>
  <c r="BY61" i="30"/>
  <c r="BW61" i="30"/>
  <c r="BU61" i="30"/>
  <c r="BR61" i="30"/>
  <c r="BP61" i="30"/>
  <c r="BO61" i="30"/>
  <c r="BN61" i="30"/>
  <c r="BM61" i="30"/>
  <c r="BI61" i="30"/>
  <c r="BB61" i="30"/>
  <c r="BA61" i="30"/>
  <c r="AS61" i="30"/>
  <c r="AR61" i="30"/>
  <c r="AM61" i="30"/>
  <c r="AL61" i="30"/>
  <c r="AJ61" i="30"/>
  <c r="AK61" i="30" s="1"/>
  <c r="AE61" i="30"/>
  <c r="BC62" i="30"/>
  <c r="AW61" i="30"/>
  <c r="DE60" i="30"/>
  <c r="CZ60" i="30"/>
  <c r="CY60" i="30"/>
  <c r="CX60" i="30"/>
  <c r="CW60" i="30"/>
  <c r="CS60" i="30"/>
  <c r="CN60" i="30"/>
  <c r="CM60" i="30"/>
  <c r="CL60" i="30"/>
  <c r="CK60" i="30"/>
  <c r="CG60" i="30"/>
  <c r="CB60" i="30"/>
  <c r="CA60" i="30"/>
  <c r="BZ60" i="30"/>
  <c r="BY60" i="30"/>
  <c r="BU60" i="30"/>
  <c r="BP60" i="30"/>
  <c r="BO60" i="30"/>
  <c r="BN60" i="30"/>
  <c r="BM60" i="30"/>
  <c r="BI60" i="30"/>
  <c r="BB60" i="30"/>
  <c r="BA60" i="30"/>
  <c r="AS60" i="30"/>
  <c r="AR60" i="30"/>
  <c r="AM60" i="30"/>
  <c r="AL60" i="30"/>
  <c r="AJ60" i="30"/>
  <c r="AK60" i="30" s="1"/>
  <c r="AF60" i="30"/>
  <c r="AE60" i="30"/>
  <c r="AG60" i="30" s="1"/>
  <c r="BC61" i="30"/>
  <c r="AW60" i="30"/>
  <c r="DG59" i="30"/>
  <c r="DE59" i="30"/>
  <c r="DB59" i="30"/>
  <c r="CZ59" i="30"/>
  <c r="CY59" i="30"/>
  <c r="CX59" i="30"/>
  <c r="CW59" i="30"/>
  <c r="CU59" i="30"/>
  <c r="CS59" i="30"/>
  <c r="CN59" i="30"/>
  <c r="CM59" i="30"/>
  <c r="CL59" i="30"/>
  <c r="CK59" i="30"/>
  <c r="CG59" i="30"/>
  <c r="CB59" i="30"/>
  <c r="CA59" i="30"/>
  <c r="BZ59" i="30"/>
  <c r="BY59" i="30"/>
  <c r="BU59" i="30"/>
  <c r="BP59" i="30"/>
  <c r="BO59" i="30"/>
  <c r="BN59" i="30"/>
  <c r="BM59" i="30"/>
  <c r="BI59" i="30"/>
  <c r="BB59" i="30"/>
  <c r="BA59" i="30"/>
  <c r="AS59" i="30"/>
  <c r="AR59" i="30"/>
  <c r="AM59" i="30"/>
  <c r="AL59" i="30"/>
  <c r="AJ59" i="30"/>
  <c r="AK59" i="30" s="1"/>
  <c r="AE59" i="30"/>
  <c r="BC60" i="30"/>
  <c r="AW59" i="30"/>
  <c r="DE58" i="30"/>
  <c r="CZ58" i="30"/>
  <c r="CY58" i="30"/>
  <c r="CX58" i="30"/>
  <c r="CW58" i="30"/>
  <c r="CS58" i="30"/>
  <c r="CP58" i="30"/>
  <c r="CN58" i="30"/>
  <c r="CM58" i="30"/>
  <c r="CL58" i="30"/>
  <c r="CK58" i="30"/>
  <c r="CI58" i="30"/>
  <c r="CG58" i="30"/>
  <c r="CD58" i="30"/>
  <c r="CB58" i="30"/>
  <c r="CA58" i="30"/>
  <c r="BZ58" i="30"/>
  <c r="BY58" i="30"/>
  <c r="BW58" i="30"/>
  <c r="BU58" i="30"/>
  <c r="BR58" i="30"/>
  <c r="BP58" i="30"/>
  <c r="BO58" i="30"/>
  <c r="BN58" i="30"/>
  <c r="BM58" i="30"/>
  <c r="BI58" i="30"/>
  <c r="BB58" i="30"/>
  <c r="BA58" i="30"/>
  <c r="AS58" i="30"/>
  <c r="AR58" i="30"/>
  <c r="AM58" i="30"/>
  <c r="AL58" i="30"/>
  <c r="AJ58" i="30"/>
  <c r="AK58" i="30" s="1"/>
  <c r="AF58" i="30"/>
  <c r="AE58" i="30"/>
  <c r="BH59" i="30"/>
  <c r="BK59" i="30"/>
  <c r="BC59" i="30"/>
  <c r="AW58" i="30"/>
  <c r="DE57" i="30"/>
  <c r="CZ57" i="30"/>
  <c r="CY57" i="30"/>
  <c r="CX57" i="30"/>
  <c r="CW57" i="30"/>
  <c r="CS57" i="30"/>
  <c r="CN57" i="30"/>
  <c r="CM57" i="30"/>
  <c r="CL57" i="30"/>
  <c r="CK57" i="30"/>
  <c r="CG57" i="30"/>
  <c r="CB57" i="30"/>
  <c r="CA57" i="30"/>
  <c r="BZ57" i="30"/>
  <c r="BY57" i="30"/>
  <c r="BW57" i="30"/>
  <c r="BU57" i="30"/>
  <c r="BR57" i="30"/>
  <c r="BP57" i="30"/>
  <c r="BO57" i="30"/>
  <c r="BN57" i="30"/>
  <c r="BM57" i="30"/>
  <c r="BI57" i="30"/>
  <c r="BB57" i="30"/>
  <c r="BA57" i="30"/>
  <c r="AS57" i="30"/>
  <c r="AR57" i="30"/>
  <c r="AM57" i="30"/>
  <c r="AL57" i="30"/>
  <c r="AK57" i="30"/>
  <c r="AJ57" i="30"/>
  <c r="AE57" i="30"/>
  <c r="BF58" i="30"/>
  <c r="BC58" i="30"/>
  <c r="AW57" i="30"/>
  <c r="DG56" i="30"/>
  <c r="DE56" i="30"/>
  <c r="DB56" i="30"/>
  <c r="CZ56" i="30"/>
  <c r="CY56" i="30"/>
  <c r="CX56" i="30"/>
  <c r="CW56" i="30"/>
  <c r="CS56" i="30"/>
  <c r="CM56" i="30"/>
  <c r="CL56" i="30"/>
  <c r="CK56" i="30"/>
  <c r="CG56" i="30"/>
  <c r="CB56" i="30"/>
  <c r="CA56" i="30"/>
  <c r="BZ56" i="30"/>
  <c r="BY56" i="30"/>
  <c r="BU56" i="30"/>
  <c r="BP56" i="30"/>
  <c r="BO56" i="30"/>
  <c r="BN56" i="30"/>
  <c r="BM56" i="30"/>
  <c r="BI56" i="30"/>
  <c r="BB56" i="30"/>
  <c r="BA56" i="30"/>
  <c r="AS56" i="30"/>
  <c r="AR56" i="30"/>
  <c r="AM56" i="30"/>
  <c r="AL56" i="30"/>
  <c r="AJ56" i="30"/>
  <c r="AK56" i="30" s="1"/>
  <c r="AF56" i="30"/>
  <c r="AE56" i="30"/>
  <c r="BC57" i="30"/>
  <c r="AW56" i="30"/>
  <c r="DG55" i="30"/>
  <c r="DE55" i="30"/>
  <c r="DB55" i="30"/>
  <c r="CZ55" i="30"/>
  <c r="CY55" i="30"/>
  <c r="CX55" i="30"/>
  <c r="CW55" i="30"/>
  <c r="CS55" i="30"/>
  <c r="CR55" i="30"/>
  <c r="CN55" i="30"/>
  <c r="CM55" i="30"/>
  <c r="CL55" i="30"/>
  <c r="CK55" i="30"/>
  <c r="CG55" i="30"/>
  <c r="CB55" i="30"/>
  <c r="CA55" i="30"/>
  <c r="BZ55" i="30"/>
  <c r="BY55" i="30"/>
  <c r="BU55" i="30"/>
  <c r="BP55" i="30"/>
  <c r="BO55" i="30"/>
  <c r="BN55" i="30"/>
  <c r="BM55" i="30"/>
  <c r="BI55" i="30"/>
  <c r="BB55" i="30"/>
  <c r="BA55" i="30"/>
  <c r="AS55" i="30"/>
  <c r="AR55" i="30"/>
  <c r="AM55" i="30"/>
  <c r="AL55" i="30"/>
  <c r="AJ55" i="30"/>
  <c r="AK55" i="30" s="1"/>
  <c r="BD56" i="30"/>
  <c r="BC56" i="30"/>
  <c r="AF55" i="30"/>
  <c r="DE54" i="30"/>
  <c r="CY54" i="30"/>
  <c r="CX54" i="30"/>
  <c r="CW54" i="30"/>
  <c r="CT54" i="30"/>
  <c r="CS54" i="30"/>
  <c r="CN54" i="30"/>
  <c r="CM54" i="30"/>
  <c r="CL54" i="30"/>
  <c r="CK54" i="30"/>
  <c r="CI54" i="30"/>
  <c r="CG54" i="30"/>
  <c r="CD54" i="30"/>
  <c r="CB54" i="30"/>
  <c r="CA54" i="30"/>
  <c r="BZ54" i="30"/>
  <c r="BY54" i="30"/>
  <c r="BW54" i="30"/>
  <c r="BU54" i="30"/>
  <c r="BR54" i="30"/>
  <c r="BP54" i="30"/>
  <c r="BO54" i="30"/>
  <c r="BN54" i="30"/>
  <c r="BM54" i="30"/>
  <c r="BI54" i="30"/>
  <c r="BB54" i="30"/>
  <c r="BA54" i="30"/>
  <c r="AS54" i="30"/>
  <c r="AR54" i="30"/>
  <c r="AM54" i="30"/>
  <c r="AL54" i="30"/>
  <c r="AJ54" i="30"/>
  <c r="AK54" i="30" s="1"/>
  <c r="AF54" i="30"/>
  <c r="BC55" i="30"/>
  <c r="AW54" i="30"/>
  <c r="DE53" i="30"/>
  <c r="CZ53" i="30"/>
  <c r="CY53" i="30"/>
  <c r="CX53" i="30"/>
  <c r="CW53" i="30"/>
  <c r="CU53" i="30"/>
  <c r="CS53" i="30"/>
  <c r="CR53" i="30"/>
  <c r="CN53" i="30"/>
  <c r="CM53" i="30"/>
  <c r="CL53" i="30"/>
  <c r="CK53" i="30"/>
  <c r="CG53" i="30"/>
  <c r="CB53" i="30"/>
  <c r="CA53" i="30"/>
  <c r="BZ53" i="30"/>
  <c r="BY53" i="30"/>
  <c r="BW53" i="30"/>
  <c r="BU53" i="30"/>
  <c r="BR53" i="30"/>
  <c r="BP53" i="30"/>
  <c r="BO53" i="30"/>
  <c r="BN53" i="30"/>
  <c r="BM53" i="30"/>
  <c r="BI53" i="30"/>
  <c r="BB53" i="30"/>
  <c r="BA53" i="30"/>
  <c r="AS53" i="30"/>
  <c r="AR53" i="30"/>
  <c r="AM53" i="30"/>
  <c r="AL53" i="30"/>
  <c r="AJ53" i="30"/>
  <c r="AK53" i="30" s="1"/>
  <c r="BC54" i="30"/>
  <c r="AF53" i="30"/>
  <c r="DG52" i="30"/>
  <c r="DE52" i="30"/>
  <c r="DB52" i="30"/>
  <c r="CZ52" i="30"/>
  <c r="CY52" i="30"/>
  <c r="CX52" i="30"/>
  <c r="CW52" i="30"/>
  <c r="CS52" i="30"/>
  <c r="CN52" i="30"/>
  <c r="CM52" i="30"/>
  <c r="CL52" i="30"/>
  <c r="CK52" i="30"/>
  <c r="CG52" i="30"/>
  <c r="CB52" i="30"/>
  <c r="CA52" i="30"/>
  <c r="BZ52" i="30"/>
  <c r="BY52" i="30"/>
  <c r="BU52" i="30"/>
  <c r="BP52" i="30"/>
  <c r="BO52" i="30"/>
  <c r="BN52" i="30"/>
  <c r="BM52" i="30"/>
  <c r="BI52" i="30"/>
  <c r="BB52" i="30"/>
  <c r="BA52" i="30"/>
  <c r="AS52" i="30"/>
  <c r="AR52" i="30"/>
  <c r="AM52" i="30"/>
  <c r="AL52" i="30"/>
  <c r="AJ52" i="30"/>
  <c r="AK52" i="30" s="1"/>
  <c r="AF52" i="30"/>
  <c r="BC53" i="30"/>
  <c r="AW52" i="30"/>
  <c r="DF51" i="30"/>
  <c r="DE51" i="30"/>
  <c r="CZ51" i="30"/>
  <c r="CY51" i="30"/>
  <c r="CX51" i="30"/>
  <c r="CW51" i="30"/>
  <c r="CS51" i="30"/>
  <c r="CN51" i="30"/>
  <c r="CM51" i="30"/>
  <c r="CL51" i="30"/>
  <c r="CK51" i="30"/>
  <c r="CG51" i="30"/>
  <c r="CB51" i="30"/>
  <c r="CA51" i="30"/>
  <c r="BZ51" i="30"/>
  <c r="BY51" i="30"/>
  <c r="BU51" i="30"/>
  <c r="BP51" i="30"/>
  <c r="BO51" i="30"/>
  <c r="BN51" i="30"/>
  <c r="BM51" i="30"/>
  <c r="BI51" i="30"/>
  <c r="BB51" i="30"/>
  <c r="BA51" i="30"/>
  <c r="AS51" i="30"/>
  <c r="AR51" i="30"/>
  <c r="AM51" i="30"/>
  <c r="AL51" i="30"/>
  <c r="AJ51" i="30"/>
  <c r="AK51" i="30" s="1"/>
  <c r="BC52" i="30"/>
  <c r="AF51" i="30"/>
  <c r="DE50" i="30"/>
  <c r="CZ50" i="30"/>
  <c r="CY50" i="30"/>
  <c r="CX50" i="30"/>
  <c r="CW50" i="30"/>
  <c r="CS50" i="30"/>
  <c r="CN50" i="30"/>
  <c r="CM50" i="30"/>
  <c r="CL50" i="30"/>
  <c r="CK50" i="30"/>
  <c r="CI50" i="30"/>
  <c r="CG50" i="30"/>
  <c r="CD50" i="30"/>
  <c r="CB50" i="30"/>
  <c r="CA50" i="30"/>
  <c r="BZ50" i="30"/>
  <c r="BY50" i="30"/>
  <c r="BW50" i="30"/>
  <c r="BU50" i="30"/>
  <c r="BR50" i="30"/>
  <c r="BP50" i="30"/>
  <c r="BO50" i="30"/>
  <c r="BN50" i="30"/>
  <c r="BM50" i="30"/>
  <c r="BI50" i="30"/>
  <c r="BB50" i="30"/>
  <c r="BA50" i="30"/>
  <c r="AS50" i="30"/>
  <c r="AR50" i="30"/>
  <c r="AM50" i="30"/>
  <c r="AL50" i="30"/>
  <c r="AK50" i="30"/>
  <c r="AJ50" i="30"/>
  <c r="AF50" i="30"/>
  <c r="AE50" i="30"/>
  <c r="BC51" i="30"/>
  <c r="AW50" i="30"/>
  <c r="DE49" i="30"/>
  <c r="CZ49" i="30"/>
  <c r="CY49" i="30"/>
  <c r="CX49" i="30"/>
  <c r="CW49" i="30"/>
  <c r="CS49" i="30"/>
  <c r="CR49" i="30"/>
  <c r="CN49" i="30"/>
  <c r="CM49" i="30"/>
  <c r="CL49" i="30"/>
  <c r="CK49" i="30"/>
  <c r="CG49" i="30"/>
  <c r="CB49" i="30"/>
  <c r="CA49" i="30"/>
  <c r="BZ49" i="30"/>
  <c r="BY49" i="30"/>
  <c r="BU49" i="30"/>
  <c r="BP49" i="30"/>
  <c r="BO49" i="30"/>
  <c r="BN49" i="30"/>
  <c r="BM49" i="30"/>
  <c r="BI49" i="30"/>
  <c r="BB49" i="30"/>
  <c r="BA49" i="30"/>
  <c r="AS49" i="30"/>
  <c r="AR49" i="30"/>
  <c r="AM49" i="30"/>
  <c r="AL49" i="30"/>
  <c r="AJ49" i="30"/>
  <c r="AK49" i="30" s="1"/>
  <c r="BC50" i="30"/>
  <c r="AF49" i="30"/>
  <c r="DE48" i="30"/>
  <c r="CZ48" i="30"/>
  <c r="CY48" i="30"/>
  <c r="CX48" i="30"/>
  <c r="CW48" i="30"/>
  <c r="CS48" i="30"/>
  <c r="CN48" i="30"/>
  <c r="CM48" i="30"/>
  <c r="CL48" i="30"/>
  <c r="CK48" i="30"/>
  <c r="CG48" i="30"/>
  <c r="CB48" i="30"/>
  <c r="CA48" i="30"/>
  <c r="BZ48" i="30"/>
  <c r="BY48" i="30"/>
  <c r="BU48" i="30"/>
  <c r="BP48" i="30"/>
  <c r="BO48" i="30"/>
  <c r="BN48" i="30"/>
  <c r="BM48" i="30"/>
  <c r="BI48" i="30"/>
  <c r="BB48" i="30"/>
  <c r="BA48" i="30"/>
  <c r="AS48" i="30"/>
  <c r="AR48" i="30"/>
  <c r="AM48" i="30"/>
  <c r="AL48" i="30"/>
  <c r="AK48" i="30"/>
  <c r="AJ48" i="30"/>
  <c r="AF48" i="30"/>
  <c r="AE48" i="30"/>
  <c r="BC49" i="30"/>
  <c r="AW48" i="30"/>
  <c r="DG47" i="30"/>
  <c r="DE47" i="30"/>
  <c r="CZ47" i="30"/>
  <c r="CY47" i="30"/>
  <c r="CX47" i="30"/>
  <c r="CW47" i="30"/>
  <c r="CU47" i="30"/>
  <c r="CS47" i="30"/>
  <c r="CN47" i="30"/>
  <c r="CM47" i="30"/>
  <c r="CL47" i="30"/>
  <c r="CK47" i="30"/>
  <c r="CG47" i="30"/>
  <c r="CB47" i="30"/>
  <c r="CA47" i="30"/>
  <c r="BZ47" i="30"/>
  <c r="BY47" i="30"/>
  <c r="BU47" i="30"/>
  <c r="BT47" i="30"/>
  <c r="BP47" i="30"/>
  <c r="BO47" i="30"/>
  <c r="BN47" i="30"/>
  <c r="BM47" i="30"/>
  <c r="BI47" i="30"/>
  <c r="BB47" i="30"/>
  <c r="BA47" i="30"/>
  <c r="AS47" i="30"/>
  <c r="AR47" i="30"/>
  <c r="AM47" i="30"/>
  <c r="AL47" i="30"/>
  <c r="AJ47" i="30"/>
  <c r="AK47" i="30" s="1"/>
  <c r="BC48" i="30"/>
  <c r="AF47" i="30"/>
  <c r="DE46" i="30"/>
  <c r="CZ46" i="30"/>
  <c r="CY46" i="30"/>
  <c r="CX46" i="30"/>
  <c r="CW46" i="30"/>
  <c r="CS46" i="30"/>
  <c r="CN46" i="30"/>
  <c r="CM46" i="30"/>
  <c r="CL46" i="30"/>
  <c r="CK46" i="30"/>
  <c r="CI46" i="30"/>
  <c r="CG46" i="30"/>
  <c r="CD46" i="30"/>
  <c r="CB46" i="30"/>
  <c r="CA46" i="30"/>
  <c r="BZ46" i="30"/>
  <c r="BY46" i="30"/>
  <c r="BU46" i="30"/>
  <c r="BR46" i="30"/>
  <c r="BP46" i="30"/>
  <c r="BO46" i="30"/>
  <c r="BN46" i="30"/>
  <c r="BM46" i="30"/>
  <c r="BI46" i="30"/>
  <c r="BB46" i="30"/>
  <c r="BA46" i="30"/>
  <c r="AS46" i="30"/>
  <c r="AR46" i="30"/>
  <c r="AM46" i="30"/>
  <c r="AL46" i="30"/>
  <c r="AK46" i="30"/>
  <c r="AJ46" i="30"/>
  <c r="AF46" i="30"/>
  <c r="AE46" i="30"/>
  <c r="BC47" i="30"/>
  <c r="AW46" i="30"/>
  <c r="DE45" i="30"/>
  <c r="CZ45" i="30"/>
  <c r="CY45" i="30"/>
  <c r="CX45" i="30"/>
  <c r="CW45" i="30"/>
  <c r="CS45" i="30"/>
  <c r="CR45" i="30"/>
  <c r="CN45" i="30"/>
  <c r="CM45" i="30"/>
  <c r="CL45" i="30"/>
  <c r="CK45" i="30"/>
  <c r="CG45" i="30"/>
  <c r="CB45" i="30"/>
  <c r="CA45" i="30"/>
  <c r="BZ45" i="30"/>
  <c r="BY45" i="30"/>
  <c r="BW45" i="30"/>
  <c r="BU45" i="30"/>
  <c r="BP45" i="30"/>
  <c r="BO45" i="30"/>
  <c r="BN45" i="30"/>
  <c r="BM45" i="30"/>
  <c r="BI45" i="30"/>
  <c r="BB45" i="30"/>
  <c r="BA45" i="30"/>
  <c r="AS45" i="30"/>
  <c r="AR45" i="30"/>
  <c r="AM45" i="30"/>
  <c r="AL45" i="30"/>
  <c r="AJ45" i="30"/>
  <c r="AK45" i="30" s="1"/>
  <c r="BC46" i="30"/>
  <c r="AF45" i="30"/>
  <c r="DE44" i="30"/>
  <c r="CZ44" i="30"/>
  <c r="CY44" i="30"/>
  <c r="CX44" i="30"/>
  <c r="CW44" i="30"/>
  <c r="CS44" i="30"/>
  <c r="CN44" i="30"/>
  <c r="CM44" i="30"/>
  <c r="CL44" i="30"/>
  <c r="CK44" i="30"/>
  <c r="CG44" i="30"/>
  <c r="CB44" i="30"/>
  <c r="CA44" i="30"/>
  <c r="BZ44" i="30"/>
  <c r="BY44" i="30"/>
  <c r="BU44" i="30"/>
  <c r="BP44" i="30"/>
  <c r="BO44" i="30"/>
  <c r="BN44" i="30"/>
  <c r="BM44" i="30"/>
  <c r="BI44" i="30"/>
  <c r="BB44" i="30"/>
  <c r="BA44" i="30"/>
  <c r="AS44" i="30"/>
  <c r="AR44" i="30"/>
  <c r="AM44" i="30"/>
  <c r="AL44" i="30"/>
  <c r="AJ44" i="30"/>
  <c r="AK44" i="30" s="1"/>
  <c r="AF44" i="30"/>
  <c r="AE44" i="30"/>
  <c r="BC45" i="30"/>
  <c r="AW44" i="30"/>
  <c r="DE43" i="30"/>
  <c r="CZ43" i="30"/>
  <c r="CY43" i="30"/>
  <c r="CX43" i="30"/>
  <c r="CW43" i="30"/>
  <c r="CU43" i="30"/>
  <c r="CS43" i="30"/>
  <c r="CN43" i="30"/>
  <c r="CM43" i="30"/>
  <c r="CL43" i="30"/>
  <c r="CK43" i="30"/>
  <c r="CG43" i="30"/>
  <c r="CB43" i="30"/>
  <c r="CA43" i="30"/>
  <c r="BZ43" i="30"/>
  <c r="BY43" i="30"/>
  <c r="BU43" i="30"/>
  <c r="BP43" i="30"/>
  <c r="BO43" i="30"/>
  <c r="BN43" i="30"/>
  <c r="BM43" i="30"/>
  <c r="BI43" i="30"/>
  <c r="BB43" i="30"/>
  <c r="BA43" i="30"/>
  <c r="AS43" i="30"/>
  <c r="AR43" i="30"/>
  <c r="AM43" i="30"/>
  <c r="AL43" i="30"/>
  <c r="AJ43" i="30"/>
  <c r="AK43" i="30" s="1"/>
  <c r="BC44" i="30"/>
  <c r="DE42" i="30"/>
  <c r="CZ42" i="30"/>
  <c r="CY42" i="30"/>
  <c r="CX42" i="30"/>
  <c r="CW42" i="30"/>
  <c r="CS42" i="30"/>
  <c r="CN42" i="30"/>
  <c r="CM42" i="30"/>
  <c r="CL42" i="30"/>
  <c r="CK42" i="30"/>
  <c r="CG42" i="30"/>
  <c r="CB42" i="30"/>
  <c r="CA42" i="30"/>
  <c r="BZ42" i="30"/>
  <c r="BY42" i="30"/>
  <c r="BW42" i="30"/>
  <c r="BU42" i="30"/>
  <c r="BR42" i="30"/>
  <c r="BP42" i="30"/>
  <c r="BO42" i="30"/>
  <c r="BN42" i="30"/>
  <c r="BM42" i="30"/>
  <c r="BI42" i="30"/>
  <c r="BB42" i="30"/>
  <c r="BA42" i="30"/>
  <c r="AS42" i="30"/>
  <c r="AR42" i="30"/>
  <c r="AM42" i="30"/>
  <c r="AL42" i="30"/>
  <c r="AJ42" i="30"/>
  <c r="AK42" i="30" s="1"/>
  <c r="AF42" i="30"/>
  <c r="AE42" i="30"/>
  <c r="BC43" i="30"/>
  <c r="AW42" i="30"/>
  <c r="DE41" i="30"/>
  <c r="DD41" i="30"/>
  <c r="CZ41" i="30"/>
  <c r="CY41" i="30"/>
  <c r="CX41" i="30"/>
  <c r="CW41" i="30"/>
  <c r="CT41" i="30"/>
  <c r="CS41" i="30"/>
  <c r="CN41" i="30"/>
  <c r="CM41" i="30"/>
  <c r="CL41" i="30"/>
  <c r="CK41" i="30"/>
  <c r="CG41" i="30"/>
  <c r="CF41" i="30"/>
  <c r="CB41" i="30"/>
  <c r="CA41" i="30"/>
  <c r="BZ41" i="30"/>
  <c r="BY41" i="30"/>
  <c r="BU41" i="30"/>
  <c r="BP41" i="30"/>
  <c r="BO41" i="30"/>
  <c r="BN41" i="30"/>
  <c r="BM41" i="30"/>
  <c r="BI41" i="30"/>
  <c r="BB41" i="30"/>
  <c r="BA41" i="30"/>
  <c r="AS41" i="30"/>
  <c r="AR41" i="30"/>
  <c r="AM41" i="30"/>
  <c r="AL41" i="30"/>
  <c r="AJ41" i="30"/>
  <c r="AK41" i="30" s="1"/>
  <c r="BC42" i="30"/>
  <c r="AF41" i="30"/>
  <c r="DE40" i="30"/>
  <c r="CZ40" i="30"/>
  <c r="CY40" i="30"/>
  <c r="CX40" i="30"/>
  <c r="CW40" i="30"/>
  <c r="CS40" i="30"/>
  <c r="CR40" i="30"/>
  <c r="CN40" i="30"/>
  <c r="CM40" i="30"/>
  <c r="CL40" i="30"/>
  <c r="CK40" i="30"/>
  <c r="CG40" i="30"/>
  <c r="CB40" i="30"/>
  <c r="CA40" i="30"/>
  <c r="BZ40" i="30"/>
  <c r="BY40" i="30"/>
  <c r="BU40" i="30"/>
  <c r="BP40" i="30"/>
  <c r="BO40" i="30"/>
  <c r="BN40" i="30"/>
  <c r="BM40" i="30"/>
  <c r="BI40" i="30"/>
  <c r="BB40" i="30"/>
  <c r="BA40" i="30"/>
  <c r="AS40" i="30"/>
  <c r="AR40" i="30"/>
  <c r="AM40" i="30"/>
  <c r="AL40" i="30"/>
  <c r="AJ40" i="30"/>
  <c r="AK40" i="30" s="1"/>
  <c r="AE40" i="30"/>
  <c r="BC41" i="30"/>
  <c r="AW40" i="30"/>
  <c r="DE39" i="30"/>
  <c r="CZ39" i="30"/>
  <c r="CY39" i="30"/>
  <c r="CX39" i="30"/>
  <c r="CW39" i="30"/>
  <c r="CS39" i="30"/>
  <c r="CN39" i="30"/>
  <c r="CM39" i="30"/>
  <c r="CL39" i="30"/>
  <c r="CK39" i="30"/>
  <c r="CG39" i="30"/>
  <c r="CB39" i="30"/>
  <c r="CA39" i="30"/>
  <c r="BZ39" i="30"/>
  <c r="BY39" i="30"/>
  <c r="BU39" i="30"/>
  <c r="BP39" i="30"/>
  <c r="BO39" i="30"/>
  <c r="BN39" i="30"/>
  <c r="BM39" i="30"/>
  <c r="BI39" i="30"/>
  <c r="BB39" i="30"/>
  <c r="BA39" i="30"/>
  <c r="AS39" i="30"/>
  <c r="AR39" i="30"/>
  <c r="AM39" i="30"/>
  <c r="AL39" i="30"/>
  <c r="AJ39" i="30"/>
  <c r="AK39" i="30" s="1"/>
  <c r="BC40" i="30"/>
  <c r="DG38" i="30"/>
  <c r="DE38" i="30"/>
  <c r="CZ38" i="30"/>
  <c r="CY38" i="30"/>
  <c r="CX38" i="30"/>
  <c r="CW38" i="30"/>
  <c r="CU38" i="30"/>
  <c r="CS38" i="30"/>
  <c r="CN38" i="30"/>
  <c r="CM38" i="30"/>
  <c r="CL38" i="30"/>
  <c r="CK38" i="30"/>
  <c r="CH38" i="30"/>
  <c r="CG38" i="30"/>
  <c r="CB38" i="30"/>
  <c r="CA38" i="30"/>
  <c r="BZ38" i="30"/>
  <c r="BY38" i="30"/>
  <c r="BU38" i="30"/>
  <c r="BP38" i="30"/>
  <c r="BO38" i="30"/>
  <c r="BN38" i="30"/>
  <c r="BM38" i="30"/>
  <c r="BI38" i="30"/>
  <c r="BB38" i="30"/>
  <c r="BA38" i="30"/>
  <c r="AS38" i="30"/>
  <c r="AR38" i="30"/>
  <c r="AM38" i="30"/>
  <c r="AL38" i="30"/>
  <c r="AK38" i="30"/>
  <c r="AJ38" i="30"/>
  <c r="BC39" i="30"/>
  <c r="AW38" i="30"/>
  <c r="DE37" i="30"/>
  <c r="CZ37" i="30"/>
  <c r="CY37" i="30"/>
  <c r="CX37" i="30"/>
  <c r="CW37" i="30"/>
  <c r="CS37" i="30"/>
  <c r="CN37" i="30"/>
  <c r="CM37" i="30"/>
  <c r="CL37" i="30"/>
  <c r="CK37" i="30"/>
  <c r="CG37" i="30"/>
  <c r="CB37" i="30"/>
  <c r="CA37" i="30"/>
  <c r="BZ37" i="30"/>
  <c r="BY37" i="30"/>
  <c r="BU37" i="30"/>
  <c r="BP37" i="30"/>
  <c r="BO37" i="30"/>
  <c r="BN37" i="30"/>
  <c r="BM37" i="30"/>
  <c r="BI37" i="30"/>
  <c r="BB37" i="30"/>
  <c r="BA37" i="30"/>
  <c r="AS37" i="30"/>
  <c r="AR37" i="30"/>
  <c r="AM37" i="30"/>
  <c r="AL37" i="30"/>
  <c r="AJ37" i="30"/>
  <c r="AK37" i="30" s="1"/>
  <c r="BC38" i="30"/>
  <c r="DF36" i="30"/>
  <c r="DE36" i="30"/>
  <c r="CZ36" i="30"/>
  <c r="CY36" i="30"/>
  <c r="CX36" i="30"/>
  <c r="CW36" i="30"/>
  <c r="CU36" i="30"/>
  <c r="CS36" i="30"/>
  <c r="CP36" i="30"/>
  <c r="CN36" i="30"/>
  <c r="CM36" i="30"/>
  <c r="CL36" i="30"/>
  <c r="CK36" i="30"/>
  <c r="CI36" i="30"/>
  <c r="CG36" i="30"/>
  <c r="CD36" i="30"/>
  <c r="CB36" i="30"/>
  <c r="CA36" i="30"/>
  <c r="BZ36" i="30"/>
  <c r="BY36" i="30"/>
  <c r="BU36" i="30"/>
  <c r="BP36" i="30"/>
  <c r="BO36" i="30"/>
  <c r="BN36" i="30"/>
  <c r="BM36" i="30"/>
  <c r="BI36" i="30"/>
  <c r="BB36" i="30"/>
  <c r="BA36" i="30"/>
  <c r="AS36" i="30"/>
  <c r="AR36" i="30"/>
  <c r="AM36" i="30"/>
  <c r="AL36" i="30"/>
  <c r="AJ36" i="30"/>
  <c r="AK36" i="30" s="1"/>
  <c r="AE36" i="30"/>
  <c r="BC37" i="30"/>
  <c r="AW36" i="30"/>
  <c r="DE35" i="30"/>
  <c r="CZ35" i="30"/>
  <c r="CY35" i="30"/>
  <c r="CX35" i="30"/>
  <c r="CW35" i="30"/>
  <c r="CS35" i="30"/>
  <c r="CN35" i="30"/>
  <c r="CM35" i="30"/>
  <c r="CL35" i="30"/>
  <c r="CK35" i="30"/>
  <c r="CI35" i="30"/>
  <c r="CG35" i="30"/>
  <c r="CD35" i="30"/>
  <c r="CB35" i="30"/>
  <c r="CA35" i="30"/>
  <c r="BZ35" i="30"/>
  <c r="BY35" i="30"/>
  <c r="BU35" i="30"/>
  <c r="BP35" i="30"/>
  <c r="BO35" i="30"/>
  <c r="BN35" i="30"/>
  <c r="BM35" i="30"/>
  <c r="BI35" i="30"/>
  <c r="BB35" i="30"/>
  <c r="BA35" i="30"/>
  <c r="AS35" i="30"/>
  <c r="AR35" i="30"/>
  <c r="AM35" i="30"/>
  <c r="AL35" i="30"/>
  <c r="AJ35" i="30"/>
  <c r="AK35" i="30" s="1"/>
  <c r="BC36" i="30"/>
  <c r="AS34" i="30"/>
  <c r="AR34" i="30"/>
  <c r="AM34" i="30"/>
  <c r="AL34" i="30"/>
  <c r="AJ34" i="30"/>
  <c r="AK34" i="30" s="1"/>
  <c r="AF34" i="30"/>
  <c r="H34" i="30"/>
  <c r="I34" i="30" s="1"/>
  <c r="BC35" i="30"/>
  <c r="AE34" i="30"/>
  <c r="AG34" i="30" s="1"/>
  <c r="AB29" i="30"/>
  <c r="H183" i="29"/>
  <c r="G183" i="29"/>
  <c r="F183" i="29"/>
  <c r="EA64" i="29" s="1"/>
  <c r="C183" i="29"/>
  <c r="BW183" i="29" s="1"/>
  <c r="H182" i="29"/>
  <c r="G182" i="29"/>
  <c r="F182" i="29"/>
  <c r="EA63" i="29" s="1"/>
  <c r="C182" i="29"/>
  <c r="S182" i="29" s="1"/>
  <c r="S181" i="29"/>
  <c r="H181" i="29"/>
  <c r="G181" i="29"/>
  <c r="F181" i="29"/>
  <c r="C181" i="29"/>
  <c r="H180" i="29"/>
  <c r="G180" i="29"/>
  <c r="F180" i="29"/>
  <c r="C180" i="29"/>
  <c r="H179" i="29"/>
  <c r="G179" i="29"/>
  <c r="F179" i="29"/>
  <c r="C179" i="29"/>
  <c r="BW179" i="29" s="1"/>
  <c r="BW178" i="29"/>
  <c r="M178" i="29"/>
  <c r="K178" i="29"/>
  <c r="H178" i="29"/>
  <c r="G178" i="29"/>
  <c r="F178" i="29"/>
  <c r="EA59" i="29" s="1"/>
  <c r="C178" i="29"/>
  <c r="S178" i="29" s="1"/>
  <c r="BW177" i="29"/>
  <c r="S177" i="29"/>
  <c r="M177" i="29"/>
  <c r="K177" i="29"/>
  <c r="H177" i="29"/>
  <c r="G177" i="29"/>
  <c r="F177" i="29"/>
  <c r="EA58" i="29" s="1"/>
  <c r="C177" i="29"/>
  <c r="S176" i="29"/>
  <c r="H176" i="29"/>
  <c r="G176" i="29"/>
  <c r="F176" i="29"/>
  <c r="C176" i="29"/>
  <c r="H175" i="29"/>
  <c r="G175" i="29"/>
  <c r="F175" i="29"/>
  <c r="C175" i="29"/>
  <c r="BW175" i="29" s="1"/>
  <c r="BW174" i="29"/>
  <c r="M174" i="29"/>
  <c r="K174" i="29"/>
  <c r="H174" i="29"/>
  <c r="G174" i="29"/>
  <c r="F174" i="29"/>
  <c r="EA55" i="29" s="1"/>
  <c r="C174" i="29"/>
  <c r="S174" i="29" s="1"/>
  <c r="BW173" i="29"/>
  <c r="S173" i="29"/>
  <c r="M173" i="29"/>
  <c r="K173" i="29"/>
  <c r="H173" i="29"/>
  <c r="G173" i="29"/>
  <c r="F173" i="29"/>
  <c r="EA54" i="29" s="1"/>
  <c r="C173" i="29"/>
  <c r="S172" i="29"/>
  <c r="I172" i="29"/>
  <c r="Q172" i="29" s="1"/>
  <c r="H172" i="29"/>
  <c r="G172" i="29"/>
  <c r="F172" i="29"/>
  <c r="C172" i="29"/>
  <c r="H171" i="29"/>
  <c r="G171" i="29"/>
  <c r="F171" i="29"/>
  <c r="C171" i="29"/>
  <c r="BW170" i="29"/>
  <c r="M170" i="29"/>
  <c r="K170" i="29"/>
  <c r="H170" i="29"/>
  <c r="G170" i="29"/>
  <c r="F170" i="29"/>
  <c r="C170" i="29"/>
  <c r="S170" i="29" s="1"/>
  <c r="BW169" i="29"/>
  <c r="S169" i="29"/>
  <c r="EI50" i="29" s="1"/>
  <c r="M169" i="29"/>
  <c r="K169" i="29"/>
  <c r="H169" i="29"/>
  <c r="G169" i="29"/>
  <c r="F169" i="29"/>
  <c r="C169" i="29"/>
  <c r="S168" i="29"/>
  <c r="H168" i="29"/>
  <c r="G168" i="29"/>
  <c r="F168" i="29"/>
  <c r="C168" i="29"/>
  <c r="H167" i="29"/>
  <c r="G167" i="29"/>
  <c r="F167" i="29"/>
  <c r="C167" i="29"/>
  <c r="BW166" i="29"/>
  <c r="M166" i="29"/>
  <c r="K166" i="29"/>
  <c r="H166" i="29"/>
  <c r="G166" i="29"/>
  <c r="F166" i="29"/>
  <c r="C166" i="29"/>
  <c r="S166" i="29" s="1"/>
  <c r="BW165" i="29"/>
  <c r="S165" i="29"/>
  <c r="EI46" i="29" s="1"/>
  <c r="K165" i="29"/>
  <c r="H165" i="29"/>
  <c r="G165" i="29"/>
  <c r="I165" i="29" s="1"/>
  <c r="J165" i="29" s="1"/>
  <c r="F165" i="29"/>
  <c r="EA46" i="29" s="1"/>
  <c r="C165" i="29"/>
  <c r="H164" i="29"/>
  <c r="G164" i="29"/>
  <c r="I164" i="29" s="1"/>
  <c r="F164" i="29"/>
  <c r="EA45" i="29" s="1"/>
  <c r="C164" i="29"/>
  <c r="M163" i="29"/>
  <c r="H163" i="29"/>
  <c r="G163" i="29"/>
  <c r="F163" i="29"/>
  <c r="C163" i="29"/>
  <c r="BW162" i="29"/>
  <c r="M162" i="29"/>
  <c r="K162" i="29"/>
  <c r="H162" i="29"/>
  <c r="G162" i="29"/>
  <c r="I162" i="29" s="1"/>
  <c r="F162" i="29"/>
  <c r="EA43" i="29" s="1"/>
  <c r="C162" i="29"/>
  <c r="S162" i="29" s="1"/>
  <c r="M161" i="29"/>
  <c r="H161" i="29"/>
  <c r="G161" i="29"/>
  <c r="F161" i="29"/>
  <c r="C161" i="29"/>
  <c r="BW160" i="29"/>
  <c r="S160" i="29"/>
  <c r="EI41" i="29" s="1"/>
  <c r="M160" i="29"/>
  <c r="K160" i="29"/>
  <c r="H160" i="29"/>
  <c r="G160" i="29"/>
  <c r="F160" i="29"/>
  <c r="C160" i="29"/>
  <c r="H159" i="29"/>
  <c r="G159" i="29"/>
  <c r="F159" i="29"/>
  <c r="C159" i="29"/>
  <c r="M158" i="29"/>
  <c r="H158" i="29"/>
  <c r="G158" i="29"/>
  <c r="F158" i="29"/>
  <c r="C158" i="29"/>
  <c r="BW158" i="29" s="1"/>
  <c r="BW157" i="29"/>
  <c r="M157" i="29"/>
  <c r="K157" i="29"/>
  <c r="H157" i="29"/>
  <c r="G157" i="29"/>
  <c r="F157" i="29"/>
  <c r="C157" i="29"/>
  <c r="S157" i="29" s="1"/>
  <c r="BW156" i="29"/>
  <c r="S156" i="29"/>
  <c r="EI37" i="29" s="1"/>
  <c r="M156" i="29"/>
  <c r="K156" i="29"/>
  <c r="H156" i="29"/>
  <c r="G156" i="29"/>
  <c r="F156" i="29"/>
  <c r="C156" i="29"/>
  <c r="H155" i="29"/>
  <c r="G155" i="29"/>
  <c r="F155" i="29"/>
  <c r="C155" i="29"/>
  <c r="M154" i="29"/>
  <c r="H154" i="29"/>
  <c r="G154" i="29"/>
  <c r="F154" i="29"/>
  <c r="C154" i="29"/>
  <c r="BW154" i="29" s="1"/>
  <c r="BW153" i="29"/>
  <c r="M153" i="29"/>
  <c r="K153" i="29"/>
  <c r="H153" i="29"/>
  <c r="G153" i="29"/>
  <c r="F153" i="29"/>
  <c r="C153" i="29"/>
  <c r="S153" i="29" s="1"/>
  <c r="BW152" i="29"/>
  <c r="S152" i="29"/>
  <c r="DW63" i="29" s="1"/>
  <c r="M152" i="29"/>
  <c r="K152" i="29"/>
  <c r="H152" i="29"/>
  <c r="G152" i="29"/>
  <c r="F152" i="29"/>
  <c r="C152" i="29"/>
  <c r="H151" i="29"/>
  <c r="G151" i="29"/>
  <c r="F151" i="29"/>
  <c r="C151" i="29"/>
  <c r="M150" i="29"/>
  <c r="H150" i="29"/>
  <c r="G150" i="29"/>
  <c r="F150" i="29"/>
  <c r="C150" i="29"/>
  <c r="BW150" i="29" s="1"/>
  <c r="BW149" i="29"/>
  <c r="M149" i="29"/>
  <c r="K149" i="29"/>
  <c r="H149" i="29"/>
  <c r="G149" i="29"/>
  <c r="F149" i="29"/>
  <c r="C149" i="29"/>
  <c r="S149" i="29" s="1"/>
  <c r="BW148" i="29"/>
  <c r="S148" i="29"/>
  <c r="DW59" i="29" s="1"/>
  <c r="M148" i="29"/>
  <c r="K148" i="29"/>
  <c r="H148" i="29"/>
  <c r="G148" i="29"/>
  <c r="F148" i="29"/>
  <c r="C148" i="29"/>
  <c r="S147" i="29"/>
  <c r="I147" i="29"/>
  <c r="O147" i="29" s="1"/>
  <c r="DR58" i="29" s="1"/>
  <c r="H147" i="29"/>
  <c r="G147" i="29"/>
  <c r="F147" i="29"/>
  <c r="C147" i="29"/>
  <c r="H146" i="29"/>
  <c r="G146" i="29"/>
  <c r="I146" i="29" s="1"/>
  <c r="DP57" i="29" s="1"/>
  <c r="F146" i="29"/>
  <c r="C146" i="29"/>
  <c r="BW145" i="29"/>
  <c r="M145" i="29"/>
  <c r="K145" i="29"/>
  <c r="H145" i="29"/>
  <c r="G145" i="29"/>
  <c r="F145" i="29"/>
  <c r="C145" i="29"/>
  <c r="S145" i="29" s="1"/>
  <c r="BW144" i="29"/>
  <c r="S144" i="29"/>
  <c r="M144" i="29"/>
  <c r="K144" i="29"/>
  <c r="H144" i="29"/>
  <c r="G144" i="29"/>
  <c r="F144" i="29"/>
  <c r="C144" i="29"/>
  <c r="H143" i="29"/>
  <c r="G143" i="29"/>
  <c r="F143" i="29"/>
  <c r="C143" i="29"/>
  <c r="M142" i="29"/>
  <c r="H142" i="29"/>
  <c r="G142" i="29"/>
  <c r="F142" i="29"/>
  <c r="C142" i="29"/>
  <c r="BW142" i="29" s="1"/>
  <c r="BW141" i="29"/>
  <c r="M141" i="29"/>
  <c r="K141" i="29"/>
  <c r="H141" i="29"/>
  <c r="G141" i="29"/>
  <c r="F141" i="29"/>
  <c r="C141" i="29"/>
  <c r="S141" i="29" s="1"/>
  <c r="BW140" i="29"/>
  <c r="S140" i="29"/>
  <c r="K140" i="29"/>
  <c r="H140" i="29"/>
  <c r="G140" i="29"/>
  <c r="F140" i="29"/>
  <c r="C140" i="29"/>
  <c r="H139" i="29"/>
  <c r="G139" i="29"/>
  <c r="F139" i="29"/>
  <c r="C139" i="29"/>
  <c r="M138" i="29"/>
  <c r="H138" i="29"/>
  <c r="G138" i="29"/>
  <c r="F138" i="29"/>
  <c r="C138" i="29"/>
  <c r="BW138" i="29" s="1"/>
  <c r="BW137" i="29"/>
  <c r="M137" i="29"/>
  <c r="K137" i="29"/>
  <c r="H137" i="29"/>
  <c r="G137" i="29"/>
  <c r="F137" i="29"/>
  <c r="C137" i="29"/>
  <c r="S137" i="29" s="1"/>
  <c r="BW136" i="29"/>
  <c r="S136" i="29"/>
  <c r="DW47" i="29" s="1"/>
  <c r="K136" i="29"/>
  <c r="H136" i="29"/>
  <c r="G136" i="29"/>
  <c r="I136" i="29" s="1"/>
  <c r="F136" i="29"/>
  <c r="DO47" i="29" s="1"/>
  <c r="C136" i="29"/>
  <c r="H135" i="29"/>
  <c r="G135" i="29"/>
  <c r="I135" i="29" s="1"/>
  <c r="F135" i="29"/>
  <c r="DO46" i="29" s="1"/>
  <c r="C135" i="29"/>
  <c r="M134" i="29"/>
  <c r="H134" i="29"/>
  <c r="G134" i="29"/>
  <c r="F134" i="29"/>
  <c r="C134" i="29"/>
  <c r="BW134" i="29" s="1"/>
  <c r="BW133" i="29"/>
  <c r="M133" i="29"/>
  <c r="K133" i="29"/>
  <c r="H133" i="29"/>
  <c r="G133" i="29"/>
  <c r="I133" i="29" s="1"/>
  <c r="F133" i="29"/>
  <c r="DO44" i="29" s="1"/>
  <c r="C133" i="29"/>
  <c r="S133" i="29" s="1"/>
  <c r="BW132" i="29"/>
  <c r="S132" i="29"/>
  <c r="K132" i="29"/>
  <c r="H132" i="29"/>
  <c r="G132" i="29"/>
  <c r="I132" i="29" s="1"/>
  <c r="J132" i="29" s="1"/>
  <c r="F132" i="29"/>
  <c r="C132" i="29"/>
  <c r="H131" i="29"/>
  <c r="G131" i="29"/>
  <c r="I131" i="29" s="1"/>
  <c r="DP42" i="29" s="1"/>
  <c r="F131" i="29"/>
  <c r="C131" i="29"/>
  <c r="M130" i="29"/>
  <c r="H130" i="29"/>
  <c r="G130" i="29"/>
  <c r="F130" i="29"/>
  <c r="DO41" i="29" s="1"/>
  <c r="C130" i="29"/>
  <c r="BW130" i="29" s="1"/>
  <c r="BW129" i="29"/>
  <c r="M129" i="29"/>
  <c r="K129" i="29"/>
  <c r="H129" i="29"/>
  <c r="G129" i="29"/>
  <c r="I129" i="29" s="1"/>
  <c r="F129" i="29"/>
  <c r="C129" i="29"/>
  <c r="S129" i="29" s="1"/>
  <c r="DW40" i="29" s="1"/>
  <c r="BW128" i="29"/>
  <c r="S128" i="29"/>
  <c r="K128" i="29"/>
  <c r="H128" i="29"/>
  <c r="G128" i="29"/>
  <c r="F128" i="29"/>
  <c r="C128" i="29"/>
  <c r="H127" i="29"/>
  <c r="G127" i="29"/>
  <c r="F127" i="29"/>
  <c r="C127" i="29"/>
  <c r="M126" i="29"/>
  <c r="H126" i="29"/>
  <c r="G126" i="29"/>
  <c r="F126" i="29"/>
  <c r="C126" i="29"/>
  <c r="BW126" i="29" s="1"/>
  <c r="BW125" i="29"/>
  <c r="M125" i="29"/>
  <c r="K125" i="29"/>
  <c r="H125" i="29"/>
  <c r="G125" i="29"/>
  <c r="F125" i="29"/>
  <c r="C125" i="29"/>
  <c r="S125" i="29" s="1"/>
  <c r="BW124" i="29"/>
  <c r="S124" i="29"/>
  <c r="K124" i="29"/>
  <c r="H124" i="29"/>
  <c r="G124" i="29"/>
  <c r="I124" i="29" s="1"/>
  <c r="J124" i="29" s="1"/>
  <c r="F124" i="29"/>
  <c r="C124" i="29"/>
  <c r="H123" i="29"/>
  <c r="G123" i="29"/>
  <c r="I123" i="29" s="1"/>
  <c r="DD64" i="29" s="1"/>
  <c r="F123" i="29"/>
  <c r="C123" i="29"/>
  <c r="M122" i="29"/>
  <c r="H122" i="29"/>
  <c r="G122" i="29"/>
  <c r="F122" i="29"/>
  <c r="C122" i="29"/>
  <c r="BW122" i="29" s="1"/>
  <c r="BW121" i="29"/>
  <c r="M121" i="29"/>
  <c r="K121" i="29"/>
  <c r="H121" i="29"/>
  <c r="G121" i="29"/>
  <c r="I121" i="29" s="1"/>
  <c r="DD62" i="29" s="1"/>
  <c r="F121" i="29"/>
  <c r="C121" i="29"/>
  <c r="S121" i="29" s="1"/>
  <c r="BW120" i="29"/>
  <c r="S120" i="29"/>
  <c r="DK61" i="29" s="1"/>
  <c r="K120" i="29"/>
  <c r="H120" i="29"/>
  <c r="G120" i="29"/>
  <c r="I120" i="29" s="1"/>
  <c r="O120" i="29" s="1"/>
  <c r="DF61" i="29" s="1"/>
  <c r="F120" i="29"/>
  <c r="DC61" i="29" s="1"/>
  <c r="C120" i="29"/>
  <c r="S119" i="29"/>
  <c r="H119" i="29"/>
  <c r="G119" i="29"/>
  <c r="I119" i="29" s="1"/>
  <c r="F119" i="29"/>
  <c r="C119" i="29"/>
  <c r="H118" i="29"/>
  <c r="G118" i="29"/>
  <c r="I118" i="29" s="1"/>
  <c r="DD59" i="29" s="1"/>
  <c r="F118" i="29"/>
  <c r="C118" i="29"/>
  <c r="BW117" i="29"/>
  <c r="M117" i="29"/>
  <c r="K117" i="29"/>
  <c r="H117" i="29"/>
  <c r="G117" i="29"/>
  <c r="F117" i="29"/>
  <c r="DC58" i="29" s="1"/>
  <c r="C117" i="29"/>
  <c r="S117" i="29" s="1"/>
  <c r="BW116" i="29"/>
  <c r="S116" i="29"/>
  <c r="K116" i="29"/>
  <c r="H116" i="29"/>
  <c r="G116" i="29"/>
  <c r="I116" i="29" s="1"/>
  <c r="J116" i="29" s="1"/>
  <c r="F116" i="29"/>
  <c r="C116" i="29"/>
  <c r="S115" i="29"/>
  <c r="H115" i="29"/>
  <c r="G115" i="29"/>
  <c r="I115" i="29" s="1"/>
  <c r="F115" i="29"/>
  <c r="DC56" i="29" s="1"/>
  <c r="C115" i="29"/>
  <c r="BK114" i="29"/>
  <c r="BJ114" i="29"/>
  <c r="BI114" i="29"/>
  <c r="BH114" i="29"/>
  <c r="H114" i="29"/>
  <c r="G114" i="29"/>
  <c r="I114" i="29" s="1"/>
  <c r="F114" i="29"/>
  <c r="DC55" i="29" s="1"/>
  <c r="C114" i="29"/>
  <c r="BK113" i="29"/>
  <c r="BJ113" i="29"/>
  <c r="BI113" i="29"/>
  <c r="BH113" i="29"/>
  <c r="K113" i="29"/>
  <c r="H113" i="29"/>
  <c r="G113" i="29"/>
  <c r="F113" i="29"/>
  <c r="C113" i="29"/>
  <c r="S113" i="29" s="1"/>
  <c r="BK112" i="29"/>
  <c r="BJ112" i="29"/>
  <c r="BH112" i="29"/>
  <c r="BI112" i="29" s="1"/>
  <c r="H112" i="29"/>
  <c r="G112" i="29"/>
  <c r="I112" i="29" s="1"/>
  <c r="DD53" i="29" s="1"/>
  <c r="F112" i="29"/>
  <c r="DC53" i="29" s="1"/>
  <c r="C112" i="29"/>
  <c r="BK111" i="29"/>
  <c r="BJ111" i="29"/>
  <c r="BI111" i="29"/>
  <c r="BH111" i="29"/>
  <c r="S111" i="29"/>
  <c r="M111" i="29"/>
  <c r="H111" i="29"/>
  <c r="G111" i="29"/>
  <c r="F111" i="29"/>
  <c r="C111" i="29"/>
  <c r="BW111" i="29" s="1"/>
  <c r="BW110" i="29"/>
  <c r="BK110" i="29"/>
  <c r="BJ110" i="29"/>
  <c r="BH110" i="29"/>
  <c r="BI110" i="29" s="1"/>
  <c r="K110" i="29"/>
  <c r="H110" i="29"/>
  <c r="G110" i="29"/>
  <c r="I110" i="29" s="1"/>
  <c r="F110" i="29"/>
  <c r="C110" i="29"/>
  <c r="S110" i="29" s="1"/>
  <c r="DK51" i="29" s="1"/>
  <c r="BK109" i="29"/>
  <c r="BJ109" i="29"/>
  <c r="BI109" i="29"/>
  <c r="BH109" i="29"/>
  <c r="S109" i="29"/>
  <c r="M109" i="29"/>
  <c r="H109" i="29"/>
  <c r="G109" i="29"/>
  <c r="F109" i="29"/>
  <c r="C109" i="29"/>
  <c r="BK108" i="29"/>
  <c r="BJ108" i="29"/>
  <c r="BH108" i="29"/>
  <c r="BI108" i="29" s="1"/>
  <c r="H108" i="29"/>
  <c r="G108" i="29"/>
  <c r="I108" i="29" s="1"/>
  <c r="DD49" i="29" s="1"/>
  <c r="F108" i="29"/>
  <c r="DC49" i="29" s="1"/>
  <c r="C108" i="29"/>
  <c r="BW107" i="29"/>
  <c r="BK107" i="29"/>
  <c r="BJ107" i="29"/>
  <c r="BI107" i="29"/>
  <c r="BH107" i="29"/>
  <c r="S107" i="29"/>
  <c r="M107" i="29"/>
  <c r="K107" i="29"/>
  <c r="H107" i="29"/>
  <c r="G107" i="29"/>
  <c r="I107" i="29" s="1"/>
  <c r="F107" i="29"/>
  <c r="DC48" i="29" s="1"/>
  <c r="C107" i="29"/>
  <c r="BW106" i="29"/>
  <c r="BK106" i="29"/>
  <c r="BJ106" i="29"/>
  <c r="BH106" i="29"/>
  <c r="BI106" i="29" s="1"/>
  <c r="K106" i="29"/>
  <c r="H106" i="29"/>
  <c r="G106" i="29"/>
  <c r="I106" i="29" s="1"/>
  <c r="DD47" i="29" s="1"/>
  <c r="F106" i="29"/>
  <c r="C106" i="29"/>
  <c r="S106" i="29" s="1"/>
  <c r="BK105" i="29"/>
  <c r="BJ105" i="29"/>
  <c r="BI105" i="29"/>
  <c r="BH105" i="29"/>
  <c r="S105" i="29"/>
  <c r="H105" i="29"/>
  <c r="G105" i="29"/>
  <c r="F105" i="29"/>
  <c r="C105" i="29"/>
  <c r="BK104" i="29"/>
  <c r="BJ104" i="29"/>
  <c r="BH104" i="29"/>
  <c r="BI104" i="29" s="1"/>
  <c r="H104" i="29"/>
  <c r="G104" i="29"/>
  <c r="I104" i="29" s="1"/>
  <c r="DD45" i="29" s="1"/>
  <c r="F104" i="29"/>
  <c r="C104" i="29"/>
  <c r="BW103" i="29"/>
  <c r="BK103" i="29"/>
  <c r="BJ103" i="29"/>
  <c r="BI103" i="29"/>
  <c r="BH103" i="29"/>
  <c r="S103" i="29"/>
  <c r="DK44" i="29" s="1"/>
  <c r="M103" i="29"/>
  <c r="K103" i="29"/>
  <c r="H103" i="29"/>
  <c r="G103" i="29"/>
  <c r="I103" i="29" s="1"/>
  <c r="DD44" i="29" s="1"/>
  <c r="F103" i="29"/>
  <c r="C103" i="29"/>
  <c r="BW102" i="29"/>
  <c r="BK102" i="29"/>
  <c r="BJ102" i="29"/>
  <c r="BH102" i="29"/>
  <c r="BI102" i="29" s="1"/>
  <c r="S102" i="29"/>
  <c r="K102" i="29"/>
  <c r="H102" i="29"/>
  <c r="G102" i="29"/>
  <c r="I102" i="29" s="1"/>
  <c r="F102" i="29"/>
  <c r="C102" i="29"/>
  <c r="BK101" i="29"/>
  <c r="BJ101" i="29"/>
  <c r="BI101" i="29"/>
  <c r="BH101" i="29"/>
  <c r="H101" i="29"/>
  <c r="G101" i="29"/>
  <c r="I101" i="29" s="1"/>
  <c r="F101" i="29"/>
  <c r="C101" i="29"/>
  <c r="BK100" i="29"/>
  <c r="BJ100" i="29"/>
  <c r="BI100" i="29"/>
  <c r="BH100" i="29"/>
  <c r="M100" i="29"/>
  <c r="H100" i="29"/>
  <c r="G100" i="29"/>
  <c r="F100" i="29"/>
  <c r="DC41" i="29" s="1"/>
  <c r="C100" i="29"/>
  <c r="BW99" i="29"/>
  <c r="BK99" i="29"/>
  <c r="BJ99" i="29"/>
  <c r="BH99" i="29"/>
  <c r="BI99" i="29" s="1"/>
  <c r="S99" i="29"/>
  <c r="M99" i="29"/>
  <c r="K99" i="29"/>
  <c r="H99" i="29"/>
  <c r="G99" i="29"/>
  <c r="I99" i="29" s="1"/>
  <c r="N99" i="29" s="1"/>
  <c r="BC99" i="29" s="1"/>
  <c r="F99" i="29"/>
  <c r="C99" i="29"/>
  <c r="BK98" i="29"/>
  <c r="BJ98" i="29"/>
  <c r="BH98" i="29"/>
  <c r="BI98" i="29" s="1"/>
  <c r="H98" i="29"/>
  <c r="G98" i="29"/>
  <c r="F98" i="29"/>
  <c r="C98" i="29"/>
  <c r="BK97" i="29"/>
  <c r="BJ97" i="29"/>
  <c r="BI97" i="29"/>
  <c r="BH97" i="29"/>
  <c r="H97" i="29"/>
  <c r="G97" i="29"/>
  <c r="F97" i="29"/>
  <c r="C97" i="29"/>
  <c r="S97" i="29" s="1"/>
  <c r="BW96" i="29"/>
  <c r="BK96" i="29"/>
  <c r="BJ96" i="29"/>
  <c r="BI96" i="29"/>
  <c r="BH96" i="29"/>
  <c r="S96" i="29"/>
  <c r="M96" i="29"/>
  <c r="K96" i="29"/>
  <c r="H96" i="29"/>
  <c r="G96" i="29"/>
  <c r="F96" i="29"/>
  <c r="C96" i="29"/>
  <c r="BW95" i="29"/>
  <c r="BK95" i="29"/>
  <c r="BJ95" i="29"/>
  <c r="BH95" i="29"/>
  <c r="BI95" i="29" s="1"/>
  <c r="S95" i="29"/>
  <c r="DK36" i="29" s="1"/>
  <c r="K95" i="29"/>
  <c r="H95" i="29"/>
  <c r="G95" i="29"/>
  <c r="I95" i="29" s="1"/>
  <c r="F95" i="29"/>
  <c r="DC36" i="29" s="1"/>
  <c r="C95" i="29"/>
  <c r="BK94" i="29"/>
  <c r="BJ94" i="29"/>
  <c r="BI94" i="29"/>
  <c r="BH94" i="29"/>
  <c r="S94" i="29"/>
  <c r="H94" i="29"/>
  <c r="G94" i="29"/>
  <c r="I94" i="29" s="1"/>
  <c r="F94" i="29"/>
  <c r="C94" i="29"/>
  <c r="BK93" i="29"/>
  <c r="BJ93" i="29"/>
  <c r="BI93" i="29"/>
  <c r="BH93" i="29"/>
  <c r="H93" i="29"/>
  <c r="G93" i="29"/>
  <c r="I93" i="29" s="1"/>
  <c r="CR64" i="29" s="1"/>
  <c r="F93" i="29"/>
  <c r="CQ64" i="29" s="1"/>
  <c r="C93" i="29"/>
  <c r="BW93" i="29" s="1"/>
  <c r="BW92" i="29"/>
  <c r="BK92" i="29"/>
  <c r="BJ92" i="29"/>
  <c r="BI92" i="29"/>
  <c r="BH92" i="29"/>
  <c r="S92" i="29"/>
  <c r="CY63" i="29" s="1"/>
  <c r="M92" i="29"/>
  <c r="K92" i="29"/>
  <c r="H92" i="29"/>
  <c r="G92" i="29"/>
  <c r="I92" i="29" s="1"/>
  <c r="CR63" i="29" s="1"/>
  <c r="F92" i="29"/>
  <c r="CQ63" i="29" s="1"/>
  <c r="C92" i="29"/>
  <c r="BW91" i="29"/>
  <c r="BK91" i="29"/>
  <c r="BJ91" i="29"/>
  <c r="BH91" i="29"/>
  <c r="BI91" i="29" s="1"/>
  <c r="S91" i="29"/>
  <c r="CY62" i="29" s="1"/>
  <c r="K91" i="29"/>
  <c r="H91" i="29"/>
  <c r="G91" i="29"/>
  <c r="I91" i="29" s="1"/>
  <c r="CR62" i="29" s="1"/>
  <c r="F91" i="29"/>
  <c r="C91" i="29"/>
  <c r="BK90" i="29"/>
  <c r="BJ90" i="29"/>
  <c r="BI90" i="29"/>
  <c r="BH90" i="29"/>
  <c r="S90" i="29"/>
  <c r="CY61" i="29" s="1"/>
  <c r="H90" i="29"/>
  <c r="G90" i="29"/>
  <c r="I90" i="29" s="1"/>
  <c r="F90" i="29"/>
  <c r="CQ61" i="29" s="1"/>
  <c r="C90" i="29"/>
  <c r="BK89" i="29"/>
  <c r="BJ89" i="29"/>
  <c r="BI89" i="29"/>
  <c r="BH89" i="29"/>
  <c r="H89" i="29"/>
  <c r="G89" i="29"/>
  <c r="I89" i="29" s="1"/>
  <c r="CR60" i="29" s="1"/>
  <c r="F89" i="29"/>
  <c r="CQ60" i="29" s="1"/>
  <c r="C89" i="29"/>
  <c r="BW89" i="29" s="1"/>
  <c r="BW88" i="29"/>
  <c r="BK88" i="29"/>
  <c r="BJ88" i="29"/>
  <c r="BI88" i="29"/>
  <c r="BH88" i="29"/>
  <c r="S88" i="29"/>
  <c r="CY59" i="29" s="1"/>
  <c r="M88" i="29"/>
  <c r="K88" i="29"/>
  <c r="H88" i="29"/>
  <c r="G88" i="29"/>
  <c r="I88" i="29" s="1"/>
  <c r="CR59" i="29" s="1"/>
  <c r="F88" i="29"/>
  <c r="CQ59" i="29" s="1"/>
  <c r="C88" i="29"/>
  <c r="BW87" i="29"/>
  <c r="BK87" i="29"/>
  <c r="BJ87" i="29"/>
  <c r="BH87" i="29"/>
  <c r="BI87" i="29" s="1"/>
  <c r="S87" i="29"/>
  <c r="K87" i="29"/>
  <c r="H87" i="29"/>
  <c r="G87" i="29"/>
  <c r="F87" i="29"/>
  <c r="C87" i="29"/>
  <c r="BK86" i="29"/>
  <c r="BJ86" i="29"/>
  <c r="BI86" i="29"/>
  <c r="BH86" i="29"/>
  <c r="S86" i="29"/>
  <c r="CY57" i="29" s="1"/>
  <c r="H86" i="29"/>
  <c r="G86" i="29"/>
  <c r="I86" i="29" s="1"/>
  <c r="F86" i="29"/>
  <c r="CQ57" i="29" s="1"/>
  <c r="C86" i="29"/>
  <c r="BK85" i="29"/>
  <c r="BJ85" i="29"/>
  <c r="BI85" i="29"/>
  <c r="BH85" i="29"/>
  <c r="H85" i="29"/>
  <c r="G85" i="29"/>
  <c r="I85" i="29" s="1"/>
  <c r="CR56" i="29" s="1"/>
  <c r="F85" i="29"/>
  <c r="CQ56" i="29" s="1"/>
  <c r="C85" i="29"/>
  <c r="BW84" i="29"/>
  <c r="BK84" i="29"/>
  <c r="BJ84" i="29"/>
  <c r="BI84" i="29"/>
  <c r="BH84" i="29"/>
  <c r="S84" i="29"/>
  <c r="CY55" i="29" s="1"/>
  <c r="M84" i="29"/>
  <c r="K84" i="29"/>
  <c r="H84" i="29"/>
  <c r="G84" i="29"/>
  <c r="F84" i="29"/>
  <c r="CQ55" i="29" s="1"/>
  <c r="C84" i="29"/>
  <c r="BW83" i="29"/>
  <c r="BK83" i="29"/>
  <c r="BJ83" i="29"/>
  <c r="BH83" i="29"/>
  <c r="BI83" i="29" s="1"/>
  <c r="S83" i="29"/>
  <c r="CY54" i="29" s="1"/>
  <c r="K83" i="29"/>
  <c r="H83" i="29"/>
  <c r="G83" i="29"/>
  <c r="I83" i="29" s="1"/>
  <c r="CR54" i="29" s="1"/>
  <c r="F83" i="29"/>
  <c r="CQ54" i="29" s="1"/>
  <c r="C83" i="29"/>
  <c r="BK82" i="29"/>
  <c r="BJ82" i="29"/>
  <c r="BI82" i="29"/>
  <c r="BH82" i="29"/>
  <c r="S82" i="29"/>
  <c r="CY53" i="29" s="1"/>
  <c r="H82" i="29"/>
  <c r="G82" i="29"/>
  <c r="F82" i="29"/>
  <c r="C82" i="29"/>
  <c r="BK81" i="29"/>
  <c r="BJ81" i="29"/>
  <c r="BI81" i="29"/>
  <c r="BH81" i="29"/>
  <c r="H81" i="29"/>
  <c r="G81" i="29"/>
  <c r="F81" i="29"/>
  <c r="C81" i="29"/>
  <c r="BW80" i="29"/>
  <c r="BK80" i="29"/>
  <c r="BJ80" i="29"/>
  <c r="BI80" i="29"/>
  <c r="BH80" i="29"/>
  <c r="S80" i="29"/>
  <c r="CY51" i="29" s="1"/>
  <c r="M80" i="29"/>
  <c r="K80" i="29"/>
  <c r="H80" i="29"/>
  <c r="G80" i="29"/>
  <c r="F80" i="29"/>
  <c r="C80" i="29"/>
  <c r="BW79" i="29"/>
  <c r="BK79" i="29"/>
  <c r="BJ79" i="29"/>
  <c r="BH79" i="29"/>
  <c r="BI79" i="29" s="1"/>
  <c r="S79" i="29"/>
  <c r="CY50" i="29" s="1"/>
  <c r="K79" i="29"/>
  <c r="H79" i="29"/>
  <c r="G79" i="29"/>
  <c r="I79" i="29" s="1"/>
  <c r="CR50" i="29" s="1"/>
  <c r="F79" i="29"/>
  <c r="CQ50" i="29" s="1"/>
  <c r="C79" i="29"/>
  <c r="BQ78" i="29"/>
  <c r="BP78" i="29"/>
  <c r="BK78" i="29"/>
  <c r="BJ78" i="29"/>
  <c r="BI78" i="29"/>
  <c r="BH78" i="29"/>
  <c r="S78" i="29"/>
  <c r="CY49" i="29" s="1"/>
  <c r="M78" i="29"/>
  <c r="K78" i="29"/>
  <c r="H78" i="29"/>
  <c r="G78" i="29"/>
  <c r="I78" i="29" s="1"/>
  <c r="CR49" i="29" s="1"/>
  <c r="F78" i="29"/>
  <c r="CQ49" i="29" s="1"/>
  <c r="C78" i="29"/>
  <c r="BW78" i="29" s="1"/>
  <c r="BQ77" i="29"/>
  <c r="BP77" i="29"/>
  <c r="BK77" i="29"/>
  <c r="BJ77" i="29"/>
  <c r="BI77" i="29"/>
  <c r="BH77" i="29"/>
  <c r="H77" i="29"/>
  <c r="G77" i="29"/>
  <c r="I77" i="29" s="1"/>
  <c r="CR48" i="29" s="1"/>
  <c r="F77" i="29"/>
  <c r="CQ48" i="29" s="1"/>
  <c r="C77" i="29"/>
  <c r="BQ76" i="29"/>
  <c r="BP76" i="29"/>
  <c r="BK76" i="29"/>
  <c r="BJ76" i="29"/>
  <c r="BI76" i="29"/>
  <c r="BH76" i="29"/>
  <c r="S76" i="29"/>
  <c r="CY47" i="29" s="1"/>
  <c r="H76" i="29"/>
  <c r="G76" i="29"/>
  <c r="F76" i="29"/>
  <c r="C76" i="29"/>
  <c r="BQ75" i="29"/>
  <c r="BP75" i="29"/>
  <c r="BK75" i="29"/>
  <c r="BJ75" i="29"/>
  <c r="BH75" i="29"/>
  <c r="BI75" i="29" s="1"/>
  <c r="S75" i="29"/>
  <c r="CY46" i="29" s="1"/>
  <c r="K75" i="29"/>
  <c r="H75" i="29"/>
  <c r="G75" i="29"/>
  <c r="I75" i="29" s="1"/>
  <c r="CR46" i="29" s="1"/>
  <c r="F75" i="29"/>
  <c r="C75" i="29"/>
  <c r="BW75" i="29" s="1"/>
  <c r="BQ74" i="29"/>
  <c r="BP74" i="29"/>
  <c r="BK74" i="29"/>
  <c r="BJ74" i="29"/>
  <c r="BI74" i="29"/>
  <c r="BH74" i="29"/>
  <c r="S74" i="29"/>
  <c r="CY45" i="29" s="1"/>
  <c r="M74" i="29"/>
  <c r="K74" i="29"/>
  <c r="H74" i="29"/>
  <c r="G74" i="29"/>
  <c r="F74" i="29"/>
  <c r="C74" i="29"/>
  <c r="BW74" i="29" s="1"/>
  <c r="BW73" i="29"/>
  <c r="BQ73" i="29"/>
  <c r="BP73" i="29"/>
  <c r="BK73" i="29"/>
  <c r="BJ73" i="29"/>
  <c r="BI73" i="29"/>
  <c r="BH73" i="29"/>
  <c r="H73" i="29"/>
  <c r="G73" i="29"/>
  <c r="I73" i="29" s="1"/>
  <c r="F73" i="29"/>
  <c r="C73" i="29"/>
  <c r="BQ72" i="29"/>
  <c r="BP72" i="29"/>
  <c r="BK72" i="29"/>
  <c r="BJ72" i="29"/>
  <c r="BI72" i="29"/>
  <c r="BH72" i="29"/>
  <c r="S72" i="29"/>
  <c r="H72" i="29"/>
  <c r="G72" i="29"/>
  <c r="I72" i="29" s="1"/>
  <c r="F72" i="29"/>
  <c r="CQ43" i="29" s="1"/>
  <c r="C72" i="29"/>
  <c r="BQ71" i="29"/>
  <c r="BP71" i="29"/>
  <c r="BK71" i="29"/>
  <c r="BJ71" i="29"/>
  <c r="BH71" i="29"/>
  <c r="BI71" i="29" s="1"/>
  <c r="S71" i="29"/>
  <c r="CY42" i="29" s="1"/>
  <c r="K71" i="29"/>
  <c r="H71" i="29"/>
  <c r="G71" i="29"/>
  <c r="I71" i="29" s="1"/>
  <c r="F71" i="29"/>
  <c r="C71" i="29"/>
  <c r="BW71" i="29" s="1"/>
  <c r="BQ70" i="29"/>
  <c r="BP70" i="29"/>
  <c r="BK70" i="29"/>
  <c r="BJ70" i="29"/>
  <c r="BI70" i="29"/>
  <c r="BH70" i="29"/>
  <c r="S70" i="29"/>
  <c r="CY41" i="29" s="1"/>
  <c r="M70" i="29"/>
  <c r="K70" i="29"/>
  <c r="H70" i="29"/>
  <c r="G70" i="29"/>
  <c r="I70" i="29" s="1"/>
  <c r="CR41" i="29" s="1"/>
  <c r="F70" i="29"/>
  <c r="CQ41" i="29" s="1"/>
  <c r="C70" i="29"/>
  <c r="BW70" i="29" s="1"/>
  <c r="BQ69" i="29"/>
  <c r="BP69" i="29"/>
  <c r="BK69" i="29"/>
  <c r="BJ69" i="29"/>
  <c r="BI69" i="29"/>
  <c r="BH69" i="29"/>
  <c r="H69" i="29"/>
  <c r="G69" i="29"/>
  <c r="F69" i="29"/>
  <c r="C69" i="29"/>
  <c r="BQ68" i="29"/>
  <c r="BP68" i="29"/>
  <c r="BK68" i="29"/>
  <c r="BJ68" i="29"/>
  <c r="BI68" i="29"/>
  <c r="BH68" i="29"/>
  <c r="S68" i="29"/>
  <c r="H68" i="29"/>
  <c r="G68" i="29"/>
  <c r="I68" i="29" s="1"/>
  <c r="F68" i="29"/>
  <c r="CQ39" i="29" s="1"/>
  <c r="C68" i="29"/>
  <c r="BQ67" i="29"/>
  <c r="BP67" i="29"/>
  <c r="BK67" i="29"/>
  <c r="BJ67" i="29"/>
  <c r="BH67" i="29"/>
  <c r="BI67" i="29" s="1"/>
  <c r="S67" i="29"/>
  <c r="CY38" i="29" s="1"/>
  <c r="K67" i="29"/>
  <c r="H67" i="29"/>
  <c r="G67" i="29"/>
  <c r="I67" i="29" s="1"/>
  <c r="J67" i="29" s="1"/>
  <c r="F67" i="29"/>
  <c r="CQ38" i="29" s="1"/>
  <c r="C67" i="29"/>
  <c r="BW67" i="29" s="1"/>
  <c r="BQ66" i="29"/>
  <c r="BP66" i="29"/>
  <c r="BK66" i="29"/>
  <c r="BJ66" i="29"/>
  <c r="BH66" i="29"/>
  <c r="BI66" i="29" s="1"/>
  <c r="S66" i="29"/>
  <c r="M66" i="29"/>
  <c r="K66" i="29"/>
  <c r="H66" i="29"/>
  <c r="G66" i="29"/>
  <c r="F66" i="29"/>
  <c r="CQ37" i="29" s="1"/>
  <c r="C66" i="29"/>
  <c r="BW66" i="29" s="1"/>
  <c r="BQ65" i="29"/>
  <c r="BP65" i="29"/>
  <c r="BK65" i="29"/>
  <c r="BJ65" i="29"/>
  <c r="BI65" i="29"/>
  <c r="BH65" i="29"/>
  <c r="H65" i="29"/>
  <c r="G65" i="29"/>
  <c r="F65" i="29"/>
  <c r="C65" i="29"/>
  <c r="S65" i="29" s="1"/>
  <c r="CY36" i="29" s="1"/>
  <c r="EG64" i="29"/>
  <c r="DZ64" i="29"/>
  <c r="DY64" i="29"/>
  <c r="DW64" i="29"/>
  <c r="DU64" i="29"/>
  <c r="DO64" i="29"/>
  <c r="DN64" i="29"/>
  <c r="DM64" i="29"/>
  <c r="DI64" i="29"/>
  <c r="DC64" i="29"/>
  <c r="DB64" i="29"/>
  <c r="DA64" i="29"/>
  <c r="CW64" i="29"/>
  <c r="CP64" i="29"/>
  <c r="CO64" i="29"/>
  <c r="CK64" i="29"/>
  <c r="CD64" i="29"/>
  <c r="CC64" i="29"/>
  <c r="BQ64" i="29"/>
  <c r="BP64" i="29"/>
  <c r="BK64" i="29"/>
  <c r="BJ64" i="29"/>
  <c r="BH64" i="29"/>
  <c r="BI64" i="29" s="1"/>
  <c r="M64" i="29"/>
  <c r="K64" i="29"/>
  <c r="H64" i="29"/>
  <c r="G64" i="29"/>
  <c r="I64" i="29" s="1"/>
  <c r="CR35" i="29" s="1"/>
  <c r="F64" i="29"/>
  <c r="CQ35" i="29" s="1"/>
  <c r="C64" i="29"/>
  <c r="S64" i="29" s="1"/>
  <c r="EI63" i="29"/>
  <c r="EG63" i="29"/>
  <c r="DZ63" i="29"/>
  <c r="DY63" i="29"/>
  <c r="DU63" i="29"/>
  <c r="DO63" i="29"/>
  <c r="DN63" i="29"/>
  <c r="DM63" i="29"/>
  <c r="DI63" i="29"/>
  <c r="DC63" i="29"/>
  <c r="DB63" i="29"/>
  <c r="DA63" i="29"/>
  <c r="CW63" i="29"/>
  <c r="CP63" i="29"/>
  <c r="CO63" i="29"/>
  <c r="CK63" i="29"/>
  <c r="CD63" i="29"/>
  <c r="CC63" i="29"/>
  <c r="BR63" i="29"/>
  <c r="BQ63" i="29"/>
  <c r="BP63" i="29"/>
  <c r="BK63" i="29"/>
  <c r="BJ63" i="29"/>
  <c r="BI63" i="29"/>
  <c r="BH63" i="29"/>
  <c r="AZ63" i="29"/>
  <c r="M63" i="29"/>
  <c r="K63" i="29"/>
  <c r="H63" i="29"/>
  <c r="G63" i="29"/>
  <c r="I63" i="29" s="1"/>
  <c r="F63" i="29"/>
  <c r="CE64" i="29" s="1"/>
  <c r="C63" i="29"/>
  <c r="BW63" i="29" s="1"/>
  <c r="EI62" i="29"/>
  <c r="EG62" i="29"/>
  <c r="EA62" i="29"/>
  <c r="DZ62" i="29"/>
  <c r="DY62" i="29"/>
  <c r="DU62" i="29"/>
  <c r="DO62" i="29"/>
  <c r="DN62" i="29"/>
  <c r="DM62" i="29"/>
  <c r="DK62" i="29"/>
  <c r="DI62" i="29"/>
  <c r="DC62" i="29"/>
  <c r="DB62" i="29"/>
  <c r="DA62" i="29"/>
  <c r="CW62" i="29"/>
  <c r="CQ62" i="29"/>
  <c r="CP62" i="29"/>
  <c r="CO62" i="29"/>
  <c r="CK62" i="29"/>
  <c r="CD62" i="29"/>
  <c r="CC62" i="29"/>
  <c r="BR62" i="29"/>
  <c r="BQ62" i="29"/>
  <c r="BP62" i="29"/>
  <c r="BK62" i="29"/>
  <c r="BJ62" i="29"/>
  <c r="BI62" i="29"/>
  <c r="BH62" i="29"/>
  <c r="AZ62" i="29"/>
  <c r="H62" i="29"/>
  <c r="G62" i="29"/>
  <c r="F62" i="29"/>
  <c r="CE63" i="29" s="1"/>
  <c r="C62" i="29"/>
  <c r="EG61" i="29"/>
  <c r="EA61" i="29"/>
  <c r="DZ61" i="29"/>
  <c r="DY61" i="29"/>
  <c r="DU61" i="29"/>
  <c r="DO61" i="29"/>
  <c r="DN61" i="29"/>
  <c r="DM61" i="29"/>
  <c r="DI61" i="29"/>
  <c r="DD61" i="29"/>
  <c r="DB61" i="29"/>
  <c r="DA61" i="29"/>
  <c r="CW61" i="29"/>
  <c r="CP61" i="29"/>
  <c r="CO61" i="29"/>
  <c r="CK61" i="29"/>
  <c r="CD61" i="29"/>
  <c r="CC61" i="29"/>
  <c r="BR61" i="29"/>
  <c r="BQ61" i="29"/>
  <c r="BP61" i="29"/>
  <c r="BK61" i="29"/>
  <c r="BJ61" i="29"/>
  <c r="BI61" i="29"/>
  <c r="BH61" i="29"/>
  <c r="AZ61" i="29"/>
  <c r="S61" i="29"/>
  <c r="CM62" i="29" s="1"/>
  <c r="M61" i="29"/>
  <c r="K61" i="29"/>
  <c r="H61" i="29"/>
  <c r="G61" i="29"/>
  <c r="I61" i="29" s="1"/>
  <c r="F61" i="29"/>
  <c r="CE62" i="29" s="1"/>
  <c r="C61" i="29"/>
  <c r="BW61" i="29" s="1"/>
  <c r="EG60" i="29"/>
  <c r="EA60" i="29"/>
  <c r="DZ60" i="29"/>
  <c r="DY60" i="29"/>
  <c r="DW60" i="29"/>
  <c r="DU60" i="29"/>
  <c r="DO60" i="29"/>
  <c r="DN60" i="29"/>
  <c r="DM60" i="29"/>
  <c r="DK60" i="29"/>
  <c r="DI60" i="29"/>
  <c r="DC60" i="29"/>
  <c r="DB60" i="29"/>
  <c r="DA60" i="29"/>
  <c r="CW60" i="29"/>
  <c r="CP60" i="29"/>
  <c r="CO60" i="29"/>
  <c r="CK60" i="29"/>
  <c r="CD60" i="29"/>
  <c r="CC60" i="29"/>
  <c r="BX60" i="29"/>
  <c r="BR60" i="29"/>
  <c r="BQ60" i="29"/>
  <c r="BP60" i="29"/>
  <c r="BK60" i="29"/>
  <c r="BJ60" i="29"/>
  <c r="BI60" i="29"/>
  <c r="BH60" i="29"/>
  <c r="AZ60" i="29"/>
  <c r="M60" i="29"/>
  <c r="H60" i="29"/>
  <c r="G60" i="29"/>
  <c r="F60" i="29"/>
  <c r="CE61" i="29" s="1"/>
  <c r="C60" i="29"/>
  <c r="BW60" i="29" s="1"/>
  <c r="EI59" i="29"/>
  <c r="EG59" i="29"/>
  <c r="DZ59" i="29"/>
  <c r="DY59" i="29"/>
  <c r="DU59" i="29"/>
  <c r="DO59" i="29"/>
  <c r="DN59" i="29"/>
  <c r="DM59" i="29"/>
  <c r="DI59" i="29"/>
  <c r="DC59" i="29"/>
  <c r="DB59" i="29"/>
  <c r="DA59" i="29"/>
  <c r="CW59" i="29"/>
  <c r="CP59" i="29"/>
  <c r="CO59" i="29"/>
  <c r="CK59" i="29"/>
  <c r="CD59" i="29"/>
  <c r="CC59" i="29"/>
  <c r="BX59" i="29"/>
  <c r="BR59" i="29"/>
  <c r="BQ59" i="29"/>
  <c r="BP59" i="29"/>
  <c r="BK59" i="29"/>
  <c r="BJ59" i="29"/>
  <c r="BH59" i="29"/>
  <c r="BI59" i="29" s="1"/>
  <c r="AZ59" i="29"/>
  <c r="M59" i="29"/>
  <c r="H59" i="29"/>
  <c r="G59" i="29"/>
  <c r="F59" i="29"/>
  <c r="CE60" i="29" s="1"/>
  <c r="C59" i="29"/>
  <c r="BW59" i="29" s="1"/>
  <c r="EI58" i="29"/>
  <c r="EG58" i="29"/>
  <c r="DZ58" i="29"/>
  <c r="DY58" i="29"/>
  <c r="DW58" i="29"/>
  <c r="DU58" i="29"/>
  <c r="DO58" i="29"/>
  <c r="DN58" i="29"/>
  <c r="DM58" i="29"/>
  <c r="DK58" i="29"/>
  <c r="DI58" i="29"/>
  <c r="DB58" i="29"/>
  <c r="DA58" i="29"/>
  <c r="CY58" i="29"/>
  <c r="CW58" i="29"/>
  <c r="CQ58" i="29"/>
  <c r="CP58" i="29"/>
  <c r="CO58" i="29"/>
  <c r="CK58" i="29"/>
  <c r="CD58" i="29"/>
  <c r="CC58" i="29"/>
  <c r="BX58" i="29"/>
  <c r="BR58" i="29"/>
  <c r="BQ58" i="29"/>
  <c r="BP58" i="29"/>
  <c r="BK58" i="29"/>
  <c r="BJ58" i="29"/>
  <c r="BH58" i="29"/>
  <c r="BI58" i="29" s="1"/>
  <c r="AZ58" i="29"/>
  <c r="M58" i="29"/>
  <c r="H58" i="29"/>
  <c r="G58" i="29"/>
  <c r="F58" i="29"/>
  <c r="CE59" i="29" s="1"/>
  <c r="C58" i="29"/>
  <c r="BW58" i="29" s="1"/>
  <c r="EI57" i="29"/>
  <c r="EG57" i="29"/>
  <c r="EA57" i="29"/>
  <c r="DZ57" i="29"/>
  <c r="DY57" i="29"/>
  <c r="DU57" i="29"/>
  <c r="DO57" i="29"/>
  <c r="DN57" i="29"/>
  <c r="DM57" i="29"/>
  <c r="DK57" i="29"/>
  <c r="DI57" i="29"/>
  <c r="DD57" i="29"/>
  <c r="DC57" i="29"/>
  <c r="DB57" i="29"/>
  <c r="DA57" i="29"/>
  <c r="CW57" i="29"/>
  <c r="CP57" i="29"/>
  <c r="CO57" i="29"/>
  <c r="CK57" i="29"/>
  <c r="CD57" i="29"/>
  <c r="CC57" i="29"/>
  <c r="BW57" i="29"/>
  <c r="BR57" i="29"/>
  <c r="BQ57" i="29"/>
  <c r="BP57" i="29"/>
  <c r="BK57" i="29"/>
  <c r="BJ57" i="29"/>
  <c r="BH57" i="29"/>
  <c r="BI57" i="29" s="1"/>
  <c r="AZ57" i="29"/>
  <c r="K57" i="29"/>
  <c r="H57" i="29"/>
  <c r="G57" i="29"/>
  <c r="I57" i="29" s="1"/>
  <c r="F57" i="29"/>
  <c r="CE58" i="29" s="1"/>
  <c r="C57" i="29"/>
  <c r="EG56" i="29"/>
  <c r="EA56" i="29"/>
  <c r="DZ56" i="29"/>
  <c r="DY56" i="29"/>
  <c r="DW56" i="29"/>
  <c r="DU56" i="29"/>
  <c r="DO56" i="29"/>
  <c r="DN56" i="29"/>
  <c r="DM56" i="29"/>
  <c r="DK56" i="29"/>
  <c r="DI56" i="29"/>
  <c r="DB56" i="29"/>
  <c r="DA56" i="29"/>
  <c r="CW56" i="29"/>
  <c r="CP56" i="29"/>
  <c r="CO56" i="29"/>
  <c r="CK56" i="29"/>
  <c r="CD56" i="29"/>
  <c r="CC56" i="29"/>
  <c r="BR56" i="29"/>
  <c r="BQ56" i="29"/>
  <c r="BP56" i="29"/>
  <c r="BK56" i="29"/>
  <c r="BJ56" i="29"/>
  <c r="BH56" i="29"/>
  <c r="BI56" i="29" s="1"/>
  <c r="AZ56" i="29"/>
  <c r="H56" i="29"/>
  <c r="G56" i="29"/>
  <c r="I56" i="29" s="1"/>
  <c r="F56" i="29"/>
  <c r="CE57" i="29" s="1"/>
  <c r="C56" i="29"/>
  <c r="EI55" i="29"/>
  <c r="EG55" i="29"/>
  <c r="DZ55" i="29"/>
  <c r="DY55" i="29"/>
  <c r="DW55" i="29"/>
  <c r="DU55" i="29"/>
  <c r="DO55" i="29"/>
  <c r="DN55" i="29"/>
  <c r="DM55" i="29"/>
  <c r="DI55" i="29"/>
  <c r="DB55" i="29"/>
  <c r="DA55" i="29"/>
  <c r="CW55" i="29"/>
  <c r="CP55" i="29"/>
  <c r="CO55" i="29"/>
  <c r="CK55" i="29"/>
  <c r="CD55" i="29"/>
  <c r="CC55" i="29"/>
  <c r="BW55" i="29"/>
  <c r="BR55" i="29"/>
  <c r="BQ55" i="29"/>
  <c r="BP55" i="29"/>
  <c r="BK55" i="29"/>
  <c r="BJ55" i="29"/>
  <c r="BH55" i="29"/>
  <c r="BI55" i="29" s="1"/>
  <c r="AZ55" i="29"/>
  <c r="K55" i="29"/>
  <c r="H55" i="29"/>
  <c r="G55" i="29"/>
  <c r="F55" i="29"/>
  <c r="CE56" i="29" s="1"/>
  <c r="C55" i="29"/>
  <c r="EI54" i="29"/>
  <c r="EG54" i="29"/>
  <c r="DZ54" i="29"/>
  <c r="DY54" i="29"/>
  <c r="DU54" i="29"/>
  <c r="DO54" i="29"/>
  <c r="DN54" i="29"/>
  <c r="DM54" i="29"/>
  <c r="DK54" i="29"/>
  <c r="DI54" i="29"/>
  <c r="DC54" i="29"/>
  <c r="DB54" i="29"/>
  <c r="DA54" i="29"/>
  <c r="CW54" i="29"/>
  <c r="CP54" i="29"/>
  <c r="CO54" i="29"/>
  <c r="CK54" i="29"/>
  <c r="CD54" i="29"/>
  <c r="CC54" i="29"/>
  <c r="BR54" i="29"/>
  <c r="BQ54" i="29"/>
  <c r="BP54" i="29"/>
  <c r="BK54" i="29"/>
  <c r="BJ54" i="29"/>
  <c r="BH54" i="29"/>
  <c r="BI54" i="29" s="1"/>
  <c r="AZ54" i="29"/>
  <c r="H54" i="29"/>
  <c r="G54" i="29"/>
  <c r="I54" i="29" s="1"/>
  <c r="F54" i="29"/>
  <c r="CE55" i="29" s="1"/>
  <c r="C54" i="29"/>
  <c r="EI53" i="29"/>
  <c r="EG53" i="29"/>
  <c r="EF53" i="29"/>
  <c r="EB53" i="29"/>
  <c r="EA53" i="29"/>
  <c r="DZ53" i="29"/>
  <c r="DY53" i="29"/>
  <c r="DU53" i="29"/>
  <c r="DO53" i="29"/>
  <c r="DN53" i="29"/>
  <c r="DM53" i="29"/>
  <c r="DI53" i="29"/>
  <c r="DB53" i="29"/>
  <c r="DA53" i="29"/>
  <c r="CW53" i="29"/>
  <c r="CQ53" i="29"/>
  <c r="CP53" i="29"/>
  <c r="CO53" i="29"/>
  <c r="CK53" i="29"/>
  <c r="CD53" i="29"/>
  <c r="CC53" i="29"/>
  <c r="BR53" i="29"/>
  <c r="BQ53" i="29"/>
  <c r="BP53" i="29"/>
  <c r="BK53" i="29"/>
  <c r="BJ53" i="29"/>
  <c r="BH53" i="29"/>
  <c r="BI53" i="29" s="1"/>
  <c r="AZ53" i="29"/>
  <c r="K53" i="29"/>
  <c r="H53" i="29"/>
  <c r="G53" i="29"/>
  <c r="F53" i="29"/>
  <c r="CE54" i="29" s="1"/>
  <c r="C53" i="29"/>
  <c r="EG52" i="29"/>
  <c r="EA52" i="29"/>
  <c r="DZ52" i="29"/>
  <c r="DY52" i="29"/>
  <c r="DW52" i="29"/>
  <c r="DU52" i="29"/>
  <c r="DO52" i="29"/>
  <c r="DN52" i="29"/>
  <c r="DM52" i="29"/>
  <c r="DK52" i="29"/>
  <c r="DI52" i="29"/>
  <c r="DC52" i="29"/>
  <c r="DB52" i="29"/>
  <c r="DA52" i="29"/>
  <c r="CW52" i="29"/>
  <c r="CQ52" i="29"/>
  <c r="CP52" i="29"/>
  <c r="CO52" i="29"/>
  <c r="CK52" i="29"/>
  <c r="CD52" i="29"/>
  <c r="CC52" i="29"/>
  <c r="BR52" i="29"/>
  <c r="BQ52" i="29"/>
  <c r="BP52" i="29"/>
  <c r="BK52" i="29"/>
  <c r="BJ52" i="29"/>
  <c r="BI52" i="29"/>
  <c r="BH52" i="29"/>
  <c r="AZ52" i="29"/>
  <c r="S52" i="29"/>
  <c r="CM53" i="29" s="1"/>
  <c r="K52" i="29"/>
  <c r="H52" i="29"/>
  <c r="G52" i="29"/>
  <c r="F52" i="29"/>
  <c r="CE53" i="29" s="1"/>
  <c r="C52" i="29"/>
  <c r="M52" i="29" s="1"/>
  <c r="EI51" i="29"/>
  <c r="EG51" i="29"/>
  <c r="EA51" i="29"/>
  <c r="DZ51" i="29"/>
  <c r="DY51" i="29"/>
  <c r="DW51" i="29"/>
  <c r="DU51" i="29"/>
  <c r="DO51" i="29"/>
  <c r="DN51" i="29"/>
  <c r="DM51" i="29"/>
  <c r="DI51" i="29"/>
  <c r="DD51" i="29"/>
  <c r="DC51" i="29"/>
  <c r="DB51" i="29"/>
  <c r="DA51" i="29"/>
  <c r="CW51" i="29"/>
  <c r="CQ51" i="29"/>
  <c r="CP51" i="29"/>
  <c r="CO51" i="29"/>
  <c r="CK51" i="29"/>
  <c r="CD51" i="29"/>
  <c r="CC51" i="29"/>
  <c r="BR51" i="29"/>
  <c r="BQ51" i="29"/>
  <c r="BP51" i="29"/>
  <c r="BK51" i="29"/>
  <c r="BJ51" i="29"/>
  <c r="BH51" i="29"/>
  <c r="BI51" i="29" s="1"/>
  <c r="AZ51" i="29"/>
  <c r="H51" i="29"/>
  <c r="G51" i="29"/>
  <c r="I51" i="29" s="1"/>
  <c r="F51" i="29"/>
  <c r="CE52" i="29" s="1"/>
  <c r="C51" i="29"/>
  <c r="BW51" i="29" s="1"/>
  <c r="EG50" i="29"/>
  <c r="EA50" i="29"/>
  <c r="DZ50" i="29"/>
  <c r="DY50" i="29"/>
  <c r="DU50" i="29"/>
  <c r="DO50" i="29"/>
  <c r="DN50" i="29"/>
  <c r="DM50" i="29"/>
  <c r="DK50" i="29"/>
  <c r="DI50" i="29"/>
  <c r="DC50" i="29"/>
  <c r="DB50" i="29"/>
  <c r="DA50" i="29"/>
  <c r="CW50" i="29"/>
  <c r="CP50" i="29"/>
  <c r="CO50" i="29"/>
  <c r="CK50" i="29"/>
  <c r="CD50" i="29"/>
  <c r="CC50" i="29"/>
  <c r="BR50" i="29"/>
  <c r="BQ50" i="29"/>
  <c r="BP50" i="29"/>
  <c r="BK50" i="29"/>
  <c r="BJ50" i="29"/>
  <c r="BI50" i="29"/>
  <c r="BH50" i="29"/>
  <c r="AZ50" i="29"/>
  <c r="H50" i="29"/>
  <c r="G50" i="29"/>
  <c r="F50" i="29"/>
  <c r="CE51" i="29" s="1"/>
  <c r="C50" i="29"/>
  <c r="EI49" i="29"/>
  <c r="EG49" i="29"/>
  <c r="EA49" i="29"/>
  <c r="DZ49" i="29"/>
  <c r="DY49" i="29"/>
  <c r="DU49" i="29"/>
  <c r="DO49" i="29"/>
  <c r="DN49" i="29"/>
  <c r="DM49" i="29"/>
  <c r="DI49" i="29"/>
  <c r="DB49" i="29"/>
  <c r="DA49" i="29"/>
  <c r="CW49" i="29"/>
  <c r="CP49" i="29"/>
  <c r="CO49" i="29"/>
  <c r="CK49" i="29"/>
  <c r="CD49" i="29"/>
  <c r="CC49" i="29"/>
  <c r="BW49" i="29"/>
  <c r="BR49" i="29"/>
  <c r="BQ49" i="29"/>
  <c r="BP49" i="29"/>
  <c r="BK49" i="29"/>
  <c r="BJ49" i="29"/>
  <c r="BH49" i="29"/>
  <c r="BI49" i="29" s="1"/>
  <c r="AZ49" i="29"/>
  <c r="K49" i="29"/>
  <c r="H49" i="29"/>
  <c r="G49" i="29"/>
  <c r="I49" i="29" s="1"/>
  <c r="F49" i="29"/>
  <c r="CE50" i="29" s="1"/>
  <c r="C49" i="29"/>
  <c r="EG48" i="29"/>
  <c r="EA48" i="29"/>
  <c r="DZ48" i="29"/>
  <c r="DY48" i="29"/>
  <c r="DW48" i="29"/>
  <c r="DU48" i="29"/>
  <c r="DO48" i="29"/>
  <c r="DN48" i="29"/>
  <c r="DM48" i="29"/>
  <c r="DK48" i="29"/>
  <c r="DI48" i="29"/>
  <c r="DD48" i="29"/>
  <c r="DB48" i="29"/>
  <c r="DA48" i="29"/>
  <c r="CW48" i="29"/>
  <c r="CP48" i="29"/>
  <c r="CO48" i="29"/>
  <c r="CK48" i="29"/>
  <c r="CD48" i="29"/>
  <c r="CC48" i="29"/>
  <c r="BX48" i="29"/>
  <c r="BR48" i="29"/>
  <c r="BQ48" i="29"/>
  <c r="BP48" i="29"/>
  <c r="BK48" i="29"/>
  <c r="BJ48" i="29"/>
  <c r="BH48" i="29"/>
  <c r="BI48" i="29" s="1"/>
  <c r="AZ48" i="29"/>
  <c r="H48" i="29"/>
  <c r="G48" i="29"/>
  <c r="I48" i="29" s="1"/>
  <c r="CF49" i="29" s="1"/>
  <c r="F48" i="29"/>
  <c r="CE49" i="29" s="1"/>
  <c r="C48" i="29"/>
  <c r="EI47" i="29"/>
  <c r="EG47" i="29"/>
  <c r="EA47" i="29"/>
  <c r="DZ47" i="29"/>
  <c r="DY47" i="29"/>
  <c r="DU47" i="29"/>
  <c r="DP47" i="29"/>
  <c r="DN47" i="29"/>
  <c r="DM47" i="29"/>
  <c r="DK47" i="29"/>
  <c r="DI47" i="29"/>
  <c r="DC47" i="29"/>
  <c r="DB47" i="29"/>
  <c r="DA47" i="29"/>
  <c r="CW47" i="29"/>
  <c r="CQ47" i="29"/>
  <c r="CP47" i="29"/>
  <c r="CO47" i="29"/>
  <c r="CK47" i="29"/>
  <c r="CD47" i="29"/>
  <c r="CC47" i="29"/>
  <c r="BX47" i="29"/>
  <c r="BW47" i="29"/>
  <c r="BR47" i="29"/>
  <c r="BQ47" i="29"/>
  <c r="BP47" i="29"/>
  <c r="BK47" i="29"/>
  <c r="BJ47" i="29"/>
  <c r="BH47" i="29"/>
  <c r="BI47" i="29" s="1"/>
  <c r="AZ47" i="29"/>
  <c r="K47" i="29"/>
  <c r="H47" i="29"/>
  <c r="G47" i="29"/>
  <c r="I47" i="29" s="1"/>
  <c r="F47" i="29"/>
  <c r="CE48" i="29" s="1"/>
  <c r="C47" i="29"/>
  <c r="EG46" i="29"/>
  <c r="EB46" i="29"/>
  <c r="DZ46" i="29"/>
  <c r="DY46" i="29"/>
  <c r="DU46" i="29"/>
  <c r="DN46" i="29"/>
  <c r="DM46" i="29"/>
  <c r="DK46" i="29"/>
  <c r="DI46" i="29"/>
  <c r="DC46" i="29"/>
  <c r="DB46" i="29"/>
  <c r="DA46" i="29"/>
  <c r="CW46" i="29"/>
  <c r="CQ46" i="29"/>
  <c r="CP46" i="29"/>
  <c r="CO46" i="29"/>
  <c r="CK46" i="29"/>
  <c r="CD46" i="29"/>
  <c r="CC46" i="29"/>
  <c r="BX46" i="29"/>
  <c r="BR46" i="29"/>
  <c r="BQ46" i="29"/>
  <c r="BP46" i="29"/>
  <c r="BK46" i="29"/>
  <c r="BJ46" i="29"/>
  <c r="BH46" i="29"/>
  <c r="BI46" i="29" s="1"/>
  <c r="AZ46" i="29"/>
  <c r="H46" i="29"/>
  <c r="G46" i="29"/>
  <c r="I46" i="29" s="1"/>
  <c r="F46" i="29"/>
  <c r="CE47" i="29" s="1"/>
  <c r="C46" i="29"/>
  <c r="EG45" i="29"/>
  <c r="DZ45" i="29"/>
  <c r="DY45" i="29"/>
  <c r="DU45" i="29"/>
  <c r="DO45" i="29"/>
  <c r="DN45" i="29"/>
  <c r="DM45" i="29"/>
  <c r="DI45" i="29"/>
  <c r="DC45" i="29"/>
  <c r="DB45" i="29"/>
  <c r="DA45" i="29"/>
  <c r="CW45" i="29"/>
  <c r="CQ45" i="29"/>
  <c r="CP45" i="29"/>
  <c r="CO45" i="29"/>
  <c r="CK45" i="29"/>
  <c r="CD45" i="29"/>
  <c r="CC45" i="29"/>
  <c r="BX45" i="29"/>
  <c r="BR45" i="29"/>
  <c r="BQ45" i="29"/>
  <c r="BP45" i="29"/>
  <c r="BK45" i="29"/>
  <c r="BJ45" i="29"/>
  <c r="BH45" i="29"/>
  <c r="BI45" i="29" s="1"/>
  <c r="AZ45" i="29"/>
  <c r="H45" i="29"/>
  <c r="G45" i="29"/>
  <c r="I45" i="29" s="1"/>
  <c r="F45" i="29"/>
  <c r="CE46" i="29" s="1"/>
  <c r="C45" i="29"/>
  <c r="K45" i="29" s="1"/>
  <c r="EG44" i="29"/>
  <c r="EA44" i="29"/>
  <c r="DZ44" i="29"/>
  <c r="DY44" i="29"/>
  <c r="DW44" i="29"/>
  <c r="DU44" i="29"/>
  <c r="DP44" i="29"/>
  <c r="DN44" i="29"/>
  <c r="DM44" i="29"/>
  <c r="DI44" i="29"/>
  <c r="DC44" i="29"/>
  <c r="DB44" i="29"/>
  <c r="DA44" i="29"/>
  <c r="CW44" i="29"/>
  <c r="CQ44" i="29"/>
  <c r="CP44" i="29"/>
  <c r="CO44" i="29"/>
  <c r="CK44" i="29"/>
  <c r="CD44" i="29"/>
  <c r="CC44" i="29"/>
  <c r="BX44" i="29"/>
  <c r="BR44" i="29"/>
  <c r="BQ44" i="29"/>
  <c r="BP44" i="29"/>
  <c r="BK44" i="29"/>
  <c r="BJ44" i="29"/>
  <c r="BH44" i="29"/>
  <c r="BI44" i="29" s="1"/>
  <c r="AZ44" i="29"/>
  <c r="H44" i="29"/>
  <c r="G44" i="29"/>
  <c r="I44" i="29" s="1"/>
  <c r="F44" i="29"/>
  <c r="CE45" i="29" s="1"/>
  <c r="C44" i="29"/>
  <c r="EI43" i="29"/>
  <c r="EG43" i="29"/>
  <c r="EB43" i="29"/>
  <c r="DZ43" i="29"/>
  <c r="DY43" i="29"/>
  <c r="DW43" i="29"/>
  <c r="DU43" i="29"/>
  <c r="DP43" i="29"/>
  <c r="DO43" i="29"/>
  <c r="DN43" i="29"/>
  <c r="DM43" i="29"/>
  <c r="DK43" i="29"/>
  <c r="DI43" i="29"/>
  <c r="DD43" i="29"/>
  <c r="DC43" i="29"/>
  <c r="DB43" i="29"/>
  <c r="DA43" i="29"/>
  <c r="CY43" i="29"/>
  <c r="CW43" i="29"/>
  <c r="CP43" i="29"/>
  <c r="CO43" i="29"/>
  <c r="CK43" i="29"/>
  <c r="CD43" i="29"/>
  <c r="CC43" i="29"/>
  <c r="BX43" i="29"/>
  <c r="BR43" i="29"/>
  <c r="BQ43" i="29"/>
  <c r="BP43" i="29"/>
  <c r="BK43" i="29"/>
  <c r="BJ43" i="29"/>
  <c r="BH43" i="29"/>
  <c r="BI43" i="29" s="1"/>
  <c r="AZ43" i="29"/>
  <c r="K43" i="29"/>
  <c r="H43" i="29"/>
  <c r="C43" i="29"/>
  <c r="M43" i="29" s="1"/>
  <c r="EG42" i="29"/>
  <c r="EA42" i="29"/>
  <c r="DZ42" i="29"/>
  <c r="DY42" i="29"/>
  <c r="DU42" i="29"/>
  <c r="DO42" i="29"/>
  <c r="DN42" i="29"/>
  <c r="DM42" i="29"/>
  <c r="DI42" i="29"/>
  <c r="DC42" i="29"/>
  <c r="DB42" i="29"/>
  <c r="DA42" i="29"/>
  <c r="CW42" i="29"/>
  <c r="CR42" i="29"/>
  <c r="CQ42" i="29"/>
  <c r="CP42" i="29"/>
  <c r="CO42" i="29"/>
  <c r="CK42" i="29"/>
  <c r="CD42" i="29"/>
  <c r="CC42" i="29"/>
  <c r="BX42" i="29"/>
  <c r="BR42" i="29"/>
  <c r="BQ42" i="29"/>
  <c r="BP42" i="29"/>
  <c r="BK42" i="29"/>
  <c r="BJ42" i="29"/>
  <c r="BH42" i="29"/>
  <c r="BI42" i="29" s="1"/>
  <c r="AZ42" i="29"/>
  <c r="H42" i="29"/>
  <c r="C42" i="29"/>
  <c r="EG41" i="29"/>
  <c r="EA41" i="29"/>
  <c r="DZ41" i="29"/>
  <c r="DY41" i="29"/>
  <c r="DU41" i="29"/>
  <c r="DN41" i="29"/>
  <c r="DM41" i="29"/>
  <c r="DI41" i="29"/>
  <c r="DB41" i="29"/>
  <c r="DA41" i="29"/>
  <c r="CW41" i="29"/>
  <c r="CP41" i="29"/>
  <c r="CO41" i="29"/>
  <c r="CK41" i="29"/>
  <c r="CD41" i="29"/>
  <c r="CC41" i="29"/>
  <c r="BX41" i="29"/>
  <c r="BW41" i="29"/>
  <c r="BR41" i="29"/>
  <c r="BQ41" i="29"/>
  <c r="BP41" i="29"/>
  <c r="BK41" i="29"/>
  <c r="BJ41" i="29"/>
  <c r="BI41" i="29"/>
  <c r="BH41" i="29"/>
  <c r="AZ41" i="29"/>
  <c r="M41" i="29"/>
  <c r="H41" i="29"/>
  <c r="C41" i="29"/>
  <c r="EG40" i="29"/>
  <c r="EA40" i="29"/>
  <c r="DZ40" i="29"/>
  <c r="DY40" i="29"/>
  <c r="DU40" i="29"/>
  <c r="DP40" i="29"/>
  <c r="DO40" i="29"/>
  <c r="DN40" i="29"/>
  <c r="DM40" i="29"/>
  <c r="DK40" i="29"/>
  <c r="DI40" i="29"/>
  <c r="DE40" i="29"/>
  <c r="DD40" i="29"/>
  <c r="DC40" i="29"/>
  <c r="DB40" i="29"/>
  <c r="DA40" i="29"/>
  <c r="CW40" i="29"/>
  <c r="CQ40" i="29"/>
  <c r="CP40" i="29"/>
  <c r="CO40" i="29"/>
  <c r="CK40" i="29"/>
  <c r="CD40" i="29"/>
  <c r="CC40" i="29"/>
  <c r="BX40" i="29"/>
  <c r="BR40" i="29"/>
  <c r="BQ40" i="29"/>
  <c r="BP40" i="29"/>
  <c r="BK40" i="29"/>
  <c r="BJ40" i="29"/>
  <c r="BH40" i="29"/>
  <c r="BI40" i="29" s="1"/>
  <c r="AZ40" i="29"/>
  <c r="H40" i="29"/>
  <c r="C40" i="29"/>
  <c r="M40" i="29" s="1"/>
  <c r="EG39" i="29"/>
  <c r="EA39" i="29"/>
  <c r="DZ39" i="29"/>
  <c r="DY39" i="29"/>
  <c r="DW39" i="29"/>
  <c r="DU39" i="29"/>
  <c r="DO39" i="29"/>
  <c r="DN39" i="29"/>
  <c r="DM39" i="29"/>
  <c r="DI39" i="29"/>
  <c r="DC39" i="29"/>
  <c r="DB39" i="29"/>
  <c r="DA39" i="29"/>
  <c r="CY39" i="29"/>
  <c r="CW39" i="29"/>
  <c r="CP39" i="29"/>
  <c r="CO39" i="29"/>
  <c r="CK39" i="29"/>
  <c r="CD39" i="29"/>
  <c r="CC39" i="29"/>
  <c r="BX39" i="29"/>
  <c r="BR39" i="29"/>
  <c r="BQ39" i="29"/>
  <c r="BP39" i="29"/>
  <c r="BK39" i="29"/>
  <c r="BJ39" i="29"/>
  <c r="BH39" i="29"/>
  <c r="BI39" i="29" s="1"/>
  <c r="AZ39" i="29"/>
  <c r="K39" i="29"/>
  <c r="H39" i="29"/>
  <c r="C39" i="29"/>
  <c r="BW39" i="29" s="1"/>
  <c r="EI38" i="29"/>
  <c r="EG38" i="29"/>
  <c r="EA38" i="29"/>
  <c r="DZ38" i="29"/>
  <c r="DY38" i="29"/>
  <c r="DU38" i="29"/>
  <c r="DO38" i="29"/>
  <c r="DN38" i="29"/>
  <c r="DM38" i="29"/>
  <c r="DK38" i="29"/>
  <c r="DI38" i="29"/>
  <c r="DC38" i="29"/>
  <c r="DB38" i="29"/>
  <c r="DA38" i="29"/>
  <c r="CW38" i="29"/>
  <c r="CP38" i="29"/>
  <c r="CO38" i="29"/>
  <c r="CK38" i="29"/>
  <c r="CD38" i="29"/>
  <c r="CC38" i="29"/>
  <c r="BX38" i="29"/>
  <c r="BR38" i="29"/>
  <c r="BQ38" i="29"/>
  <c r="BP38" i="29"/>
  <c r="BK38" i="29"/>
  <c r="BJ38" i="29"/>
  <c r="BH38" i="29"/>
  <c r="BI38" i="29" s="1"/>
  <c r="AZ38" i="29"/>
  <c r="H38" i="29"/>
  <c r="C38" i="29"/>
  <c r="M38" i="29" s="1"/>
  <c r="EG37" i="29"/>
  <c r="EA37" i="29"/>
  <c r="DZ37" i="29"/>
  <c r="DY37" i="29"/>
  <c r="DU37" i="29"/>
  <c r="DO37" i="29"/>
  <c r="DN37" i="29"/>
  <c r="DM37" i="29"/>
  <c r="DK37" i="29"/>
  <c r="DI37" i="29"/>
  <c r="DC37" i="29"/>
  <c r="DB37" i="29"/>
  <c r="DA37" i="29"/>
  <c r="CY37" i="29"/>
  <c r="CW37" i="29"/>
  <c r="CP37" i="29"/>
  <c r="CO37" i="29"/>
  <c r="CK37" i="29"/>
  <c r="CD37" i="29"/>
  <c r="CC37" i="29"/>
  <c r="BX37" i="29"/>
  <c r="BR37" i="29"/>
  <c r="BQ37" i="29"/>
  <c r="BP37" i="29"/>
  <c r="BK37" i="29"/>
  <c r="BJ37" i="29"/>
  <c r="BH37" i="29"/>
  <c r="BI37" i="29" s="1"/>
  <c r="AZ37" i="29"/>
  <c r="K37" i="29"/>
  <c r="H37" i="29"/>
  <c r="C37" i="29"/>
  <c r="BW37" i="29" s="1"/>
  <c r="EG36" i="29"/>
  <c r="EA36" i="29"/>
  <c r="DZ36" i="29"/>
  <c r="DY36" i="29"/>
  <c r="DW36" i="29"/>
  <c r="DU36" i="29"/>
  <c r="DO36" i="29"/>
  <c r="DN36" i="29"/>
  <c r="DM36" i="29"/>
  <c r="DI36" i="29"/>
  <c r="DD36" i="29"/>
  <c r="DB36" i="29"/>
  <c r="DA36" i="29"/>
  <c r="CW36" i="29"/>
  <c r="CQ36" i="29"/>
  <c r="CP36" i="29"/>
  <c r="CO36" i="29"/>
  <c r="CK36" i="29"/>
  <c r="CD36" i="29"/>
  <c r="CC36" i="29"/>
  <c r="BX36" i="29"/>
  <c r="BR36" i="29"/>
  <c r="BQ36" i="29"/>
  <c r="BP36" i="29"/>
  <c r="BK36" i="29"/>
  <c r="BJ36" i="29"/>
  <c r="BH36" i="29"/>
  <c r="BI36" i="29" s="1"/>
  <c r="AZ36" i="29"/>
  <c r="H36" i="29"/>
  <c r="C36" i="29"/>
  <c r="M36" i="29" s="1"/>
  <c r="EG35" i="29"/>
  <c r="EA35" i="29"/>
  <c r="DZ35" i="29"/>
  <c r="DY35" i="29"/>
  <c r="DW35" i="29"/>
  <c r="DU35" i="29"/>
  <c r="DO35" i="29"/>
  <c r="DN35" i="29"/>
  <c r="DM35" i="29"/>
  <c r="DK35" i="29"/>
  <c r="DI35" i="29"/>
  <c r="DC35" i="29"/>
  <c r="DB35" i="29"/>
  <c r="DA35" i="29"/>
  <c r="CY35" i="29"/>
  <c r="CW35" i="29"/>
  <c r="CP35" i="29"/>
  <c r="CO35" i="29"/>
  <c r="CK35" i="29"/>
  <c r="CD35" i="29"/>
  <c r="CC35" i="29"/>
  <c r="BX35" i="29"/>
  <c r="BR35" i="29"/>
  <c r="BQ35" i="29"/>
  <c r="BP35" i="29"/>
  <c r="BK35" i="29"/>
  <c r="BJ35" i="29"/>
  <c r="BI35" i="29"/>
  <c r="BH35" i="29"/>
  <c r="AZ35" i="29"/>
  <c r="H35" i="29"/>
  <c r="C35" i="29"/>
  <c r="K35" i="29" s="1"/>
  <c r="BX34" i="29"/>
  <c r="BR34" i="29"/>
  <c r="BQ34" i="29"/>
  <c r="BP34" i="29"/>
  <c r="BK34" i="29"/>
  <c r="BJ34" i="29"/>
  <c r="BI34" i="29"/>
  <c r="BH34" i="29"/>
  <c r="AZ34" i="29"/>
  <c r="H34" i="29"/>
  <c r="C34" i="29"/>
  <c r="M36" i="28"/>
  <c r="M40" i="28"/>
  <c r="M44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S44" i="28"/>
  <c r="S47" i="28"/>
  <c r="S48" i="28"/>
  <c r="S49" i="28"/>
  <c r="S50" i="28"/>
  <c r="S51" i="28"/>
  <c r="S52" i="28"/>
  <c r="S53" i="28"/>
  <c r="S54" i="28"/>
  <c r="S55" i="28"/>
  <c r="S56" i="28"/>
  <c r="S57" i="28"/>
  <c r="S58" i="28"/>
  <c r="S59" i="28"/>
  <c r="S60" i="28"/>
  <c r="S61" i="28"/>
  <c r="S62" i="28"/>
  <c r="S63" i="28"/>
  <c r="S64" i="28"/>
  <c r="S65" i="28"/>
  <c r="S66" i="28"/>
  <c r="S67" i="28"/>
  <c r="S68" i="28"/>
  <c r="S69" i="28"/>
  <c r="S70" i="28"/>
  <c r="S71" i="28"/>
  <c r="S72" i="28"/>
  <c r="S73" i="28"/>
  <c r="S74" i="28"/>
  <c r="S75" i="28"/>
  <c r="S76" i="28"/>
  <c r="S77" i="28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C34" i="28"/>
  <c r="M34" i="28" s="1"/>
  <c r="C35" i="28"/>
  <c r="M35" i="28" s="1"/>
  <c r="C36" i="28"/>
  <c r="C37" i="28"/>
  <c r="M37" i="28" s="1"/>
  <c r="C38" i="28"/>
  <c r="M38" i="28" s="1"/>
  <c r="C39" i="28"/>
  <c r="M39" i="28" s="1"/>
  <c r="C40" i="28"/>
  <c r="C41" i="28"/>
  <c r="M41" i="28" s="1"/>
  <c r="C42" i="28"/>
  <c r="M42" i="28" s="1"/>
  <c r="C43" i="28"/>
  <c r="M43" i="28" s="1"/>
  <c r="C44" i="28"/>
  <c r="C45" i="28"/>
  <c r="M45" i="28" s="1"/>
  <c r="C46" i="28"/>
  <c r="M46" i="28" s="1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H183" i="28"/>
  <c r="G183" i="28"/>
  <c r="F183" i="28"/>
  <c r="EA64" i="28" s="1"/>
  <c r="BW183" i="28"/>
  <c r="H182" i="28"/>
  <c r="G182" i="28"/>
  <c r="F182" i="28"/>
  <c r="H181" i="28"/>
  <c r="G181" i="28"/>
  <c r="F181" i="28"/>
  <c r="EA62" i="28" s="1"/>
  <c r="H180" i="28"/>
  <c r="G180" i="28"/>
  <c r="F180" i="28"/>
  <c r="H179" i="28"/>
  <c r="G179" i="28"/>
  <c r="F179" i="28"/>
  <c r="BW179" i="28"/>
  <c r="H178" i="28"/>
  <c r="G178" i="28"/>
  <c r="F178" i="28"/>
  <c r="H177" i="28"/>
  <c r="G177" i="28"/>
  <c r="F177" i="28"/>
  <c r="EA58" i="28" s="1"/>
  <c r="H176" i="28"/>
  <c r="G176" i="28"/>
  <c r="F176" i="28"/>
  <c r="EA57" i="28" s="1"/>
  <c r="BW176" i="28"/>
  <c r="BW175" i="28"/>
  <c r="H175" i="28"/>
  <c r="G175" i="28"/>
  <c r="F175" i="28"/>
  <c r="EA56" i="28" s="1"/>
  <c r="K175" i="28"/>
  <c r="BW174" i="28"/>
  <c r="H174" i="28"/>
  <c r="G174" i="28"/>
  <c r="F174" i="28"/>
  <c r="H173" i="28"/>
  <c r="G173" i="28"/>
  <c r="F173" i="28"/>
  <c r="EA54" i="28" s="1"/>
  <c r="H172" i="28"/>
  <c r="G172" i="28"/>
  <c r="F172" i="28"/>
  <c r="EA53" i="28" s="1"/>
  <c r="BW172" i="28"/>
  <c r="BW171" i="28"/>
  <c r="H171" i="28"/>
  <c r="G171" i="28"/>
  <c r="F171" i="28"/>
  <c r="EA52" i="28" s="1"/>
  <c r="K171" i="28"/>
  <c r="H170" i="28"/>
  <c r="G170" i="28"/>
  <c r="F170" i="28"/>
  <c r="H169" i="28"/>
  <c r="G169" i="28"/>
  <c r="F169" i="28"/>
  <c r="EA50" i="28" s="1"/>
  <c r="H168" i="28"/>
  <c r="G168" i="28"/>
  <c r="F168" i="28"/>
  <c r="BW168" i="28"/>
  <c r="BW167" i="28"/>
  <c r="H167" i="28"/>
  <c r="G167" i="28"/>
  <c r="F167" i="28"/>
  <c r="EA48" i="28" s="1"/>
  <c r="BW166" i="28"/>
  <c r="H166" i="28"/>
  <c r="G166" i="28"/>
  <c r="F166" i="28"/>
  <c r="EA47" i="28" s="1"/>
  <c r="H165" i="28"/>
  <c r="G165" i="28"/>
  <c r="F165" i="28"/>
  <c r="EA46" i="28" s="1"/>
  <c r="H164" i="28"/>
  <c r="G164" i="28"/>
  <c r="F164" i="28"/>
  <c r="EA45" i="28" s="1"/>
  <c r="H163" i="28"/>
  <c r="G163" i="28"/>
  <c r="F163" i="28"/>
  <c r="EA44" i="28" s="1"/>
  <c r="BW163" i="28"/>
  <c r="K162" i="28"/>
  <c r="H162" i="28"/>
  <c r="G162" i="28"/>
  <c r="F162" i="28"/>
  <c r="H161" i="28"/>
  <c r="G161" i="28"/>
  <c r="F161" i="28"/>
  <c r="EA42" i="28" s="1"/>
  <c r="H160" i="28"/>
  <c r="G160" i="28"/>
  <c r="F160" i="28"/>
  <c r="EA41" i="28" s="1"/>
  <c r="H159" i="28"/>
  <c r="G159" i="28"/>
  <c r="F159" i="28"/>
  <c r="H158" i="28"/>
  <c r="G158" i="28"/>
  <c r="F158" i="28"/>
  <c r="H157" i="28"/>
  <c r="G157" i="28"/>
  <c r="F157" i="28"/>
  <c r="EA38" i="28" s="1"/>
  <c r="H156" i="28"/>
  <c r="G156" i="28"/>
  <c r="I156" i="28" s="1"/>
  <c r="R156" i="28" s="1"/>
  <c r="F156" i="28"/>
  <c r="EA37" i="28" s="1"/>
  <c r="H155" i="28"/>
  <c r="G155" i="28"/>
  <c r="F155" i="28"/>
  <c r="H154" i="28"/>
  <c r="G154" i="28"/>
  <c r="F154" i="28"/>
  <c r="BW154" i="28"/>
  <c r="H153" i="28"/>
  <c r="G153" i="28"/>
  <c r="F153" i="28"/>
  <c r="H152" i="28"/>
  <c r="G152" i="28"/>
  <c r="F152" i="28"/>
  <c r="K152" i="28"/>
  <c r="H151" i="28"/>
  <c r="G151" i="28"/>
  <c r="F151" i="28"/>
  <c r="DO62" i="28" s="1"/>
  <c r="H150" i="28"/>
  <c r="G150" i="28"/>
  <c r="F150" i="28"/>
  <c r="DO61" i="28" s="1"/>
  <c r="BW150" i="28"/>
  <c r="BW149" i="28"/>
  <c r="H149" i="28"/>
  <c r="G149" i="28"/>
  <c r="F149" i="28"/>
  <c r="DO60" i="28" s="1"/>
  <c r="BW148" i="28"/>
  <c r="H148" i="28"/>
  <c r="G148" i="28"/>
  <c r="F148" i="28"/>
  <c r="DO59" i="28" s="1"/>
  <c r="K148" i="28"/>
  <c r="H147" i="28"/>
  <c r="G147" i="28"/>
  <c r="F147" i="28"/>
  <c r="DO58" i="28" s="1"/>
  <c r="H146" i="28"/>
  <c r="G146" i="28"/>
  <c r="F146" i="28"/>
  <c r="DO57" i="28" s="1"/>
  <c r="BW146" i="28"/>
  <c r="H145" i="28"/>
  <c r="G145" i="28"/>
  <c r="F145" i="28"/>
  <c r="DO56" i="28" s="1"/>
  <c r="H144" i="28"/>
  <c r="G144" i="28"/>
  <c r="F144" i="28"/>
  <c r="DO55" i="28" s="1"/>
  <c r="K144" i="28"/>
  <c r="H143" i="28"/>
  <c r="G143" i="28"/>
  <c r="F143" i="28"/>
  <c r="H142" i="28"/>
  <c r="G142" i="28"/>
  <c r="F142" i="28"/>
  <c r="H141" i="28"/>
  <c r="G141" i="28"/>
  <c r="F141" i="28"/>
  <c r="DO52" i="28" s="1"/>
  <c r="H140" i="28"/>
  <c r="G140" i="28"/>
  <c r="F140" i="28"/>
  <c r="DO51" i="28" s="1"/>
  <c r="H139" i="28"/>
  <c r="G139" i="28"/>
  <c r="F139" i="28"/>
  <c r="DO50" i="28" s="1"/>
  <c r="BW138" i="28"/>
  <c r="H138" i="28"/>
  <c r="G138" i="28"/>
  <c r="F138" i="28"/>
  <c r="H137" i="28"/>
  <c r="G137" i="28"/>
  <c r="F137" i="28"/>
  <c r="H136" i="28"/>
  <c r="G136" i="28"/>
  <c r="F136" i="28"/>
  <c r="DO47" i="28" s="1"/>
  <c r="H135" i="28"/>
  <c r="G135" i="28"/>
  <c r="F135" i="28"/>
  <c r="DO46" i="28" s="1"/>
  <c r="H134" i="28"/>
  <c r="G134" i="28"/>
  <c r="F134" i="28"/>
  <c r="H133" i="28"/>
  <c r="G133" i="28"/>
  <c r="F133" i="28"/>
  <c r="DO44" i="28" s="1"/>
  <c r="H132" i="28"/>
  <c r="G132" i="28"/>
  <c r="F132" i="28"/>
  <c r="DO43" i="28" s="1"/>
  <c r="BW131" i="28"/>
  <c r="H131" i="28"/>
  <c r="G131" i="28"/>
  <c r="F131" i="28"/>
  <c r="DO42" i="28" s="1"/>
  <c r="BW130" i="28"/>
  <c r="K130" i="28"/>
  <c r="H130" i="28"/>
  <c r="G130" i="28"/>
  <c r="F130" i="28"/>
  <c r="H129" i="28"/>
  <c r="G129" i="28"/>
  <c r="F129" i="28"/>
  <c r="DO40" i="28" s="1"/>
  <c r="H128" i="28"/>
  <c r="G128" i="28"/>
  <c r="F128" i="28"/>
  <c r="DO39" i="28" s="1"/>
  <c r="BW128" i="28"/>
  <c r="BW127" i="28"/>
  <c r="H127" i="28"/>
  <c r="G127" i="28"/>
  <c r="F127" i="28"/>
  <c r="DO38" i="28" s="1"/>
  <c r="H126" i="28"/>
  <c r="G126" i="28"/>
  <c r="F126" i="28"/>
  <c r="DO37" i="28" s="1"/>
  <c r="BW126" i="28"/>
  <c r="BW125" i="28"/>
  <c r="H125" i="28"/>
  <c r="G125" i="28"/>
  <c r="F125" i="28"/>
  <c r="DO36" i="28" s="1"/>
  <c r="H124" i="28"/>
  <c r="G124" i="28"/>
  <c r="F124" i="28"/>
  <c r="DO35" i="28" s="1"/>
  <c r="H123" i="28"/>
  <c r="G123" i="28"/>
  <c r="F123" i="28"/>
  <c r="DC64" i="28" s="1"/>
  <c r="BW123" i="28"/>
  <c r="H122" i="28"/>
  <c r="G122" i="28"/>
  <c r="F122" i="28"/>
  <c r="DC63" i="28" s="1"/>
  <c r="BW122" i="28"/>
  <c r="BW121" i="28"/>
  <c r="H121" i="28"/>
  <c r="G121" i="28"/>
  <c r="F121" i="28"/>
  <c r="DC62" i="28" s="1"/>
  <c r="H120" i="28"/>
  <c r="G120" i="28"/>
  <c r="F120" i="28"/>
  <c r="H119" i="28"/>
  <c r="G119" i="28"/>
  <c r="F119" i="28"/>
  <c r="BW119" i="28"/>
  <c r="H118" i="28"/>
  <c r="G118" i="28"/>
  <c r="F118" i="28"/>
  <c r="BW118" i="28"/>
  <c r="BW117" i="28"/>
  <c r="H117" i="28"/>
  <c r="G117" i="28"/>
  <c r="F117" i="28"/>
  <c r="BW116" i="28"/>
  <c r="H116" i="28"/>
  <c r="G116" i="28"/>
  <c r="F116" i="28"/>
  <c r="DC57" i="28" s="1"/>
  <c r="H115" i="28"/>
  <c r="G115" i="28"/>
  <c r="F115" i="28"/>
  <c r="DC56" i="28" s="1"/>
  <c r="BW115" i="28"/>
  <c r="BK114" i="28"/>
  <c r="BJ114" i="28"/>
  <c r="BH114" i="28"/>
  <c r="BI114" i="28" s="1"/>
  <c r="H114" i="28"/>
  <c r="G114" i="28"/>
  <c r="F114" i="28"/>
  <c r="DC55" i="28" s="1"/>
  <c r="BW114" i="28"/>
  <c r="BW113" i="28"/>
  <c r="BK113" i="28"/>
  <c r="BJ113" i="28"/>
  <c r="BH113" i="28"/>
  <c r="BI113" i="28" s="1"/>
  <c r="H113" i="28"/>
  <c r="G113" i="28"/>
  <c r="F113" i="28"/>
  <c r="DC54" i="28" s="1"/>
  <c r="BK112" i="28"/>
  <c r="BJ112" i="28"/>
  <c r="BH112" i="28"/>
  <c r="BI112" i="28" s="1"/>
  <c r="H112" i="28"/>
  <c r="G112" i="28"/>
  <c r="F112" i="28"/>
  <c r="BK111" i="28"/>
  <c r="BJ111" i="28"/>
  <c r="BH111" i="28"/>
  <c r="BI111" i="28" s="1"/>
  <c r="H111" i="28"/>
  <c r="G111" i="28"/>
  <c r="F111" i="28"/>
  <c r="BW111" i="28"/>
  <c r="BK110" i="28"/>
  <c r="BJ110" i="28"/>
  <c r="BH110" i="28"/>
  <c r="BI110" i="28" s="1"/>
  <c r="H110" i="28"/>
  <c r="G110" i="28"/>
  <c r="F110" i="28"/>
  <c r="DC51" i="28" s="1"/>
  <c r="BK109" i="28"/>
  <c r="BJ109" i="28"/>
  <c r="BI109" i="28"/>
  <c r="BH109" i="28"/>
  <c r="H109" i="28"/>
  <c r="G109" i="28"/>
  <c r="F109" i="28"/>
  <c r="BK108" i="28"/>
  <c r="BJ108" i="28"/>
  <c r="BH108" i="28"/>
  <c r="BI108" i="28" s="1"/>
  <c r="H108" i="28"/>
  <c r="G108" i="28"/>
  <c r="F108" i="28"/>
  <c r="DC49" i="28" s="1"/>
  <c r="BK107" i="28"/>
  <c r="BJ107" i="28"/>
  <c r="BI107" i="28"/>
  <c r="BH107" i="28"/>
  <c r="H107" i="28"/>
  <c r="G107" i="28"/>
  <c r="F107" i="28"/>
  <c r="DC48" i="28" s="1"/>
  <c r="BK106" i="28"/>
  <c r="BJ106" i="28"/>
  <c r="BH106" i="28"/>
  <c r="BI106" i="28" s="1"/>
  <c r="H106" i="28"/>
  <c r="G106" i="28"/>
  <c r="F106" i="28"/>
  <c r="BK105" i="28"/>
  <c r="BJ105" i="28"/>
  <c r="BI105" i="28"/>
  <c r="BH105" i="28"/>
  <c r="H105" i="28"/>
  <c r="G105" i="28"/>
  <c r="F105" i="28"/>
  <c r="DC46" i="28" s="1"/>
  <c r="BW105" i="28"/>
  <c r="BK104" i="28"/>
  <c r="BJ104" i="28"/>
  <c r="BH104" i="28"/>
  <c r="BI104" i="28" s="1"/>
  <c r="H104" i="28"/>
  <c r="G104" i="28"/>
  <c r="F104" i="28"/>
  <c r="DC45" i="28" s="1"/>
  <c r="BW104" i="28"/>
  <c r="BK103" i="28"/>
  <c r="BJ103" i="28"/>
  <c r="BH103" i="28"/>
  <c r="BI103" i="28" s="1"/>
  <c r="H103" i="28"/>
  <c r="G103" i="28"/>
  <c r="F103" i="28"/>
  <c r="DC44" i="28" s="1"/>
  <c r="BK102" i="28"/>
  <c r="BJ102" i="28"/>
  <c r="BH102" i="28"/>
  <c r="BI102" i="28" s="1"/>
  <c r="H102" i="28"/>
  <c r="G102" i="28"/>
  <c r="F102" i="28"/>
  <c r="DC43" i="28" s="1"/>
  <c r="BK101" i="28"/>
  <c r="BJ101" i="28"/>
  <c r="BI101" i="28"/>
  <c r="BH101" i="28"/>
  <c r="H101" i="28"/>
  <c r="G101" i="28"/>
  <c r="F101" i="28"/>
  <c r="DC42" i="28" s="1"/>
  <c r="BW101" i="28"/>
  <c r="BK100" i="28"/>
  <c r="BJ100" i="28"/>
  <c r="BH100" i="28"/>
  <c r="BI100" i="28" s="1"/>
  <c r="H100" i="28"/>
  <c r="G100" i="28"/>
  <c r="F100" i="28"/>
  <c r="BW100" i="28"/>
  <c r="BK99" i="28"/>
  <c r="BJ99" i="28"/>
  <c r="BH99" i="28"/>
  <c r="BI99" i="28" s="1"/>
  <c r="H99" i="28"/>
  <c r="G99" i="28"/>
  <c r="F99" i="28"/>
  <c r="BK98" i="28"/>
  <c r="BJ98" i="28"/>
  <c r="BH98" i="28"/>
  <c r="BI98" i="28" s="1"/>
  <c r="H98" i="28"/>
  <c r="G98" i="28"/>
  <c r="F98" i="28"/>
  <c r="DC39" i="28" s="1"/>
  <c r="BK97" i="28"/>
  <c r="BJ97" i="28"/>
  <c r="BI97" i="28"/>
  <c r="BH97" i="28"/>
  <c r="H97" i="28"/>
  <c r="G97" i="28"/>
  <c r="F97" i="28"/>
  <c r="DC38" i="28" s="1"/>
  <c r="BK96" i="28"/>
  <c r="BJ96" i="28"/>
  <c r="BH96" i="28"/>
  <c r="BI96" i="28" s="1"/>
  <c r="H96" i="28"/>
  <c r="G96" i="28"/>
  <c r="F96" i="28"/>
  <c r="DC37" i="28" s="1"/>
  <c r="BW96" i="28"/>
  <c r="BK95" i="28"/>
  <c r="BJ95" i="28"/>
  <c r="BH95" i="28"/>
  <c r="BI95" i="28" s="1"/>
  <c r="H95" i="28"/>
  <c r="G95" i="28"/>
  <c r="F95" i="28"/>
  <c r="DC36" i="28" s="1"/>
  <c r="BK94" i="28"/>
  <c r="BJ94" i="28"/>
  <c r="BH94" i="28"/>
  <c r="BI94" i="28" s="1"/>
  <c r="H94" i="28"/>
  <c r="G94" i="28"/>
  <c r="F94" i="28"/>
  <c r="BK93" i="28"/>
  <c r="BJ93" i="28"/>
  <c r="BI93" i="28"/>
  <c r="BH93" i="28"/>
  <c r="H93" i="28"/>
  <c r="G93" i="28"/>
  <c r="F93" i="28"/>
  <c r="CQ64" i="28" s="1"/>
  <c r="BK92" i="28"/>
  <c r="BJ92" i="28"/>
  <c r="BH92" i="28"/>
  <c r="BI92" i="28" s="1"/>
  <c r="H92" i="28"/>
  <c r="G92" i="28"/>
  <c r="F92" i="28"/>
  <c r="CQ63" i="28" s="1"/>
  <c r="BW92" i="28"/>
  <c r="BK91" i="28"/>
  <c r="BJ91" i="28"/>
  <c r="BH91" i="28"/>
  <c r="BI91" i="28" s="1"/>
  <c r="H91" i="28"/>
  <c r="G91" i="28"/>
  <c r="F91" i="28"/>
  <c r="BK90" i="28"/>
  <c r="BJ90" i="28"/>
  <c r="BH90" i="28"/>
  <c r="BI90" i="28" s="1"/>
  <c r="H90" i="28"/>
  <c r="G90" i="28"/>
  <c r="F90" i="28"/>
  <c r="CQ61" i="28" s="1"/>
  <c r="BK89" i="28"/>
  <c r="BJ89" i="28"/>
  <c r="BI89" i="28"/>
  <c r="BH89" i="28"/>
  <c r="H89" i="28"/>
  <c r="G89" i="28"/>
  <c r="F89" i="28"/>
  <c r="CQ60" i="28" s="1"/>
  <c r="BK88" i="28"/>
  <c r="BJ88" i="28"/>
  <c r="BH88" i="28"/>
  <c r="BI88" i="28" s="1"/>
  <c r="H88" i="28"/>
  <c r="G88" i="28"/>
  <c r="F88" i="28"/>
  <c r="CQ59" i="28" s="1"/>
  <c r="BW88" i="28"/>
  <c r="BK87" i="28"/>
  <c r="BJ87" i="28"/>
  <c r="BH87" i="28"/>
  <c r="BI87" i="28" s="1"/>
  <c r="H87" i="28"/>
  <c r="G87" i="28"/>
  <c r="F87" i="28"/>
  <c r="CQ58" i="28" s="1"/>
  <c r="BK86" i="28"/>
  <c r="BJ86" i="28"/>
  <c r="BH86" i="28"/>
  <c r="BI86" i="28" s="1"/>
  <c r="H86" i="28"/>
  <c r="G86" i="28"/>
  <c r="F86" i="28"/>
  <c r="CQ57" i="28" s="1"/>
  <c r="BK85" i="28"/>
  <c r="BJ85" i="28"/>
  <c r="BH85" i="28"/>
  <c r="BI85" i="28" s="1"/>
  <c r="H85" i="28"/>
  <c r="G85" i="28"/>
  <c r="F85" i="28"/>
  <c r="CQ56" i="28" s="1"/>
  <c r="BW85" i="28"/>
  <c r="BK84" i="28"/>
  <c r="BJ84" i="28"/>
  <c r="BH84" i="28"/>
  <c r="BI84" i="28" s="1"/>
  <c r="H84" i="28"/>
  <c r="G84" i="28"/>
  <c r="F84" i="28"/>
  <c r="CQ55" i="28" s="1"/>
  <c r="BW84" i="28"/>
  <c r="BK83" i="28"/>
  <c r="BJ83" i="28"/>
  <c r="BI83" i="28"/>
  <c r="BH83" i="28"/>
  <c r="H83" i="28"/>
  <c r="G83" i="28"/>
  <c r="F83" i="28"/>
  <c r="CQ54" i="28" s="1"/>
  <c r="BK82" i="28"/>
  <c r="BJ82" i="28"/>
  <c r="BH82" i="28"/>
  <c r="BI82" i="28" s="1"/>
  <c r="H82" i="28"/>
  <c r="G82" i="28"/>
  <c r="F82" i="28"/>
  <c r="CQ53" i="28" s="1"/>
  <c r="BK81" i="28"/>
  <c r="BJ81" i="28"/>
  <c r="BH81" i="28"/>
  <c r="BI81" i="28" s="1"/>
  <c r="H81" i="28"/>
  <c r="G81" i="28"/>
  <c r="F81" i="28"/>
  <c r="CQ52" i="28" s="1"/>
  <c r="BW81" i="28"/>
  <c r="BK80" i="28"/>
  <c r="BJ80" i="28"/>
  <c r="BH80" i="28"/>
  <c r="BI80" i="28" s="1"/>
  <c r="H80" i="28"/>
  <c r="G80" i="28"/>
  <c r="I80" i="28" s="1"/>
  <c r="CR51" i="28" s="1"/>
  <c r="F80" i="28"/>
  <c r="BW80" i="28"/>
  <c r="BK79" i="28"/>
  <c r="BJ79" i="28"/>
  <c r="BI79" i="28"/>
  <c r="BH79" i="28"/>
  <c r="H79" i="28"/>
  <c r="G79" i="28"/>
  <c r="F79" i="28"/>
  <c r="CQ50" i="28" s="1"/>
  <c r="BQ78" i="28"/>
  <c r="BP78" i="28"/>
  <c r="BK78" i="28"/>
  <c r="BJ78" i="28"/>
  <c r="BH78" i="28"/>
  <c r="BI78" i="28" s="1"/>
  <c r="H78" i="28"/>
  <c r="G78" i="28"/>
  <c r="F78" i="28"/>
  <c r="CQ49" i="28" s="1"/>
  <c r="BQ77" i="28"/>
  <c r="BP77" i="28"/>
  <c r="BK77" i="28"/>
  <c r="BJ77" i="28"/>
  <c r="BI77" i="28"/>
  <c r="BH77" i="28"/>
  <c r="H77" i="28"/>
  <c r="G77" i="28"/>
  <c r="F77" i="28"/>
  <c r="CQ48" i="28" s="1"/>
  <c r="BW77" i="28"/>
  <c r="BQ76" i="28"/>
  <c r="BP76" i="28"/>
  <c r="BK76" i="28"/>
  <c r="BJ76" i="28"/>
  <c r="BH76" i="28"/>
  <c r="BI76" i="28" s="1"/>
  <c r="H76" i="28"/>
  <c r="G76" i="28"/>
  <c r="F76" i="28"/>
  <c r="CQ47" i="28" s="1"/>
  <c r="BW76" i="28"/>
  <c r="BQ75" i="28"/>
  <c r="BP75" i="28"/>
  <c r="BK75" i="28"/>
  <c r="BJ75" i="28"/>
  <c r="BI75" i="28"/>
  <c r="BH75" i="28"/>
  <c r="H75" i="28"/>
  <c r="G75" i="28"/>
  <c r="F75" i="28"/>
  <c r="CQ46" i="28" s="1"/>
  <c r="BQ74" i="28"/>
  <c r="BP74" i="28"/>
  <c r="BK74" i="28"/>
  <c r="BJ74" i="28"/>
  <c r="BH74" i="28"/>
  <c r="BI74" i="28" s="1"/>
  <c r="H74" i="28"/>
  <c r="G74" i="28"/>
  <c r="F74" i="28"/>
  <c r="BQ73" i="28"/>
  <c r="BP73" i="28"/>
  <c r="BK73" i="28"/>
  <c r="BJ73" i="28"/>
  <c r="BI73" i="28"/>
  <c r="BH73" i="28"/>
  <c r="H73" i="28"/>
  <c r="G73" i="28"/>
  <c r="F73" i="28"/>
  <c r="CQ44" i="28" s="1"/>
  <c r="BW73" i="28"/>
  <c r="BQ72" i="28"/>
  <c r="BP72" i="28"/>
  <c r="BK72" i="28"/>
  <c r="BJ72" i="28"/>
  <c r="BH72" i="28"/>
  <c r="BI72" i="28" s="1"/>
  <c r="H72" i="28"/>
  <c r="G72" i="28"/>
  <c r="F72" i="28"/>
  <c r="CQ43" i="28" s="1"/>
  <c r="BW72" i="28"/>
  <c r="BQ71" i="28"/>
  <c r="BP71" i="28"/>
  <c r="BK71" i="28"/>
  <c r="BJ71" i="28"/>
  <c r="BI71" i="28"/>
  <c r="BH71" i="28"/>
  <c r="H71" i="28"/>
  <c r="G71" i="28"/>
  <c r="F71" i="28"/>
  <c r="CQ42" i="28" s="1"/>
  <c r="BW71" i="28"/>
  <c r="BQ70" i="28"/>
  <c r="BP70" i="28"/>
  <c r="BK70" i="28"/>
  <c r="BJ70" i="28"/>
  <c r="BH70" i="28"/>
  <c r="BI70" i="28" s="1"/>
  <c r="H70" i="28"/>
  <c r="G70" i="28"/>
  <c r="F70" i="28"/>
  <c r="CQ41" i="28" s="1"/>
  <c r="K70" i="28"/>
  <c r="BQ69" i="28"/>
  <c r="BP69" i="28"/>
  <c r="BK69" i="28"/>
  <c r="BJ69" i="28"/>
  <c r="BI69" i="28"/>
  <c r="BH69" i="28"/>
  <c r="H69" i="28"/>
  <c r="G69" i="28"/>
  <c r="F69" i="28"/>
  <c r="CQ40" i="28" s="1"/>
  <c r="BW69" i="28"/>
  <c r="BQ68" i="28"/>
  <c r="BP68" i="28"/>
  <c r="BK68" i="28"/>
  <c r="BJ68" i="28"/>
  <c r="BH68" i="28"/>
  <c r="BI68" i="28" s="1"/>
  <c r="H68" i="28"/>
  <c r="G68" i="28"/>
  <c r="F68" i="28"/>
  <c r="CQ39" i="28" s="1"/>
  <c r="BQ67" i="28"/>
  <c r="BP67" i="28"/>
  <c r="BK67" i="28"/>
  <c r="BJ67" i="28"/>
  <c r="BI67" i="28"/>
  <c r="BH67" i="28"/>
  <c r="H67" i="28"/>
  <c r="G67" i="28"/>
  <c r="F67" i="28"/>
  <c r="CQ38" i="28" s="1"/>
  <c r="BW67" i="28"/>
  <c r="BQ66" i="28"/>
  <c r="BP66" i="28"/>
  <c r="BK66" i="28"/>
  <c r="BJ66" i="28"/>
  <c r="BI66" i="28"/>
  <c r="BH66" i="28"/>
  <c r="H66" i="28"/>
  <c r="G66" i="28"/>
  <c r="F66" i="28"/>
  <c r="CQ37" i="28" s="1"/>
  <c r="BW66" i="28"/>
  <c r="BQ65" i="28"/>
  <c r="BP65" i="28"/>
  <c r="BK65" i="28"/>
  <c r="BJ65" i="28"/>
  <c r="BH65" i="28"/>
  <c r="BI65" i="28" s="1"/>
  <c r="H65" i="28"/>
  <c r="G65" i="28"/>
  <c r="F65" i="28"/>
  <c r="CQ36" i="28" s="1"/>
  <c r="EG64" i="28"/>
  <c r="DZ64" i="28"/>
  <c r="DY64" i="28"/>
  <c r="DU64" i="28"/>
  <c r="DO64" i="28"/>
  <c r="DN64" i="28"/>
  <c r="DM64" i="28"/>
  <c r="DI64" i="28"/>
  <c r="DB64" i="28"/>
  <c r="DA64" i="28"/>
  <c r="CW64" i="28"/>
  <c r="CP64" i="28"/>
  <c r="CO64" i="28"/>
  <c r="CK64" i="28"/>
  <c r="CD64" i="28"/>
  <c r="CC64" i="28"/>
  <c r="BQ64" i="28"/>
  <c r="BP64" i="28"/>
  <c r="BK64" i="28"/>
  <c r="BJ64" i="28"/>
  <c r="BH64" i="28"/>
  <c r="BI64" i="28" s="1"/>
  <c r="H64" i="28"/>
  <c r="G64" i="28"/>
  <c r="F64" i="28"/>
  <c r="CQ35" i="28" s="1"/>
  <c r="EG63" i="28"/>
  <c r="EA63" i="28"/>
  <c r="DZ63" i="28"/>
  <c r="DY63" i="28"/>
  <c r="DU63" i="28"/>
  <c r="DO63" i="28"/>
  <c r="DN63" i="28"/>
  <c r="DM63" i="28"/>
  <c r="DI63" i="28"/>
  <c r="DB63" i="28"/>
  <c r="DA63" i="28"/>
  <c r="CW63" i="28"/>
  <c r="CP63" i="28"/>
  <c r="CO63" i="28"/>
  <c r="CK63" i="28"/>
  <c r="CD63" i="28"/>
  <c r="CC63" i="28"/>
  <c r="BR63" i="28"/>
  <c r="BQ63" i="28"/>
  <c r="BP63" i="28"/>
  <c r="BK63" i="28"/>
  <c r="BJ63" i="28"/>
  <c r="BH63" i="28"/>
  <c r="BI63" i="28" s="1"/>
  <c r="AZ63" i="28"/>
  <c r="H63" i="28"/>
  <c r="G63" i="28"/>
  <c r="F63" i="28"/>
  <c r="CE64" i="28" s="1"/>
  <c r="EG62" i="28"/>
  <c r="DZ62" i="28"/>
  <c r="DY62" i="28"/>
  <c r="DU62" i="28"/>
  <c r="DN62" i="28"/>
  <c r="DM62" i="28"/>
  <c r="DI62" i="28"/>
  <c r="DB62" i="28"/>
  <c r="DA62" i="28"/>
  <c r="CW62" i="28"/>
  <c r="CQ62" i="28"/>
  <c r="CP62" i="28"/>
  <c r="CO62" i="28"/>
  <c r="CK62" i="28"/>
  <c r="CD62" i="28"/>
  <c r="CC62" i="28"/>
  <c r="BW62" i="28"/>
  <c r="BR62" i="28"/>
  <c r="BQ62" i="28"/>
  <c r="BP62" i="28"/>
  <c r="BK62" i="28"/>
  <c r="BJ62" i="28"/>
  <c r="BH62" i="28"/>
  <c r="BI62" i="28" s="1"/>
  <c r="AZ62" i="28"/>
  <c r="H62" i="28"/>
  <c r="G62" i="28"/>
  <c r="F62" i="28"/>
  <c r="CE63" i="28" s="1"/>
  <c r="EG61" i="28"/>
  <c r="EA61" i="28"/>
  <c r="DZ61" i="28"/>
  <c r="DY61" i="28"/>
  <c r="DU61" i="28"/>
  <c r="DN61" i="28"/>
  <c r="DM61" i="28"/>
  <c r="DI61" i="28"/>
  <c r="DC61" i="28"/>
  <c r="DB61" i="28"/>
  <c r="DA61" i="28"/>
  <c r="CW61" i="28"/>
  <c r="CP61" i="28"/>
  <c r="CO61" i="28"/>
  <c r="CK61" i="28"/>
  <c r="CD61" i="28"/>
  <c r="CC61" i="28"/>
  <c r="BR61" i="28"/>
  <c r="BQ61" i="28"/>
  <c r="BP61" i="28"/>
  <c r="BK61" i="28"/>
  <c r="BJ61" i="28"/>
  <c r="BH61" i="28"/>
  <c r="BI61" i="28" s="1"/>
  <c r="AZ61" i="28"/>
  <c r="H61" i="28"/>
  <c r="G61" i="28"/>
  <c r="F61" i="28"/>
  <c r="CE62" i="28" s="1"/>
  <c r="EG60" i="28"/>
  <c r="EA60" i="28"/>
  <c r="DZ60" i="28"/>
  <c r="DY60" i="28"/>
  <c r="DU60" i="28"/>
  <c r="DN60" i="28"/>
  <c r="DM60" i="28"/>
  <c r="DI60" i="28"/>
  <c r="DC60" i="28"/>
  <c r="DB60" i="28"/>
  <c r="DA60" i="28"/>
  <c r="CW60" i="28"/>
  <c r="CP60" i="28"/>
  <c r="CO60" i="28"/>
  <c r="CK60" i="28"/>
  <c r="CD60" i="28"/>
  <c r="CC60" i="28"/>
  <c r="BX60" i="28"/>
  <c r="BR60" i="28"/>
  <c r="BQ60" i="28"/>
  <c r="BP60" i="28"/>
  <c r="BK60" i="28"/>
  <c r="BJ60" i="28"/>
  <c r="BH60" i="28"/>
  <c r="BI60" i="28" s="1"/>
  <c r="AZ60" i="28"/>
  <c r="H60" i="28"/>
  <c r="G60" i="28"/>
  <c r="F60" i="28"/>
  <c r="CE61" i="28" s="1"/>
  <c r="EG59" i="28"/>
  <c r="EA59" i="28"/>
  <c r="DZ59" i="28"/>
  <c r="DY59" i="28"/>
  <c r="DU59" i="28"/>
  <c r="DN59" i="28"/>
  <c r="DM59" i="28"/>
  <c r="DI59" i="28"/>
  <c r="DC59" i="28"/>
  <c r="DB59" i="28"/>
  <c r="DA59" i="28"/>
  <c r="CW59" i="28"/>
  <c r="CP59" i="28"/>
  <c r="CO59" i="28"/>
  <c r="CK59" i="28"/>
  <c r="CD59" i="28"/>
  <c r="CC59" i="28"/>
  <c r="BX59" i="28"/>
  <c r="BR59" i="28"/>
  <c r="BQ59" i="28"/>
  <c r="BP59" i="28"/>
  <c r="BK59" i="28"/>
  <c r="BJ59" i="28"/>
  <c r="BH59" i="28"/>
  <c r="BI59" i="28" s="1"/>
  <c r="AZ59" i="28"/>
  <c r="H59" i="28"/>
  <c r="G59" i="28"/>
  <c r="F59" i="28"/>
  <c r="CE60" i="28" s="1"/>
  <c r="EG58" i="28"/>
  <c r="DZ58" i="28"/>
  <c r="DY58" i="28"/>
  <c r="DU58" i="28"/>
  <c r="DN58" i="28"/>
  <c r="DM58" i="28"/>
  <c r="DI58" i="28"/>
  <c r="DC58" i="28"/>
  <c r="DB58" i="28"/>
  <c r="DA58" i="28"/>
  <c r="CW58" i="28"/>
  <c r="CP58" i="28"/>
  <c r="CO58" i="28"/>
  <c r="CK58" i="28"/>
  <c r="CD58" i="28"/>
  <c r="CC58" i="28"/>
  <c r="BX58" i="28"/>
  <c r="BR58" i="28"/>
  <c r="BQ58" i="28"/>
  <c r="BP58" i="28"/>
  <c r="BK58" i="28"/>
  <c r="BJ58" i="28"/>
  <c r="BH58" i="28"/>
  <c r="BI58" i="28" s="1"/>
  <c r="AZ58" i="28"/>
  <c r="H58" i="28"/>
  <c r="G58" i="28"/>
  <c r="F58" i="28"/>
  <c r="CE59" i="28" s="1"/>
  <c r="EG57" i="28"/>
  <c r="DZ57" i="28"/>
  <c r="DY57" i="28"/>
  <c r="DU57" i="28"/>
  <c r="DN57" i="28"/>
  <c r="DM57" i="28"/>
  <c r="DI57" i="28"/>
  <c r="DB57" i="28"/>
  <c r="DA57" i="28"/>
  <c r="CW57" i="28"/>
  <c r="CP57" i="28"/>
  <c r="CO57" i="28"/>
  <c r="CK57" i="28"/>
  <c r="CD57" i="28"/>
  <c r="CC57" i="28"/>
  <c r="BR57" i="28"/>
  <c r="BQ57" i="28"/>
  <c r="BP57" i="28"/>
  <c r="BK57" i="28"/>
  <c r="BJ57" i="28"/>
  <c r="BH57" i="28"/>
  <c r="BI57" i="28" s="1"/>
  <c r="AZ57" i="28"/>
  <c r="H57" i="28"/>
  <c r="G57" i="28"/>
  <c r="F57" i="28"/>
  <c r="CE58" i="28" s="1"/>
  <c r="EG56" i="28"/>
  <c r="DZ56" i="28"/>
  <c r="DY56" i="28"/>
  <c r="DU56" i="28"/>
  <c r="DN56" i="28"/>
  <c r="DM56" i="28"/>
  <c r="DI56" i="28"/>
  <c r="DB56" i="28"/>
  <c r="DA56" i="28"/>
  <c r="CW56" i="28"/>
  <c r="CP56" i="28"/>
  <c r="CO56" i="28"/>
  <c r="CK56" i="28"/>
  <c r="CD56" i="28"/>
  <c r="CC56" i="28"/>
  <c r="BR56" i="28"/>
  <c r="BQ56" i="28"/>
  <c r="BP56" i="28"/>
  <c r="BK56" i="28"/>
  <c r="BJ56" i="28"/>
  <c r="BH56" i="28"/>
  <c r="BI56" i="28" s="1"/>
  <c r="AZ56" i="28"/>
  <c r="H56" i="28"/>
  <c r="G56" i="28"/>
  <c r="F56" i="28"/>
  <c r="CE57" i="28" s="1"/>
  <c r="BW56" i="28"/>
  <c r="EG55" i="28"/>
  <c r="EA55" i="28"/>
  <c r="DZ55" i="28"/>
  <c r="DY55" i="28"/>
  <c r="DU55" i="28"/>
  <c r="DN55" i="28"/>
  <c r="DM55" i="28"/>
  <c r="DI55" i="28"/>
  <c r="DB55" i="28"/>
  <c r="DA55" i="28"/>
  <c r="CW55" i="28"/>
  <c r="CP55" i="28"/>
  <c r="CO55" i="28"/>
  <c r="CK55" i="28"/>
  <c r="CD55" i="28"/>
  <c r="CC55" i="28"/>
  <c r="BR55" i="28"/>
  <c r="BQ55" i="28"/>
  <c r="BP55" i="28"/>
  <c r="BK55" i="28"/>
  <c r="BJ55" i="28"/>
  <c r="BH55" i="28"/>
  <c r="BI55" i="28" s="1"/>
  <c r="AZ55" i="28"/>
  <c r="H55" i="28"/>
  <c r="G55" i="28"/>
  <c r="F55" i="28"/>
  <c r="CE56" i="28" s="1"/>
  <c r="EG54" i="28"/>
  <c r="DZ54" i="28"/>
  <c r="DY54" i="28"/>
  <c r="DU54" i="28"/>
  <c r="DO54" i="28"/>
  <c r="DN54" i="28"/>
  <c r="DM54" i="28"/>
  <c r="DI54" i="28"/>
  <c r="DB54" i="28"/>
  <c r="DA54" i="28"/>
  <c r="CW54" i="28"/>
  <c r="CP54" i="28"/>
  <c r="CO54" i="28"/>
  <c r="CK54" i="28"/>
  <c r="CD54" i="28"/>
  <c r="CC54" i="28"/>
  <c r="BR54" i="28"/>
  <c r="BQ54" i="28"/>
  <c r="BP54" i="28"/>
  <c r="BK54" i="28"/>
  <c r="BJ54" i="28"/>
  <c r="BH54" i="28"/>
  <c r="BI54" i="28" s="1"/>
  <c r="AZ54" i="28"/>
  <c r="H54" i="28"/>
  <c r="G54" i="28"/>
  <c r="F54" i="28"/>
  <c r="CE55" i="28" s="1"/>
  <c r="BW54" i="28"/>
  <c r="EG53" i="28"/>
  <c r="DZ53" i="28"/>
  <c r="DY53" i="28"/>
  <c r="DU53" i="28"/>
  <c r="DO53" i="28"/>
  <c r="DN53" i="28"/>
  <c r="DM53" i="28"/>
  <c r="DI53" i="28"/>
  <c r="DC53" i="28"/>
  <c r="DB53" i="28"/>
  <c r="DA53" i="28"/>
  <c r="CW53" i="28"/>
  <c r="CP53" i="28"/>
  <c r="CO53" i="28"/>
  <c r="CK53" i="28"/>
  <c r="CD53" i="28"/>
  <c r="CC53" i="28"/>
  <c r="BR53" i="28"/>
  <c r="BQ53" i="28"/>
  <c r="BP53" i="28"/>
  <c r="BK53" i="28"/>
  <c r="BJ53" i="28"/>
  <c r="BH53" i="28"/>
  <c r="BI53" i="28" s="1"/>
  <c r="AZ53" i="28"/>
  <c r="H53" i="28"/>
  <c r="G53" i="28"/>
  <c r="F53" i="28"/>
  <c r="CE54" i="28" s="1"/>
  <c r="EG52" i="28"/>
  <c r="DZ52" i="28"/>
  <c r="DY52" i="28"/>
  <c r="DU52" i="28"/>
  <c r="DN52" i="28"/>
  <c r="DM52" i="28"/>
  <c r="DI52" i="28"/>
  <c r="DC52" i="28"/>
  <c r="DB52" i="28"/>
  <c r="DA52" i="28"/>
  <c r="CW52" i="28"/>
  <c r="CP52" i="28"/>
  <c r="CO52" i="28"/>
  <c r="CK52" i="28"/>
  <c r="CD52" i="28"/>
  <c r="CC52" i="28"/>
  <c r="BR52" i="28"/>
  <c r="BQ52" i="28"/>
  <c r="BP52" i="28"/>
  <c r="BK52" i="28"/>
  <c r="BJ52" i="28"/>
  <c r="BH52" i="28"/>
  <c r="BI52" i="28" s="1"/>
  <c r="AZ52" i="28"/>
  <c r="H52" i="28"/>
  <c r="G52" i="28"/>
  <c r="F52" i="28"/>
  <c r="CE53" i="28" s="1"/>
  <c r="EG51" i="28"/>
  <c r="EA51" i="28"/>
  <c r="DZ51" i="28"/>
  <c r="DY51" i="28"/>
  <c r="DU51" i="28"/>
  <c r="DN51" i="28"/>
  <c r="DM51" i="28"/>
  <c r="DI51" i="28"/>
  <c r="DB51" i="28"/>
  <c r="DA51" i="28"/>
  <c r="CW51" i="28"/>
  <c r="CQ51" i="28"/>
  <c r="CP51" i="28"/>
  <c r="CO51" i="28"/>
  <c r="CK51" i="28"/>
  <c r="CD51" i="28"/>
  <c r="CC51" i="28"/>
  <c r="BR51" i="28"/>
  <c r="BQ51" i="28"/>
  <c r="BP51" i="28"/>
  <c r="BK51" i="28"/>
  <c r="BJ51" i="28"/>
  <c r="BH51" i="28"/>
  <c r="BI51" i="28" s="1"/>
  <c r="AZ51" i="28"/>
  <c r="H51" i="28"/>
  <c r="G51" i="28"/>
  <c r="F51" i="28"/>
  <c r="CE52" i="28" s="1"/>
  <c r="EG50" i="28"/>
  <c r="DZ50" i="28"/>
  <c r="DY50" i="28"/>
  <c r="DU50" i="28"/>
  <c r="DN50" i="28"/>
  <c r="DM50" i="28"/>
  <c r="DI50" i="28"/>
  <c r="DC50" i="28"/>
  <c r="DB50" i="28"/>
  <c r="DA50" i="28"/>
  <c r="CW50" i="28"/>
  <c r="CP50" i="28"/>
  <c r="CO50" i="28"/>
  <c r="CK50" i="28"/>
  <c r="CD50" i="28"/>
  <c r="CC50" i="28"/>
  <c r="BR50" i="28"/>
  <c r="BQ50" i="28"/>
  <c r="BP50" i="28"/>
  <c r="BK50" i="28"/>
  <c r="BJ50" i="28"/>
  <c r="BH50" i="28"/>
  <c r="BI50" i="28" s="1"/>
  <c r="AZ50" i="28"/>
  <c r="H50" i="28"/>
  <c r="G50" i="28"/>
  <c r="F50" i="28"/>
  <c r="CE51" i="28" s="1"/>
  <c r="BW50" i="28"/>
  <c r="EG49" i="28"/>
  <c r="EA49" i="28"/>
  <c r="DZ49" i="28"/>
  <c r="DY49" i="28"/>
  <c r="DU49" i="28"/>
  <c r="DO49" i="28"/>
  <c r="DN49" i="28"/>
  <c r="DM49" i="28"/>
  <c r="DI49" i="28"/>
  <c r="DB49" i="28"/>
  <c r="DA49" i="28"/>
  <c r="CW49" i="28"/>
  <c r="CP49" i="28"/>
  <c r="CO49" i="28"/>
  <c r="CK49" i="28"/>
  <c r="CD49" i="28"/>
  <c r="CC49" i="28"/>
  <c r="BR49" i="28"/>
  <c r="BQ49" i="28"/>
  <c r="BP49" i="28"/>
  <c r="BK49" i="28"/>
  <c r="BJ49" i="28"/>
  <c r="BI49" i="28"/>
  <c r="BH49" i="28"/>
  <c r="AZ49" i="28"/>
  <c r="H49" i="28"/>
  <c r="G49" i="28"/>
  <c r="F49" i="28"/>
  <c r="CE50" i="28" s="1"/>
  <c r="EG48" i="28"/>
  <c r="DZ48" i="28"/>
  <c r="DY48" i="28"/>
  <c r="DU48" i="28"/>
  <c r="DO48" i="28"/>
  <c r="DN48" i="28"/>
  <c r="DM48" i="28"/>
  <c r="DI48" i="28"/>
  <c r="DB48" i="28"/>
  <c r="DA48" i="28"/>
  <c r="CW48" i="28"/>
  <c r="CP48" i="28"/>
  <c r="CO48" i="28"/>
  <c r="CK48" i="28"/>
  <c r="CD48" i="28"/>
  <c r="CC48" i="28"/>
  <c r="BX48" i="28"/>
  <c r="BR48" i="28"/>
  <c r="BQ48" i="28"/>
  <c r="BP48" i="28"/>
  <c r="BK48" i="28"/>
  <c r="BJ48" i="28"/>
  <c r="BI48" i="28"/>
  <c r="BH48" i="28"/>
  <c r="AZ48" i="28"/>
  <c r="H48" i="28"/>
  <c r="G48" i="28"/>
  <c r="F48" i="28"/>
  <c r="CE49" i="28" s="1"/>
  <c r="BW48" i="28"/>
  <c r="EG47" i="28"/>
  <c r="DZ47" i="28"/>
  <c r="DY47" i="28"/>
  <c r="DU47" i="28"/>
  <c r="DN47" i="28"/>
  <c r="DM47" i="28"/>
  <c r="DI47" i="28"/>
  <c r="DC47" i="28"/>
  <c r="DB47" i="28"/>
  <c r="DA47" i="28"/>
  <c r="CW47" i="28"/>
  <c r="CP47" i="28"/>
  <c r="CO47" i="28"/>
  <c r="CK47" i="28"/>
  <c r="CD47" i="28"/>
  <c r="CC47" i="28"/>
  <c r="BX47" i="28"/>
  <c r="BR47" i="28"/>
  <c r="BQ47" i="28"/>
  <c r="BP47" i="28"/>
  <c r="BK47" i="28"/>
  <c r="BJ47" i="28"/>
  <c r="BI47" i="28"/>
  <c r="BH47" i="28"/>
  <c r="AZ47" i="28"/>
  <c r="H47" i="28"/>
  <c r="G47" i="28"/>
  <c r="F47" i="28"/>
  <c r="CE48" i="28" s="1"/>
  <c r="EG46" i="28"/>
  <c r="DZ46" i="28"/>
  <c r="DY46" i="28"/>
  <c r="DU46" i="28"/>
  <c r="DN46" i="28"/>
  <c r="DM46" i="28"/>
  <c r="DI46" i="28"/>
  <c r="DB46" i="28"/>
  <c r="DA46" i="28"/>
  <c r="CW46" i="28"/>
  <c r="CP46" i="28"/>
  <c r="CO46" i="28"/>
  <c r="CK46" i="28"/>
  <c r="CD46" i="28"/>
  <c r="CC46" i="28"/>
  <c r="BX46" i="28"/>
  <c r="BR46" i="28"/>
  <c r="BQ46" i="28"/>
  <c r="BP46" i="28"/>
  <c r="BK46" i="28"/>
  <c r="BJ46" i="28"/>
  <c r="BI46" i="28"/>
  <c r="BH46" i="28"/>
  <c r="AZ46" i="28"/>
  <c r="H46" i="28"/>
  <c r="G46" i="28"/>
  <c r="F46" i="28"/>
  <c r="CE47" i="28" s="1"/>
  <c r="BW46" i="28"/>
  <c r="EG45" i="28"/>
  <c r="DZ45" i="28"/>
  <c r="DY45" i="28"/>
  <c r="DU45" i="28"/>
  <c r="DO45" i="28"/>
  <c r="DN45" i="28"/>
  <c r="DM45" i="28"/>
  <c r="DI45" i="28"/>
  <c r="DB45" i="28"/>
  <c r="DA45" i="28"/>
  <c r="CW45" i="28"/>
  <c r="CQ45" i="28"/>
  <c r="CP45" i="28"/>
  <c r="CO45" i="28"/>
  <c r="CK45" i="28"/>
  <c r="CD45" i="28"/>
  <c r="CC45" i="28"/>
  <c r="BX45" i="28"/>
  <c r="BR45" i="28"/>
  <c r="BQ45" i="28"/>
  <c r="BP45" i="28"/>
  <c r="BK45" i="28"/>
  <c r="BJ45" i="28"/>
  <c r="BI45" i="28"/>
  <c r="BH45" i="28"/>
  <c r="AZ45" i="28"/>
  <c r="H45" i="28"/>
  <c r="G45" i="28"/>
  <c r="F45" i="28"/>
  <c r="CE46" i="28" s="1"/>
  <c r="EG44" i="28"/>
  <c r="DZ44" i="28"/>
  <c r="DY44" i="28"/>
  <c r="DU44" i="28"/>
  <c r="DN44" i="28"/>
  <c r="DM44" i="28"/>
  <c r="DI44" i="28"/>
  <c r="DB44" i="28"/>
  <c r="DA44" i="28"/>
  <c r="CW44" i="28"/>
  <c r="CP44" i="28"/>
  <c r="CO44" i="28"/>
  <c r="CK44" i="28"/>
  <c r="CD44" i="28"/>
  <c r="CC44" i="28"/>
  <c r="BX44" i="28"/>
  <c r="BR44" i="28"/>
  <c r="BQ44" i="28"/>
  <c r="BP44" i="28"/>
  <c r="BK44" i="28"/>
  <c r="BJ44" i="28"/>
  <c r="BI44" i="28"/>
  <c r="BH44" i="28"/>
  <c r="AZ44" i="28"/>
  <c r="H44" i="28"/>
  <c r="G44" i="28"/>
  <c r="F44" i="28"/>
  <c r="CE45" i="28" s="1"/>
  <c r="BW44" i="28"/>
  <c r="EG43" i="28"/>
  <c r="EA43" i="28"/>
  <c r="DZ43" i="28"/>
  <c r="DY43" i="28"/>
  <c r="DU43" i="28"/>
  <c r="DN43" i="28"/>
  <c r="DM43" i="28"/>
  <c r="DI43" i="28"/>
  <c r="DB43" i="28"/>
  <c r="DA43" i="28"/>
  <c r="CW43" i="28"/>
  <c r="CP43" i="28"/>
  <c r="CO43" i="28"/>
  <c r="CK43" i="28"/>
  <c r="CD43" i="28"/>
  <c r="CC43" i="28"/>
  <c r="BX43" i="28"/>
  <c r="BR43" i="28"/>
  <c r="BQ43" i="28"/>
  <c r="BP43" i="28"/>
  <c r="BK43" i="28"/>
  <c r="BJ43" i="28"/>
  <c r="BI43" i="28"/>
  <c r="BH43" i="28"/>
  <c r="AZ43" i="28"/>
  <c r="H43" i="28"/>
  <c r="EG42" i="28"/>
  <c r="DZ42" i="28"/>
  <c r="DY42" i="28"/>
  <c r="DU42" i="28"/>
  <c r="DN42" i="28"/>
  <c r="DM42" i="28"/>
  <c r="DI42" i="28"/>
  <c r="DB42" i="28"/>
  <c r="DA42" i="28"/>
  <c r="CW42" i="28"/>
  <c r="CP42" i="28"/>
  <c r="CO42" i="28"/>
  <c r="CK42" i="28"/>
  <c r="CD42" i="28"/>
  <c r="CC42" i="28"/>
  <c r="BX42" i="28"/>
  <c r="BR42" i="28"/>
  <c r="BQ42" i="28"/>
  <c r="BP42" i="28"/>
  <c r="BK42" i="28"/>
  <c r="BJ42" i="28"/>
  <c r="BH42" i="28"/>
  <c r="BI42" i="28" s="1"/>
  <c r="AZ42" i="28"/>
  <c r="H42" i="28"/>
  <c r="EG41" i="28"/>
  <c r="DZ41" i="28"/>
  <c r="DY41" i="28"/>
  <c r="DU41" i="28"/>
  <c r="DO41" i="28"/>
  <c r="DN41" i="28"/>
  <c r="DM41" i="28"/>
  <c r="DI41" i="28"/>
  <c r="DC41" i="28"/>
  <c r="DB41" i="28"/>
  <c r="DA41" i="28"/>
  <c r="CW41" i="28"/>
  <c r="CP41" i="28"/>
  <c r="CO41" i="28"/>
  <c r="CK41" i="28"/>
  <c r="CD41" i="28"/>
  <c r="CC41" i="28"/>
  <c r="BX41" i="28"/>
  <c r="BR41" i="28"/>
  <c r="BQ41" i="28"/>
  <c r="BP41" i="28"/>
  <c r="BK41" i="28"/>
  <c r="BJ41" i="28"/>
  <c r="BI41" i="28"/>
  <c r="BH41" i="28"/>
  <c r="AZ41" i="28"/>
  <c r="H41" i="28"/>
  <c r="EG40" i="28"/>
  <c r="EA40" i="28"/>
  <c r="DZ40" i="28"/>
  <c r="DY40" i="28"/>
  <c r="DU40" i="28"/>
  <c r="DN40" i="28"/>
  <c r="DM40" i="28"/>
  <c r="DI40" i="28"/>
  <c r="DC40" i="28"/>
  <c r="DB40" i="28"/>
  <c r="DA40" i="28"/>
  <c r="CW40" i="28"/>
  <c r="CP40" i="28"/>
  <c r="CO40" i="28"/>
  <c r="CK40" i="28"/>
  <c r="CD40" i="28"/>
  <c r="CC40" i="28"/>
  <c r="BX40" i="28"/>
  <c r="BR40" i="28"/>
  <c r="BQ40" i="28"/>
  <c r="BP40" i="28"/>
  <c r="BK40" i="28"/>
  <c r="BJ40" i="28"/>
  <c r="BH40" i="28"/>
  <c r="BI40" i="28" s="1"/>
  <c r="AZ40" i="28"/>
  <c r="H40" i="28"/>
  <c r="EG39" i="28"/>
  <c r="EA39" i="28"/>
  <c r="DZ39" i="28"/>
  <c r="DY39" i="28"/>
  <c r="DU39" i="28"/>
  <c r="DN39" i="28"/>
  <c r="DM39" i="28"/>
  <c r="DI39" i="28"/>
  <c r="DB39" i="28"/>
  <c r="DA39" i="28"/>
  <c r="CW39" i="28"/>
  <c r="CP39" i="28"/>
  <c r="CO39" i="28"/>
  <c r="CK39" i="28"/>
  <c r="CD39" i="28"/>
  <c r="CC39" i="28"/>
  <c r="BX39" i="28"/>
  <c r="BR39" i="28"/>
  <c r="BQ39" i="28"/>
  <c r="BP39" i="28"/>
  <c r="BK39" i="28"/>
  <c r="BJ39" i="28"/>
  <c r="BH39" i="28"/>
  <c r="BI39" i="28" s="1"/>
  <c r="AZ39" i="28"/>
  <c r="H39" i="28"/>
  <c r="EG38" i="28"/>
  <c r="DZ38" i="28"/>
  <c r="DY38" i="28"/>
  <c r="DU38" i="28"/>
  <c r="DN38" i="28"/>
  <c r="DM38" i="28"/>
  <c r="DI38" i="28"/>
  <c r="DB38" i="28"/>
  <c r="DA38" i="28"/>
  <c r="CW38" i="28"/>
  <c r="CP38" i="28"/>
  <c r="CO38" i="28"/>
  <c r="CK38" i="28"/>
  <c r="CD38" i="28"/>
  <c r="CC38" i="28"/>
  <c r="BX38" i="28"/>
  <c r="BR38" i="28"/>
  <c r="BQ38" i="28"/>
  <c r="BP38" i="28"/>
  <c r="BK38" i="28"/>
  <c r="BJ38" i="28"/>
  <c r="BI38" i="28"/>
  <c r="BH38" i="28"/>
  <c r="AZ38" i="28"/>
  <c r="H38" i="28"/>
  <c r="EG37" i="28"/>
  <c r="EB37" i="28"/>
  <c r="DZ37" i="28"/>
  <c r="DY37" i="28"/>
  <c r="DU37" i="28"/>
  <c r="DN37" i="28"/>
  <c r="DM37" i="28"/>
  <c r="DI37" i="28"/>
  <c r="DB37" i="28"/>
  <c r="DA37" i="28"/>
  <c r="CW37" i="28"/>
  <c r="CP37" i="28"/>
  <c r="CO37" i="28"/>
  <c r="CK37" i="28"/>
  <c r="CD37" i="28"/>
  <c r="CC37" i="28"/>
  <c r="BX37" i="28"/>
  <c r="BR37" i="28"/>
  <c r="BQ37" i="28"/>
  <c r="BP37" i="28"/>
  <c r="BK37" i="28"/>
  <c r="BJ37" i="28"/>
  <c r="BH37" i="28"/>
  <c r="BI37" i="28" s="1"/>
  <c r="AZ37" i="28"/>
  <c r="H37" i="28"/>
  <c r="EG36" i="28"/>
  <c r="EA36" i="28"/>
  <c r="DZ36" i="28"/>
  <c r="DY36" i="28"/>
  <c r="DU36" i="28"/>
  <c r="DN36" i="28"/>
  <c r="DM36" i="28"/>
  <c r="DI36" i="28"/>
  <c r="DB36" i="28"/>
  <c r="DA36" i="28"/>
  <c r="CW36" i="28"/>
  <c r="CP36" i="28"/>
  <c r="CO36" i="28"/>
  <c r="CK36" i="28"/>
  <c r="CD36" i="28"/>
  <c r="CC36" i="28"/>
  <c r="BX36" i="28"/>
  <c r="BR36" i="28"/>
  <c r="BQ36" i="28"/>
  <c r="BP36" i="28"/>
  <c r="BK36" i="28"/>
  <c r="BJ36" i="28"/>
  <c r="BH36" i="28"/>
  <c r="BI36" i="28" s="1"/>
  <c r="AZ36" i="28"/>
  <c r="H36" i="28"/>
  <c r="EG35" i="28"/>
  <c r="EA35" i="28"/>
  <c r="DZ35" i="28"/>
  <c r="DY35" i="28"/>
  <c r="DU35" i="28"/>
  <c r="DN35" i="28"/>
  <c r="DM35" i="28"/>
  <c r="DI35" i="28"/>
  <c r="DC35" i="28"/>
  <c r="DB35" i="28"/>
  <c r="DA35" i="28"/>
  <c r="CW35" i="28"/>
  <c r="CP35" i="28"/>
  <c r="CO35" i="28"/>
  <c r="CK35" i="28"/>
  <c r="CD35" i="28"/>
  <c r="CC35" i="28"/>
  <c r="BX35" i="28"/>
  <c r="BR35" i="28"/>
  <c r="BQ35" i="28"/>
  <c r="BP35" i="28"/>
  <c r="BK35" i="28"/>
  <c r="BJ35" i="28"/>
  <c r="BI35" i="28"/>
  <c r="BH35" i="28"/>
  <c r="AZ35" i="28"/>
  <c r="H35" i="28"/>
  <c r="BX34" i="28"/>
  <c r="BR34" i="28"/>
  <c r="BQ34" i="28"/>
  <c r="BP34" i="28"/>
  <c r="BK34" i="28"/>
  <c r="BJ34" i="28"/>
  <c r="BH34" i="28"/>
  <c r="BI34" i="28" s="1"/>
  <c r="AZ34" i="28"/>
  <c r="H34" i="28"/>
  <c r="I137" i="29" l="1"/>
  <c r="DP48" i="29" s="1"/>
  <c r="I139" i="29"/>
  <c r="I140" i="29"/>
  <c r="DP51" i="29" s="1"/>
  <c r="I148" i="29"/>
  <c r="DP59" i="29" s="1"/>
  <c r="I149" i="29"/>
  <c r="DP60" i="29" s="1"/>
  <c r="I151" i="29"/>
  <c r="DP62" i="29" s="1"/>
  <c r="I152" i="29"/>
  <c r="DP63" i="29" s="1"/>
  <c r="I153" i="29"/>
  <c r="DP64" i="29" s="1"/>
  <c r="I155" i="29"/>
  <c r="EB36" i="29" s="1"/>
  <c r="I156" i="29"/>
  <c r="O156" i="29" s="1"/>
  <c r="ED37" i="29" s="1"/>
  <c r="I157" i="29"/>
  <c r="EB38" i="29" s="1"/>
  <c r="I159" i="29"/>
  <c r="EB40" i="29" s="1"/>
  <c r="I160" i="29"/>
  <c r="J160" i="29" s="1"/>
  <c r="I169" i="29"/>
  <c r="EB50" i="29" s="1"/>
  <c r="I175" i="29"/>
  <c r="EB56" i="29" s="1"/>
  <c r="I176" i="29"/>
  <c r="I179" i="29"/>
  <c r="EB60" i="29" s="1"/>
  <c r="I180" i="29"/>
  <c r="Q180" i="29" s="1"/>
  <c r="EF61" i="29" s="1"/>
  <c r="I181" i="29"/>
  <c r="EB62" i="29" s="1"/>
  <c r="I173" i="29"/>
  <c r="EB54" i="29" s="1"/>
  <c r="I174" i="29"/>
  <c r="EB55" i="29" s="1"/>
  <c r="I177" i="29"/>
  <c r="EB58" i="29" s="1"/>
  <c r="I178" i="29"/>
  <c r="EB59" i="29" s="1"/>
  <c r="I182" i="29"/>
  <c r="EB63" i="29" s="1"/>
  <c r="I183" i="29"/>
  <c r="EB64" i="29" s="1"/>
  <c r="I50" i="29"/>
  <c r="CF51" i="29" s="1"/>
  <c r="I52" i="29"/>
  <c r="I53" i="29"/>
  <c r="I55" i="29"/>
  <c r="CF56" i="29" s="1"/>
  <c r="I62" i="29"/>
  <c r="O62" i="29" s="1"/>
  <c r="CH63" i="29" s="1"/>
  <c r="I65" i="29"/>
  <c r="CR36" i="29" s="1"/>
  <c r="I69" i="29"/>
  <c r="CR40" i="29" s="1"/>
  <c r="I76" i="29"/>
  <c r="CR47" i="29" s="1"/>
  <c r="I80" i="29"/>
  <c r="CR51" i="29" s="1"/>
  <c r="I81" i="29"/>
  <c r="CR52" i="29" s="1"/>
  <c r="I82" i="29"/>
  <c r="I87" i="29"/>
  <c r="CR58" i="29" s="1"/>
  <c r="I96" i="29"/>
  <c r="DD37" i="29" s="1"/>
  <c r="I97" i="29"/>
  <c r="DD38" i="29" s="1"/>
  <c r="I98" i="29"/>
  <c r="I125" i="29"/>
  <c r="DP36" i="29" s="1"/>
  <c r="I127" i="29"/>
  <c r="DP38" i="29" s="1"/>
  <c r="I128" i="29"/>
  <c r="I141" i="29"/>
  <c r="DP52" i="29" s="1"/>
  <c r="I143" i="29"/>
  <c r="Q143" i="29" s="1"/>
  <c r="DT54" i="29" s="1"/>
  <c r="I144" i="29"/>
  <c r="I167" i="29"/>
  <c r="I168" i="29"/>
  <c r="I171" i="29"/>
  <c r="EB52" i="29" s="1"/>
  <c r="M45" i="29"/>
  <c r="BW45" i="29"/>
  <c r="BW43" i="29"/>
  <c r="K41" i="29"/>
  <c r="BW35" i="29"/>
  <c r="I163" i="28"/>
  <c r="EB44" i="28" s="1"/>
  <c r="S46" i="28"/>
  <c r="S45" i="28"/>
  <c r="CR38" i="29"/>
  <c r="I81" i="28"/>
  <c r="CR52" i="28" s="1"/>
  <c r="I100" i="28"/>
  <c r="DD41" i="28" s="1"/>
  <c r="EB37" i="29"/>
  <c r="DP35" i="29"/>
  <c r="DP58" i="29"/>
  <c r="Q176" i="29"/>
  <c r="EF57" i="29" s="1"/>
  <c r="EB57" i="29"/>
  <c r="O68" i="29"/>
  <c r="CT39" i="29" s="1"/>
  <c r="CR39" i="29"/>
  <c r="I115" i="28"/>
  <c r="R115" i="28" s="1"/>
  <c r="I118" i="28"/>
  <c r="DD59" i="28" s="1"/>
  <c r="I154" i="28"/>
  <c r="EB35" i="28" s="1"/>
  <c r="Q76" i="29"/>
  <c r="CV47" i="29" s="1"/>
  <c r="R73" i="29"/>
  <c r="CX44" i="29" s="1"/>
  <c r="CR44" i="29"/>
  <c r="I113" i="29"/>
  <c r="I138" i="29"/>
  <c r="DP49" i="29" s="1"/>
  <c r="I142" i="29"/>
  <c r="DP53" i="29" s="1"/>
  <c r="J156" i="29"/>
  <c r="Q86" i="29"/>
  <c r="CV57" i="29" s="1"/>
  <c r="CR57" i="29"/>
  <c r="O115" i="29"/>
  <c r="DF56" i="29" s="1"/>
  <c r="DD56" i="29"/>
  <c r="Q168" i="29"/>
  <c r="EF49" i="29" s="1"/>
  <c r="EB49" i="29"/>
  <c r="Q90" i="29"/>
  <c r="CV61" i="29" s="1"/>
  <c r="CR61" i="29"/>
  <c r="R127" i="29"/>
  <c r="DV38" i="29" s="1"/>
  <c r="I58" i="29"/>
  <c r="Q58" i="29" s="1"/>
  <c r="CJ59" i="29" s="1"/>
  <c r="I161" i="29"/>
  <c r="EB42" i="29" s="1"/>
  <c r="I163" i="29"/>
  <c r="EB44" i="29" s="1"/>
  <c r="R48" i="29"/>
  <c r="CL49" i="29" s="1"/>
  <c r="I134" i="29"/>
  <c r="DP45" i="29" s="1"/>
  <c r="L136" i="30"/>
  <c r="L40" i="30"/>
  <c r="L173" i="30"/>
  <c r="L161" i="30"/>
  <c r="L149" i="30"/>
  <c r="L125" i="30"/>
  <c r="L97" i="30"/>
  <c r="L77" i="30"/>
  <c r="L65" i="30"/>
  <c r="L45" i="30"/>
  <c r="K162" i="30"/>
  <c r="J154" i="30"/>
  <c r="J175" i="30"/>
  <c r="J167" i="30"/>
  <c r="J159" i="30"/>
  <c r="J151" i="30"/>
  <c r="K178" i="30"/>
  <c r="J170" i="30"/>
  <c r="K170" i="30"/>
  <c r="J162" i="30"/>
  <c r="J178" i="30"/>
  <c r="K154" i="30"/>
  <c r="J183" i="30"/>
  <c r="K183" i="30"/>
  <c r="J155" i="30"/>
  <c r="K155" i="30"/>
  <c r="J139" i="30"/>
  <c r="K139" i="30"/>
  <c r="J107" i="30"/>
  <c r="K107" i="30"/>
  <c r="J91" i="30"/>
  <c r="K91" i="30"/>
  <c r="J67" i="30"/>
  <c r="K67" i="30"/>
  <c r="J171" i="30"/>
  <c r="K171" i="30"/>
  <c r="J147" i="30"/>
  <c r="K147" i="30"/>
  <c r="J131" i="30"/>
  <c r="K131" i="30"/>
  <c r="J115" i="30"/>
  <c r="K115" i="30"/>
  <c r="J99" i="30"/>
  <c r="K99" i="30"/>
  <c r="J83" i="30"/>
  <c r="K83" i="30"/>
  <c r="J75" i="30"/>
  <c r="K75" i="30"/>
  <c r="J59" i="30"/>
  <c r="K59" i="30"/>
  <c r="J51" i="30"/>
  <c r="K51" i="30"/>
  <c r="J43" i="30"/>
  <c r="K43" i="30"/>
  <c r="J35" i="30"/>
  <c r="K35" i="30"/>
  <c r="L35" i="30"/>
  <c r="K181" i="30"/>
  <c r="J181" i="30"/>
  <c r="J179" i="30"/>
  <c r="K179" i="30"/>
  <c r="J163" i="30"/>
  <c r="K163" i="30"/>
  <c r="J123" i="30"/>
  <c r="K123" i="30"/>
  <c r="J180" i="30"/>
  <c r="K180" i="30"/>
  <c r="J172" i="30"/>
  <c r="K172" i="30"/>
  <c r="J164" i="30"/>
  <c r="K164" i="30"/>
  <c r="J156" i="30"/>
  <c r="K156" i="30"/>
  <c r="J148" i="30"/>
  <c r="K148" i="30"/>
  <c r="K140" i="30"/>
  <c r="J140" i="30"/>
  <c r="K132" i="30"/>
  <c r="J132" i="30"/>
  <c r="K124" i="30"/>
  <c r="J124" i="30"/>
  <c r="K116" i="30"/>
  <c r="J116" i="30"/>
  <c r="K108" i="30"/>
  <c r="J108" i="30"/>
  <c r="K100" i="30"/>
  <c r="J100" i="30"/>
  <c r="K92" i="30"/>
  <c r="J92" i="30"/>
  <c r="K84" i="30"/>
  <c r="J84" i="30"/>
  <c r="K76" i="30"/>
  <c r="J76" i="30"/>
  <c r="K68" i="30"/>
  <c r="J68" i="30"/>
  <c r="K60" i="30"/>
  <c r="J60" i="30"/>
  <c r="K52" i="30"/>
  <c r="J52" i="30"/>
  <c r="K44" i="30"/>
  <c r="J44" i="30"/>
  <c r="K36" i="30"/>
  <c r="L36" i="30"/>
  <c r="J36" i="30"/>
  <c r="K177" i="30"/>
  <c r="K165" i="30"/>
  <c r="K153" i="30"/>
  <c r="J141" i="30"/>
  <c r="J129" i="30"/>
  <c r="J117" i="30"/>
  <c r="K117" i="30"/>
  <c r="J105" i="30"/>
  <c r="K105" i="30"/>
  <c r="J85" i="30"/>
  <c r="K85" i="30"/>
  <c r="J73" i="30"/>
  <c r="K73" i="30"/>
  <c r="J61" i="30"/>
  <c r="J49" i="30"/>
  <c r="J37" i="30"/>
  <c r="K37" i="30"/>
  <c r="J168" i="30"/>
  <c r="K168" i="30"/>
  <c r="K144" i="30"/>
  <c r="J144" i="30"/>
  <c r="K104" i="30"/>
  <c r="K88" i="30"/>
  <c r="K72" i="30"/>
  <c r="K56" i="30"/>
  <c r="K34" i="30"/>
  <c r="L34" i="30"/>
  <c r="J143" i="30"/>
  <c r="K143" i="30"/>
  <c r="J135" i="30"/>
  <c r="K135" i="30"/>
  <c r="J127" i="30"/>
  <c r="K127" i="30"/>
  <c r="J119" i="30"/>
  <c r="K119" i="30"/>
  <c r="J111" i="30"/>
  <c r="K111" i="30"/>
  <c r="J103" i="30"/>
  <c r="K103" i="30"/>
  <c r="J95" i="30"/>
  <c r="K95" i="30"/>
  <c r="J87" i="30"/>
  <c r="K87" i="30"/>
  <c r="J79" i="30"/>
  <c r="K79" i="30"/>
  <c r="J71" i="30"/>
  <c r="K71" i="30"/>
  <c r="J63" i="30"/>
  <c r="K63" i="30"/>
  <c r="J55" i="30"/>
  <c r="K55" i="30"/>
  <c r="J47" i="30"/>
  <c r="K47" i="30"/>
  <c r="J39" i="30"/>
  <c r="K39" i="30"/>
  <c r="K175" i="30"/>
  <c r="K167" i="30"/>
  <c r="K159" i="30"/>
  <c r="K151" i="30"/>
  <c r="K129" i="30"/>
  <c r="K169" i="30"/>
  <c r="K157" i="30"/>
  <c r="J145" i="30"/>
  <c r="J133" i="30"/>
  <c r="K133" i="30"/>
  <c r="J121" i="30"/>
  <c r="K121" i="30"/>
  <c r="J109" i="30"/>
  <c r="J97" i="30"/>
  <c r="J93" i="30"/>
  <c r="J81" i="30"/>
  <c r="J65" i="30"/>
  <c r="J53" i="30"/>
  <c r="K53" i="30"/>
  <c r="J41" i="30"/>
  <c r="K41" i="30"/>
  <c r="J176" i="30"/>
  <c r="K176" i="30"/>
  <c r="J152" i="30"/>
  <c r="K152" i="30"/>
  <c r="K128" i="30"/>
  <c r="J128" i="30"/>
  <c r="K120" i="30"/>
  <c r="K96" i="30"/>
  <c r="J96" i="30"/>
  <c r="K80" i="30"/>
  <c r="J80" i="30"/>
  <c r="K48" i="30"/>
  <c r="J48" i="30"/>
  <c r="J120" i="30"/>
  <c r="K109" i="30"/>
  <c r="J88" i="30"/>
  <c r="J56" i="30"/>
  <c r="K182" i="30"/>
  <c r="J177" i="30"/>
  <c r="K174" i="30"/>
  <c r="J169" i="30"/>
  <c r="K166" i="30"/>
  <c r="K158" i="30"/>
  <c r="J153" i="30"/>
  <c r="K150" i="30"/>
  <c r="J104" i="30"/>
  <c r="K93" i="30"/>
  <c r="J72" i="30"/>
  <c r="K61" i="30"/>
  <c r="K173" i="30"/>
  <c r="K161" i="30"/>
  <c r="K149" i="30"/>
  <c r="J137" i="30"/>
  <c r="K137" i="30"/>
  <c r="J125" i="30"/>
  <c r="J113" i="30"/>
  <c r="J101" i="30"/>
  <c r="K101" i="30"/>
  <c r="J89" i="30"/>
  <c r="K89" i="30"/>
  <c r="J77" i="30"/>
  <c r="J69" i="30"/>
  <c r="K69" i="30"/>
  <c r="J57" i="30"/>
  <c r="K57" i="30"/>
  <c r="J45" i="30"/>
  <c r="J160" i="30"/>
  <c r="K160" i="30"/>
  <c r="K136" i="30"/>
  <c r="K112" i="30"/>
  <c r="J112" i="30"/>
  <c r="K64" i="30"/>
  <c r="J64" i="30"/>
  <c r="K40" i="30"/>
  <c r="J165" i="30"/>
  <c r="J157" i="30"/>
  <c r="K141" i="30"/>
  <c r="J146" i="30"/>
  <c r="K146" i="30"/>
  <c r="J142" i="30"/>
  <c r="K142" i="30"/>
  <c r="J138" i="30"/>
  <c r="K138" i="30"/>
  <c r="J134" i="30"/>
  <c r="K134" i="30"/>
  <c r="J130" i="30"/>
  <c r="K130" i="30"/>
  <c r="J126" i="30"/>
  <c r="K126" i="30"/>
  <c r="J122" i="30"/>
  <c r="K122" i="30"/>
  <c r="J118" i="30"/>
  <c r="K118" i="30"/>
  <c r="J114" i="30"/>
  <c r="K114" i="30"/>
  <c r="J110" i="30"/>
  <c r="K110" i="30"/>
  <c r="J106" i="30"/>
  <c r="K106" i="30"/>
  <c r="J102" i="30"/>
  <c r="K102" i="30"/>
  <c r="J98" i="30"/>
  <c r="K98" i="30"/>
  <c r="J94" i="30"/>
  <c r="K94" i="30"/>
  <c r="J90" i="30"/>
  <c r="K90" i="30"/>
  <c r="J86" i="30"/>
  <c r="K86" i="30"/>
  <c r="J82" i="30"/>
  <c r="K82" i="30"/>
  <c r="J78" i="30"/>
  <c r="K78" i="30"/>
  <c r="J74" i="30"/>
  <c r="K74" i="30"/>
  <c r="J70" i="30"/>
  <c r="K70" i="30"/>
  <c r="J66" i="30"/>
  <c r="K66" i="30"/>
  <c r="J62" i="30"/>
  <c r="K62" i="30"/>
  <c r="J58" i="30"/>
  <c r="K58" i="30"/>
  <c r="J54" i="30"/>
  <c r="K54" i="30"/>
  <c r="J50" i="30"/>
  <c r="K50" i="30"/>
  <c r="J46" i="30"/>
  <c r="K46" i="30"/>
  <c r="J42" i="30"/>
  <c r="K42" i="30"/>
  <c r="J38" i="30"/>
  <c r="K38" i="30"/>
  <c r="J182" i="30"/>
  <c r="J174" i="30"/>
  <c r="J166" i="30"/>
  <c r="J158" i="30"/>
  <c r="J150" i="30"/>
  <c r="K145" i="30"/>
  <c r="K113" i="30"/>
  <c r="K81" i="30"/>
  <c r="K49" i="30"/>
  <c r="AG112" i="30"/>
  <c r="AG135" i="30"/>
  <c r="AG157" i="30"/>
  <c r="AG81" i="30"/>
  <c r="AG93" i="30"/>
  <c r="AG127" i="30"/>
  <c r="AG145" i="30"/>
  <c r="AG42" i="30"/>
  <c r="AG67" i="30"/>
  <c r="AG123" i="30"/>
  <c r="J34" i="30"/>
  <c r="AG44" i="30"/>
  <c r="AG48" i="30"/>
  <c r="AG50" i="30"/>
  <c r="AG64" i="30"/>
  <c r="AG111" i="30"/>
  <c r="AG119" i="30"/>
  <c r="AG139" i="30"/>
  <c r="AG89" i="30"/>
  <c r="AG115" i="30"/>
  <c r="AG116" i="30"/>
  <c r="AG143" i="30"/>
  <c r="AG151" i="30"/>
  <c r="AG165" i="30"/>
  <c r="AG46" i="30"/>
  <c r="AG56" i="30"/>
  <c r="AG58" i="30"/>
  <c r="AG62" i="30"/>
  <c r="AG85" i="30"/>
  <c r="AG108" i="30"/>
  <c r="O164" i="29"/>
  <c r="ED45" i="29" s="1"/>
  <c r="EB45" i="29"/>
  <c r="DP54" i="29"/>
  <c r="Q72" i="29"/>
  <c r="CV43" i="29" s="1"/>
  <c r="J72" i="29"/>
  <c r="O72" i="29"/>
  <c r="CT43" i="29" s="1"/>
  <c r="CR43" i="29"/>
  <c r="O101" i="29"/>
  <c r="DF42" i="29" s="1"/>
  <c r="DD42" i="29"/>
  <c r="Q114" i="29"/>
  <c r="DH55" i="29" s="1"/>
  <c r="DD55" i="29"/>
  <c r="O119" i="29"/>
  <c r="DF60" i="29" s="1"/>
  <c r="J119" i="29"/>
  <c r="DD60" i="29"/>
  <c r="Q139" i="29"/>
  <c r="DT50" i="29" s="1"/>
  <c r="DP50" i="29"/>
  <c r="R167" i="29"/>
  <c r="EH48" i="29" s="1"/>
  <c r="EB48" i="29"/>
  <c r="Q82" i="29"/>
  <c r="CV53" i="29" s="1"/>
  <c r="J82" i="29"/>
  <c r="CR53" i="29"/>
  <c r="O82" i="29"/>
  <c r="CT53" i="29" s="1"/>
  <c r="Q94" i="29"/>
  <c r="DH35" i="29" s="1"/>
  <c r="DD35" i="29"/>
  <c r="O94" i="29"/>
  <c r="DF35" i="29" s="1"/>
  <c r="J94" i="29"/>
  <c r="Q98" i="29"/>
  <c r="DH39" i="29" s="1"/>
  <c r="J98" i="29"/>
  <c r="DD39" i="29"/>
  <c r="Q135" i="29"/>
  <c r="DT46" i="29" s="1"/>
  <c r="DP46" i="29"/>
  <c r="R151" i="29"/>
  <c r="DV62" i="29" s="1"/>
  <c r="BF46" i="30"/>
  <c r="BD46" i="30"/>
  <c r="BH46" i="30"/>
  <c r="I59" i="29"/>
  <c r="I60" i="29"/>
  <c r="J90" i="29"/>
  <c r="I100" i="29"/>
  <c r="DD41" i="29" s="1"/>
  <c r="I105" i="29"/>
  <c r="I109" i="29"/>
  <c r="I111" i="29"/>
  <c r="J115" i="29"/>
  <c r="I122" i="29"/>
  <c r="DD63" i="29" s="1"/>
  <c r="I158" i="29"/>
  <c r="EB39" i="29" s="1"/>
  <c r="J168" i="29"/>
  <c r="J172" i="29"/>
  <c r="J176" i="29"/>
  <c r="AW35" i="30"/>
  <c r="AF36" i="30"/>
  <c r="AG36" i="30" s="1"/>
  <c r="AW37" i="30"/>
  <c r="AW39" i="30"/>
  <c r="AF40" i="30"/>
  <c r="AG40" i="30" s="1"/>
  <c r="BD53" i="30"/>
  <c r="BH53" i="30"/>
  <c r="BF53" i="30"/>
  <c r="BD55" i="30"/>
  <c r="BH55" i="30"/>
  <c r="BF55" i="30"/>
  <c r="J68" i="29"/>
  <c r="J76" i="29"/>
  <c r="J86" i="29"/>
  <c r="O90" i="29"/>
  <c r="CT61" i="29" s="1"/>
  <c r="I126" i="29"/>
  <c r="DP37" i="29" s="1"/>
  <c r="P144" i="29"/>
  <c r="DS55" i="29" s="1"/>
  <c r="J147" i="29"/>
  <c r="I154" i="29"/>
  <c r="EB35" i="29" s="1"/>
  <c r="O168" i="29"/>
  <c r="ED49" i="29" s="1"/>
  <c r="O172" i="29"/>
  <c r="ED53" i="29" s="1"/>
  <c r="O176" i="29"/>
  <c r="ED57" i="29" s="1"/>
  <c r="BK42" i="30"/>
  <c r="AE41" i="30"/>
  <c r="AG41" i="30" s="1"/>
  <c r="AF43" i="30"/>
  <c r="AE43" i="30"/>
  <c r="BK44" i="30"/>
  <c r="BD45" i="30"/>
  <c r="BH45" i="30"/>
  <c r="BG45" i="30"/>
  <c r="BK45" i="30"/>
  <c r="BF45" i="30"/>
  <c r="BD47" i="30"/>
  <c r="BH47" i="30"/>
  <c r="BG47" i="30"/>
  <c r="BK47" i="30"/>
  <c r="BF47" i="30"/>
  <c r="O76" i="29"/>
  <c r="CT47" i="29" s="1"/>
  <c r="O86" i="29"/>
  <c r="CT57" i="29" s="1"/>
  <c r="I130" i="29"/>
  <c r="BD144" i="29"/>
  <c r="I150" i="29"/>
  <c r="BK35" i="30"/>
  <c r="BJ37" i="30"/>
  <c r="BJ41" i="30"/>
  <c r="BD49" i="30"/>
  <c r="BH49" i="30"/>
  <c r="BG49" i="30"/>
  <c r="BK49" i="30"/>
  <c r="BF49" i="30"/>
  <c r="BD51" i="30"/>
  <c r="BH51" i="30"/>
  <c r="BK51" i="30"/>
  <c r="BF51" i="30"/>
  <c r="BG46" i="30"/>
  <c r="BG48" i="30"/>
  <c r="BH48" i="30"/>
  <c r="BG50" i="30"/>
  <c r="BH50" i="30"/>
  <c r="BG52" i="30"/>
  <c r="BH52" i="30"/>
  <c r="BK53" i="30"/>
  <c r="AE52" i="30"/>
  <c r="AG52" i="30" s="1"/>
  <c r="BG54" i="30"/>
  <c r="BH54" i="30"/>
  <c r="BK55" i="30"/>
  <c r="AE54" i="30"/>
  <c r="AG54" i="30" s="1"/>
  <c r="BH56" i="30"/>
  <c r="BK58" i="30"/>
  <c r="BF59" i="30"/>
  <c r="BK60" i="30"/>
  <c r="BF60" i="30"/>
  <c r="BD60" i="30"/>
  <c r="BG60" i="30"/>
  <c r="BJ46" i="30"/>
  <c r="AW45" i="30"/>
  <c r="BJ48" i="30"/>
  <c r="AW47" i="30"/>
  <c r="BD48" i="30"/>
  <c r="BJ50" i="30"/>
  <c r="AW49" i="30"/>
  <c r="BD50" i="30"/>
  <c r="BJ52" i="30"/>
  <c r="AW51" i="30"/>
  <c r="BD52" i="30"/>
  <c r="BJ54" i="30"/>
  <c r="AW53" i="30"/>
  <c r="BD54" i="30"/>
  <c r="BJ56" i="30"/>
  <c r="AW55" i="30"/>
  <c r="BK62" i="30"/>
  <c r="BF62" i="30"/>
  <c r="BD62" i="30"/>
  <c r="BH62" i="30"/>
  <c r="BG62" i="30"/>
  <c r="BH63" i="30"/>
  <c r="BG63" i="30"/>
  <c r="BK63" i="30"/>
  <c r="BF63" i="30"/>
  <c r="BD63" i="30"/>
  <c r="BW36" i="30"/>
  <c r="BR36" i="30"/>
  <c r="BT36" i="30"/>
  <c r="BS36" i="30"/>
  <c r="BT39" i="30"/>
  <c r="BR39" i="30"/>
  <c r="BK46" i="30"/>
  <c r="AE45" i="30"/>
  <c r="AG45" i="30" s="1"/>
  <c r="BF48" i="30"/>
  <c r="BK48" i="30"/>
  <c r="AE47" i="30"/>
  <c r="AG47" i="30" s="1"/>
  <c r="BF50" i="30"/>
  <c r="BK50" i="30"/>
  <c r="AE49" i="30"/>
  <c r="AG49" i="30" s="1"/>
  <c r="BG51" i="30"/>
  <c r="BF52" i="30"/>
  <c r="BK52" i="30"/>
  <c r="AE51" i="30"/>
  <c r="AG51" i="30" s="1"/>
  <c r="BF54" i="30"/>
  <c r="BK54" i="30"/>
  <c r="AE53" i="30"/>
  <c r="AG53" i="30" s="1"/>
  <c r="BG55" i="30"/>
  <c r="BF56" i="30"/>
  <c r="BK56" i="30"/>
  <c r="AE55" i="30"/>
  <c r="AG55" i="30" s="1"/>
  <c r="BH60" i="30"/>
  <c r="BJ43" i="30"/>
  <c r="BJ45" i="30"/>
  <c r="BJ47" i="30"/>
  <c r="BJ49" i="30"/>
  <c r="BJ51" i="30"/>
  <c r="BJ53" i="30"/>
  <c r="BJ55" i="30"/>
  <c r="BG56" i="30"/>
  <c r="BD58" i="30"/>
  <c r="BG58" i="30"/>
  <c r="BH58" i="30"/>
  <c r="BG59" i="30"/>
  <c r="BD59" i="30"/>
  <c r="BH61" i="30"/>
  <c r="BG61" i="30"/>
  <c r="BK61" i="30"/>
  <c r="BF61" i="30"/>
  <c r="BD61" i="30"/>
  <c r="BK64" i="30"/>
  <c r="BF64" i="30"/>
  <c r="BD64" i="30"/>
  <c r="BH64" i="30"/>
  <c r="BG64" i="30"/>
  <c r="BT35" i="30"/>
  <c r="BS35" i="30"/>
  <c r="BW35" i="30"/>
  <c r="BR35" i="30"/>
  <c r="BT38" i="30"/>
  <c r="BS38" i="30"/>
  <c r="BW38" i="30"/>
  <c r="BR38" i="30"/>
  <c r="BW40" i="30"/>
  <c r="BR40" i="30"/>
  <c r="BT40" i="30"/>
  <c r="BS40" i="30"/>
  <c r="BJ57" i="30"/>
  <c r="AF57" i="30"/>
  <c r="AG57" i="30" s="1"/>
  <c r="BJ59" i="30"/>
  <c r="AF59" i="30"/>
  <c r="AG59" i="30" s="1"/>
  <c r="BJ61" i="30"/>
  <c r="AF61" i="30"/>
  <c r="AG61" i="30" s="1"/>
  <c r="BJ63" i="30"/>
  <c r="AF63" i="30"/>
  <c r="AG63" i="30" s="1"/>
  <c r="BV35" i="30"/>
  <c r="AF65" i="30"/>
  <c r="AG65" i="30" s="1"/>
  <c r="BS37" i="30"/>
  <c r="BT37" i="30"/>
  <c r="BV38" i="30"/>
  <c r="BW39" i="30"/>
  <c r="AE68" i="30"/>
  <c r="AG68" i="30" s="1"/>
  <c r="AF69" i="30"/>
  <c r="AG69" i="30" s="1"/>
  <c r="BS41" i="30"/>
  <c r="BT41" i="30"/>
  <c r="AF70" i="30"/>
  <c r="AG70" i="30" s="1"/>
  <c r="AF71" i="30"/>
  <c r="AG71" i="30" s="1"/>
  <c r="BT42" i="30"/>
  <c r="BV42" i="30"/>
  <c r="AG72" i="30"/>
  <c r="AF75" i="30"/>
  <c r="BV37" i="30"/>
  <c r="AW66" i="30"/>
  <c r="BV41" i="30"/>
  <c r="AW70" i="30"/>
  <c r="BT43" i="30"/>
  <c r="BR43" i="30"/>
  <c r="BW44" i="30"/>
  <c r="BR44" i="30"/>
  <c r="BS44" i="30"/>
  <c r="BT45" i="30"/>
  <c r="BR45" i="30"/>
  <c r="AE75" i="30"/>
  <c r="BS46" i="30"/>
  <c r="BT46" i="30"/>
  <c r="BV46" i="30"/>
  <c r="BW47" i="30"/>
  <c r="BR47" i="30"/>
  <c r="BV47" i="30"/>
  <c r="BS48" i="30"/>
  <c r="BW48" i="30"/>
  <c r="BR48" i="30"/>
  <c r="BT48" i="30"/>
  <c r="BT49" i="30"/>
  <c r="BW49" i="30"/>
  <c r="BR49" i="30"/>
  <c r="BT51" i="30"/>
  <c r="BW51" i="30"/>
  <c r="BR51" i="30"/>
  <c r="BT55" i="30"/>
  <c r="BW55" i="30"/>
  <c r="BR55" i="30"/>
  <c r="BT59" i="30"/>
  <c r="BW59" i="30"/>
  <c r="BR59" i="30"/>
  <c r="BT63" i="30"/>
  <c r="BW63" i="30"/>
  <c r="BR63" i="30"/>
  <c r="CF37" i="30"/>
  <c r="CI37" i="30"/>
  <c r="CD37" i="30"/>
  <c r="BJ58" i="30"/>
  <c r="BJ60" i="30"/>
  <c r="BJ62" i="30"/>
  <c r="BJ64" i="30"/>
  <c r="BV36" i="30"/>
  <c r="BR37" i="30"/>
  <c r="BW37" i="30"/>
  <c r="AE66" i="30"/>
  <c r="AG66" i="30" s="1"/>
  <c r="BV40" i="30"/>
  <c r="BR41" i="30"/>
  <c r="BW41" i="30"/>
  <c r="BS43" i="30"/>
  <c r="BT44" i="30"/>
  <c r="BW46" i="30"/>
  <c r="AE76" i="30"/>
  <c r="AG76" i="30" s="1"/>
  <c r="AW76" i="30"/>
  <c r="BT52" i="30"/>
  <c r="BS52" i="30"/>
  <c r="BW52" i="30"/>
  <c r="BR52" i="30"/>
  <c r="BT56" i="30"/>
  <c r="BS56" i="30"/>
  <c r="BW56" i="30"/>
  <c r="BR56" i="30"/>
  <c r="BT60" i="30"/>
  <c r="BS60" i="30"/>
  <c r="BW60" i="30"/>
  <c r="BR60" i="30"/>
  <c r="BT64" i="30"/>
  <c r="BS64" i="30"/>
  <c r="BW64" i="30"/>
  <c r="BR64" i="30"/>
  <c r="CE38" i="30"/>
  <c r="CF38" i="30"/>
  <c r="CD38" i="30"/>
  <c r="BV39" i="30"/>
  <c r="BW43" i="30"/>
  <c r="BV43" i="30"/>
  <c r="AW72" i="30"/>
  <c r="BV45" i="30"/>
  <c r="AF74" i="30"/>
  <c r="AG74" i="30" s="1"/>
  <c r="AW74" i="30"/>
  <c r="BV49" i="30"/>
  <c r="AF78" i="30"/>
  <c r="AG78" i="30" s="1"/>
  <c r="AW78" i="30"/>
  <c r="BS50" i="30"/>
  <c r="BT50" i="30"/>
  <c r="AE79" i="30"/>
  <c r="BV51" i="30"/>
  <c r="AF80" i="30"/>
  <c r="AG80" i="30" s="1"/>
  <c r="AW82" i="30"/>
  <c r="BT54" i="30"/>
  <c r="AE83" i="30"/>
  <c r="BV55" i="30"/>
  <c r="AF84" i="30"/>
  <c r="AG84" i="30" s="1"/>
  <c r="AW86" i="30"/>
  <c r="BS58" i="30"/>
  <c r="BT58" i="30"/>
  <c r="AE87" i="30"/>
  <c r="BV59" i="30"/>
  <c r="AF88" i="30"/>
  <c r="AG88" i="30" s="1"/>
  <c r="AW90" i="30"/>
  <c r="BS62" i="30"/>
  <c r="BT62" i="30"/>
  <c r="AE91" i="30"/>
  <c r="BV63" i="30"/>
  <c r="AF92" i="30"/>
  <c r="AG92" i="30" s="1"/>
  <c r="AW94" i="30"/>
  <c r="CE36" i="30"/>
  <c r="CF36" i="30"/>
  <c r="AE95" i="30"/>
  <c r="CH37" i="30"/>
  <c r="AF96" i="30"/>
  <c r="AG96" i="30" s="1"/>
  <c r="AG100" i="30"/>
  <c r="AG103" i="30"/>
  <c r="CF45" i="30"/>
  <c r="CE45" i="30"/>
  <c r="CD45" i="30"/>
  <c r="CI51" i="30"/>
  <c r="CD51" i="30"/>
  <c r="CF51" i="30"/>
  <c r="CF56" i="30"/>
  <c r="CE56" i="30"/>
  <c r="CI56" i="30"/>
  <c r="CD56" i="30"/>
  <c r="CI63" i="30"/>
  <c r="CD63" i="30"/>
  <c r="CF63" i="30"/>
  <c r="CR37" i="30"/>
  <c r="CP37" i="30"/>
  <c r="CP39" i="30"/>
  <c r="CR39" i="30"/>
  <c r="BV50" i="30"/>
  <c r="AF79" i="30"/>
  <c r="BS53" i="30"/>
  <c r="BT53" i="30"/>
  <c r="AE82" i="30"/>
  <c r="BV54" i="30"/>
  <c r="AF83" i="30"/>
  <c r="BS57" i="30"/>
  <c r="BT57" i="30"/>
  <c r="AE86" i="30"/>
  <c r="BV58" i="30"/>
  <c r="AF87" i="30"/>
  <c r="BS61" i="30"/>
  <c r="BT61" i="30"/>
  <c r="AE90" i="30"/>
  <c r="BV62" i="30"/>
  <c r="AF91" i="30"/>
  <c r="CE35" i="30"/>
  <c r="CF35" i="30"/>
  <c r="AE94" i="30"/>
  <c r="CH36" i="30"/>
  <c r="AF95" i="30"/>
  <c r="CF39" i="30"/>
  <c r="CD39" i="30"/>
  <c r="CI42" i="30"/>
  <c r="AE101" i="30"/>
  <c r="AW101" i="30"/>
  <c r="CD42" i="30"/>
  <c r="CF42" i="30"/>
  <c r="CI47" i="30"/>
  <c r="CD47" i="30"/>
  <c r="CF47" i="30"/>
  <c r="CF52" i="30"/>
  <c r="CE52" i="30"/>
  <c r="CI52" i="30"/>
  <c r="CD52" i="30"/>
  <c r="CF60" i="30"/>
  <c r="CE60" i="30"/>
  <c r="CI60" i="30"/>
  <c r="CD60" i="30"/>
  <c r="CP35" i="30"/>
  <c r="CR35" i="30"/>
  <c r="BV53" i="30"/>
  <c r="AF82" i="30"/>
  <c r="BV57" i="30"/>
  <c r="AF86" i="30"/>
  <c r="BV61" i="30"/>
  <c r="AF90" i="30"/>
  <c r="CH35" i="30"/>
  <c r="AF94" i="30"/>
  <c r="CF40" i="30"/>
  <c r="CI40" i="30"/>
  <c r="CD40" i="30"/>
  <c r="CE40" i="30"/>
  <c r="CI43" i="30"/>
  <c r="CD43" i="30"/>
  <c r="CF43" i="30"/>
  <c r="CF48" i="30"/>
  <c r="CE48" i="30"/>
  <c r="CI48" i="30"/>
  <c r="CD48" i="30"/>
  <c r="CF53" i="30"/>
  <c r="CE53" i="30"/>
  <c r="CD53" i="30"/>
  <c r="CF57" i="30"/>
  <c r="CE57" i="30"/>
  <c r="CD57" i="30"/>
  <c r="AG120" i="30"/>
  <c r="CF64" i="30"/>
  <c r="CE64" i="30"/>
  <c r="CI64" i="30"/>
  <c r="CD64" i="30"/>
  <c r="BV44" i="30"/>
  <c r="AF73" i="30"/>
  <c r="AG73" i="30" s="1"/>
  <c r="BS45" i="30"/>
  <c r="BV48" i="30"/>
  <c r="AF77" i="30"/>
  <c r="AG77" i="30" s="1"/>
  <c r="BS49" i="30"/>
  <c r="BS51" i="30"/>
  <c r="BV52" i="30"/>
  <c r="BS55" i="30"/>
  <c r="BV56" i="30"/>
  <c r="BS59" i="30"/>
  <c r="BV60" i="30"/>
  <c r="BS63" i="30"/>
  <c r="BV64" i="30"/>
  <c r="CE37" i="30"/>
  <c r="AE97" i="30"/>
  <c r="AG97" i="30" s="1"/>
  <c r="AW97" i="30"/>
  <c r="CI38" i="30"/>
  <c r="CI39" i="30"/>
  <c r="AG99" i="30"/>
  <c r="CE41" i="30"/>
  <c r="CD41" i="30"/>
  <c r="CH42" i="30"/>
  <c r="AF101" i="30"/>
  <c r="CF44" i="30"/>
  <c r="CE44" i="30"/>
  <c r="CI44" i="30"/>
  <c r="CD44" i="30"/>
  <c r="AG104" i="30"/>
  <c r="AG107" i="30"/>
  <c r="CF49" i="30"/>
  <c r="CE49" i="30"/>
  <c r="CD49" i="30"/>
  <c r="CE55" i="30"/>
  <c r="CI55" i="30"/>
  <c r="CD55" i="30"/>
  <c r="CF55" i="30"/>
  <c r="CE59" i="30"/>
  <c r="CI59" i="30"/>
  <c r="CD59" i="30"/>
  <c r="CF59" i="30"/>
  <c r="CF61" i="30"/>
  <c r="CE61" i="30"/>
  <c r="CD61" i="30"/>
  <c r="CE39" i="30"/>
  <c r="AE98" i="30"/>
  <c r="AG98" i="30" s="1"/>
  <c r="CH40" i="30"/>
  <c r="CI41" i="30"/>
  <c r="CE43" i="30"/>
  <c r="AE102" i="30"/>
  <c r="AG102" i="30" s="1"/>
  <c r="CH44" i="30"/>
  <c r="CI45" i="30"/>
  <c r="CE46" i="30"/>
  <c r="AW105" i="30"/>
  <c r="CE47" i="30"/>
  <c r="AE106" i="30"/>
  <c r="AG106" i="30" s="1"/>
  <c r="CH48" i="30"/>
  <c r="CI49" i="30"/>
  <c r="CE50" i="30"/>
  <c r="AW109" i="30"/>
  <c r="CE51" i="30"/>
  <c r="AE110" i="30"/>
  <c r="AG110" i="30" s="1"/>
  <c r="CH52" i="30"/>
  <c r="CI53" i="30"/>
  <c r="CE54" i="30"/>
  <c r="AW113" i="30"/>
  <c r="AE114" i="30"/>
  <c r="AG114" i="30" s="1"/>
  <c r="CH56" i="30"/>
  <c r="CI57" i="30"/>
  <c r="AW117" i="30"/>
  <c r="AE118" i="30"/>
  <c r="AG118" i="30" s="1"/>
  <c r="CH60" i="30"/>
  <c r="CI61" i="30"/>
  <c r="CE62" i="30"/>
  <c r="AW121" i="30"/>
  <c r="CE63" i="30"/>
  <c r="AE122" i="30"/>
  <c r="AG122" i="30" s="1"/>
  <c r="CH64" i="30"/>
  <c r="CU35" i="30"/>
  <c r="AE124" i="30"/>
  <c r="AG124" i="30" s="1"/>
  <c r="CT35" i="30"/>
  <c r="AW124" i="30"/>
  <c r="CQ36" i="30"/>
  <c r="CR36" i="30"/>
  <c r="AE126" i="30"/>
  <c r="AG126" i="30" s="1"/>
  <c r="CU37" i="30"/>
  <c r="CT37" i="30"/>
  <c r="AW126" i="30"/>
  <c r="CP38" i="30"/>
  <c r="AE130" i="30"/>
  <c r="AG130" i="30" s="1"/>
  <c r="AW130" i="30"/>
  <c r="CU41" i="30"/>
  <c r="CR41" i="30"/>
  <c r="CP41" i="30"/>
  <c r="CR46" i="30"/>
  <c r="CQ46" i="30"/>
  <c r="CU46" i="30"/>
  <c r="CP46" i="30"/>
  <c r="CP47" i="30"/>
  <c r="CR47" i="30"/>
  <c r="CQ47" i="30"/>
  <c r="CH39" i="30"/>
  <c r="AW100" i="30"/>
  <c r="CH43" i="30"/>
  <c r="AW104" i="30"/>
  <c r="CF46" i="30"/>
  <c r="AE105" i="30"/>
  <c r="CH47" i="30"/>
  <c r="AW108" i="30"/>
  <c r="CF50" i="30"/>
  <c r="AE109" i="30"/>
  <c r="CH51" i="30"/>
  <c r="AW112" i="30"/>
  <c r="CF54" i="30"/>
  <c r="AE113" i="30"/>
  <c r="CH55" i="30"/>
  <c r="AW116" i="30"/>
  <c r="CE58" i="30"/>
  <c r="CF58" i="30"/>
  <c r="AE117" i="30"/>
  <c r="CH59" i="30"/>
  <c r="AW120" i="30"/>
  <c r="CF62" i="30"/>
  <c r="AE121" i="30"/>
  <c r="CH63" i="30"/>
  <c r="CR38" i="30"/>
  <c r="CU39" i="30"/>
  <c r="AF128" i="30"/>
  <c r="CT39" i="30"/>
  <c r="AE128" i="30"/>
  <c r="CR42" i="30"/>
  <c r="CQ42" i="30"/>
  <c r="CU42" i="30"/>
  <c r="CP42" i="30"/>
  <c r="CP43" i="30"/>
  <c r="CR43" i="30"/>
  <c r="CU51" i="30"/>
  <c r="CQ52" i="30"/>
  <c r="CU52" i="30"/>
  <c r="CP52" i="30"/>
  <c r="CR52" i="30"/>
  <c r="CH46" i="30"/>
  <c r="AF105" i="30"/>
  <c r="CH50" i="30"/>
  <c r="AF109" i="30"/>
  <c r="CH54" i="30"/>
  <c r="AF113" i="30"/>
  <c r="CH58" i="30"/>
  <c r="AF117" i="30"/>
  <c r="CH62" i="30"/>
  <c r="AF121" i="30"/>
  <c r="CQ40" i="30"/>
  <c r="CU40" i="30"/>
  <c r="CP40" i="30"/>
  <c r="CQ48" i="30"/>
  <c r="CU48" i="30"/>
  <c r="CP48" i="30"/>
  <c r="CR48" i="30"/>
  <c r="CQ54" i="30"/>
  <c r="CP54" i="30"/>
  <c r="CU54" i="30"/>
  <c r="CR54" i="30"/>
  <c r="CH41" i="30"/>
  <c r="CH45" i="30"/>
  <c r="CH49" i="30"/>
  <c r="CH53" i="30"/>
  <c r="CH57" i="30"/>
  <c r="CH61" i="30"/>
  <c r="CQ38" i="30"/>
  <c r="CQ44" i="30"/>
  <c r="CU44" i="30"/>
  <c r="CP44" i="30"/>
  <c r="CR44" i="30"/>
  <c r="CR50" i="30"/>
  <c r="CQ50" i="30"/>
  <c r="CU50" i="30"/>
  <c r="CP50" i="30"/>
  <c r="CP51" i="30"/>
  <c r="CR51" i="30"/>
  <c r="CQ51" i="30"/>
  <c r="CT45" i="30"/>
  <c r="AF134" i="30"/>
  <c r="AG134" i="30" s="1"/>
  <c r="CT49" i="30"/>
  <c r="AF138" i="30"/>
  <c r="AG138" i="30" s="1"/>
  <c r="CT53" i="30"/>
  <c r="AE142" i="30"/>
  <c r="AE144" i="30"/>
  <c r="CQ55" i="30"/>
  <c r="CP55" i="30"/>
  <c r="AF144" i="30"/>
  <c r="AE146" i="30"/>
  <c r="CQ57" i="30"/>
  <c r="AW146" i="30"/>
  <c r="CU57" i="30"/>
  <c r="CR57" i="30"/>
  <c r="CP57" i="30"/>
  <c r="DD37" i="30"/>
  <c r="DB37" i="30"/>
  <c r="DC37" i="30"/>
  <c r="CT36" i="30"/>
  <c r="AF125" i="30"/>
  <c r="AG125" i="30" s="1"/>
  <c r="AW127" i="30"/>
  <c r="CT40" i="30"/>
  <c r="AF129" i="30"/>
  <c r="AG129" i="30" s="1"/>
  <c r="AW131" i="30"/>
  <c r="AE132" i="30"/>
  <c r="CT44" i="30"/>
  <c r="AF133" i="30"/>
  <c r="AG133" i="30" s="1"/>
  <c r="CP45" i="30"/>
  <c r="CU45" i="30"/>
  <c r="AW135" i="30"/>
  <c r="AE136" i="30"/>
  <c r="CT48" i="30"/>
  <c r="AF137" i="30"/>
  <c r="AG137" i="30" s="1"/>
  <c r="CP49" i="30"/>
  <c r="CU49" i="30"/>
  <c r="AW139" i="30"/>
  <c r="AE140" i="30"/>
  <c r="CT52" i="30"/>
  <c r="AF141" i="30"/>
  <c r="AG141" i="30" s="1"/>
  <c r="CP53" i="30"/>
  <c r="AF142" i="30"/>
  <c r="CP63" i="30"/>
  <c r="CR63" i="30"/>
  <c r="DB39" i="30"/>
  <c r="DD39" i="30"/>
  <c r="CT43" i="30"/>
  <c r="AF132" i="30"/>
  <c r="CQ45" i="30"/>
  <c r="AW134" i="30"/>
  <c r="CT47" i="30"/>
  <c r="AF136" i="30"/>
  <c r="AW138" i="30"/>
  <c r="CT51" i="30"/>
  <c r="AF140" i="30"/>
  <c r="CQ53" i="30"/>
  <c r="AW142" i="30"/>
  <c r="CT55" i="30"/>
  <c r="AW144" i="30"/>
  <c r="CT57" i="30"/>
  <c r="AF146" i="30"/>
  <c r="CR58" i="30"/>
  <c r="CQ58" i="30"/>
  <c r="CU58" i="30"/>
  <c r="CP59" i="30"/>
  <c r="CR59" i="30"/>
  <c r="CR60" i="30"/>
  <c r="CQ60" i="30"/>
  <c r="CU60" i="30"/>
  <c r="CP60" i="30"/>
  <c r="CR64" i="30"/>
  <c r="CQ64" i="30"/>
  <c r="CU64" i="30"/>
  <c r="CP64" i="30"/>
  <c r="CT38" i="30"/>
  <c r="CT42" i="30"/>
  <c r="CT46" i="30"/>
  <c r="CQ49" i="30"/>
  <c r="CT50" i="30"/>
  <c r="AW143" i="30"/>
  <c r="CU55" i="30"/>
  <c r="AG149" i="30"/>
  <c r="CU62" i="30"/>
  <c r="CP62" i="30"/>
  <c r="CR62" i="30"/>
  <c r="CQ62" i="30"/>
  <c r="CU63" i="30"/>
  <c r="AG153" i="30"/>
  <c r="DC36" i="30"/>
  <c r="DD36" i="30"/>
  <c r="DB36" i="30"/>
  <c r="DG36" i="30"/>
  <c r="CT56" i="30"/>
  <c r="AW147" i="30"/>
  <c r="AE148" i="30"/>
  <c r="CT60" i="30"/>
  <c r="CP61" i="30"/>
  <c r="CU61" i="30"/>
  <c r="AW151" i="30"/>
  <c r="AE152" i="30"/>
  <c r="CT64" i="30"/>
  <c r="DB35" i="30"/>
  <c r="DG35" i="30"/>
  <c r="AE156" i="30"/>
  <c r="AG156" i="30" s="1"/>
  <c r="DG37" i="30"/>
  <c r="DF37" i="30"/>
  <c r="AW156" i="30"/>
  <c r="DD38" i="30"/>
  <c r="DG39" i="30"/>
  <c r="AF158" i="30"/>
  <c r="AE158" i="30"/>
  <c r="AG158" i="30" s="1"/>
  <c r="DC39" i="30"/>
  <c r="DF39" i="30"/>
  <c r="DG43" i="30"/>
  <c r="DC44" i="30"/>
  <c r="DG44" i="30"/>
  <c r="DB44" i="30"/>
  <c r="DD44" i="30"/>
  <c r="DB47" i="30"/>
  <c r="DD47" i="30"/>
  <c r="CT59" i="30"/>
  <c r="AF148" i="30"/>
  <c r="AW150" i="30"/>
  <c r="CT63" i="30"/>
  <c r="AF152" i="30"/>
  <c r="AW154" i="30"/>
  <c r="DC40" i="30"/>
  <c r="DG40" i="30"/>
  <c r="DB40" i="30"/>
  <c r="DD40" i="30"/>
  <c r="AG164" i="30"/>
  <c r="DD46" i="30"/>
  <c r="DC46" i="30"/>
  <c r="DG46" i="30"/>
  <c r="DB46" i="30"/>
  <c r="DD49" i="30"/>
  <c r="DB49" i="30"/>
  <c r="CT58" i="30"/>
  <c r="CR61" i="30"/>
  <c r="AE150" i="30"/>
  <c r="AG150" i="30" s="1"/>
  <c r="CT62" i="30"/>
  <c r="DC35" i="30"/>
  <c r="DD35" i="30"/>
  <c r="AE154" i="30"/>
  <c r="AG154" i="30" s="1"/>
  <c r="AW155" i="30"/>
  <c r="AF155" i="30"/>
  <c r="AE155" i="30"/>
  <c r="AW158" i="30"/>
  <c r="DB43" i="30"/>
  <c r="DD43" i="30"/>
  <c r="DC43" i="30"/>
  <c r="DC48" i="30"/>
  <c r="DG48" i="30"/>
  <c r="DB48" i="30"/>
  <c r="DD48" i="30"/>
  <c r="DB51" i="30"/>
  <c r="DD51" i="30"/>
  <c r="DC51" i="30"/>
  <c r="CT61" i="30"/>
  <c r="DF35" i="30"/>
  <c r="DC38" i="30"/>
  <c r="DB38" i="30"/>
  <c r="DD42" i="30"/>
  <c r="DC42" i="30"/>
  <c r="DG42" i="30"/>
  <c r="DB42" i="30"/>
  <c r="DD45" i="30"/>
  <c r="DB45" i="30"/>
  <c r="DF41" i="30"/>
  <c r="AF160" i="30"/>
  <c r="AG160" i="30" s="1"/>
  <c r="AW162" i="30"/>
  <c r="DF45" i="30"/>
  <c r="AF164" i="30"/>
  <c r="AW166" i="30"/>
  <c r="DF49" i="30"/>
  <c r="DB50" i="30"/>
  <c r="DC50" i="30"/>
  <c r="DD53" i="30"/>
  <c r="DG53" i="30"/>
  <c r="DB53" i="30"/>
  <c r="AG173" i="30"/>
  <c r="AG177" i="30"/>
  <c r="DB64" i="30"/>
  <c r="DD64" i="30"/>
  <c r="AW157" i="30"/>
  <c r="DF40" i="30"/>
  <c r="AF159" i="30"/>
  <c r="AG159" i="30" s="1"/>
  <c r="DB41" i="30"/>
  <c r="DG41" i="30"/>
  <c r="AW161" i="30"/>
  <c r="AE162" i="30"/>
  <c r="DF44" i="30"/>
  <c r="AF163" i="30"/>
  <c r="AG163" i="30" s="1"/>
  <c r="DG45" i="30"/>
  <c r="AW165" i="30"/>
  <c r="AE166" i="30"/>
  <c r="DF48" i="30"/>
  <c r="AF167" i="30"/>
  <c r="AG167" i="30" s="1"/>
  <c r="DG49" i="30"/>
  <c r="AW168" i="30"/>
  <c r="DD50" i="30"/>
  <c r="DG51" i="30"/>
  <c r="AE170" i="30"/>
  <c r="AG170" i="30" s="1"/>
  <c r="AW170" i="30"/>
  <c r="DC56" i="30"/>
  <c r="DD61" i="30"/>
  <c r="DB61" i="30"/>
  <c r="DC41" i="30"/>
  <c r="AW160" i="30"/>
  <c r="DF43" i="30"/>
  <c r="AF162" i="30"/>
  <c r="AW164" i="30"/>
  <c r="DF47" i="30"/>
  <c r="AF166" i="30"/>
  <c r="DD57" i="30"/>
  <c r="DB57" i="30"/>
  <c r="DG60" i="30"/>
  <c r="DB60" i="30"/>
  <c r="DD60" i="30"/>
  <c r="DD62" i="30"/>
  <c r="DC62" i="30"/>
  <c r="DB62" i="30"/>
  <c r="AG181" i="30"/>
  <c r="DF38" i="30"/>
  <c r="DF42" i="30"/>
  <c r="DF46" i="30"/>
  <c r="AF168" i="30"/>
  <c r="AG168" i="30" s="1"/>
  <c r="AG169" i="30"/>
  <c r="DC53" i="30"/>
  <c r="DD58" i="30"/>
  <c r="DC58" i="30"/>
  <c r="DB58" i="30"/>
  <c r="DG50" i="30"/>
  <c r="DC52" i="30"/>
  <c r="DD52" i="30"/>
  <c r="AE171" i="30"/>
  <c r="DF53" i="30"/>
  <c r="AF172" i="30"/>
  <c r="AG172" i="30" s="1"/>
  <c r="DG54" i="30"/>
  <c r="DC55" i="30"/>
  <c r="AW174" i="30"/>
  <c r="DD56" i="30"/>
  <c r="AE175" i="30"/>
  <c r="DF57" i="30"/>
  <c r="AF176" i="30"/>
  <c r="AG176" i="30" s="1"/>
  <c r="DG58" i="30"/>
  <c r="AW178" i="30"/>
  <c r="DC60" i="30"/>
  <c r="AE179" i="30"/>
  <c r="DF61" i="30"/>
  <c r="AF180" i="30"/>
  <c r="AG180" i="30" s="1"/>
  <c r="DG62" i="30"/>
  <c r="AW182" i="30"/>
  <c r="AE183" i="30"/>
  <c r="DF52" i="30"/>
  <c r="AF171" i="30"/>
  <c r="DD55" i="30"/>
  <c r="AE174" i="30"/>
  <c r="DF56" i="30"/>
  <c r="AF175" i="30"/>
  <c r="DG57" i="30"/>
  <c r="AW177" i="30"/>
  <c r="DC59" i="30"/>
  <c r="DD59" i="30"/>
  <c r="AE178" i="30"/>
  <c r="AG178" i="30" s="1"/>
  <c r="DF60" i="30"/>
  <c r="AF179" i="30"/>
  <c r="DG61" i="30"/>
  <c r="AW181" i="30"/>
  <c r="DC63" i="30"/>
  <c r="DD63" i="30"/>
  <c r="AE182" i="30"/>
  <c r="DF64" i="30"/>
  <c r="AF183" i="30"/>
  <c r="DF55" i="30"/>
  <c r="AF174" i="30"/>
  <c r="DF59" i="30"/>
  <c r="AF178" i="30"/>
  <c r="DF63" i="30"/>
  <c r="AF182" i="30"/>
  <c r="DG64" i="30"/>
  <c r="DF50" i="30"/>
  <c r="DF54" i="30"/>
  <c r="DC57" i="30"/>
  <c r="DF58" i="30"/>
  <c r="DF62" i="30"/>
  <c r="M46" i="29"/>
  <c r="BW46" i="29"/>
  <c r="K46" i="29"/>
  <c r="S46" i="29"/>
  <c r="CM47" i="29" s="1"/>
  <c r="CF47" i="29"/>
  <c r="Q46" i="29"/>
  <c r="CJ47" i="29" s="1"/>
  <c r="P46" i="29"/>
  <c r="CI47" i="29" s="1"/>
  <c r="O46" i="29"/>
  <c r="CH47" i="29" s="1"/>
  <c r="J46" i="29"/>
  <c r="Q44" i="29"/>
  <c r="CJ45" i="29" s="1"/>
  <c r="O44" i="29"/>
  <c r="CH45" i="29" s="1"/>
  <c r="J44" i="29"/>
  <c r="K34" i="29"/>
  <c r="BW34" i="29"/>
  <c r="M35" i="29"/>
  <c r="M37" i="29"/>
  <c r="M39" i="29"/>
  <c r="N46" i="29"/>
  <c r="CG47" i="29" s="1"/>
  <c r="M44" i="29"/>
  <c r="N44" i="29" s="1"/>
  <c r="BW44" i="29"/>
  <c r="K44" i="29"/>
  <c r="S44" i="29"/>
  <c r="CM45" i="29" s="1"/>
  <c r="I104" i="28"/>
  <c r="DD45" i="28" s="1"/>
  <c r="M34" i="29"/>
  <c r="K36" i="29"/>
  <c r="BW36" i="29"/>
  <c r="K38" i="29"/>
  <c r="BW38" i="29"/>
  <c r="K40" i="29"/>
  <c r="BW40" i="29"/>
  <c r="M42" i="29"/>
  <c r="BW42" i="29"/>
  <c r="K42" i="29"/>
  <c r="R44" i="29"/>
  <c r="CL45" i="29" s="1"/>
  <c r="CF45" i="29"/>
  <c r="R46" i="29"/>
  <c r="CL47" i="29" s="1"/>
  <c r="O47" i="29"/>
  <c r="CH48" i="29" s="1"/>
  <c r="J47" i="29"/>
  <c r="CF48" i="29"/>
  <c r="Q47" i="29"/>
  <c r="CJ48" i="29" s="1"/>
  <c r="Q52" i="29"/>
  <c r="CJ53" i="29" s="1"/>
  <c r="P52" i="29"/>
  <c r="CI53" i="29" s="1"/>
  <c r="J52" i="29"/>
  <c r="CF53" i="29"/>
  <c r="O52" i="29"/>
  <c r="CH53" i="29" s="1"/>
  <c r="N52" i="29"/>
  <c r="V52" i="29" s="1"/>
  <c r="R52" i="29"/>
  <c r="CL53" i="29" s="1"/>
  <c r="O53" i="29"/>
  <c r="CH54" i="29" s="1"/>
  <c r="J53" i="29"/>
  <c r="Q53" i="29"/>
  <c r="CJ54" i="29" s="1"/>
  <c r="CF54" i="29"/>
  <c r="O45" i="29"/>
  <c r="CH46" i="29" s="1"/>
  <c r="J45" i="29"/>
  <c r="CF46" i="29"/>
  <c r="N45" i="29"/>
  <c r="Q45" i="29"/>
  <c r="CJ46" i="29" s="1"/>
  <c r="P45" i="29"/>
  <c r="O49" i="29"/>
  <c r="CH50" i="29" s="1"/>
  <c r="J49" i="29"/>
  <c r="CF50" i="29"/>
  <c r="Q49" i="29"/>
  <c r="CJ50" i="29" s="1"/>
  <c r="M47" i="29"/>
  <c r="P47" i="29" s="1"/>
  <c r="J48" i="29"/>
  <c r="O48" i="29"/>
  <c r="CH49" i="29" s="1"/>
  <c r="S48" i="29"/>
  <c r="CM49" i="29" s="1"/>
  <c r="M49" i="29"/>
  <c r="P49" i="29" s="1"/>
  <c r="J50" i="29"/>
  <c r="S50" i="29"/>
  <c r="CM51" i="29" s="1"/>
  <c r="M51" i="29"/>
  <c r="P51" i="29" s="1"/>
  <c r="Q51" i="29"/>
  <c r="CJ52" i="29" s="1"/>
  <c r="BW52" i="29"/>
  <c r="CF52" i="29"/>
  <c r="O57" i="29"/>
  <c r="CH58" i="29" s="1"/>
  <c r="J57" i="29"/>
  <c r="CF58" i="29"/>
  <c r="Q57" i="29"/>
  <c r="CJ58" i="29" s="1"/>
  <c r="P59" i="29"/>
  <c r="CI60" i="29" s="1"/>
  <c r="O59" i="29"/>
  <c r="CH60" i="29" s="1"/>
  <c r="J59" i="29"/>
  <c r="CF60" i="29"/>
  <c r="N59" i="29"/>
  <c r="CG60" i="29" s="1"/>
  <c r="R45" i="29"/>
  <c r="CL46" i="29" s="1"/>
  <c r="R47" i="29"/>
  <c r="CL48" i="29" s="1"/>
  <c r="K48" i="29"/>
  <c r="BW48" i="29"/>
  <c r="R49" i="29"/>
  <c r="CL50" i="29" s="1"/>
  <c r="K50" i="29"/>
  <c r="BW50" i="29"/>
  <c r="N51" i="29"/>
  <c r="CG52" i="29" s="1"/>
  <c r="R51" i="29"/>
  <c r="CL52" i="29" s="1"/>
  <c r="M56" i="29"/>
  <c r="BW56" i="29"/>
  <c r="K56" i="29"/>
  <c r="S56" i="29"/>
  <c r="CM57" i="29" s="1"/>
  <c r="Q56" i="29"/>
  <c r="CJ57" i="29" s="1"/>
  <c r="P56" i="29"/>
  <c r="CI57" i="29" s="1"/>
  <c r="CF57" i="29"/>
  <c r="O56" i="29"/>
  <c r="CH57" i="29" s="1"/>
  <c r="J56" i="29"/>
  <c r="S45" i="29"/>
  <c r="CM46" i="29" s="1"/>
  <c r="S47" i="29"/>
  <c r="CM48" i="29" s="1"/>
  <c r="M48" i="29"/>
  <c r="P48" i="29" s="1"/>
  <c r="Q48" i="29"/>
  <c r="CJ49" i="29" s="1"/>
  <c r="S49" i="29"/>
  <c r="CM50" i="29" s="1"/>
  <c r="M50" i="29"/>
  <c r="P50" i="29" s="1"/>
  <c r="Q50" i="29"/>
  <c r="CJ51" i="29" s="1"/>
  <c r="J51" i="29"/>
  <c r="O51" i="29"/>
  <c r="CH52" i="29" s="1"/>
  <c r="S51" i="29"/>
  <c r="CM52" i="29" s="1"/>
  <c r="M54" i="29"/>
  <c r="P54" i="29" s="1"/>
  <c r="CI55" i="29" s="1"/>
  <c r="S54" i="29"/>
  <c r="CM55" i="29" s="1"/>
  <c r="Q54" i="29"/>
  <c r="CJ55" i="29" s="1"/>
  <c r="O54" i="29"/>
  <c r="CH55" i="29" s="1"/>
  <c r="J54" i="29"/>
  <c r="R54" i="29"/>
  <c r="CL55" i="29" s="1"/>
  <c r="BW54" i="29"/>
  <c r="O55" i="29"/>
  <c r="CH56" i="29" s="1"/>
  <c r="J55" i="29"/>
  <c r="Q55" i="29"/>
  <c r="CJ56" i="29" s="1"/>
  <c r="CF55" i="29"/>
  <c r="N56" i="29"/>
  <c r="CG57" i="29" s="1"/>
  <c r="P58" i="29"/>
  <c r="CI59" i="29" s="1"/>
  <c r="O58" i="29"/>
  <c r="CH59" i="29" s="1"/>
  <c r="J58" i="29"/>
  <c r="CF59" i="29"/>
  <c r="N58" i="29"/>
  <c r="CG59" i="29" s="1"/>
  <c r="Q59" i="29"/>
  <c r="CJ60" i="29" s="1"/>
  <c r="Q60" i="29"/>
  <c r="CJ61" i="29" s="1"/>
  <c r="CF61" i="29"/>
  <c r="P60" i="29"/>
  <c r="CI61" i="29" s="1"/>
  <c r="O60" i="29"/>
  <c r="CH61" i="29" s="1"/>
  <c r="J60" i="29"/>
  <c r="N60" i="29"/>
  <c r="CG61" i="29" s="1"/>
  <c r="Q61" i="29"/>
  <c r="CJ62" i="29" s="1"/>
  <c r="P61" i="29"/>
  <c r="O61" i="29"/>
  <c r="CH62" i="29" s="1"/>
  <c r="J61" i="29"/>
  <c r="CF62" i="29"/>
  <c r="N61" i="29"/>
  <c r="N48" i="29"/>
  <c r="CG49" i="29" s="1"/>
  <c r="N50" i="29"/>
  <c r="CG51" i="29" s="1"/>
  <c r="K51" i="29"/>
  <c r="S53" i="29"/>
  <c r="CM54" i="29" s="1"/>
  <c r="M53" i="29"/>
  <c r="P53" i="29" s="1"/>
  <c r="R53" i="29"/>
  <c r="CL54" i="29" s="1"/>
  <c r="BW53" i="29"/>
  <c r="K54" i="29"/>
  <c r="R56" i="29"/>
  <c r="CL57" i="29" s="1"/>
  <c r="Q63" i="29"/>
  <c r="CJ64" i="29" s="1"/>
  <c r="P63" i="29"/>
  <c r="CF64" i="29"/>
  <c r="O63" i="29"/>
  <c r="CH64" i="29" s="1"/>
  <c r="J63" i="29"/>
  <c r="N63" i="29"/>
  <c r="BC63" i="29" s="1"/>
  <c r="O64" i="29"/>
  <c r="CT35" i="29" s="1"/>
  <c r="J64" i="29"/>
  <c r="R64" i="29"/>
  <c r="CX35" i="29" s="1"/>
  <c r="Q64" i="29"/>
  <c r="CV35" i="29" s="1"/>
  <c r="P64" i="29"/>
  <c r="N64" i="29"/>
  <c r="CS35" i="29" s="1"/>
  <c r="M55" i="29"/>
  <c r="P55" i="29" s="1"/>
  <c r="M57" i="29"/>
  <c r="N57" i="29" s="1"/>
  <c r="R58" i="29"/>
  <c r="CL59" i="29" s="1"/>
  <c r="R59" i="29"/>
  <c r="CL60" i="29" s="1"/>
  <c r="R60" i="29"/>
  <c r="CL61" i="29" s="1"/>
  <c r="R61" i="29"/>
  <c r="CL62" i="29" s="1"/>
  <c r="K62" i="29"/>
  <c r="BW62" i="29"/>
  <c r="R63" i="29"/>
  <c r="CL64" i="29" s="1"/>
  <c r="M65" i="29"/>
  <c r="N65" i="29" s="1"/>
  <c r="R65" i="29"/>
  <c r="CX36" i="29" s="1"/>
  <c r="M68" i="29"/>
  <c r="N68" i="29" s="1"/>
  <c r="CS39" i="29" s="1"/>
  <c r="K68" i="29"/>
  <c r="BW68" i="29"/>
  <c r="Q68" i="29"/>
  <c r="CV39" i="29" s="1"/>
  <c r="R68" i="29"/>
  <c r="CX39" i="29" s="1"/>
  <c r="R69" i="29"/>
  <c r="CX40" i="29" s="1"/>
  <c r="BW69" i="29"/>
  <c r="K73" i="29"/>
  <c r="S73" i="29"/>
  <c r="CY44" i="29" s="1"/>
  <c r="M73" i="29"/>
  <c r="N73" i="29" s="1"/>
  <c r="CS44" i="29" s="1"/>
  <c r="P73" i="29"/>
  <c r="O73" i="29"/>
  <c r="CT44" i="29" s="1"/>
  <c r="J73" i="29"/>
  <c r="Q73" i="29"/>
  <c r="CV44" i="29" s="1"/>
  <c r="Q75" i="29"/>
  <c r="CV46" i="29" s="1"/>
  <c r="O75" i="29"/>
  <c r="CT46" i="29" s="1"/>
  <c r="J75" i="29"/>
  <c r="R77" i="29"/>
  <c r="CX48" i="29" s="1"/>
  <c r="BW77" i="29"/>
  <c r="R81" i="29"/>
  <c r="CX52" i="29" s="1"/>
  <c r="Q87" i="29"/>
  <c r="CV58" i="29" s="1"/>
  <c r="O87" i="29"/>
  <c r="CT58" i="29" s="1"/>
  <c r="J87" i="29"/>
  <c r="O96" i="29"/>
  <c r="DF37" i="29" s="1"/>
  <c r="J96" i="29"/>
  <c r="N96" i="29"/>
  <c r="Q96" i="29"/>
  <c r="DH37" i="29" s="1"/>
  <c r="P96" i="29"/>
  <c r="DG37" i="29" s="1"/>
  <c r="R55" i="29"/>
  <c r="CL56" i="29" s="1"/>
  <c r="R57" i="29"/>
  <c r="CL58" i="29" s="1"/>
  <c r="S58" i="29"/>
  <c r="CM59" i="29" s="1"/>
  <c r="BC58" i="29"/>
  <c r="S59" i="29"/>
  <c r="CM60" i="29" s="1"/>
  <c r="S60" i="29"/>
  <c r="CM61" i="29" s="1"/>
  <c r="M62" i="29"/>
  <c r="P62" i="29" s="1"/>
  <c r="Q62" i="29"/>
  <c r="CJ63" i="29" s="1"/>
  <c r="S63" i="29"/>
  <c r="CM64" i="29" s="1"/>
  <c r="BW64" i="29"/>
  <c r="I66" i="29"/>
  <c r="R66" i="29" s="1"/>
  <c r="CX37" i="29" s="1"/>
  <c r="I74" i="29"/>
  <c r="Q83" i="29"/>
  <c r="CV54" i="29" s="1"/>
  <c r="O83" i="29"/>
  <c r="CT54" i="29" s="1"/>
  <c r="J83" i="29"/>
  <c r="I84" i="29"/>
  <c r="BW85" i="29"/>
  <c r="K85" i="29"/>
  <c r="S85" i="29"/>
  <c r="CY56" i="29" s="1"/>
  <c r="R85" i="29"/>
  <c r="CX56" i="29" s="1"/>
  <c r="M85" i="29"/>
  <c r="P85" i="29" s="1"/>
  <c r="O92" i="29"/>
  <c r="CT63" i="29" s="1"/>
  <c r="J92" i="29"/>
  <c r="N92" i="29"/>
  <c r="Q92" i="29"/>
  <c r="CV63" i="29" s="1"/>
  <c r="P92" i="29"/>
  <c r="CU63" i="29" s="1"/>
  <c r="S55" i="29"/>
  <c r="CM56" i="29" s="1"/>
  <c r="S57" i="29"/>
  <c r="CM58" i="29" s="1"/>
  <c r="K58" i="29"/>
  <c r="V58" i="29"/>
  <c r="BD58" i="29"/>
  <c r="K59" i="29"/>
  <c r="K60" i="29"/>
  <c r="V60" i="29"/>
  <c r="BD60" i="29"/>
  <c r="N62" i="29"/>
  <c r="CG63" i="29" s="1"/>
  <c r="R62" i="29"/>
  <c r="CL63" i="29" s="1"/>
  <c r="CF63" i="29"/>
  <c r="O65" i="29"/>
  <c r="CT36" i="29" s="1"/>
  <c r="J65" i="29"/>
  <c r="P65" i="29"/>
  <c r="CU36" i="29" s="1"/>
  <c r="BW65" i="29"/>
  <c r="Q67" i="29"/>
  <c r="CV38" i="29" s="1"/>
  <c r="O67" i="29"/>
  <c r="CT38" i="29" s="1"/>
  <c r="K69" i="29"/>
  <c r="S69" i="29"/>
  <c r="CY40" i="29" s="1"/>
  <c r="M69" i="29"/>
  <c r="N69" i="29" s="1"/>
  <c r="CS40" i="29" s="1"/>
  <c r="P69" i="29"/>
  <c r="CU40" i="29" s="1"/>
  <c r="O69" i="29"/>
  <c r="CT40" i="29" s="1"/>
  <c r="J69" i="29"/>
  <c r="Q69" i="29"/>
  <c r="CV40" i="29" s="1"/>
  <c r="Q71" i="29"/>
  <c r="CV42" i="29" s="1"/>
  <c r="O71" i="29"/>
  <c r="CT42" i="29" s="1"/>
  <c r="J71" i="29"/>
  <c r="K77" i="29"/>
  <c r="S77" i="29"/>
  <c r="CY48" i="29" s="1"/>
  <c r="M77" i="29"/>
  <c r="P77" i="29" s="1"/>
  <c r="O77" i="29"/>
  <c r="CT48" i="29" s="1"/>
  <c r="J77" i="29"/>
  <c r="Q77" i="29"/>
  <c r="CV48" i="29" s="1"/>
  <c r="Q79" i="29"/>
  <c r="CV50" i="29" s="1"/>
  <c r="O79" i="29"/>
  <c r="CT50" i="29" s="1"/>
  <c r="J79" i="29"/>
  <c r="O80" i="29"/>
  <c r="CT51" i="29" s="1"/>
  <c r="J80" i="29"/>
  <c r="N80" i="29"/>
  <c r="P80" i="29"/>
  <c r="CU51" i="29" s="1"/>
  <c r="Q80" i="29"/>
  <c r="CV51" i="29" s="1"/>
  <c r="BW81" i="29"/>
  <c r="K81" i="29"/>
  <c r="S81" i="29"/>
  <c r="CY52" i="29" s="1"/>
  <c r="M81" i="29"/>
  <c r="P81" i="29"/>
  <c r="CU52" i="29" s="1"/>
  <c r="O81" i="29"/>
  <c r="CT52" i="29" s="1"/>
  <c r="J81" i="29"/>
  <c r="Q81" i="29"/>
  <c r="CV52" i="29" s="1"/>
  <c r="O88" i="29"/>
  <c r="CT59" i="29" s="1"/>
  <c r="J88" i="29"/>
  <c r="N88" i="29"/>
  <c r="Q88" i="29"/>
  <c r="CV59" i="29" s="1"/>
  <c r="P88" i="29"/>
  <c r="CU59" i="29" s="1"/>
  <c r="Q95" i="29"/>
  <c r="DH36" i="29" s="1"/>
  <c r="O95" i="29"/>
  <c r="DF36" i="29" s="1"/>
  <c r="J95" i="29"/>
  <c r="BD96" i="29"/>
  <c r="Q100" i="29"/>
  <c r="DH41" i="29" s="1"/>
  <c r="J62" i="29"/>
  <c r="S62" i="29"/>
  <c r="CM63" i="29" s="1"/>
  <c r="K65" i="29"/>
  <c r="Q65" i="29"/>
  <c r="CV36" i="29" s="1"/>
  <c r="P67" i="29"/>
  <c r="CU38" i="29" s="1"/>
  <c r="O70" i="29"/>
  <c r="CT41" i="29" s="1"/>
  <c r="J70" i="29"/>
  <c r="N70" i="29"/>
  <c r="P70" i="29"/>
  <c r="CU41" i="29" s="1"/>
  <c r="Q70" i="29"/>
  <c r="CV41" i="29" s="1"/>
  <c r="O78" i="29"/>
  <c r="CT49" i="29" s="1"/>
  <c r="J78" i="29"/>
  <c r="N78" i="29"/>
  <c r="P78" i="29"/>
  <c r="CU49" i="29" s="1"/>
  <c r="Q78" i="29"/>
  <c r="CV49" i="29" s="1"/>
  <c r="N81" i="29"/>
  <c r="CS52" i="29" s="1"/>
  <c r="N91" i="29"/>
  <c r="Q91" i="29"/>
  <c r="CV62" i="29" s="1"/>
  <c r="O91" i="29"/>
  <c r="CT62" i="29" s="1"/>
  <c r="J91" i="29"/>
  <c r="P93" i="29"/>
  <c r="CU64" i="29" s="1"/>
  <c r="R72" i="29"/>
  <c r="CX43" i="29" s="1"/>
  <c r="BW72" i="29"/>
  <c r="R76" i="29"/>
  <c r="CX47" i="29" s="1"/>
  <c r="BW76" i="29"/>
  <c r="R82" i="29"/>
  <c r="CX53" i="29" s="1"/>
  <c r="Q85" i="29"/>
  <c r="CV56" i="29" s="1"/>
  <c r="R86" i="29"/>
  <c r="CX57" i="29" s="1"/>
  <c r="M89" i="29"/>
  <c r="P89" i="29" s="1"/>
  <c r="Q89" i="29"/>
  <c r="CV60" i="29" s="1"/>
  <c r="R90" i="29"/>
  <c r="CX61" i="29" s="1"/>
  <c r="M93" i="29"/>
  <c r="Q93" i="29"/>
  <c r="CV64" i="29" s="1"/>
  <c r="R94" i="29"/>
  <c r="DJ35" i="29" s="1"/>
  <c r="M98" i="29"/>
  <c r="P98" i="29" s="1"/>
  <c r="O98" i="29"/>
  <c r="DF39" i="29" s="1"/>
  <c r="Q99" i="29"/>
  <c r="DH40" i="29" s="1"/>
  <c r="M112" i="29"/>
  <c r="N112" i="29" s="1"/>
  <c r="DE53" i="29" s="1"/>
  <c r="BW112" i="29"/>
  <c r="K112" i="29"/>
  <c r="S112" i="29"/>
  <c r="DK53" i="29" s="1"/>
  <c r="Q112" i="29"/>
  <c r="DH53" i="29" s="1"/>
  <c r="O112" i="29"/>
  <c r="DF53" i="29" s="1"/>
  <c r="J112" i="29"/>
  <c r="N85" i="29"/>
  <c r="CS56" i="29" s="1"/>
  <c r="R89" i="29"/>
  <c r="CX60" i="29" s="1"/>
  <c r="N93" i="29"/>
  <c r="CS64" i="29" s="1"/>
  <c r="R93" i="29"/>
  <c r="CX64" i="29" s="1"/>
  <c r="BD93" i="29"/>
  <c r="BW97" i="29"/>
  <c r="K97" i="29"/>
  <c r="O97" i="29"/>
  <c r="DF38" i="29" s="1"/>
  <c r="R101" i="29"/>
  <c r="DJ42" i="29" s="1"/>
  <c r="M101" i="29"/>
  <c r="P101" i="29" s="1"/>
  <c r="BW101" i="29"/>
  <c r="K101" i="29"/>
  <c r="Q101" i="29"/>
  <c r="DH42" i="29" s="1"/>
  <c r="S101" i="29"/>
  <c r="DK42" i="29" s="1"/>
  <c r="O102" i="29"/>
  <c r="DF43" i="29" s="1"/>
  <c r="J102" i="29"/>
  <c r="Q102" i="29"/>
  <c r="DH43" i="29" s="1"/>
  <c r="P103" i="29"/>
  <c r="DG44" i="29" s="1"/>
  <c r="O103" i="29"/>
  <c r="DF44" i="29" s="1"/>
  <c r="J103" i="29"/>
  <c r="N103" i="29"/>
  <c r="Q103" i="29"/>
  <c r="DH44" i="29" s="1"/>
  <c r="M104" i="29"/>
  <c r="BW104" i="29"/>
  <c r="K104" i="29"/>
  <c r="S104" i="29"/>
  <c r="DK45" i="29" s="1"/>
  <c r="Q104" i="29"/>
  <c r="DH45" i="29" s="1"/>
  <c r="P104" i="29"/>
  <c r="DG45" i="29" s="1"/>
  <c r="O104" i="29"/>
  <c r="DF45" i="29" s="1"/>
  <c r="J104" i="29"/>
  <c r="P107" i="29"/>
  <c r="DG48" i="29" s="1"/>
  <c r="O107" i="29"/>
  <c r="DF48" i="29" s="1"/>
  <c r="J107" i="29"/>
  <c r="N107" i="29"/>
  <c r="Q107" i="29"/>
  <c r="DH48" i="29" s="1"/>
  <c r="M108" i="29"/>
  <c r="BW108" i="29"/>
  <c r="K108" i="29"/>
  <c r="S108" i="29"/>
  <c r="DK49" i="29" s="1"/>
  <c r="Q108" i="29"/>
  <c r="DH49" i="29" s="1"/>
  <c r="P108" i="29"/>
  <c r="DG49" i="29" s="1"/>
  <c r="O108" i="29"/>
  <c r="DF49" i="29" s="1"/>
  <c r="J108" i="29"/>
  <c r="M67" i="29"/>
  <c r="N67" i="29" s="1"/>
  <c r="R70" i="29"/>
  <c r="CX41" i="29" s="1"/>
  <c r="M71" i="29"/>
  <c r="P71" i="29" s="1"/>
  <c r="K72" i="29"/>
  <c r="R74" i="29"/>
  <c r="CX45" i="29" s="1"/>
  <c r="M75" i="29"/>
  <c r="P75" i="29" s="1"/>
  <c r="CU46" i="29" s="1"/>
  <c r="K76" i="29"/>
  <c r="P76" i="29"/>
  <c r="CU47" i="29" s="1"/>
  <c r="R78" i="29"/>
  <c r="CX49" i="29" s="1"/>
  <c r="BD78" i="29"/>
  <c r="M79" i="29"/>
  <c r="P79" i="29" s="1"/>
  <c r="R80" i="29"/>
  <c r="CX51" i="29" s="1"/>
  <c r="K82" i="29"/>
  <c r="BW82" i="29"/>
  <c r="M83" i="29"/>
  <c r="N83" i="29" s="1"/>
  <c r="R84" i="29"/>
  <c r="CX55" i="29" s="1"/>
  <c r="J85" i="29"/>
  <c r="O85" i="29"/>
  <c r="CT56" i="29" s="1"/>
  <c r="K86" i="29"/>
  <c r="BW86" i="29"/>
  <c r="M87" i="29"/>
  <c r="P87" i="29" s="1"/>
  <c r="R88" i="29"/>
  <c r="CX59" i="29" s="1"/>
  <c r="J89" i="29"/>
  <c r="O89" i="29"/>
  <c r="CT60" i="29" s="1"/>
  <c r="S89" i="29"/>
  <c r="CY60" i="29" s="1"/>
  <c r="K90" i="29"/>
  <c r="BW90" i="29"/>
  <c r="M91" i="29"/>
  <c r="P91" i="29" s="1"/>
  <c r="R92" i="29"/>
  <c r="CX63" i="29" s="1"/>
  <c r="J93" i="29"/>
  <c r="O93" i="29"/>
  <c r="CT64" i="29" s="1"/>
  <c r="S93" i="29"/>
  <c r="CY64" i="29" s="1"/>
  <c r="K94" i="29"/>
  <c r="BW94" i="29"/>
  <c r="M95" i="29"/>
  <c r="N95" i="29" s="1"/>
  <c r="R96" i="29"/>
  <c r="DJ37" i="29" s="1"/>
  <c r="J97" i="29"/>
  <c r="Q97" i="29"/>
  <c r="DH38" i="29" s="1"/>
  <c r="K98" i="29"/>
  <c r="R98" i="29"/>
  <c r="DJ39" i="29" s="1"/>
  <c r="BW98" i="29"/>
  <c r="O99" i="29"/>
  <c r="DF40" i="29" s="1"/>
  <c r="BW100" i="29"/>
  <c r="K100" i="29"/>
  <c r="S100" i="29"/>
  <c r="DK41" i="29" s="1"/>
  <c r="J101" i="29"/>
  <c r="N104" i="29"/>
  <c r="DE45" i="29" s="1"/>
  <c r="O106" i="29"/>
  <c r="DF47" i="29" s="1"/>
  <c r="J106" i="29"/>
  <c r="Q106" i="29"/>
  <c r="DH47" i="29" s="1"/>
  <c r="N108" i="29"/>
  <c r="DE49" i="29" s="1"/>
  <c r="R112" i="29"/>
  <c r="DJ53" i="29" s="1"/>
  <c r="O113" i="29"/>
  <c r="DF54" i="29" s="1"/>
  <c r="J113" i="29"/>
  <c r="BW118" i="29"/>
  <c r="K118" i="29"/>
  <c r="S118" i="29"/>
  <c r="DK59" i="29" s="1"/>
  <c r="M118" i="29"/>
  <c r="P118" i="29" s="1"/>
  <c r="O118" i="29"/>
  <c r="DF59" i="29" s="1"/>
  <c r="J118" i="29"/>
  <c r="Q118" i="29"/>
  <c r="DH59" i="29" s="1"/>
  <c r="Q120" i="29"/>
  <c r="DH61" i="29" s="1"/>
  <c r="J120" i="29"/>
  <c r="P122" i="29"/>
  <c r="DG63" i="29" s="1"/>
  <c r="O122" i="29"/>
  <c r="DF63" i="29" s="1"/>
  <c r="J122" i="29"/>
  <c r="N122" i="29"/>
  <c r="Q122" i="29"/>
  <c r="DH63" i="29" s="1"/>
  <c r="R67" i="29"/>
  <c r="CX38" i="29" s="1"/>
  <c r="BD67" i="29"/>
  <c r="R71" i="29"/>
  <c r="CX42" i="29" s="1"/>
  <c r="M72" i="29"/>
  <c r="N72" i="29" s="1"/>
  <c r="R75" i="29"/>
  <c r="CX46" i="29" s="1"/>
  <c r="M76" i="29"/>
  <c r="N76" i="29" s="1"/>
  <c r="R79" i="29"/>
  <c r="CX50" i="29" s="1"/>
  <c r="M82" i="29"/>
  <c r="N82" i="29" s="1"/>
  <c r="R83" i="29"/>
  <c r="CX54" i="29" s="1"/>
  <c r="M86" i="29"/>
  <c r="N86" i="29" s="1"/>
  <c r="R87" i="29"/>
  <c r="CX58" i="29" s="1"/>
  <c r="K89" i="29"/>
  <c r="M90" i="29"/>
  <c r="P90" i="29" s="1"/>
  <c r="R91" i="29"/>
  <c r="CX62" i="29" s="1"/>
  <c r="K93" i="29"/>
  <c r="M94" i="29"/>
  <c r="N94" i="29" s="1"/>
  <c r="R95" i="29"/>
  <c r="DJ36" i="29" s="1"/>
  <c r="M97" i="29"/>
  <c r="N97" i="29" s="1"/>
  <c r="R97" i="29"/>
  <c r="DJ38" i="29" s="1"/>
  <c r="N98" i="29"/>
  <c r="DE39" i="29" s="1"/>
  <c r="S98" i="29"/>
  <c r="DK39" i="29" s="1"/>
  <c r="J99" i="29"/>
  <c r="P99" i="29"/>
  <c r="DG40" i="29" s="1"/>
  <c r="BD103" i="29"/>
  <c r="R104" i="29"/>
  <c r="DJ45" i="29" s="1"/>
  <c r="Q105" i="29"/>
  <c r="DH46" i="29" s="1"/>
  <c r="R108" i="29"/>
  <c r="DJ49" i="29" s="1"/>
  <c r="N109" i="29"/>
  <c r="Q109" i="29"/>
  <c r="DH50" i="29" s="1"/>
  <c r="P109" i="29"/>
  <c r="DG50" i="29" s="1"/>
  <c r="O110" i="29"/>
  <c r="DF51" i="29" s="1"/>
  <c r="J110" i="29"/>
  <c r="Q110" i="29"/>
  <c r="DH51" i="29" s="1"/>
  <c r="P111" i="29"/>
  <c r="DG52" i="29" s="1"/>
  <c r="O111" i="29"/>
  <c r="DF52" i="29" s="1"/>
  <c r="J111" i="29"/>
  <c r="N111" i="29"/>
  <c r="R118" i="29"/>
  <c r="DJ59" i="29" s="1"/>
  <c r="R99" i="29"/>
  <c r="DJ40" i="29" s="1"/>
  <c r="M102" i="29"/>
  <c r="P102" i="29" s="1"/>
  <c r="R103" i="29"/>
  <c r="DJ44" i="29" s="1"/>
  <c r="K105" i="29"/>
  <c r="BW105" i="29"/>
  <c r="M106" i="29"/>
  <c r="P106" i="29" s="1"/>
  <c r="DG47" i="29" s="1"/>
  <c r="R107" i="29"/>
  <c r="DJ48" i="29" s="1"/>
  <c r="K109" i="29"/>
  <c r="BW109" i="29"/>
  <c r="M110" i="29"/>
  <c r="P110" i="29" s="1"/>
  <c r="R111" i="29"/>
  <c r="DJ52" i="29" s="1"/>
  <c r="M113" i="29"/>
  <c r="P113" i="29" s="1"/>
  <c r="R113" i="29"/>
  <c r="DJ54" i="29" s="1"/>
  <c r="BW113" i="29"/>
  <c r="M115" i="29"/>
  <c r="N115" i="29" s="1"/>
  <c r="DE56" i="29" s="1"/>
  <c r="BW115" i="29"/>
  <c r="K115" i="29"/>
  <c r="Q115" i="29"/>
  <c r="DH56" i="29" s="1"/>
  <c r="R115" i="29"/>
  <c r="DJ56" i="29" s="1"/>
  <c r="R102" i="29"/>
  <c r="DJ43" i="29" s="1"/>
  <c r="M105" i="29"/>
  <c r="N105" i="29" s="1"/>
  <c r="R106" i="29"/>
  <c r="DJ47" i="29" s="1"/>
  <c r="R110" i="29"/>
  <c r="DJ51" i="29" s="1"/>
  <c r="BW114" i="29"/>
  <c r="K114" i="29"/>
  <c r="S114" i="29"/>
  <c r="DK55" i="29" s="1"/>
  <c r="O114" i="29"/>
  <c r="DF55" i="29" s="1"/>
  <c r="J114" i="29"/>
  <c r="R114" i="29"/>
  <c r="DJ55" i="29" s="1"/>
  <c r="O121" i="29"/>
  <c r="DF62" i="29" s="1"/>
  <c r="J121" i="29"/>
  <c r="N121" i="29"/>
  <c r="Q121" i="29"/>
  <c r="DH62" i="29" s="1"/>
  <c r="P121" i="29"/>
  <c r="DG62" i="29" s="1"/>
  <c r="R123" i="29"/>
  <c r="DJ64" i="29" s="1"/>
  <c r="N124" i="29"/>
  <c r="Q124" i="29"/>
  <c r="DT35" i="29" s="1"/>
  <c r="P124" i="29"/>
  <c r="DS35" i="29" s="1"/>
  <c r="O124" i="29"/>
  <c r="DR35" i="29" s="1"/>
  <c r="P126" i="29"/>
  <c r="DS37" i="29" s="1"/>
  <c r="O126" i="29"/>
  <c r="DR37" i="29" s="1"/>
  <c r="J126" i="29"/>
  <c r="N126" i="29"/>
  <c r="M127" i="29"/>
  <c r="BW127" i="29"/>
  <c r="K127" i="29"/>
  <c r="S127" i="29"/>
  <c r="DW38" i="29" s="1"/>
  <c r="Q127" i="29"/>
  <c r="DT38" i="29" s="1"/>
  <c r="P127" i="29"/>
  <c r="DS38" i="29" s="1"/>
  <c r="O127" i="29"/>
  <c r="DR38" i="29" s="1"/>
  <c r="J127" i="29"/>
  <c r="O129" i="29"/>
  <c r="DR40" i="29" s="1"/>
  <c r="J129" i="29"/>
  <c r="N129" i="29"/>
  <c r="Q129" i="29"/>
  <c r="DT40" i="29" s="1"/>
  <c r="P129" i="29"/>
  <c r="DS40" i="29" s="1"/>
  <c r="R131" i="29"/>
  <c r="DV42" i="29" s="1"/>
  <c r="Q132" i="29"/>
  <c r="DT43" i="29" s="1"/>
  <c r="O132" i="29"/>
  <c r="DR43" i="29" s="1"/>
  <c r="P134" i="29"/>
  <c r="DS45" i="29" s="1"/>
  <c r="O134" i="29"/>
  <c r="DR45" i="29" s="1"/>
  <c r="J134" i="29"/>
  <c r="N134" i="29"/>
  <c r="Q134" i="29"/>
  <c r="DT45" i="29" s="1"/>
  <c r="O137" i="29"/>
  <c r="DR48" i="29" s="1"/>
  <c r="J137" i="29"/>
  <c r="N137" i="29"/>
  <c r="Q137" i="29"/>
  <c r="DT48" i="29" s="1"/>
  <c r="P137" i="29"/>
  <c r="DS48" i="29" s="1"/>
  <c r="P138" i="29"/>
  <c r="DS49" i="29" s="1"/>
  <c r="Q138" i="29"/>
  <c r="DT49" i="29" s="1"/>
  <c r="O141" i="29"/>
  <c r="DR52" i="29" s="1"/>
  <c r="J141" i="29"/>
  <c r="N141" i="29"/>
  <c r="Q141" i="29"/>
  <c r="DT52" i="29" s="1"/>
  <c r="P141" i="29"/>
  <c r="DS52" i="29" s="1"/>
  <c r="P142" i="29"/>
  <c r="DS53" i="29" s="1"/>
  <c r="O142" i="29"/>
  <c r="DR53" i="29" s="1"/>
  <c r="J142" i="29"/>
  <c r="N142" i="29"/>
  <c r="Q142" i="29"/>
  <c r="DT53" i="29" s="1"/>
  <c r="R105" i="29"/>
  <c r="DJ46" i="29" s="1"/>
  <c r="R109" i="29"/>
  <c r="DJ50" i="29" s="1"/>
  <c r="K111" i="29"/>
  <c r="M114" i="29"/>
  <c r="N114" i="29" s="1"/>
  <c r="DE55" i="29" s="1"/>
  <c r="Q116" i="29"/>
  <c r="DH57" i="29" s="1"/>
  <c r="O116" i="29"/>
  <c r="DF57" i="29" s="1"/>
  <c r="I117" i="29"/>
  <c r="R117" i="29" s="1"/>
  <c r="DJ58" i="29" s="1"/>
  <c r="M119" i="29"/>
  <c r="N119" i="29" s="1"/>
  <c r="BW119" i="29"/>
  <c r="K119" i="29"/>
  <c r="Q119" i="29"/>
  <c r="DH60" i="29" s="1"/>
  <c r="R119" i="29"/>
  <c r="DJ60" i="29" s="1"/>
  <c r="N127" i="29"/>
  <c r="DQ38" i="29" s="1"/>
  <c r="Q136" i="29"/>
  <c r="DT47" i="29" s="1"/>
  <c r="O136" i="29"/>
  <c r="DR47" i="29" s="1"/>
  <c r="J136" i="29"/>
  <c r="Q140" i="29"/>
  <c r="DT51" i="29" s="1"/>
  <c r="O140" i="29"/>
  <c r="DR51" i="29" s="1"/>
  <c r="J140" i="29"/>
  <c r="M123" i="29"/>
  <c r="N123" i="29" s="1"/>
  <c r="BW123" i="29"/>
  <c r="K123" i="29"/>
  <c r="S123" i="29"/>
  <c r="DK64" i="29" s="1"/>
  <c r="Q123" i="29"/>
  <c r="DH64" i="29" s="1"/>
  <c r="P123" i="29"/>
  <c r="DG64" i="29" s="1"/>
  <c r="O123" i="29"/>
  <c r="DF64" i="29" s="1"/>
  <c r="J123" i="29"/>
  <c r="O125" i="29"/>
  <c r="DR36" i="29" s="1"/>
  <c r="J125" i="29"/>
  <c r="N125" i="29"/>
  <c r="Q125" i="29"/>
  <c r="DT36" i="29" s="1"/>
  <c r="P125" i="29"/>
  <c r="DS36" i="29" s="1"/>
  <c r="Q126" i="29"/>
  <c r="DT37" i="29" s="1"/>
  <c r="Q128" i="29"/>
  <c r="DT39" i="29" s="1"/>
  <c r="O128" i="29"/>
  <c r="DR39" i="29" s="1"/>
  <c r="P130" i="29"/>
  <c r="DS41" i="29" s="1"/>
  <c r="O130" i="29"/>
  <c r="DR41" i="29" s="1"/>
  <c r="J130" i="29"/>
  <c r="N130" i="29"/>
  <c r="M131" i="29"/>
  <c r="N131" i="29" s="1"/>
  <c r="BW131" i="29"/>
  <c r="K131" i="29"/>
  <c r="S131" i="29"/>
  <c r="DW42" i="29" s="1"/>
  <c r="Q131" i="29"/>
  <c r="DT42" i="29" s="1"/>
  <c r="O131" i="29"/>
  <c r="DR42" i="29" s="1"/>
  <c r="J131" i="29"/>
  <c r="O133" i="29"/>
  <c r="DR44" i="29" s="1"/>
  <c r="J133" i="29"/>
  <c r="N133" i="29"/>
  <c r="Q133" i="29"/>
  <c r="DT44" i="29" s="1"/>
  <c r="P133" i="29"/>
  <c r="DS44" i="29" s="1"/>
  <c r="R135" i="29"/>
  <c r="DV46" i="29" s="1"/>
  <c r="N139" i="29"/>
  <c r="DQ50" i="29" s="1"/>
  <c r="R139" i="29"/>
  <c r="DV50" i="29" s="1"/>
  <c r="M143" i="29"/>
  <c r="N143" i="29" s="1"/>
  <c r="O143" i="29"/>
  <c r="DR54" i="29" s="1"/>
  <c r="BW146" i="29"/>
  <c r="K146" i="29"/>
  <c r="S146" i="29"/>
  <c r="DW57" i="29" s="1"/>
  <c r="O146" i="29"/>
  <c r="DR57" i="29" s="1"/>
  <c r="J146" i="29"/>
  <c r="R146" i="29"/>
  <c r="DV57" i="29" s="1"/>
  <c r="O149" i="29"/>
  <c r="DR60" i="29" s="1"/>
  <c r="J149" i="29"/>
  <c r="N149" i="29"/>
  <c r="Q149" i="29"/>
  <c r="DT60" i="29" s="1"/>
  <c r="P149" i="29"/>
  <c r="DS60" i="29" s="1"/>
  <c r="N152" i="29"/>
  <c r="Q152" i="29"/>
  <c r="DT63" i="29" s="1"/>
  <c r="P152" i="29"/>
  <c r="DS63" i="29" s="1"/>
  <c r="P158" i="29"/>
  <c r="EE39" i="29" s="1"/>
  <c r="O158" i="29"/>
  <c r="ED39" i="29" s="1"/>
  <c r="J158" i="29"/>
  <c r="N158" i="29"/>
  <c r="M159" i="29"/>
  <c r="N159" i="29" s="1"/>
  <c r="BW159" i="29"/>
  <c r="K159" i="29"/>
  <c r="S159" i="29"/>
  <c r="EI40" i="29" s="1"/>
  <c r="Q159" i="29"/>
  <c r="EF40" i="29" s="1"/>
  <c r="P159" i="29"/>
  <c r="EE40" i="29" s="1"/>
  <c r="O159" i="29"/>
  <c r="ED40" i="29" s="1"/>
  <c r="J159" i="29"/>
  <c r="R122" i="29"/>
  <c r="DJ63" i="29" s="1"/>
  <c r="R126" i="29"/>
  <c r="DV37" i="29" s="1"/>
  <c r="R130" i="29"/>
  <c r="DV41" i="29" s="1"/>
  <c r="R134" i="29"/>
  <c r="DV45" i="29" s="1"/>
  <c r="J135" i="29"/>
  <c r="O135" i="29"/>
  <c r="DR46" i="29" s="1"/>
  <c r="S135" i="29"/>
  <c r="DW46" i="29" s="1"/>
  <c r="J139" i="29"/>
  <c r="O139" i="29"/>
  <c r="DR50" i="29" s="1"/>
  <c r="S139" i="29"/>
  <c r="DW50" i="29" s="1"/>
  <c r="R142" i="29"/>
  <c r="DV53" i="29" s="1"/>
  <c r="J143" i="29"/>
  <c r="P143" i="29"/>
  <c r="DS54" i="29" s="1"/>
  <c r="M146" i="29"/>
  <c r="P146" i="29" s="1"/>
  <c r="N148" i="29"/>
  <c r="BC148" i="29" s="1"/>
  <c r="Q148" i="29"/>
  <c r="DT59" i="29" s="1"/>
  <c r="P148" i="29"/>
  <c r="DS59" i="29" s="1"/>
  <c r="O152" i="29"/>
  <c r="DR63" i="29" s="1"/>
  <c r="P154" i="29"/>
  <c r="EE35" i="29" s="1"/>
  <c r="O154" i="29"/>
  <c r="ED35" i="29" s="1"/>
  <c r="J154" i="29"/>
  <c r="N154" i="29"/>
  <c r="M155" i="29"/>
  <c r="BW155" i="29"/>
  <c r="K155" i="29"/>
  <c r="S155" i="29"/>
  <c r="EI36" i="29" s="1"/>
  <c r="Q155" i="29"/>
  <c r="EF36" i="29" s="1"/>
  <c r="P155" i="29"/>
  <c r="O155" i="29"/>
  <c r="ED36" i="29" s="1"/>
  <c r="J155" i="29"/>
  <c r="P161" i="29"/>
  <c r="EE42" i="29" s="1"/>
  <c r="O161" i="29"/>
  <c r="ED42" i="29" s="1"/>
  <c r="J161" i="29"/>
  <c r="N161" i="29"/>
  <c r="EC42" i="29" s="1"/>
  <c r="Q161" i="29"/>
  <c r="EF42" i="29" s="1"/>
  <c r="P163" i="29"/>
  <c r="EE44" i="29" s="1"/>
  <c r="Q163" i="29"/>
  <c r="EF44" i="29" s="1"/>
  <c r="M116" i="29"/>
  <c r="P116" i="29" s="1"/>
  <c r="DG57" i="29" s="1"/>
  <c r="M120" i="29"/>
  <c r="P120" i="29" s="1"/>
  <c r="R121" i="29"/>
  <c r="DJ62" i="29" s="1"/>
  <c r="S122" i="29"/>
  <c r="DK63" i="29" s="1"/>
  <c r="M124" i="29"/>
  <c r="BC124" i="29"/>
  <c r="R125" i="29"/>
  <c r="DV36" i="29" s="1"/>
  <c r="S126" i="29"/>
  <c r="DW37" i="29" s="1"/>
  <c r="M128" i="29"/>
  <c r="N128" i="29" s="1"/>
  <c r="R129" i="29"/>
  <c r="DV40" i="29" s="1"/>
  <c r="BD129" i="29"/>
  <c r="S130" i="29"/>
  <c r="DW41" i="29" s="1"/>
  <c r="M132" i="29"/>
  <c r="N132" i="29" s="1"/>
  <c r="R133" i="29"/>
  <c r="DV44" i="29" s="1"/>
  <c r="S134" i="29"/>
  <c r="DW45" i="29" s="1"/>
  <c r="K135" i="29"/>
  <c r="BW135" i="29"/>
  <c r="M136" i="29"/>
  <c r="P136" i="29" s="1"/>
  <c r="R137" i="29"/>
  <c r="DV48" i="29" s="1"/>
  <c r="S138" i="29"/>
  <c r="DW49" i="29" s="1"/>
  <c r="K139" i="29"/>
  <c r="P139" i="29"/>
  <c r="DS50" i="29" s="1"/>
  <c r="BW139" i="29"/>
  <c r="M140" i="29"/>
  <c r="P140" i="29" s="1"/>
  <c r="R141" i="29"/>
  <c r="DV52" i="29" s="1"/>
  <c r="BD141" i="29"/>
  <c r="S142" i="29"/>
  <c r="DW53" i="29" s="1"/>
  <c r="K143" i="29"/>
  <c r="R143" i="29"/>
  <c r="DV54" i="29" s="1"/>
  <c r="N144" i="29"/>
  <c r="Q144" i="29"/>
  <c r="DT55" i="29" s="1"/>
  <c r="N146" i="29"/>
  <c r="DQ57" i="29" s="1"/>
  <c r="O148" i="29"/>
  <c r="DR59" i="29" s="1"/>
  <c r="P150" i="29"/>
  <c r="DS61" i="29" s="1"/>
  <c r="O150" i="29"/>
  <c r="DR61" i="29" s="1"/>
  <c r="J150" i="29"/>
  <c r="N150" i="29"/>
  <c r="M151" i="29"/>
  <c r="P151" i="29" s="1"/>
  <c r="BW151" i="29"/>
  <c r="K151" i="29"/>
  <c r="S151" i="29"/>
  <c r="DW62" i="29" s="1"/>
  <c r="Q151" i="29"/>
  <c r="DT62" i="29" s="1"/>
  <c r="O151" i="29"/>
  <c r="DR62" i="29" s="1"/>
  <c r="J151" i="29"/>
  <c r="J152" i="29"/>
  <c r="N155" i="29"/>
  <c r="EC36" i="29" s="1"/>
  <c r="O157" i="29"/>
  <c r="ED38" i="29" s="1"/>
  <c r="J157" i="29"/>
  <c r="N157" i="29"/>
  <c r="Q157" i="29"/>
  <c r="EF38" i="29" s="1"/>
  <c r="P157" i="29"/>
  <c r="EE38" i="29" s="1"/>
  <c r="Q158" i="29"/>
  <c r="EF39" i="29" s="1"/>
  <c r="R159" i="29"/>
  <c r="EH40" i="29" s="1"/>
  <c r="N160" i="29"/>
  <c r="BC160" i="29" s="1"/>
  <c r="Q160" i="29"/>
  <c r="EF41" i="29" s="1"/>
  <c r="P160" i="29"/>
  <c r="EE41" i="29" s="1"/>
  <c r="R116" i="29"/>
  <c r="DJ57" i="29" s="1"/>
  <c r="R120" i="29"/>
  <c r="DJ61" i="29" s="1"/>
  <c r="K122" i="29"/>
  <c r="R124" i="29"/>
  <c r="DV35" i="29" s="1"/>
  <c r="K126" i="29"/>
  <c r="V126" i="29"/>
  <c r="R128" i="29"/>
  <c r="DV39" i="29" s="1"/>
  <c r="K130" i="29"/>
  <c r="R132" i="29"/>
  <c r="DV43" i="29" s="1"/>
  <c r="K134" i="29"/>
  <c r="V134" i="29"/>
  <c r="M135" i="29"/>
  <c r="N135" i="29" s="1"/>
  <c r="R136" i="29"/>
  <c r="DV47" i="29" s="1"/>
  <c r="K138" i="29"/>
  <c r="M139" i="29"/>
  <c r="R140" i="29"/>
  <c r="DV51" i="29" s="1"/>
  <c r="K142" i="29"/>
  <c r="V142" i="29"/>
  <c r="S143" i="29"/>
  <c r="DW54" i="29" s="1"/>
  <c r="BW143" i="29"/>
  <c r="O144" i="29"/>
  <c r="DR55" i="29" s="1"/>
  <c r="I145" i="29"/>
  <c r="R145" i="29" s="1"/>
  <c r="DV56" i="29" s="1"/>
  <c r="Q146" i="29"/>
  <c r="DT57" i="29" s="1"/>
  <c r="M147" i="29"/>
  <c r="N147" i="29" s="1"/>
  <c r="DQ58" i="29" s="1"/>
  <c r="BW147" i="29"/>
  <c r="K147" i="29"/>
  <c r="Q147" i="29"/>
  <c r="DT58" i="29" s="1"/>
  <c r="R147" i="29"/>
  <c r="DV58" i="29" s="1"/>
  <c r="J148" i="29"/>
  <c r="O153" i="29"/>
  <c r="DR64" i="29" s="1"/>
  <c r="J153" i="29"/>
  <c r="N153" i="29"/>
  <c r="Q153" i="29"/>
  <c r="DT64" i="29" s="1"/>
  <c r="P153" i="29"/>
  <c r="DS64" i="29" s="1"/>
  <c r="Q154" i="29"/>
  <c r="EF35" i="29" s="1"/>
  <c r="R155" i="29"/>
  <c r="EH36" i="29" s="1"/>
  <c r="N156" i="29"/>
  <c r="Q156" i="29"/>
  <c r="EF37" i="29" s="1"/>
  <c r="P156" i="29"/>
  <c r="EE37" i="29" s="1"/>
  <c r="O160" i="29"/>
  <c r="ED41" i="29" s="1"/>
  <c r="R150" i="29"/>
  <c r="DV61" i="29" s="1"/>
  <c r="R154" i="29"/>
  <c r="EH35" i="29" s="1"/>
  <c r="R158" i="29"/>
  <c r="EH39" i="29" s="1"/>
  <c r="O162" i="29"/>
  <c r="ED43" i="29" s="1"/>
  <c r="J162" i="29"/>
  <c r="N162" i="29"/>
  <c r="P162" i="29"/>
  <c r="EE43" i="29" s="1"/>
  <c r="M164" i="29"/>
  <c r="N164" i="29" s="1"/>
  <c r="EC45" i="29" s="1"/>
  <c r="BW164" i="29"/>
  <c r="K164" i="29"/>
  <c r="Q164" i="29"/>
  <c r="EF45" i="29" s="1"/>
  <c r="P164" i="29"/>
  <c r="R164" i="29"/>
  <c r="EH45" i="29" s="1"/>
  <c r="N169" i="29"/>
  <c r="Q169" i="29"/>
  <c r="EF50" i="29" s="1"/>
  <c r="O169" i="29"/>
  <c r="ED50" i="29" s="1"/>
  <c r="J169" i="29"/>
  <c r="P169" i="29"/>
  <c r="EE50" i="29" s="1"/>
  <c r="R149" i="29"/>
  <c r="DV60" i="29" s="1"/>
  <c r="S150" i="29"/>
  <c r="DW61" i="29" s="1"/>
  <c r="R153" i="29"/>
  <c r="DV64" i="29" s="1"/>
  <c r="S154" i="29"/>
  <c r="EI35" i="29" s="1"/>
  <c r="R157" i="29"/>
  <c r="EH38" i="29" s="1"/>
  <c r="BD157" i="29"/>
  <c r="S158" i="29"/>
  <c r="EI39" i="29" s="1"/>
  <c r="R161" i="29"/>
  <c r="EH42" i="29" s="1"/>
  <c r="S161" i="29"/>
  <c r="EI42" i="29" s="1"/>
  <c r="BW161" i="29"/>
  <c r="Q162" i="29"/>
  <c r="EF43" i="29" s="1"/>
  <c r="BW163" i="29"/>
  <c r="K163" i="29"/>
  <c r="S163" i="29"/>
  <c r="EI44" i="29" s="1"/>
  <c r="R163" i="29"/>
  <c r="EH44" i="29" s="1"/>
  <c r="J164" i="29"/>
  <c r="S164" i="29"/>
  <c r="EI45" i="29" s="1"/>
  <c r="BW167" i="29"/>
  <c r="K167" i="29"/>
  <c r="S167" i="29"/>
  <c r="EI48" i="29" s="1"/>
  <c r="M167" i="29"/>
  <c r="N167" i="29" s="1"/>
  <c r="EC48" i="29" s="1"/>
  <c r="O167" i="29"/>
  <c r="ED48" i="29" s="1"/>
  <c r="J167" i="29"/>
  <c r="Q167" i="29"/>
  <c r="EF48" i="29" s="1"/>
  <c r="BW171" i="29"/>
  <c r="K171" i="29"/>
  <c r="S171" i="29"/>
  <c r="EI52" i="29" s="1"/>
  <c r="M171" i="29"/>
  <c r="N171" i="29" s="1"/>
  <c r="P171" i="29"/>
  <c r="EE52" i="29" s="1"/>
  <c r="O171" i="29"/>
  <c r="ED52" i="29" s="1"/>
  <c r="J171" i="29"/>
  <c r="Q171" i="29"/>
  <c r="EF52" i="29" s="1"/>
  <c r="Q181" i="29"/>
  <c r="EF62" i="29" s="1"/>
  <c r="O181" i="29"/>
  <c r="ED62" i="29" s="1"/>
  <c r="J181" i="29"/>
  <c r="R144" i="29"/>
  <c r="DV55" i="29" s="1"/>
  <c r="R148" i="29"/>
  <c r="DV59" i="29" s="1"/>
  <c r="K150" i="29"/>
  <c r="R152" i="29"/>
  <c r="DV63" i="29" s="1"/>
  <c r="K154" i="29"/>
  <c r="V154" i="29"/>
  <c r="R156" i="29"/>
  <c r="EH37" i="29" s="1"/>
  <c r="K158" i="29"/>
  <c r="R160" i="29"/>
  <c r="EH41" i="29" s="1"/>
  <c r="Q165" i="29"/>
  <c r="EF46" i="29" s="1"/>
  <c r="O165" i="29"/>
  <c r="ED46" i="29" s="1"/>
  <c r="I166" i="29"/>
  <c r="I170" i="29"/>
  <c r="R170" i="29" s="1"/>
  <c r="EH51" i="29" s="1"/>
  <c r="O182" i="29"/>
  <c r="ED63" i="29" s="1"/>
  <c r="J182" i="29"/>
  <c r="Q182" i="29"/>
  <c r="EF63" i="29" s="1"/>
  <c r="O183" i="29"/>
  <c r="ED64" i="29" s="1"/>
  <c r="J183" i="29"/>
  <c r="N183" i="29"/>
  <c r="EC64" i="29" s="1"/>
  <c r="Q183" i="29"/>
  <c r="EF64" i="29" s="1"/>
  <c r="K161" i="29"/>
  <c r="BC161" i="29"/>
  <c r="R171" i="29"/>
  <c r="EH52" i="29" s="1"/>
  <c r="N173" i="29"/>
  <c r="Q173" i="29"/>
  <c r="EF54" i="29" s="1"/>
  <c r="P173" i="29"/>
  <c r="EE54" i="29" s="1"/>
  <c r="O173" i="29"/>
  <c r="ED54" i="29" s="1"/>
  <c r="J173" i="29"/>
  <c r="O174" i="29"/>
  <c r="ED55" i="29" s="1"/>
  <c r="J174" i="29"/>
  <c r="N174" i="29"/>
  <c r="Q174" i="29"/>
  <c r="EF55" i="29" s="1"/>
  <c r="P174" i="29"/>
  <c r="EE55" i="29" s="1"/>
  <c r="N177" i="29"/>
  <c r="Q177" i="29"/>
  <c r="EF58" i="29" s="1"/>
  <c r="P177" i="29"/>
  <c r="EE58" i="29" s="1"/>
  <c r="O177" i="29"/>
  <c r="ED58" i="29" s="1"/>
  <c r="J177" i="29"/>
  <c r="O178" i="29"/>
  <c r="ED59" i="29" s="1"/>
  <c r="J178" i="29"/>
  <c r="N178" i="29"/>
  <c r="Q178" i="29"/>
  <c r="EF59" i="29" s="1"/>
  <c r="P178" i="29"/>
  <c r="EE59" i="29" s="1"/>
  <c r="R168" i="29"/>
  <c r="EH49" i="29" s="1"/>
  <c r="R172" i="29"/>
  <c r="EH53" i="29" s="1"/>
  <c r="M175" i="29"/>
  <c r="N175" i="29" s="1"/>
  <c r="Q175" i="29"/>
  <c r="EF56" i="29" s="1"/>
  <c r="R176" i="29"/>
  <c r="EH57" i="29" s="1"/>
  <c r="M179" i="29"/>
  <c r="P179" i="29" s="1"/>
  <c r="Q179" i="29"/>
  <c r="EF60" i="29" s="1"/>
  <c r="R180" i="29"/>
  <c r="EH61" i="29" s="1"/>
  <c r="K182" i="29"/>
  <c r="BW182" i="29"/>
  <c r="M183" i="29"/>
  <c r="P183" i="29" s="1"/>
  <c r="BC183" i="29"/>
  <c r="R175" i="29"/>
  <c r="EH56" i="29" s="1"/>
  <c r="N179" i="29"/>
  <c r="EC60" i="29" s="1"/>
  <c r="R179" i="29"/>
  <c r="EH60" i="29" s="1"/>
  <c r="O180" i="29"/>
  <c r="ED61" i="29" s="1"/>
  <c r="S180" i="29"/>
  <c r="EI61" i="29" s="1"/>
  <c r="K181" i="29"/>
  <c r="BW181" i="29"/>
  <c r="M182" i="29"/>
  <c r="P182" i="29" s="1"/>
  <c r="R183" i="29"/>
  <c r="EH64" i="29" s="1"/>
  <c r="R162" i="29"/>
  <c r="EH43" i="29" s="1"/>
  <c r="M165" i="29"/>
  <c r="N165" i="29" s="1"/>
  <c r="R166" i="29"/>
  <c r="EH47" i="29" s="1"/>
  <c r="K168" i="29"/>
  <c r="BW168" i="29"/>
  <c r="K172" i="29"/>
  <c r="BW172" i="29"/>
  <c r="R174" i="29"/>
  <c r="EH55" i="29" s="1"/>
  <c r="J175" i="29"/>
  <c r="O175" i="29"/>
  <c r="ED56" i="29" s="1"/>
  <c r="S175" i="29"/>
  <c r="EI56" i="29" s="1"/>
  <c r="K176" i="29"/>
  <c r="BW176" i="29"/>
  <c r="R178" i="29"/>
  <c r="EH59" i="29" s="1"/>
  <c r="J179" i="29"/>
  <c r="O179" i="29"/>
  <c r="ED60" i="29" s="1"/>
  <c r="S179" i="29"/>
  <c r="EI60" i="29" s="1"/>
  <c r="K180" i="29"/>
  <c r="BW180" i="29"/>
  <c r="M181" i="29"/>
  <c r="N181" i="29" s="1"/>
  <c r="R182" i="29"/>
  <c r="EH63" i="29" s="1"/>
  <c r="S183" i="29"/>
  <c r="EI64" i="29" s="1"/>
  <c r="R165" i="29"/>
  <c r="EH46" i="29" s="1"/>
  <c r="M168" i="29"/>
  <c r="N168" i="29" s="1"/>
  <c r="R169" i="29"/>
  <c r="EH50" i="29" s="1"/>
  <c r="M172" i="29"/>
  <c r="N172" i="29" s="1"/>
  <c r="R173" i="29"/>
  <c r="EH54" i="29" s="1"/>
  <c r="K175" i="29"/>
  <c r="M176" i="29"/>
  <c r="P176" i="29" s="1"/>
  <c r="R177" i="29"/>
  <c r="EH58" i="29" s="1"/>
  <c r="K179" i="29"/>
  <c r="M180" i="29"/>
  <c r="N180" i="29" s="1"/>
  <c r="R181" i="29"/>
  <c r="EH62" i="29" s="1"/>
  <c r="K183" i="29"/>
  <c r="R81" i="28"/>
  <c r="R104" i="28"/>
  <c r="R100" i="28"/>
  <c r="R80" i="28"/>
  <c r="R163" i="28"/>
  <c r="R154" i="28"/>
  <c r="R118" i="28"/>
  <c r="I88" i="28"/>
  <c r="Q88" i="28" s="1"/>
  <c r="I87" i="28"/>
  <c r="Q87" i="28" s="1"/>
  <c r="I45" i="28"/>
  <c r="R45" i="28" s="1"/>
  <c r="I47" i="28"/>
  <c r="R47" i="28" s="1"/>
  <c r="I63" i="28"/>
  <c r="Q63" i="28" s="1"/>
  <c r="I77" i="28"/>
  <c r="N77" i="28" s="1"/>
  <c r="BC77" i="28" s="1"/>
  <c r="I90" i="28"/>
  <c r="I98" i="28"/>
  <c r="O98" i="28" s="1"/>
  <c r="DF39" i="28" s="1"/>
  <c r="I106" i="28"/>
  <c r="Q106" i="28" s="1"/>
  <c r="I110" i="28"/>
  <c r="I121" i="28"/>
  <c r="I125" i="28"/>
  <c r="Q125" i="28" s="1"/>
  <c r="I131" i="28"/>
  <c r="P131" i="28" s="1"/>
  <c r="I135" i="28"/>
  <c r="I137" i="28"/>
  <c r="DP48" i="28" s="1"/>
  <c r="I138" i="28"/>
  <c r="DP49" i="28" s="1"/>
  <c r="K38" i="28"/>
  <c r="I116" i="28"/>
  <c r="J116" i="28" s="1"/>
  <c r="I56" i="28"/>
  <c r="R56" i="28" s="1"/>
  <c r="I60" i="28"/>
  <c r="CF61" i="28" s="1"/>
  <c r="I54" i="28"/>
  <c r="I141" i="28"/>
  <c r="J141" i="28" s="1"/>
  <c r="I144" i="28"/>
  <c r="I147" i="28"/>
  <c r="N147" i="28" s="1"/>
  <c r="DQ58" i="28" s="1"/>
  <c r="I148" i="28"/>
  <c r="Q148" i="28" s="1"/>
  <c r="I66" i="28"/>
  <c r="N66" i="28" s="1"/>
  <c r="BC66" i="28" s="1"/>
  <c r="I94" i="28"/>
  <c r="I102" i="28"/>
  <c r="P102" i="28" s="1"/>
  <c r="I129" i="28"/>
  <c r="I130" i="28"/>
  <c r="R130" i="28" s="1"/>
  <c r="I143" i="28"/>
  <c r="I150" i="28"/>
  <c r="I177" i="28"/>
  <c r="I178" i="28"/>
  <c r="J178" i="28" s="1"/>
  <c r="I180" i="28"/>
  <c r="I181" i="28"/>
  <c r="I182" i="28"/>
  <c r="I183" i="28"/>
  <c r="P183" i="28" s="1"/>
  <c r="EE64" i="28" s="1"/>
  <c r="I84" i="28"/>
  <c r="I108" i="28"/>
  <c r="I122" i="28"/>
  <c r="J122" i="28" s="1"/>
  <c r="I126" i="28"/>
  <c r="Q126" i="28" s="1"/>
  <c r="I145" i="28"/>
  <c r="I149" i="28"/>
  <c r="I170" i="28"/>
  <c r="O170" i="28" s="1"/>
  <c r="ED51" i="28" s="1"/>
  <c r="BW38" i="28"/>
  <c r="I48" i="28"/>
  <c r="R48" i="28" s="1"/>
  <c r="I79" i="28"/>
  <c r="I89" i="28"/>
  <c r="I97" i="28"/>
  <c r="I114" i="28"/>
  <c r="Q114" i="28" s="1"/>
  <c r="K45" i="28"/>
  <c r="BW45" i="28"/>
  <c r="K47" i="28"/>
  <c r="BW47" i="28"/>
  <c r="I51" i="28"/>
  <c r="R51" i="28" s="1"/>
  <c r="I52" i="28"/>
  <c r="J52" i="28" s="1"/>
  <c r="I58" i="28"/>
  <c r="Q58" i="28" s="1"/>
  <c r="I59" i="28"/>
  <c r="I64" i="28"/>
  <c r="O64" i="28" s="1"/>
  <c r="CT35" i="28" s="1"/>
  <c r="I65" i="28"/>
  <c r="Q65" i="28" s="1"/>
  <c r="K66" i="28"/>
  <c r="K69" i="28"/>
  <c r="I74" i="28"/>
  <c r="Q74" i="28" s="1"/>
  <c r="I76" i="28"/>
  <c r="Q76" i="28" s="1"/>
  <c r="K77" i="28"/>
  <c r="K40" i="28"/>
  <c r="K42" i="28"/>
  <c r="BW42" i="28"/>
  <c r="I49" i="28"/>
  <c r="R49" i="28" s="1"/>
  <c r="K53" i="28"/>
  <c r="I61" i="28"/>
  <c r="Q61" i="28" s="1"/>
  <c r="I62" i="28"/>
  <c r="R62" i="28" s="1"/>
  <c r="I68" i="28"/>
  <c r="I71" i="28"/>
  <c r="O71" i="28" s="1"/>
  <c r="CT42" i="28" s="1"/>
  <c r="I72" i="28"/>
  <c r="K73" i="28"/>
  <c r="I75" i="28"/>
  <c r="BW97" i="28"/>
  <c r="BW40" i="28"/>
  <c r="K51" i="28"/>
  <c r="BW51" i="28"/>
  <c r="K64" i="28"/>
  <c r="K65" i="28"/>
  <c r="K76" i="28"/>
  <c r="BW93" i="28"/>
  <c r="K36" i="28"/>
  <c r="BW36" i="28"/>
  <c r="K49" i="28"/>
  <c r="BW49" i="28"/>
  <c r="I53" i="28"/>
  <c r="R53" i="28" s="1"/>
  <c r="K62" i="28"/>
  <c r="I67" i="28"/>
  <c r="I70" i="28"/>
  <c r="Q70" i="28" s="1"/>
  <c r="K72" i="28"/>
  <c r="I73" i="28"/>
  <c r="BW75" i="28"/>
  <c r="K82" i="28"/>
  <c r="BW82" i="28"/>
  <c r="BW89" i="28"/>
  <c r="I78" i="28"/>
  <c r="I82" i="28"/>
  <c r="K90" i="28"/>
  <c r="BW90" i="28"/>
  <c r="K94" i="28"/>
  <c r="BW94" i="28"/>
  <c r="I95" i="28"/>
  <c r="K98" i="28"/>
  <c r="BW98" i="28"/>
  <c r="K109" i="28"/>
  <c r="BW109" i="28"/>
  <c r="I112" i="28"/>
  <c r="I120" i="28"/>
  <c r="K121" i="28"/>
  <c r="I124" i="28"/>
  <c r="J124" i="28" s="1"/>
  <c r="K125" i="28"/>
  <c r="K131" i="28"/>
  <c r="I133" i="28"/>
  <c r="R133" i="28" s="1"/>
  <c r="BW134" i="28"/>
  <c r="BW135" i="28"/>
  <c r="I136" i="28"/>
  <c r="O136" i="28" s="1"/>
  <c r="DR47" i="28" s="1"/>
  <c r="K138" i="28"/>
  <c r="I140" i="28"/>
  <c r="I142" i="28"/>
  <c r="K143" i="28"/>
  <c r="BW144" i="28"/>
  <c r="BW145" i="28"/>
  <c r="I146" i="28"/>
  <c r="K149" i="28"/>
  <c r="I151" i="28"/>
  <c r="R151" i="28" s="1"/>
  <c r="DV62" i="28" s="1"/>
  <c r="I153" i="28"/>
  <c r="R153" i="28" s="1"/>
  <c r="I157" i="28"/>
  <c r="I158" i="28"/>
  <c r="J158" i="28" s="1"/>
  <c r="I160" i="28"/>
  <c r="I161" i="28"/>
  <c r="P161" i="28" s="1"/>
  <c r="I162" i="28"/>
  <c r="R162" i="28" s="1"/>
  <c r="BW162" i="28"/>
  <c r="I166" i="28"/>
  <c r="Q166" i="28" s="1"/>
  <c r="K167" i="28"/>
  <c r="I169" i="28"/>
  <c r="K170" i="28"/>
  <c r="I171" i="28"/>
  <c r="N171" i="28" s="1"/>
  <c r="BC171" i="28" s="1"/>
  <c r="K174" i="28"/>
  <c r="I175" i="28"/>
  <c r="I179" i="28"/>
  <c r="Q179" i="28" s="1"/>
  <c r="I86" i="28"/>
  <c r="O86" i="28" s="1"/>
  <c r="CT57" i="28" s="1"/>
  <c r="I92" i="28"/>
  <c r="Q92" i="28" s="1"/>
  <c r="I96" i="28"/>
  <c r="O96" i="28" s="1"/>
  <c r="DF37" i="28" s="1"/>
  <c r="K102" i="28"/>
  <c r="I105" i="28"/>
  <c r="P105" i="28" s="1"/>
  <c r="DG46" i="28" s="1"/>
  <c r="I113" i="28"/>
  <c r="Q113" i="28" s="1"/>
  <c r="K116" i="28"/>
  <c r="I117" i="28"/>
  <c r="Q117" i="28" s="1"/>
  <c r="I128" i="28"/>
  <c r="J128" i="28" s="1"/>
  <c r="J130" i="28"/>
  <c r="I134" i="28"/>
  <c r="K135" i="28"/>
  <c r="BW139" i="28"/>
  <c r="K145" i="28"/>
  <c r="I152" i="28"/>
  <c r="BW152" i="28"/>
  <c r="BW153" i="28"/>
  <c r="BW157" i="28"/>
  <c r="K163" i="28"/>
  <c r="BW170" i="28"/>
  <c r="K178" i="28"/>
  <c r="K112" i="28"/>
  <c r="BW112" i="28"/>
  <c r="K120" i="28"/>
  <c r="K124" i="28"/>
  <c r="K139" i="28"/>
  <c r="K142" i="28"/>
  <c r="K153" i="28"/>
  <c r="K157" i="28"/>
  <c r="K158" i="28"/>
  <c r="K161" i="28"/>
  <c r="I165" i="28"/>
  <c r="K166" i="28"/>
  <c r="I167" i="28"/>
  <c r="I173" i="28"/>
  <c r="I174" i="28"/>
  <c r="K179" i="28"/>
  <c r="K86" i="28"/>
  <c r="BW86" i="28"/>
  <c r="I107" i="28"/>
  <c r="Q107" i="28" s="1"/>
  <c r="K113" i="28"/>
  <c r="K117" i="28"/>
  <c r="BW120" i="28"/>
  <c r="I123" i="28"/>
  <c r="BW124" i="28"/>
  <c r="K128" i="28"/>
  <c r="I132" i="28"/>
  <c r="K134" i="28"/>
  <c r="BW142" i="28"/>
  <c r="BW158" i="28"/>
  <c r="I55" i="28"/>
  <c r="P55" i="28" s="1"/>
  <c r="CI56" i="28" s="1"/>
  <c r="I83" i="28"/>
  <c r="P83" i="28" s="1"/>
  <c r="CU54" i="28" s="1"/>
  <c r="I93" i="28"/>
  <c r="I99" i="28"/>
  <c r="J99" i="28" s="1"/>
  <c r="I103" i="28"/>
  <c r="J103" i="28" s="1"/>
  <c r="I111" i="28"/>
  <c r="R111" i="28" s="1"/>
  <c r="I119" i="28"/>
  <c r="I155" i="28"/>
  <c r="R155" i="28" s="1"/>
  <c r="I176" i="28"/>
  <c r="Q176" i="28" s="1"/>
  <c r="I44" i="28"/>
  <c r="I46" i="28"/>
  <c r="P46" i="28" s="1"/>
  <c r="CI47" i="28" s="1"/>
  <c r="I50" i="28"/>
  <c r="J50" i="28" s="1"/>
  <c r="I57" i="28"/>
  <c r="I85" i="28"/>
  <c r="O85" i="28" s="1"/>
  <c r="CT56" i="28" s="1"/>
  <c r="I91" i="28"/>
  <c r="P91" i="28" s="1"/>
  <c r="I101" i="28"/>
  <c r="Q101" i="28" s="1"/>
  <c r="I127" i="28"/>
  <c r="I159" i="28"/>
  <c r="P159" i="28" s="1"/>
  <c r="I164" i="28"/>
  <c r="I168" i="28"/>
  <c r="R168" i="28" s="1"/>
  <c r="I172" i="28"/>
  <c r="R172" i="28" s="1"/>
  <c r="EH53" i="28" s="1"/>
  <c r="K41" i="28"/>
  <c r="J45" i="28"/>
  <c r="Q47" i="28"/>
  <c r="BW35" i="28"/>
  <c r="K35" i="28"/>
  <c r="K34" i="28"/>
  <c r="BW39" i="28"/>
  <c r="K39" i="28"/>
  <c r="CF46" i="28"/>
  <c r="N45" i="28"/>
  <c r="CL46" i="28" s="1"/>
  <c r="Q45" i="28"/>
  <c r="P45" i="28"/>
  <c r="CI46" i="28" s="1"/>
  <c r="BW37" i="28"/>
  <c r="K37" i="28"/>
  <c r="O45" i="28"/>
  <c r="CH46" i="28" s="1"/>
  <c r="K43" i="28"/>
  <c r="CF57" i="28"/>
  <c r="O56" i="28"/>
  <c r="CH57" i="28" s="1"/>
  <c r="J56" i="28"/>
  <c r="Q56" i="28"/>
  <c r="K44" i="28"/>
  <c r="K46" i="28"/>
  <c r="K48" i="28"/>
  <c r="K50" i="28"/>
  <c r="K52" i="28"/>
  <c r="BW52" i="28"/>
  <c r="BW53" i="28"/>
  <c r="P66" i="28"/>
  <c r="CU37" i="28" s="1"/>
  <c r="J66" i="28"/>
  <c r="J62" i="28"/>
  <c r="P56" i="28"/>
  <c r="CI57" i="28" s="1"/>
  <c r="K58" i="28"/>
  <c r="BW58" i="28"/>
  <c r="K59" i="28"/>
  <c r="BW59" i="28"/>
  <c r="K60" i="28"/>
  <c r="BW60" i="28"/>
  <c r="K61" i="28"/>
  <c r="BW61" i="28"/>
  <c r="K63" i="28"/>
  <c r="BW63" i="28"/>
  <c r="BW64" i="28"/>
  <c r="BW65" i="28"/>
  <c r="K67" i="28"/>
  <c r="P77" i="28"/>
  <c r="CU48" i="28" s="1"/>
  <c r="Q79" i="28"/>
  <c r="Q89" i="28"/>
  <c r="P89" i="28"/>
  <c r="CU60" i="28" s="1"/>
  <c r="O89" i="28"/>
  <c r="CT60" i="28" s="1"/>
  <c r="J89" i="28"/>
  <c r="N89" i="28"/>
  <c r="CS60" i="28" s="1"/>
  <c r="K55" i="28"/>
  <c r="BW55" i="28"/>
  <c r="K57" i="28"/>
  <c r="BW57" i="28"/>
  <c r="Q60" i="28"/>
  <c r="I69" i="28"/>
  <c r="R69" i="28" s="1"/>
  <c r="BW70" i="28"/>
  <c r="O87" i="28"/>
  <c r="CT58" i="28" s="1"/>
  <c r="N87" i="28"/>
  <c r="P87" i="28"/>
  <c r="Q90" i="28"/>
  <c r="O90" i="28"/>
  <c r="CT61" i="28" s="1"/>
  <c r="J90" i="28"/>
  <c r="N60" i="28"/>
  <c r="BW68" i="28"/>
  <c r="Q81" i="28"/>
  <c r="P81" i="28"/>
  <c r="CU52" i="28" s="1"/>
  <c r="O81" i="28"/>
  <c r="CT52" i="28" s="1"/>
  <c r="J81" i="28"/>
  <c r="N81" i="28"/>
  <c r="Q94" i="28"/>
  <c r="O94" i="28"/>
  <c r="DF35" i="28" s="1"/>
  <c r="J94" i="28"/>
  <c r="K54" i="28"/>
  <c r="K56" i="28"/>
  <c r="J61" i="28"/>
  <c r="K68" i="28"/>
  <c r="P80" i="28"/>
  <c r="CU51" i="28" s="1"/>
  <c r="Q98" i="28"/>
  <c r="K71" i="28"/>
  <c r="K75" i="28"/>
  <c r="K79" i="28"/>
  <c r="BW79" i="28"/>
  <c r="Q80" i="28"/>
  <c r="K83" i="28"/>
  <c r="BW83" i="28"/>
  <c r="P84" i="28"/>
  <c r="BD84" i="28" s="1"/>
  <c r="Q84" i="28"/>
  <c r="K87" i="28"/>
  <c r="BW87" i="28"/>
  <c r="K91" i="28"/>
  <c r="BW91" i="28"/>
  <c r="K95" i="28"/>
  <c r="BW95" i="28"/>
  <c r="K99" i="28"/>
  <c r="BW99" i="28"/>
  <c r="P100" i="28"/>
  <c r="BD100" i="28" s="1"/>
  <c r="Q100" i="28"/>
  <c r="K103" i="28"/>
  <c r="BW103" i="28"/>
  <c r="P104" i="28"/>
  <c r="DG45" i="28" s="1"/>
  <c r="Q104" i="28"/>
  <c r="Q112" i="28"/>
  <c r="O112" i="28"/>
  <c r="DF53" i="28" s="1"/>
  <c r="J112" i="28"/>
  <c r="J115" i="28"/>
  <c r="O121" i="28"/>
  <c r="DF62" i="28" s="1"/>
  <c r="J121" i="28"/>
  <c r="N121" i="28"/>
  <c r="BC121" i="28" s="1"/>
  <c r="Q121" i="28"/>
  <c r="P121" i="28"/>
  <c r="P132" i="28"/>
  <c r="DS43" i="28" s="1"/>
  <c r="O132" i="28"/>
  <c r="DR43" i="28" s="1"/>
  <c r="J132" i="28"/>
  <c r="Q132" i="28"/>
  <c r="N132" i="28"/>
  <c r="BW74" i="28"/>
  <c r="BW78" i="28"/>
  <c r="N80" i="28"/>
  <c r="CS51" i="28" s="1"/>
  <c r="N84" i="28"/>
  <c r="CS55" i="28" s="1"/>
  <c r="N100" i="28"/>
  <c r="DE41" i="28" s="1"/>
  <c r="DJ41" i="28"/>
  <c r="BW102" i="28"/>
  <c r="K106" i="28"/>
  <c r="BW106" i="28"/>
  <c r="BW110" i="28"/>
  <c r="K110" i="28"/>
  <c r="P110" i="28"/>
  <c r="O116" i="28"/>
  <c r="DF57" i="28" s="1"/>
  <c r="O125" i="28"/>
  <c r="DR36" i="28" s="1"/>
  <c r="P125" i="28"/>
  <c r="J80" i="28"/>
  <c r="O80" i="28"/>
  <c r="CT51" i="28" s="1"/>
  <c r="K81" i="28"/>
  <c r="J84" i="28"/>
  <c r="O84" i="28"/>
  <c r="CT55" i="28" s="1"/>
  <c r="K85" i="28"/>
  <c r="K89" i="28"/>
  <c r="N90" i="28"/>
  <c r="BC90" i="28" s="1"/>
  <c r="O92" i="28"/>
  <c r="CT63" i="28" s="1"/>
  <c r="K93" i="28"/>
  <c r="N94" i="28"/>
  <c r="BC94" i="28" s="1"/>
  <c r="J96" i="28"/>
  <c r="K97" i="28"/>
  <c r="J100" i="28"/>
  <c r="O100" i="28"/>
  <c r="DF41" i="28" s="1"/>
  <c r="K101" i="28"/>
  <c r="J104" i="28"/>
  <c r="O104" i="28"/>
  <c r="DF45" i="28" s="1"/>
  <c r="K105" i="28"/>
  <c r="BW107" i="28"/>
  <c r="K107" i="28"/>
  <c r="I109" i="28"/>
  <c r="R109" i="28" s="1"/>
  <c r="Q120" i="28"/>
  <c r="K74" i="28"/>
  <c r="K78" i="28"/>
  <c r="K80" i="28"/>
  <c r="K84" i="28"/>
  <c r="K88" i="28"/>
  <c r="K92" i="28"/>
  <c r="K96" i="28"/>
  <c r="K100" i="28"/>
  <c r="K104" i="28"/>
  <c r="K108" i="28"/>
  <c r="BW108" i="28"/>
  <c r="N117" i="28"/>
  <c r="BC117" i="28" s="1"/>
  <c r="P117" i="28"/>
  <c r="P114" i="28"/>
  <c r="DG55" i="28" s="1"/>
  <c r="P118" i="28"/>
  <c r="BD118" i="28" s="1"/>
  <c r="Q118" i="28"/>
  <c r="Q122" i="28"/>
  <c r="BW132" i="28"/>
  <c r="K132" i="28"/>
  <c r="BW140" i="28"/>
  <c r="K140" i="28"/>
  <c r="Q144" i="28"/>
  <c r="J144" i="28"/>
  <c r="O144" i="28"/>
  <c r="DR55" i="28" s="1"/>
  <c r="BW147" i="28"/>
  <c r="K147" i="28"/>
  <c r="N118" i="28"/>
  <c r="DE59" i="28" s="1"/>
  <c r="BW129" i="28"/>
  <c r="K129" i="28"/>
  <c r="J135" i="28"/>
  <c r="N137" i="28"/>
  <c r="BW137" i="28"/>
  <c r="K137" i="28"/>
  <c r="Q137" i="28"/>
  <c r="P137" i="28"/>
  <c r="DS48" i="28" s="1"/>
  <c r="Q142" i="28"/>
  <c r="O142" i="28"/>
  <c r="DR53" i="28" s="1"/>
  <c r="P143" i="28"/>
  <c r="O143" i="28"/>
  <c r="DR54" i="28" s="1"/>
  <c r="J143" i="28"/>
  <c r="N143" i="28"/>
  <c r="Q143" i="28"/>
  <c r="O146" i="28"/>
  <c r="DR57" i="28" s="1"/>
  <c r="J146" i="28"/>
  <c r="Q146" i="28"/>
  <c r="K111" i="28"/>
  <c r="P112" i="28"/>
  <c r="O114" i="28"/>
  <c r="DF55" i="28" s="1"/>
  <c r="K115" i="28"/>
  <c r="J118" i="28"/>
  <c r="O118" i="28"/>
  <c r="DF59" i="28" s="1"/>
  <c r="K119" i="28"/>
  <c r="K123" i="28"/>
  <c r="N124" i="28"/>
  <c r="BC124" i="28" s="1"/>
  <c r="K127" i="28"/>
  <c r="BW136" i="28"/>
  <c r="K136" i="28"/>
  <c r="J137" i="28"/>
  <c r="K114" i="28"/>
  <c r="K118" i="28"/>
  <c r="K122" i="28"/>
  <c r="K126" i="28"/>
  <c r="O130" i="28"/>
  <c r="DR41" i="28" s="1"/>
  <c r="N133" i="28"/>
  <c r="DQ44" i="28" s="1"/>
  <c r="BW133" i="28"/>
  <c r="K133" i="28"/>
  <c r="Q138" i="28"/>
  <c r="I139" i="28"/>
  <c r="R139" i="28" s="1"/>
  <c r="BW141" i="28"/>
  <c r="K141" i="28"/>
  <c r="Q141" i="28"/>
  <c r="J142" i="28"/>
  <c r="N145" i="28"/>
  <c r="BC145" i="28" s="1"/>
  <c r="O145" i="28"/>
  <c r="DR56" i="28" s="1"/>
  <c r="Q145" i="28"/>
  <c r="P145" i="28"/>
  <c r="J145" i="28"/>
  <c r="O152" i="28"/>
  <c r="DR63" i="28" s="1"/>
  <c r="J152" i="28"/>
  <c r="Q152" i="28"/>
  <c r="N138" i="28"/>
  <c r="BC138" i="28" s="1"/>
  <c r="N142" i="28"/>
  <c r="BC142" i="28" s="1"/>
  <c r="BW143" i="28"/>
  <c r="P144" i="28"/>
  <c r="K146" i="28"/>
  <c r="N146" i="28"/>
  <c r="BC146" i="28" s="1"/>
  <c r="P151" i="28"/>
  <c r="N152" i="28"/>
  <c r="P156" i="28"/>
  <c r="EE37" i="28" s="1"/>
  <c r="BW156" i="28"/>
  <c r="K156" i="28"/>
  <c r="O156" i="28"/>
  <c r="ED37" i="28" s="1"/>
  <c r="J156" i="28"/>
  <c r="Q156" i="28"/>
  <c r="Q161" i="28"/>
  <c r="O161" i="28"/>
  <c r="ED42" i="28" s="1"/>
  <c r="N161" i="28"/>
  <c r="P154" i="28"/>
  <c r="EE35" i="28" s="1"/>
  <c r="Q154" i="28"/>
  <c r="O154" i="28"/>
  <c r="ED35" i="28" s="1"/>
  <c r="J154" i="28"/>
  <c r="K150" i="28"/>
  <c r="P153" i="28"/>
  <c r="K154" i="28"/>
  <c r="Q159" i="28"/>
  <c r="K160" i="28"/>
  <c r="BW160" i="28"/>
  <c r="O163" i="28"/>
  <c r="ED44" i="28" s="1"/>
  <c r="J163" i="28"/>
  <c r="N163" i="28"/>
  <c r="BC163" i="28" s="1"/>
  <c r="P163" i="28"/>
  <c r="EE44" i="28" s="1"/>
  <c r="BW165" i="28"/>
  <c r="K165" i="28"/>
  <c r="K151" i="28"/>
  <c r="BW151" i="28"/>
  <c r="DV64" i="28"/>
  <c r="K155" i="28"/>
  <c r="BW155" i="28"/>
  <c r="K159" i="28"/>
  <c r="BW159" i="28"/>
  <c r="BW161" i="28"/>
  <c r="Q163" i="28"/>
  <c r="BW164" i="28"/>
  <c r="K164" i="28"/>
  <c r="P172" i="28"/>
  <c r="EE53" i="28" s="1"/>
  <c r="P173" i="28"/>
  <c r="BW173" i="28"/>
  <c r="K173" i="28"/>
  <c r="Q173" i="28"/>
  <c r="O173" i="28"/>
  <c r="ED54" i="28" s="1"/>
  <c r="J173" i="28"/>
  <c r="O175" i="28"/>
  <c r="ED56" i="28" s="1"/>
  <c r="J175" i="28"/>
  <c r="N175" i="28"/>
  <c r="BC175" i="28" s="1"/>
  <c r="Q175" i="28"/>
  <c r="P175" i="28"/>
  <c r="EE56" i="28" s="1"/>
  <c r="Q180" i="28"/>
  <c r="O180" i="28"/>
  <c r="ED61" i="28" s="1"/>
  <c r="J180" i="28"/>
  <c r="O183" i="28"/>
  <c r="ED64" i="28" s="1"/>
  <c r="Q183" i="28"/>
  <c r="N168" i="28"/>
  <c r="BW169" i="28"/>
  <c r="K169" i="28"/>
  <c r="O178" i="28"/>
  <c r="ED59" i="28" s="1"/>
  <c r="Q178" i="28"/>
  <c r="BW178" i="28"/>
  <c r="K182" i="28"/>
  <c r="BW182" i="28"/>
  <c r="P170" i="28"/>
  <c r="K177" i="28"/>
  <c r="BW177" i="28"/>
  <c r="P178" i="28"/>
  <c r="K181" i="28"/>
  <c r="BW181" i="28"/>
  <c r="K168" i="28"/>
  <c r="K172" i="28"/>
  <c r="K176" i="28"/>
  <c r="K180" i="28"/>
  <c r="BW180" i="28"/>
  <c r="P180" i="28"/>
  <c r="EE61" i="28" s="1"/>
  <c r="K183" i="28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2" i="5"/>
  <c r="BD159" i="29" l="1"/>
  <c r="J180" i="29"/>
  <c r="EB61" i="29"/>
  <c r="BD92" i="29"/>
  <c r="O50" i="29"/>
  <c r="CH51" i="29" s="1"/>
  <c r="R50" i="29"/>
  <c r="CL51" i="29" s="1"/>
  <c r="EB41" i="29"/>
  <c r="J128" i="29"/>
  <c r="DP39" i="29"/>
  <c r="J144" i="29"/>
  <c r="DP55" i="29"/>
  <c r="P58" i="28"/>
  <c r="CI59" i="28" s="1"/>
  <c r="Q53" i="28"/>
  <c r="BD89" i="28"/>
  <c r="J101" i="28"/>
  <c r="O70" i="28"/>
  <c r="CT41" i="28" s="1"/>
  <c r="BD130" i="29"/>
  <c r="Q170" i="28"/>
  <c r="J114" i="28"/>
  <c r="O128" i="28"/>
  <c r="DR39" i="28" s="1"/>
  <c r="O115" i="28"/>
  <c r="DF56" i="28" s="1"/>
  <c r="N163" i="29"/>
  <c r="BD138" i="29"/>
  <c r="N138" i="29"/>
  <c r="V138" i="29" s="1"/>
  <c r="J100" i="29"/>
  <c r="BD59" i="29"/>
  <c r="P166" i="28"/>
  <c r="P115" i="28"/>
  <c r="DG56" i="28" s="1"/>
  <c r="J106" i="28"/>
  <c r="BD169" i="29"/>
  <c r="J163" i="29"/>
  <c r="R138" i="29"/>
  <c r="DV49" i="29" s="1"/>
  <c r="BD122" i="29"/>
  <c r="J138" i="29"/>
  <c r="O100" i="29"/>
  <c r="DF41" i="29" s="1"/>
  <c r="V59" i="29"/>
  <c r="BC59" i="29"/>
  <c r="BE59" i="29" s="1"/>
  <c r="DD56" i="28"/>
  <c r="N151" i="28"/>
  <c r="Q151" i="28"/>
  <c r="N115" i="28"/>
  <c r="DE56" i="28" s="1"/>
  <c r="Q115" i="28"/>
  <c r="CF53" i="28"/>
  <c r="O163" i="29"/>
  <c r="ED44" i="29" s="1"/>
  <c r="O138" i="29"/>
  <c r="DR49" i="29" s="1"/>
  <c r="R100" i="29"/>
  <c r="DJ41" i="29" s="1"/>
  <c r="N100" i="29"/>
  <c r="P100" i="29"/>
  <c r="N70" i="28"/>
  <c r="BC70" i="28" s="1"/>
  <c r="P71" i="28"/>
  <c r="CU42" i="28" s="1"/>
  <c r="O53" i="28"/>
  <c r="CH54" i="28" s="1"/>
  <c r="O48" i="28"/>
  <c r="CH49" i="28" s="1"/>
  <c r="BD134" i="29"/>
  <c r="BD126" i="29"/>
  <c r="Q105" i="28"/>
  <c r="Q66" i="28"/>
  <c r="BD125" i="29"/>
  <c r="BD162" i="29"/>
  <c r="BC73" i="29"/>
  <c r="V111" i="29"/>
  <c r="BD65" i="29"/>
  <c r="V109" i="29"/>
  <c r="O91" i="28"/>
  <c r="CT62" i="28" s="1"/>
  <c r="BD75" i="29"/>
  <c r="V130" i="29"/>
  <c r="BD124" i="29"/>
  <c r="BE124" i="29" s="1"/>
  <c r="BC112" i="29"/>
  <c r="BC69" i="29"/>
  <c r="Q113" i="29"/>
  <c r="DH54" i="29" s="1"/>
  <c r="DD54" i="29"/>
  <c r="N128" i="28"/>
  <c r="N105" i="28"/>
  <c r="DE46" i="28" s="1"/>
  <c r="BD142" i="29"/>
  <c r="BD106" i="29"/>
  <c r="BD111" i="29"/>
  <c r="BC60" i="29"/>
  <c r="BD52" i="29"/>
  <c r="J70" i="28"/>
  <c r="BC114" i="29"/>
  <c r="BC51" i="29"/>
  <c r="Q86" i="28"/>
  <c r="CV57" i="28" s="1"/>
  <c r="AG166" i="30"/>
  <c r="AG183" i="30"/>
  <c r="AG179" i="30"/>
  <c r="AG155" i="30"/>
  <c r="AG82" i="30"/>
  <c r="AG43" i="30"/>
  <c r="AG171" i="30"/>
  <c r="DA41" i="30"/>
  <c r="DA47" i="30"/>
  <c r="DA36" i="30"/>
  <c r="CO63" i="30"/>
  <c r="DA45" i="30"/>
  <c r="DA37" i="30"/>
  <c r="CO53" i="30"/>
  <c r="CO51" i="30"/>
  <c r="CO43" i="30"/>
  <c r="CO39" i="30"/>
  <c r="CO37" i="30"/>
  <c r="CO35" i="30"/>
  <c r="CC42" i="30"/>
  <c r="BE53" i="30"/>
  <c r="DA64" i="30"/>
  <c r="DA49" i="30"/>
  <c r="CO59" i="30"/>
  <c r="CC50" i="30"/>
  <c r="BQ39" i="30"/>
  <c r="DA61" i="30"/>
  <c r="DA53" i="30"/>
  <c r="CO61" i="30"/>
  <c r="CO47" i="30"/>
  <c r="BQ54" i="30"/>
  <c r="O117" i="28"/>
  <c r="DF58" i="28" s="1"/>
  <c r="N125" i="28"/>
  <c r="BC125" i="28" s="1"/>
  <c r="J107" i="28"/>
  <c r="CF48" i="28"/>
  <c r="BD163" i="29"/>
  <c r="BD177" i="29"/>
  <c r="BC164" i="29"/>
  <c r="BD150" i="29"/>
  <c r="V158" i="29"/>
  <c r="BC104" i="29"/>
  <c r="BD104" i="29"/>
  <c r="DA62" i="30"/>
  <c r="DC54" i="30"/>
  <c r="DB54" i="30"/>
  <c r="DD54" i="30"/>
  <c r="CZ54" i="30"/>
  <c r="DC64" i="30"/>
  <c r="DA50" i="30"/>
  <c r="DC49" i="30"/>
  <c r="CQ61" i="30"/>
  <c r="DC47" i="30"/>
  <c r="AG148" i="30"/>
  <c r="CO62" i="30"/>
  <c r="AG140" i="30"/>
  <c r="AG132" i="30"/>
  <c r="CO50" i="30"/>
  <c r="CO54" i="30"/>
  <c r="CO40" i="30"/>
  <c r="CQ59" i="30"/>
  <c r="CQ43" i="30"/>
  <c r="AG117" i="30"/>
  <c r="CO46" i="30"/>
  <c r="CC44" i="30"/>
  <c r="CC41" i="30"/>
  <c r="BQ61" i="30"/>
  <c r="CQ35" i="30"/>
  <c r="AG101" i="30"/>
  <c r="AG86" i="30"/>
  <c r="CQ37" i="30"/>
  <c r="CC56" i="30"/>
  <c r="AG91" i="30"/>
  <c r="AG83" i="30"/>
  <c r="BQ64" i="30"/>
  <c r="BQ47" i="30"/>
  <c r="BS47" i="30"/>
  <c r="BQ43" i="30"/>
  <c r="BS54" i="30"/>
  <c r="BQ40" i="30"/>
  <c r="BS39" i="30"/>
  <c r="BE62" i="30"/>
  <c r="DP61" i="29"/>
  <c r="Q150" i="29"/>
  <c r="DT61" i="29" s="1"/>
  <c r="N111" i="28"/>
  <c r="DE52" i="28" s="1"/>
  <c r="N136" i="28"/>
  <c r="P107" i="28"/>
  <c r="DG48" i="28" s="1"/>
  <c r="P74" i="28"/>
  <c r="CU45" i="28" s="1"/>
  <c r="J98" i="28"/>
  <c r="O47" i="28"/>
  <c r="CH48" i="28" s="1"/>
  <c r="BD149" i="29"/>
  <c r="BD158" i="29"/>
  <c r="BD156" i="29"/>
  <c r="BC127" i="29"/>
  <c r="BD99" i="29"/>
  <c r="BE99" i="29" s="1"/>
  <c r="BC64" i="29"/>
  <c r="V64" i="29"/>
  <c r="DA63" i="30"/>
  <c r="DA56" i="30"/>
  <c r="AG175" i="30"/>
  <c r="DA58" i="30"/>
  <c r="DC61" i="30"/>
  <c r="DC45" i="30"/>
  <c r="DA43" i="30"/>
  <c r="CO64" i="30"/>
  <c r="CQ63" i="30"/>
  <c r="CO48" i="30"/>
  <c r="CC54" i="30"/>
  <c r="CO42" i="30"/>
  <c r="AG128" i="30"/>
  <c r="AG121" i="30"/>
  <c r="AG105" i="30"/>
  <c r="CC61" i="30"/>
  <c r="CC55" i="30"/>
  <c r="CC35" i="30"/>
  <c r="CE42" i="30"/>
  <c r="CC36" i="30"/>
  <c r="AG90" i="30"/>
  <c r="BQ50" i="30"/>
  <c r="BQ60" i="30"/>
  <c r="AG75" i="30"/>
  <c r="BQ41" i="30"/>
  <c r="BE58" i="30"/>
  <c r="BQ36" i="30"/>
  <c r="BE47" i="30"/>
  <c r="BG53" i="30"/>
  <c r="Q111" i="29"/>
  <c r="DH52" i="29" s="1"/>
  <c r="DD52" i="29"/>
  <c r="J83" i="28"/>
  <c r="Q64" i="28"/>
  <c r="O51" i="28"/>
  <c r="CH52" i="28" s="1"/>
  <c r="BD133" i="29"/>
  <c r="BC155" i="29"/>
  <c r="AG182" i="30"/>
  <c r="AG174" i="30"/>
  <c r="AG162" i="30"/>
  <c r="DA38" i="30"/>
  <c r="DA48" i="30"/>
  <c r="DA46" i="30"/>
  <c r="DA40" i="30"/>
  <c r="DA44" i="30"/>
  <c r="AG152" i="30"/>
  <c r="CO60" i="30"/>
  <c r="CO57" i="30"/>
  <c r="AG136" i="30"/>
  <c r="AG146" i="30"/>
  <c r="AG144" i="30"/>
  <c r="CO38" i="30"/>
  <c r="CO52" i="30"/>
  <c r="AG109" i="30"/>
  <c r="CQ41" i="30"/>
  <c r="CO36" i="30"/>
  <c r="CC49" i="30"/>
  <c r="CC57" i="30"/>
  <c r="CC40" i="30"/>
  <c r="BQ53" i="30"/>
  <c r="CC60" i="30"/>
  <c r="AG94" i="30"/>
  <c r="CQ39" i="30"/>
  <c r="AG95" i="30"/>
  <c r="AG87" i="30"/>
  <c r="AG79" i="30"/>
  <c r="BQ46" i="30"/>
  <c r="CC38" i="30"/>
  <c r="BQ56" i="30"/>
  <c r="BQ48" i="30"/>
  <c r="BQ44" i="30"/>
  <c r="BS42" i="30"/>
  <c r="BE61" i="30"/>
  <c r="BE60" i="30"/>
  <c r="BE49" i="30"/>
  <c r="Q130" i="29"/>
  <c r="DT41" i="29" s="1"/>
  <c r="DP41" i="29"/>
  <c r="O109" i="29"/>
  <c r="DF50" i="29" s="1"/>
  <c r="J109" i="29"/>
  <c r="DD50" i="29"/>
  <c r="BD123" i="29"/>
  <c r="BC81" i="29"/>
  <c r="DA55" i="30"/>
  <c r="DA57" i="30"/>
  <c r="DA42" i="30"/>
  <c r="DA51" i="30"/>
  <c r="CO55" i="30"/>
  <c r="CO58" i="30"/>
  <c r="DA39" i="30"/>
  <c r="CQ56" i="30"/>
  <c r="CR56" i="30"/>
  <c r="CP56" i="30"/>
  <c r="CU56" i="30"/>
  <c r="CN56" i="30"/>
  <c r="AG142" i="30"/>
  <c r="CO45" i="30"/>
  <c r="CO44" i="30"/>
  <c r="CC62" i="30"/>
  <c r="CC46" i="30"/>
  <c r="AG113" i="30"/>
  <c r="CO41" i="30"/>
  <c r="CC59" i="30"/>
  <c r="CC64" i="30"/>
  <c r="CC53" i="30"/>
  <c r="CC48" i="30"/>
  <c r="BQ57" i="30"/>
  <c r="CC52" i="30"/>
  <c r="BQ58" i="30"/>
  <c r="CC45" i="30"/>
  <c r="BQ52" i="30"/>
  <c r="BQ42" i="30"/>
  <c r="BQ38" i="30"/>
  <c r="BQ35" i="30"/>
  <c r="BE64" i="30"/>
  <c r="BE59" i="30"/>
  <c r="BE63" i="30"/>
  <c r="BE56" i="30"/>
  <c r="BE54" i="30"/>
  <c r="BE52" i="30"/>
  <c r="BE50" i="30"/>
  <c r="BE48" i="30"/>
  <c r="BD57" i="30"/>
  <c r="BH57" i="30"/>
  <c r="BG57" i="30"/>
  <c r="BF57" i="30"/>
  <c r="BK57" i="30"/>
  <c r="BE45" i="30"/>
  <c r="O105" i="29"/>
  <c r="DF46" i="29" s="1"/>
  <c r="DD46" i="29"/>
  <c r="J105" i="29"/>
  <c r="EC53" i="29"/>
  <c r="BC172" i="29"/>
  <c r="BD151" i="29"/>
  <c r="DS62" i="29"/>
  <c r="DS47" i="29"/>
  <c r="BD136" i="29"/>
  <c r="DQ42" i="29"/>
  <c r="BC131" i="29"/>
  <c r="BD113" i="29"/>
  <c r="DG54" i="29"/>
  <c r="DG43" i="29"/>
  <c r="BD102" i="29"/>
  <c r="CU61" i="29"/>
  <c r="BD90" i="29"/>
  <c r="DG59" i="29"/>
  <c r="BD118" i="29"/>
  <c r="CU62" i="29"/>
  <c r="BD91" i="29"/>
  <c r="CU48" i="29"/>
  <c r="BD77" i="29"/>
  <c r="CI51" i="29"/>
  <c r="BD50" i="29"/>
  <c r="CI52" i="29"/>
  <c r="V51" i="29"/>
  <c r="BD51" i="29"/>
  <c r="BD49" i="29"/>
  <c r="CI50" i="29"/>
  <c r="BD47" i="29"/>
  <c r="CI48" i="29"/>
  <c r="EE57" i="29"/>
  <c r="BD176" i="29"/>
  <c r="EC46" i="29"/>
  <c r="BC165" i="29"/>
  <c r="EE63" i="29"/>
  <c r="BD182" i="29"/>
  <c r="DS57" i="29"/>
  <c r="BD146" i="29"/>
  <c r="EC40" i="29"/>
  <c r="V159" i="29"/>
  <c r="BC159" i="29"/>
  <c r="BE159" i="29" s="1"/>
  <c r="DQ54" i="29"/>
  <c r="V143" i="29"/>
  <c r="BC143" i="29"/>
  <c r="DE64" i="29"/>
  <c r="BC123" i="29"/>
  <c r="V123" i="29"/>
  <c r="DE60" i="29"/>
  <c r="BC119" i="29"/>
  <c r="DE35" i="29"/>
  <c r="BC94" i="29"/>
  <c r="CS53" i="29"/>
  <c r="BC82" i="29"/>
  <c r="DE36" i="29"/>
  <c r="BC95" i="29"/>
  <c r="CS54" i="29"/>
  <c r="BC83" i="29"/>
  <c r="CU50" i="29"/>
  <c r="BD79" i="29"/>
  <c r="CU42" i="29"/>
  <c r="BD71" i="29"/>
  <c r="CI54" i="29"/>
  <c r="BD53" i="29"/>
  <c r="EC61" i="29"/>
  <c r="BC180" i="29"/>
  <c r="EC49" i="29"/>
  <c r="BC168" i="29"/>
  <c r="EC62" i="29"/>
  <c r="BC181" i="29"/>
  <c r="EE64" i="29"/>
  <c r="BD183" i="29"/>
  <c r="EC56" i="29"/>
  <c r="BC175" i="29"/>
  <c r="DQ46" i="29"/>
  <c r="BC135" i="29"/>
  <c r="DS51" i="29"/>
  <c r="BD140" i="29"/>
  <c r="DQ43" i="29"/>
  <c r="BC132" i="29"/>
  <c r="DQ39" i="29"/>
  <c r="BC128" i="29"/>
  <c r="DG61" i="29"/>
  <c r="BD120" i="29"/>
  <c r="CS43" i="29"/>
  <c r="BC72" i="29"/>
  <c r="CU60" i="29"/>
  <c r="BD89" i="29"/>
  <c r="CS36" i="29"/>
  <c r="V65" i="29"/>
  <c r="BC65" i="29"/>
  <c r="EE60" i="29"/>
  <c r="BD179" i="29"/>
  <c r="EC52" i="29"/>
  <c r="BC171" i="29"/>
  <c r="V171" i="29"/>
  <c r="DE46" i="29"/>
  <c r="BC105" i="29"/>
  <c r="DG51" i="29"/>
  <c r="BD110" i="29"/>
  <c r="DE38" i="29"/>
  <c r="BC97" i="29"/>
  <c r="CS57" i="29"/>
  <c r="BC86" i="29"/>
  <c r="CS47" i="29"/>
  <c r="BC76" i="29"/>
  <c r="V76" i="29"/>
  <c r="CU58" i="29"/>
  <c r="BD87" i="29"/>
  <c r="V67" i="29"/>
  <c r="CS38" i="29"/>
  <c r="BC67" i="29"/>
  <c r="BE67" i="29" s="1"/>
  <c r="DG42" i="29"/>
  <c r="BD101" i="29"/>
  <c r="CU56" i="29"/>
  <c r="BD85" i="29"/>
  <c r="CI63" i="29"/>
  <c r="BD62" i="29"/>
  <c r="CG58" i="29"/>
  <c r="BC57" i="29"/>
  <c r="CI49" i="29"/>
  <c r="BD48" i="29"/>
  <c r="CG45" i="29"/>
  <c r="BC44" i="29"/>
  <c r="BC179" i="29"/>
  <c r="N182" i="29"/>
  <c r="O170" i="29"/>
  <c r="ED51" i="29" s="1"/>
  <c r="J170" i="29"/>
  <c r="N170" i="29"/>
  <c r="P170" i="29"/>
  <c r="Q170" i="29"/>
  <c r="EF51" i="29" s="1"/>
  <c r="EB51" i="29"/>
  <c r="P175" i="29"/>
  <c r="V175" i="29" s="1"/>
  <c r="BD164" i="29"/>
  <c r="BE164" i="29" s="1"/>
  <c r="EE45" i="29"/>
  <c r="J183" i="28"/>
  <c r="J161" i="28"/>
  <c r="N130" i="28"/>
  <c r="BC130" i="28" s="1"/>
  <c r="O138" i="28"/>
  <c r="DR49" i="28" s="1"/>
  <c r="O126" i="28"/>
  <c r="DR37" i="28" s="1"/>
  <c r="O124" i="28"/>
  <c r="DR35" i="28" s="1"/>
  <c r="J117" i="28"/>
  <c r="P136" i="28"/>
  <c r="P98" i="28"/>
  <c r="J125" i="28"/>
  <c r="Q116" i="28"/>
  <c r="J60" i="28"/>
  <c r="CX52" i="28"/>
  <c r="N58" i="28"/>
  <c r="CG59" i="28" s="1"/>
  <c r="J87" i="28"/>
  <c r="P60" i="28"/>
  <c r="CI61" i="28" s="1"/>
  <c r="O66" i="28"/>
  <c r="CT37" i="28" s="1"/>
  <c r="J53" i="28"/>
  <c r="N47" i="28"/>
  <c r="Q51" i="28"/>
  <c r="O141" i="28"/>
  <c r="DR52" i="28" s="1"/>
  <c r="P180" i="29"/>
  <c r="V180" i="29" s="1"/>
  <c r="P168" i="29"/>
  <c r="N176" i="29"/>
  <c r="BC177" i="29"/>
  <c r="V177" i="29"/>
  <c r="EC58" i="29"/>
  <c r="P165" i="29"/>
  <c r="P181" i="29"/>
  <c r="BC167" i="29"/>
  <c r="BD161" i="29"/>
  <c r="BC169" i="29"/>
  <c r="BE169" i="29" s="1"/>
  <c r="V169" i="29"/>
  <c r="EC50" i="29"/>
  <c r="BD154" i="29"/>
  <c r="BC156" i="29"/>
  <c r="V156" i="29"/>
  <c r="EC37" i="29"/>
  <c r="N151" i="29"/>
  <c r="P147" i="29"/>
  <c r="O145" i="29"/>
  <c r="DR56" i="29" s="1"/>
  <c r="J145" i="29"/>
  <c r="N145" i="29"/>
  <c r="P145" i="29"/>
  <c r="Q145" i="29"/>
  <c r="DT56" i="29" s="1"/>
  <c r="DP56" i="29"/>
  <c r="V160" i="29"/>
  <c r="EC41" i="29"/>
  <c r="P135" i="29"/>
  <c r="BD155" i="29"/>
  <c r="EE36" i="29"/>
  <c r="V155" i="29"/>
  <c r="BC154" i="29"/>
  <c r="EC35" i="29"/>
  <c r="BC146" i="29"/>
  <c r="BE146" i="29" s="1"/>
  <c r="BD160" i="29"/>
  <c r="BC149" i="29"/>
  <c r="BE149" i="29" s="1"/>
  <c r="V149" i="29"/>
  <c r="DQ60" i="29"/>
  <c r="P128" i="29"/>
  <c r="V128" i="29" s="1"/>
  <c r="N140" i="29"/>
  <c r="P119" i="29"/>
  <c r="V119" i="29" s="1"/>
  <c r="P132" i="29"/>
  <c r="V127" i="29"/>
  <c r="BC126" i="29"/>
  <c r="BE126" i="29" s="1"/>
  <c r="DQ37" i="29"/>
  <c r="BD116" i="29"/>
  <c r="BC115" i="29"/>
  <c r="N110" i="29"/>
  <c r="P105" i="29"/>
  <c r="V105" i="29" s="1"/>
  <c r="V93" i="29"/>
  <c r="P94" i="29"/>
  <c r="P86" i="29"/>
  <c r="P72" i="29"/>
  <c r="V72" i="29" s="1"/>
  <c r="BD70" i="29"/>
  <c r="BC108" i="29"/>
  <c r="V104" i="29"/>
  <c r="BC98" i="29"/>
  <c r="BC93" i="29"/>
  <c r="BE93" i="29" s="1"/>
  <c r="BD108" i="29"/>
  <c r="V81" i="29"/>
  <c r="V80" i="29"/>
  <c r="BC80" i="29"/>
  <c r="CS51" i="29"/>
  <c r="V69" i="29"/>
  <c r="BC85" i="29"/>
  <c r="BE85" i="29" s="1"/>
  <c r="O74" i="29"/>
  <c r="CT45" i="29" s="1"/>
  <c r="J74" i="29"/>
  <c r="N74" i="29"/>
  <c r="P74" i="29"/>
  <c r="Q74" i="29"/>
  <c r="CV45" i="29" s="1"/>
  <c r="CR45" i="29"/>
  <c r="N87" i="29"/>
  <c r="BC68" i="29"/>
  <c r="V61" i="29"/>
  <c r="CG62" i="29"/>
  <c r="BC61" i="29"/>
  <c r="CI62" i="29"/>
  <c r="BD61" i="29"/>
  <c r="BE51" i="29"/>
  <c r="BC56" i="29"/>
  <c r="V48" i="29"/>
  <c r="BD69" i="29"/>
  <c r="BC48" i="29"/>
  <c r="BE48" i="29" s="1"/>
  <c r="N49" i="29"/>
  <c r="CG46" i="29"/>
  <c r="V45" i="29"/>
  <c r="N53" i="29"/>
  <c r="N47" i="29"/>
  <c r="N54" i="29"/>
  <c r="P44" i="29"/>
  <c r="BD46" i="29"/>
  <c r="BE160" i="29"/>
  <c r="BC153" i="29"/>
  <c r="V153" i="29"/>
  <c r="DQ64" i="29"/>
  <c r="BC157" i="29"/>
  <c r="BE157" i="29" s="1"/>
  <c r="V157" i="29"/>
  <c r="EC38" i="29"/>
  <c r="BC150" i="29"/>
  <c r="BE150" i="29" s="1"/>
  <c r="DQ61" i="29"/>
  <c r="BC144" i="29"/>
  <c r="BE144" i="29" s="1"/>
  <c r="V144" i="29"/>
  <c r="DQ55" i="29"/>
  <c r="BC152" i="29"/>
  <c r="V152" i="29"/>
  <c r="DQ63" i="29"/>
  <c r="V146" i="29"/>
  <c r="BC139" i="29"/>
  <c r="BC133" i="29"/>
  <c r="BE133" i="29" s="1"/>
  <c r="V133" i="29"/>
  <c r="DQ44" i="29"/>
  <c r="N136" i="29"/>
  <c r="BC141" i="29"/>
  <c r="BE141" i="29" s="1"/>
  <c r="V141" i="29"/>
  <c r="DQ52" i="29"/>
  <c r="BC138" i="29"/>
  <c r="BE138" i="29" s="1"/>
  <c r="DQ49" i="29"/>
  <c r="BC109" i="29"/>
  <c r="DE50" i="29"/>
  <c r="N120" i="29"/>
  <c r="N106" i="29"/>
  <c r="P82" i="29"/>
  <c r="V108" i="29"/>
  <c r="V103" i="29"/>
  <c r="BC103" i="29"/>
  <c r="BE103" i="29" s="1"/>
  <c r="DE44" i="29"/>
  <c r="P97" i="29"/>
  <c r="V97" i="29" s="1"/>
  <c r="V98" i="29"/>
  <c r="N90" i="29"/>
  <c r="BD76" i="29"/>
  <c r="V91" i="29"/>
  <c r="CS62" i="29"/>
  <c r="P95" i="29"/>
  <c r="V95" i="29" s="1"/>
  <c r="BE69" i="29"/>
  <c r="BC92" i="29"/>
  <c r="BE92" i="29" s="1"/>
  <c r="V92" i="29"/>
  <c r="CS63" i="29"/>
  <c r="V85" i="29"/>
  <c r="BC96" i="29"/>
  <c r="BE96" i="29" s="1"/>
  <c r="V96" i="29"/>
  <c r="DE37" i="29"/>
  <c r="N75" i="29"/>
  <c r="BD73" i="29"/>
  <c r="BE73" i="29" s="1"/>
  <c r="CU44" i="29"/>
  <c r="BD64" i="29"/>
  <c r="BE64" i="29" s="1"/>
  <c r="CU35" i="29"/>
  <c r="P57" i="29"/>
  <c r="V57" i="29" s="1"/>
  <c r="BD81" i="29"/>
  <c r="BE81" i="29" s="1"/>
  <c r="N55" i="29"/>
  <c r="P83" i="29"/>
  <c r="BC45" i="29"/>
  <c r="BC46" i="29"/>
  <c r="BD178" i="29"/>
  <c r="BC178" i="29"/>
  <c r="V178" i="29"/>
  <c r="EC59" i="29"/>
  <c r="O166" i="29"/>
  <c r="ED47" i="29" s="1"/>
  <c r="J166" i="29"/>
  <c r="N166" i="29"/>
  <c r="P166" i="29"/>
  <c r="Q166" i="29"/>
  <c r="EF47" i="29" s="1"/>
  <c r="EB47" i="29"/>
  <c r="N183" i="28"/>
  <c r="EC64" i="28" s="1"/>
  <c r="J179" i="28"/>
  <c r="P141" i="28"/>
  <c r="DS52" i="28" s="1"/>
  <c r="N141" i="28"/>
  <c r="DQ52" i="28" s="1"/>
  <c r="Q130" i="28"/>
  <c r="BD132" i="28"/>
  <c r="P116" i="28"/>
  <c r="DG57" i="28" s="1"/>
  <c r="N126" i="28"/>
  <c r="O74" i="28"/>
  <c r="CT45" i="28" s="1"/>
  <c r="O107" i="28"/>
  <c r="DF48" i="28" s="1"/>
  <c r="N53" i="28"/>
  <c r="BC53" i="28" s="1"/>
  <c r="N49" i="28"/>
  <c r="P47" i="28"/>
  <c r="CI48" i="28" s="1"/>
  <c r="J47" i="28"/>
  <c r="V183" i="29"/>
  <c r="V179" i="29"/>
  <c r="BD174" i="29"/>
  <c r="P172" i="29"/>
  <c r="BC173" i="29"/>
  <c r="V173" i="29"/>
  <c r="EC54" i="29"/>
  <c r="BE161" i="29"/>
  <c r="V161" i="29"/>
  <c r="V150" i="29"/>
  <c r="BD173" i="29"/>
  <c r="P167" i="29"/>
  <c r="V163" i="29"/>
  <c r="BD153" i="29"/>
  <c r="V164" i="29"/>
  <c r="BD148" i="29"/>
  <c r="BE148" i="29" s="1"/>
  <c r="BC147" i="29"/>
  <c r="V122" i="29"/>
  <c r="BD152" i="29"/>
  <c r="V139" i="29"/>
  <c r="BD137" i="29"/>
  <c r="BD121" i="29"/>
  <c r="BD143" i="29"/>
  <c r="BC125" i="29"/>
  <c r="V125" i="29"/>
  <c r="DQ36" i="29"/>
  <c r="N116" i="29"/>
  <c r="BC129" i="29"/>
  <c r="BE129" i="29" s="1"/>
  <c r="V129" i="29"/>
  <c r="DQ40" i="29"/>
  <c r="P114" i="29"/>
  <c r="P115" i="29"/>
  <c r="N101" i="29"/>
  <c r="BC122" i="29"/>
  <c r="DE63" i="29"/>
  <c r="N118" i="29"/>
  <c r="N113" i="29"/>
  <c r="BC91" i="29"/>
  <c r="BE91" i="29" s="1"/>
  <c r="BD127" i="29"/>
  <c r="V107" i="29"/>
  <c r="BC107" i="29"/>
  <c r="DE48" i="29"/>
  <c r="N102" i="29"/>
  <c r="N89" i="29"/>
  <c r="P112" i="29"/>
  <c r="V112" i="29" s="1"/>
  <c r="BD109" i="29"/>
  <c r="N77" i="29"/>
  <c r="V70" i="29"/>
  <c r="BC70" i="29"/>
  <c r="BE70" i="29" s="1"/>
  <c r="CS41" i="29"/>
  <c r="BC88" i="29"/>
  <c r="V88" i="29"/>
  <c r="CS59" i="29"/>
  <c r="N79" i="29"/>
  <c r="O66" i="29"/>
  <c r="CT37" i="29" s="1"/>
  <c r="J66" i="29"/>
  <c r="N66" i="29"/>
  <c r="Q66" i="29"/>
  <c r="CV37" i="29" s="1"/>
  <c r="P66" i="29"/>
  <c r="CR37" i="29"/>
  <c r="BE60" i="29"/>
  <c r="BE58" i="29"/>
  <c r="BD80" i="29"/>
  <c r="V73" i="29"/>
  <c r="P68" i="29"/>
  <c r="V68" i="29" s="1"/>
  <c r="CG64" i="29"/>
  <c r="V63" i="29"/>
  <c r="CI64" i="29"/>
  <c r="BD63" i="29"/>
  <c r="BE63" i="29" s="1"/>
  <c r="BD54" i="29"/>
  <c r="V56" i="29"/>
  <c r="V50" i="29"/>
  <c r="CI46" i="29"/>
  <c r="BD45" i="29"/>
  <c r="CA60" i="29"/>
  <c r="CA59" i="29"/>
  <c r="CA58" i="29"/>
  <c r="BE183" i="29"/>
  <c r="BC174" i="29"/>
  <c r="BE174" i="29" s="1"/>
  <c r="V174" i="29"/>
  <c r="EC55" i="29"/>
  <c r="BC162" i="29"/>
  <c r="BE162" i="29" s="1"/>
  <c r="V162" i="29"/>
  <c r="EC43" i="29"/>
  <c r="V148" i="29"/>
  <c r="DQ59" i="29"/>
  <c r="BD171" i="29"/>
  <c r="BC158" i="29"/>
  <c r="BE158" i="29" s="1"/>
  <c r="EC39" i="29"/>
  <c r="BD139" i="29"/>
  <c r="P131" i="29"/>
  <c r="BC130" i="29"/>
  <c r="BE130" i="29" s="1"/>
  <c r="DQ41" i="29"/>
  <c r="O117" i="29"/>
  <c r="DF58" i="29" s="1"/>
  <c r="J117" i="29"/>
  <c r="N117" i="29"/>
  <c r="P117" i="29"/>
  <c r="Q117" i="29"/>
  <c r="DH58" i="29" s="1"/>
  <c r="DD58" i="29"/>
  <c r="BC142" i="29"/>
  <c r="BE142" i="29" s="1"/>
  <c r="DQ53" i="29"/>
  <c r="BC137" i="29"/>
  <c r="V137" i="29"/>
  <c r="DQ48" i="29"/>
  <c r="BC134" i="29"/>
  <c r="DQ45" i="29"/>
  <c r="BE127" i="29"/>
  <c r="V124" i="29"/>
  <c r="DQ35" i="29"/>
  <c r="BC121" i="29"/>
  <c r="V121" i="29"/>
  <c r="DE62" i="29"/>
  <c r="BC111" i="29"/>
  <c r="BE111" i="29" s="1"/>
  <c r="DE52" i="29"/>
  <c r="BD107" i="29"/>
  <c r="V99" i="29"/>
  <c r="BE104" i="29"/>
  <c r="BD98" i="29"/>
  <c r="DG39" i="29"/>
  <c r="V78" i="29"/>
  <c r="BC78" i="29"/>
  <c r="BE78" i="29" s="1"/>
  <c r="CS49" i="29"/>
  <c r="BC100" i="29"/>
  <c r="DE41" i="29"/>
  <c r="BD100" i="29"/>
  <c r="DG41" i="29"/>
  <c r="N71" i="29"/>
  <c r="O84" i="29"/>
  <c r="CT55" i="29" s="1"/>
  <c r="J84" i="29"/>
  <c r="N84" i="29"/>
  <c r="P84" i="29"/>
  <c r="CR55" i="29"/>
  <c r="Q84" i="29"/>
  <c r="CV55" i="29" s="1"/>
  <c r="BD88" i="29"/>
  <c r="V62" i="29"/>
  <c r="CI56" i="29"/>
  <c r="BD55" i="29"/>
  <c r="BC62" i="29"/>
  <c r="BE62" i="29" s="1"/>
  <c r="BD56" i="29"/>
  <c r="BC50" i="29"/>
  <c r="BE50" i="29" s="1"/>
  <c r="CG53" i="29"/>
  <c r="BC52" i="29"/>
  <c r="V46" i="29"/>
  <c r="BD115" i="28"/>
  <c r="BD56" i="28"/>
  <c r="CL48" i="28"/>
  <c r="O151" i="28"/>
  <c r="DR62" i="28" s="1"/>
  <c r="DP62" i="28"/>
  <c r="BD80" i="28"/>
  <c r="P53" i="28"/>
  <c r="CI54" i="28" s="1"/>
  <c r="CF54" i="28"/>
  <c r="N176" i="28"/>
  <c r="EC57" i="28" s="1"/>
  <c r="O162" i="28"/>
  <c r="ED43" i="28" s="1"/>
  <c r="P122" i="28"/>
  <c r="DG63" i="28" s="1"/>
  <c r="Q124" i="28"/>
  <c r="DW35" i="28" s="1"/>
  <c r="Q136" i="28"/>
  <c r="DT47" i="28" s="1"/>
  <c r="V89" i="28"/>
  <c r="J74" i="28"/>
  <c r="P128" i="28"/>
  <c r="V128" i="28" s="1"/>
  <c r="N74" i="28"/>
  <c r="CS45" i="28" s="1"/>
  <c r="Q96" i="28"/>
  <c r="DH37" i="28" s="1"/>
  <c r="P88" i="28"/>
  <c r="BD88" i="28" s="1"/>
  <c r="BD77" i="28"/>
  <c r="BE77" i="28" s="1"/>
  <c r="J105" i="28"/>
  <c r="BD66" i="28"/>
  <c r="BE66" i="28" s="1"/>
  <c r="N71" i="28"/>
  <c r="BC71" i="28" s="1"/>
  <c r="N51" i="28"/>
  <c r="CL52" i="28" s="1"/>
  <c r="N48" i="28"/>
  <c r="CG49" i="28" s="1"/>
  <c r="P48" i="28"/>
  <c r="CI49" i="28" s="1"/>
  <c r="J170" i="28"/>
  <c r="N162" i="28"/>
  <c r="BC162" i="28" s="1"/>
  <c r="J172" i="28"/>
  <c r="Q162" i="28"/>
  <c r="EF43" i="28" s="1"/>
  <c r="O122" i="28"/>
  <c r="DF63" i="28" s="1"/>
  <c r="J136" i="28"/>
  <c r="Q128" i="28"/>
  <c r="DT39" i="28" s="1"/>
  <c r="N96" i="28"/>
  <c r="DE37" i="28" s="1"/>
  <c r="P96" i="28"/>
  <c r="BD96" i="28" s="1"/>
  <c r="N64" i="28"/>
  <c r="BC64" i="28" s="1"/>
  <c r="O105" i="28"/>
  <c r="DF46" i="28" s="1"/>
  <c r="P63" i="28"/>
  <c r="CI64" i="28" s="1"/>
  <c r="J86" i="28"/>
  <c r="J71" i="28"/>
  <c r="CF64" i="28"/>
  <c r="J64" i="28"/>
  <c r="CF52" i="28"/>
  <c r="CF49" i="28"/>
  <c r="Q48" i="28"/>
  <c r="N172" i="28"/>
  <c r="EC53" i="28" s="1"/>
  <c r="O172" i="28"/>
  <c r="ED53" i="28" s="1"/>
  <c r="N131" i="28"/>
  <c r="BC131" i="28" s="1"/>
  <c r="N86" i="28"/>
  <c r="BC86" i="28" s="1"/>
  <c r="BD71" i="28"/>
  <c r="N88" i="28"/>
  <c r="CS59" i="28" s="1"/>
  <c r="Q71" i="28"/>
  <c r="CV42" i="28" s="1"/>
  <c r="P51" i="28"/>
  <c r="CI52" i="28" s="1"/>
  <c r="J51" i="28"/>
  <c r="J48" i="28"/>
  <c r="BC48" i="28"/>
  <c r="J151" i="28"/>
  <c r="O166" i="28"/>
  <c r="ED47" i="28" s="1"/>
  <c r="O179" i="28"/>
  <c r="ED60" i="28" s="1"/>
  <c r="J159" i="28"/>
  <c r="N159" i="28"/>
  <c r="EC40" i="28" s="1"/>
  <c r="J131" i="28"/>
  <c r="N106" i="28"/>
  <c r="BC106" i="28" s="1"/>
  <c r="J92" i="28"/>
  <c r="O88" i="28"/>
  <c r="CT59" i="28" s="1"/>
  <c r="J58" i="28"/>
  <c r="N63" i="28"/>
  <c r="CG64" i="28" s="1"/>
  <c r="O83" i="28"/>
  <c r="CT54" i="28" s="1"/>
  <c r="O106" i="28"/>
  <c r="DF47" i="28" s="1"/>
  <c r="O62" i="28"/>
  <c r="CH63" i="28" s="1"/>
  <c r="CF50" i="28"/>
  <c r="P179" i="28"/>
  <c r="O159" i="28"/>
  <c r="ED40" i="28" s="1"/>
  <c r="J153" i="28"/>
  <c r="O153" i="28"/>
  <c r="DR64" i="28" s="1"/>
  <c r="O131" i="28"/>
  <c r="DR42" i="28" s="1"/>
  <c r="V105" i="28"/>
  <c r="J88" i="28"/>
  <c r="J63" i="28"/>
  <c r="N62" i="28"/>
  <c r="CG63" i="28" s="1"/>
  <c r="P62" i="28"/>
  <c r="P49" i="28"/>
  <c r="CI50" i="28" s="1"/>
  <c r="J49" i="28"/>
  <c r="DP42" i="28"/>
  <c r="N153" i="28"/>
  <c r="BC153" i="28" s="1"/>
  <c r="BD137" i="28"/>
  <c r="P92" i="28"/>
  <c r="BD92" i="28" s="1"/>
  <c r="CF59" i="28"/>
  <c r="CF63" i="28"/>
  <c r="Q62" i="28"/>
  <c r="Q49" i="28"/>
  <c r="CJ50" i="28" s="1"/>
  <c r="O49" i="28"/>
  <c r="CH50" i="28" s="1"/>
  <c r="BD74" i="28"/>
  <c r="EB40" i="28"/>
  <c r="R159" i="28"/>
  <c r="EH40" i="28" s="1"/>
  <c r="CR56" i="28"/>
  <c r="R85" i="28"/>
  <c r="Q44" i="28"/>
  <c r="R44" i="28"/>
  <c r="CR54" i="28"/>
  <c r="R83" i="28"/>
  <c r="DP45" i="28"/>
  <c r="R134" i="28"/>
  <c r="CR63" i="28"/>
  <c r="R92" i="28"/>
  <c r="EB60" i="28"/>
  <c r="R179" i="28"/>
  <c r="J166" i="28"/>
  <c r="R166" i="28"/>
  <c r="O160" i="28"/>
  <c r="ED41" i="28" s="1"/>
  <c r="R160" i="28"/>
  <c r="DP51" i="28"/>
  <c r="R140" i="28"/>
  <c r="O58" i="28"/>
  <c r="CH59" i="28" s="1"/>
  <c r="R58" i="28"/>
  <c r="CL59" i="28" s="1"/>
  <c r="DD38" i="28"/>
  <c r="R97" i="28"/>
  <c r="N149" i="28"/>
  <c r="BC149" i="28" s="1"/>
  <c r="R149" i="28"/>
  <c r="DD49" i="28"/>
  <c r="R108" i="28"/>
  <c r="EB63" i="28"/>
  <c r="R182" i="28"/>
  <c r="EB58" i="28"/>
  <c r="R177" i="28"/>
  <c r="Q129" i="28"/>
  <c r="DT40" i="28" s="1"/>
  <c r="R129" i="28"/>
  <c r="DP59" i="28"/>
  <c r="R148" i="28"/>
  <c r="O54" i="28"/>
  <c r="CH55" i="28" s="1"/>
  <c r="R54" i="28"/>
  <c r="Q131" i="28"/>
  <c r="DT42" i="28" s="1"/>
  <c r="R131" i="28"/>
  <c r="DV42" i="28" s="1"/>
  <c r="DD47" i="28"/>
  <c r="R106" i="28"/>
  <c r="O63" i="28"/>
  <c r="CH64" i="28" s="1"/>
  <c r="R63" i="28"/>
  <c r="CL64" i="28" s="1"/>
  <c r="CR59" i="28"/>
  <c r="R88" i="28"/>
  <c r="CX59" i="28" s="1"/>
  <c r="BD55" i="28"/>
  <c r="DP38" i="28"/>
  <c r="R127" i="28"/>
  <c r="Q57" i="28"/>
  <c r="CJ58" i="28" s="1"/>
  <c r="R57" i="28"/>
  <c r="EB57" i="28"/>
  <c r="R176" i="28"/>
  <c r="DD44" i="28"/>
  <c r="R103" i="28"/>
  <c r="Q55" i="28"/>
  <c r="CJ56" i="28" s="1"/>
  <c r="R55" i="28"/>
  <c r="EB48" i="28"/>
  <c r="R167" i="28"/>
  <c r="DD54" i="28"/>
  <c r="R113" i="28"/>
  <c r="EB56" i="28"/>
  <c r="R175" i="28"/>
  <c r="EH56" i="28" s="1"/>
  <c r="EB50" i="28"/>
  <c r="R169" i="28"/>
  <c r="DD61" i="28"/>
  <c r="R120" i="28"/>
  <c r="DD53" i="28"/>
  <c r="R112" i="28"/>
  <c r="CR53" i="28"/>
  <c r="R82" i="28"/>
  <c r="CR41" i="28"/>
  <c r="R70" i="28"/>
  <c r="CR43" i="28"/>
  <c r="R72" i="28"/>
  <c r="O61" i="28"/>
  <c r="CH62" i="28" s="1"/>
  <c r="R61" i="28"/>
  <c r="CR47" i="28"/>
  <c r="R76" i="28"/>
  <c r="CR36" i="28"/>
  <c r="R65" i="28"/>
  <c r="Q52" i="28"/>
  <c r="CJ53" i="28" s="1"/>
  <c r="R52" i="28"/>
  <c r="DD55" i="28"/>
  <c r="R114" i="28"/>
  <c r="CR60" i="28"/>
  <c r="R89" i="28"/>
  <c r="CX60" i="28" s="1"/>
  <c r="DP56" i="28"/>
  <c r="R145" i="28"/>
  <c r="DV56" i="28" s="1"/>
  <c r="CR55" i="28"/>
  <c r="R84" i="28"/>
  <c r="CX55" i="28" s="1"/>
  <c r="EB62" i="28"/>
  <c r="R181" i="28"/>
  <c r="DP61" i="28"/>
  <c r="R150" i="28"/>
  <c r="DD43" i="28"/>
  <c r="R102" i="28"/>
  <c r="DP58" i="28"/>
  <c r="R147" i="28"/>
  <c r="O60" i="28"/>
  <c r="CH61" i="28" s="1"/>
  <c r="R60" i="28"/>
  <c r="CL61" i="28" s="1"/>
  <c r="J138" i="28"/>
  <c r="R138" i="28"/>
  <c r="DP36" i="28"/>
  <c r="R125" i="28"/>
  <c r="DV36" i="28" s="1"/>
  <c r="DD39" i="28"/>
  <c r="R98" i="28"/>
  <c r="DD42" i="28"/>
  <c r="R101" i="28"/>
  <c r="Q50" i="28"/>
  <c r="CJ51" i="28" s="1"/>
  <c r="R50" i="28"/>
  <c r="DD40" i="28"/>
  <c r="R99" i="28"/>
  <c r="DD64" i="28"/>
  <c r="R123" i="28"/>
  <c r="O174" i="28"/>
  <c r="ED55" i="28" s="1"/>
  <c r="R174" i="28"/>
  <c r="DP39" i="28"/>
  <c r="R128" i="28"/>
  <c r="DV39" i="28" s="1"/>
  <c r="DD46" i="28"/>
  <c r="R105" i="28"/>
  <c r="DJ46" i="28" s="1"/>
  <c r="DD37" i="28"/>
  <c r="R96" i="28"/>
  <c r="DJ37" i="28" s="1"/>
  <c r="CR57" i="28"/>
  <c r="R86" i="28"/>
  <c r="EB39" i="28"/>
  <c r="R158" i="28"/>
  <c r="DP47" i="28"/>
  <c r="R136" i="28"/>
  <c r="DV47" i="28" s="1"/>
  <c r="DP35" i="28"/>
  <c r="R124" i="28"/>
  <c r="CR44" i="28"/>
  <c r="R73" i="28"/>
  <c r="CR38" i="28"/>
  <c r="R67" i="28"/>
  <c r="CR42" i="28"/>
  <c r="R71" i="28"/>
  <c r="CX42" i="28" s="1"/>
  <c r="CR45" i="28"/>
  <c r="R74" i="28"/>
  <c r="CX45" i="28" s="1"/>
  <c r="CR35" i="28"/>
  <c r="R64" i="28"/>
  <c r="CR50" i="28"/>
  <c r="R79" i="28"/>
  <c r="DP37" i="28"/>
  <c r="R126" i="28"/>
  <c r="EB61" i="28"/>
  <c r="R180" i="28"/>
  <c r="DP54" i="28"/>
  <c r="R143" i="28"/>
  <c r="DV54" i="28" s="1"/>
  <c r="DD35" i="28"/>
  <c r="R94" i="28"/>
  <c r="DP55" i="28"/>
  <c r="R144" i="28"/>
  <c r="O137" i="28"/>
  <c r="DR48" i="28" s="1"/>
  <c r="R137" i="28"/>
  <c r="DV48" i="28" s="1"/>
  <c r="DD62" i="28"/>
  <c r="R121" i="28"/>
  <c r="DJ62" i="28" s="1"/>
  <c r="CR61" i="28"/>
  <c r="R90" i="28"/>
  <c r="EB45" i="28"/>
  <c r="R164" i="28"/>
  <c r="CR62" i="28"/>
  <c r="R91" i="28"/>
  <c r="Q46" i="28"/>
  <c r="CJ47" i="28" s="1"/>
  <c r="R46" i="28"/>
  <c r="DD60" i="28"/>
  <c r="R119" i="28"/>
  <c r="CR64" i="28"/>
  <c r="R93" i="28"/>
  <c r="DP43" i="28"/>
  <c r="R132" i="28"/>
  <c r="DV43" i="28" s="1"/>
  <c r="DD48" i="28"/>
  <c r="R107" i="28"/>
  <c r="EB54" i="28"/>
  <c r="R173" i="28"/>
  <c r="EB46" i="28"/>
  <c r="R165" i="28"/>
  <c r="DP63" i="28"/>
  <c r="R152" i="28"/>
  <c r="DD58" i="28"/>
  <c r="R117" i="28"/>
  <c r="DJ58" i="28" s="1"/>
  <c r="EB52" i="28"/>
  <c r="R171" i="28"/>
  <c r="EB42" i="28"/>
  <c r="R161" i="28"/>
  <c r="EH42" i="28" s="1"/>
  <c r="EB38" i="28"/>
  <c r="R157" i="28"/>
  <c r="DP57" i="28"/>
  <c r="R146" i="28"/>
  <c r="DP53" i="28"/>
  <c r="R142" i="28"/>
  <c r="DD36" i="28"/>
  <c r="R95" i="28"/>
  <c r="CR49" i="28"/>
  <c r="R78" i="28"/>
  <c r="CR46" i="28"/>
  <c r="R75" i="28"/>
  <c r="CR39" i="28"/>
  <c r="R68" i="28"/>
  <c r="O59" i="28"/>
  <c r="CH60" i="28" s="1"/>
  <c r="R59" i="28"/>
  <c r="EB51" i="28"/>
  <c r="R170" i="28"/>
  <c r="DD63" i="28"/>
  <c r="R122" i="28"/>
  <c r="EB64" i="28"/>
  <c r="R183" i="28"/>
  <c r="EH64" i="28" s="1"/>
  <c r="EB59" i="28"/>
  <c r="R178" i="28"/>
  <c r="CR37" i="28"/>
  <c r="R66" i="28"/>
  <c r="CX37" i="28" s="1"/>
  <c r="DP52" i="28"/>
  <c r="R141" i="28"/>
  <c r="DV52" i="28" s="1"/>
  <c r="DD57" i="28"/>
  <c r="R116" i="28"/>
  <c r="DP46" i="28"/>
  <c r="R135" i="28"/>
  <c r="DD51" i="28"/>
  <c r="R110" i="28"/>
  <c r="CR48" i="28"/>
  <c r="R77" i="28"/>
  <c r="CX48" i="28" s="1"/>
  <c r="CR58" i="28"/>
  <c r="R87" i="28"/>
  <c r="CX58" i="28" s="1"/>
  <c r="BD183" i="28"/>
  <c r="BC133" i="28"/>
  <c r="BD114" i="28"/>
  <c r="BD163" i="28"/>
  <c r="BE163" i="28" s="1"/>
  <c r="BD172" i="28"/>
  <c r="BC147" i="28"/>
  <c r="EF59" i="28"/>
  <c r="EI59" i="28"/>
  <c r="EF64" i="28"/>
  <c r="EI64" i="28"/>
  <c r="EF56" i="28"/>
  <c r="EI56" i="28"/>
  <c r="EF42" i="28"/>
  <c r="DT53" i="28"/>
  <c r="DW53" i="28"/>
  <c r="DH59" i="28"/>
  <c r="DK59" i="28"/>
  <c r="DH55" i="28"/>
  <c r="DK55" i="28"/>
  <c r="DW39" i="28"/>
  <c r="DT36" i="28"/>
  <c r="BD105" i="28"/>
  <c r="CV63" i="28"/>
  <c r="CY63" i="28"/>
  <c r="CV55" i="28"/>
  <c r="BD81" i="28"/>
  <c r="CV47" i="28"/>
  <c r="CV61" i="28"/>
  <c r="CY61" i="28"/>
  <c r="CV60" i="28"/>
  <c r="CY60" i="28"/>
  <c r="CV50" i="28"/>
  <c r="CV41" i="28"/>
  <c r="CY41" i="28"/>
  <c r="CJ63" i="28"/>
  <c r="CM63" i="28"/>
  <c r="CJ49" i="28"/>
  <c r="CM49" i="28"/>
  <c r="EF47" i="28"/>
  <c r="EI47" i="28"/>
  <c r="EF57" i="28"/>
  <c r="EF35" i="28"/>
  <c r="EI35" i="28"/>
  <c r="EF37" i="28"/>
  <c r="EI37" i="28"/>
  <c r="DT56" i="28"/>
  <c r="DW56" i="28"/>
  <c r="DT41" i="28"/>
  <c r="BC128" i="28"/>
  <c r="BD104" i="28"/>
  <c r="DT43" i="28"/>
  <c r="DW43" i="28"/>
  <c r="DH53" i="28"/>
  <c r="DK53" i="28"/>
  <c r="CV51" i="28"/>
  <c r="CY51" i="28"/>
  <c r="DH39" i="28"/>
  <c r="DK39" i="28"/>
  <c r="CJ64" i="28"/>
  <c r="CM64" i="28"/>
  <c r="CJ62" i="28"/>
  <c r="CM50" i="28"/>
  <c r="CJ46" i="28"/>
  <c r="CJ52" i="28"/>
  <c r="CM52" i="28"/>
  <c r="CJ45" i="28"/>
  <c r="EB47" i="28"/>
  <c r="EF61" i="28"/>
  <c r="EI61" i="28"/>
  <c r="EF54" i="28"/>
  <c r="DT62" i="28"/>
  <c r="DT59" i="28"/>
  <c r="DT48" i="28"/>
  <c r="DW48" i="28"/>
  <c r="DH63" i="28"/>
  <c r="DK63" i="28"/>
  <c r="DH58" i="28"/>
  <c r="DH54" i="28"/>
  <c r="DK54" i="28"/>
  <c r="DH57" i="28"/>
  <c r="DK57" i="28"/>
  <c r="DH62" i="28"/>
  <c r="DH56" i="28"/>
  <c r="DH45" i="28"/>
  <c r="DH41" i="28"/>
  <c r="DK41" i="28"/>
  <c r="CV45" i="28"/>
  <c r="CY45" i="28"/>
  <c r="DH42" i="28"/>
  <c r="DH35" i="28"/>
  <c r="DK35" i="28"/>
  <c r="CV58" i="28"/>
  <c r="CJ59" i="28"/>
  <c r="CM59" i="28"/>
  <c r="DH47" i="28"/>
  <c r="DK47" i="28"/>
  <c r="CV37" i="28"/>
  <c r="CV35" i="28"/>
  <c r="CY35" i="28"/>
  <c r="CV36" i="28"/>
  <c r="CJ48" i="28"/>
  <c r="CM48" i="28"/>
  <c r="EF40" i="28"/>
  <c r="BD156" i="28"/>
  <c r="DT63" i="28"/>
  <c r="DT57" i="28"/>
  <c r="DW57" i="28"/>
  <c r="DT37" i="28"/>
  <c r="DW37" i="28"/>
  <c r="DK37" i="28"/>
  <c r="CV59" i="28"/>
  <c r="CY59" i="28"/>
  <c r="DH46" i="28"/>
  <c r="DK46" i="28"/>
  <c r="CV52" i="28"/>
  <c r="CY52" i="28"/>
  <c r="CJ61" i="28"/>
  <c r="CM61" i="28"/>
  <c r="DH48" i="28"/>
  <c r="DK48" i="28"/>
  <c r="CY57" i="28"/>
  <c r="CJ57" i="28"/>
  <c r="CM57" i="28"/>
  <c r="CJ54" i="28"/>
  <c r="CM54" i="28"/>
  <c r="CM51" i="28"/>
  <c r="DW40" i="28"/>
  <c r="DW42" i="28"/>
  <c r="EE54" i="28"/>
  <c r="BD173" i="28"/>
  <c r="EE40" i="28"/>
  <c r="BD159" i="28"/>
  <c r="BC161" i="28"/>
  <c r="DS62" i="28"/>
  <c r="BD151" i="28"/>
  <c r="DT49" i="28"/>
  <c r="DW49" i="28"/>
  <c r="DT54" i="28"/>
  <c r="DW54" i="28"/>
  <c r="DS54" i="28"/>
  <c r="BD143" i="28"/>
  <c r="DQ48" i="28"/>
  <c r="BC137" i="28"/>
  <c r="BE137" i="28" s="1"/>
  <c r="DQ37" i="28"/>
  <c r="BD175" i="28"/>
  <c r="BE175" i="28" s="1"/>
  <c r="EE51" i="28"/>
  <c r="BD170" i="28"/>
  <c r="EE47" i="28"/>
  <c r="BD166" i="28"/>
  <c r="N173" i="28"/>
  <c r="V173" i="28" s="1"/>
  <c r="EI54" i="28"/>
  <c r="EF51" i="28"/>
  <c r="EI51" i="28"/>
  <c r="EF44" i="28"/>
  <c r="EI44" i="28"/>
  <c r="EF60" i="28"/>
  <c r="EI60" i="28"/>
  <c r="DS64" i="28"/>
  <c r="BD153" i="28"/>
  <c r="BC152" i="28"/>
  <c r="DQ62" i="28"/>
  <c r="BC151" i="28"/>
  <c r="DS56" i="28"/>
  <c r="BD145" i="28"/>
  <c r="BE145" i="28" s="1"/>
  <c r="DT52" i="28"/>
  <c r="DW52" i="28"/>
  <c r="BC141" i="28"/>
  <c r="DT55" i="28"/>
  <c r="DW55" i="28"/>
  <c r="BC118" i="28"/>
  <c r="BE118" i="28" s="1"/>
  <c r="DG51" i="28"/>
  <c r="BD110" i="28"/>
  <c r="EE59" i="28"/>
  <c r="BD178" i="28"/>
  <c r="BC183" i="28"/>
  <c r="BD180" i="28"/>
  <c r="BC172" i="28"/>
  <c r="BC159" i="28"/>
  <c r="DW63" i="28"/>
  <c r="DG58" i="28"/>
  <c r="BD117" i="28"/>
  <c r="BE117" i="28" s="1"/>
  <c r="DQ47" i="28"/>
  <c r="BC136" i="28"/>
  <c r="DS47" i="28"/>
  <c r="BD136" i="28"/>
  <c r="DG43" i="28"/>
  <c r="BD102" i="28"/>
  <c r="EH44" i="28"/>
  <c r="EC49" i="28"/>
  <c r="BC168" i="28"/>
  <c r="EI42" i="28"/>
  <c r="EI40" i="28"/>
  <c r="EE42" i="28"/>
  <c r="BD161" i="28"/>
  <c r="BD154" i="28"/>
  <c r="DS55" i="28"/>
  <c r="BD144" i="28"/>
  <c r="P152" i="28"/>
  <c r="V152" i="28" s="1"/>
  <c r="DS42" i="28"/>
  <c r="BD131" i="28"/>
  <c r="DJ59" i="28"/>
  <c r="BC126" i="28"/>
  <c r="DK58" i="28"/>
  <c r="DW47" i="28"/>
  <c r="DH61" i="28"/>
  <c r="DK61" i="28"/>
  <c r="CS58" i="28"/>
  <c r="BC87" i="28"/>
  <c r="BD60" i="28"/>
  <c r="BC105" i="28"/>
  <c r="BE105" i="28" s="1"/>
  <c r="BD49" i="28"/>
  <c r="BD83" i="28"/>
  <c r="DS36" i="28"/>
  <c r="BD125" i="28"/>
  <c r="BE125" i="28" s="1"/>
  <c r="DG62" i="28"/>
  <c r="BD121" i="28"/>
  <c r="BE121" i="28" s="1"/>
  <c r="CL49" i="28"/>
  <c r="N155" i="28"/>
  <c r="BC115" i="28"/>
  <c r="DG53" i="28"/>
  <c r="BD112" i="28"/>
  <c r="DQ54" i="28"/>
  <c r="BC143" i="28"/>
  <c r="DJ56" i="28"/>
  <c r="DK45" i="28"/>
  <c r="DG39" i="28"/>
  <c r="BD98" i="28"/>
  <c r="CY55" i="28"/>
  <c r="DW36" i="28"/>
  <c r="N92" i="28"/>
  <c r="CX51" i="28"/>
  <c r="DK62" i="28"/>
  <c r="DK56" i="28"/>
  <c r="BC80" i="28"/>
  <c r="BE80" i="28" s="1"/>
  <c r="CU58" i="28"/>
  <c r="BD87" i="28"/>
  <c r="CY50" i="28"/>
  <c r="BD58" i="28"/>
  <c r="CY37" i="28"/>
  <c r="BD46" i="28"/>
  <c r="CL54" i="28"/>
  <c r="BC89" i="28"/>
  <c r="BE89" i="28" s="1"/>
  <c r="BC47" i="28"/>
  <c r="DQ43" i="28"/>
  <c r="BC132" i="28"/>
  <c r="BE132" i="28" s="1"/>
  <c r="BC100" i="28"/>
  <c r="BC96" i="28"/>
  <c r="BC84" i="28"/>
  <c r="CU62" i="28"/>
  <c r="BD91" i="28"/>
  <c r="CS52" i="28"/>
  <c r="BC81" i="28"/>
  <c r="CG61" i="28"/>
  <c r="BC60" i="28"/>
  <c r="CY58" i="28"/>
  <c r="CI63" i="28"/>
  <c r="BD62" i="28"/>
  <c r="CL50" i="28"/>
  <c r="BC49" i="28"/>
  <c r="DW62" i="28"/>
  <c r="BD107" i="28"/>
  <c r="BC45" i="28"/>
  <c r="BD47" i="28"/>
  <c r="BD45" i="28"/>
  <c r="CM46" i="28"/>
  <c r="P149" i="28"/>
  <c r="V149" i="28" s="1"/>
  <c r="O135" i="28"/>
  <c r="DR46" i="28" s="1"/>
  <c r="N110" i="28"/>
  <c r="Q119" i="28"/>
  <c r="Q110" i="28"/>
  <c r="O108" i="28"/>
  <c r="DF49" i="28" s="1"/>
  <c r="J77" i="28"/>
  <c r="Q77" i="28"/>
  <c r="O177" i="28"/>
  <c r="ED58" i="28" s="1"/>
  <c r="J182" i="28"/>
  <c r="Q135" i="28"/>
  <c r="P135" i="28"/>
  <c r="J110" i="28"/>
  <c r="O77" i="28"/>
  <c r="CT48" i="28" s="1"/>
  <c r="J44" i="28"/>
  <c r="N177" i="28"/>
  <c r="EC58" i="28" s="1"/>
  <c r="J149" i="28"/>
  <c r="DW59" i="28"/>
  <c r="Q157" i="28"/>
  <c r="N135" i="28"/>
  <c r="V135" i="28" s="1"/>
  <c r="Q123" i="28"/>
  <c r="O110" i="28"/>
  <c r="DF51" i="28" s="1"/>
  <c r="Q68" i="28"/>
  <c r="Q177" i="28"/>
  <c r="N182" i="28"/>
  <c r="O182" i="28"/>
  <c r="ED63" i="28" s="1"/>
  <c r="N167" i="28"/>
  <c r="O149" i="28"/>
  <c r="DR60" i="28" s="1"/>
  <c r="J129" i="28"/>
  <c r="J148" i="28"/>
  <c r="P129" i="28"/>
  <c r="P108" i="28"/>
  <c r="O101" i="28"/>
  <c r="DF42" i="28" s="1"/>
  <c r="J59" i="28"/>
  <c r="P75" i="28"/>
  <c r="J108" i="28"/>
  <c r="O50" i="28"/>
  <c r="CH51" i="28" s="1"/>
  <c r="P44" i="28"/>
  <c r="J155" i="28"/>
  <c r="N148" i="28"/>
  <c r="O148" i="28"/>
  <c r="DR59" i="28" s="1"/>
  <c r="P78" i="28"/>
  <c r="DK42" i="28"/>
  <c r="O75" i="28"/>
  <c r="CT46" i="28" s="1"/>
  <c r="Q108" i="28"/>
  <c r="P95" i="28"/>
  <c r="J54" i="28"/>
  <c r="Q54" i="28"/>
  <c r="N50" i="28"/>
  <c r="P50" i="28"/>
  <c r="J177" i="28"/>
  <c r="Q182" i="28"/>
  <c r="Q174" i="28"/>
  <c r="J140" i="28"/>
  <c r="J123" i="28"/>
  <c r="J119" i="28"/>
  <c r="N101" i="28"/>
  <c r="P101" i="28"/>
  <c r="O95" i="28"/>
  <c r="DF36" i="28" s="1"/>
  <c r="N54" i="28"/>
  <c r="CF55" i="28"/>
  <c r="CF51" i="28"/>
  <c r="CF45" i="28"/>
  <c r="J171" i="28"/>
  <c r="J181" i="28"/>
  <c r="J165" i="28"/>
  <c r="J150" i="28"/>
  <c r="P150" i="28"/>
  <c r="O158" i="28"/>
  <c r="ED39" i="28" s="1"/>
  <c r="Q133" i="28"/>
  <c r="J126" i="28"/>
  <c r="J147" i="28"/>
  <c r="J133" i="28"/>
  <c r="P126" i="28"/>
  <c r="N113" i="28"/>
  <c r="DE54" i="28" s="1"/>
  <c r="P82" i="28"/>
  <c r="P72" i="28"/>
  <c r="J82" i="28"/>
  <c r="N73" i="28"/>
  <c r="CS44" i="28" s="1"/>
  <c r="P73" i="28"/>
  <c r="N61" i="28"/>
  <c r="P99" i="28"/>
  <c r="O99" i="28"/>
  <c r="DF40" i="28" s="1"/>
  <c r="J72" i="28"/>
  <c r="P61" i="28"/>
  <c r="J102" i="28"/>
  <c r="N79" i="28"/>
  <c r="Q67" i="28"/>
  <c r="P52" i="28"/>
  <c r="CF47" i="28"/>
  <c r="N181" i="28"/>
  <c r="EC62" i="28" s="1"/>
  <c r="P171" i="28"/>
  <c r="V171" i="28" s="1"/>
  <c r="O171" i="28"/>
  <c r="ED52" i="28" s="1"/>
  <c r="O181" i="28"/>
  <c r="ED62" i="28" s="1"/>
  <c r="O165" i="28"/>
  <c r="ED46" i="28" s="1"/>
  <c r="O150" i="28"/>
  <c r="DR61" i="28" s="1"/>
  <c r="Q158" i="28"/>
  <c r="P134" i="28"/>
  <c r="O134" i="28"/>
  <c r="DR45" i="28" s="1"/>
  <c r="Q147" i="28"/>
  <c r="J113" i="28"/>
  <c r="J120" i="28"/>
  <c r="V81" i="28"/>
  <c r="N76" i="28"/>
  <c r="O82" i="28"/>
  <c r="CT53" i="28" s="1"/>
  <c r="J73" i="28"/>
  <c r="Q73" i="28"/>
  <c r="J76" i="28"/>
  <c r="Q99" i="28"/>
  <c r="O72" i="28"/>
  <c r="CT43" i="28" s="1"/>
  <c r="CY36" i="28"/>
  <c r="O102" i="28"/>
  <c r="DF43" i="28" s="1"/>
  <c r="J79" i="28"/>
  <c r="J67" i="28"/>
  <c r="J57" i="28"/>
  <c r="CM53" i="28"/>
  <c r="J65" i="28"/>
  <c r="N52" i="28"/>
  <c r="Q149" i="28"/>
  <c r="DP60" i="28"/>
  <c r="DW41" i="28"/>
  <c r="DP41" i="28"/>
  <c r="Q171" i="28"/>
  <c r="N158" i="28"/>
  <c r="Q181" i="28"/>
  <c r="Q165" i="28"/>
  <c r="P165" i="28"/>
  <c r="Q150" i="28"/>
  <c r="J134" i="28"/>
  <c r="N120" i="28"/>
  <c r="O147" i="28"/>
  <c r="DR58" i="28" s="1"/>
  <c r="Q134" i="28"/>
  <c r="P147" i="28"/>
  <c r="V147" i="28" s="1"/>
  <c r="P113" i="28"/>
  <c r="O113" i="28"/>
  <c r="DF54" i="28" s="1"/>
  <c r="O120" i="28"/>
  <c r="DF61" i="28" s="1"/>
  <c r="CY47" i="28"/>
  <c r="Q82" i="28"/>
  <c r="O73" i="28"/>
  <c r="CT44" i="28" s="1"/>
  <c r="N65" i="28"/>
  <c r="CM62" i="28"/>
  <c r="O76" i="28"/>
  <c r="CT47" i="28" s="1"/>
  <c r="CF62" i="28"/>
  <c r="N99" i="28"/>
  <c r="Q72" i="28"/>
  <c r="P67" i="28"/>
  <c r="Q102" i="28"/>
  <c r="P79" i="28"/>
  <c r="O79" i="28"/>
  <c r="CT50" i="28" s="1"/>
  <c r="O67" i="28"/>
  <c r="CT38" i="28" s="1"/>
  <c r="CF58" i="28"/>
  <c r="O52" i="28"/>
  <c r="CH53" i="28" s="1"/>
  <c r="O65" i="28"/>
  <c r="CT36" i="28" s="1"/>
  <c r="O129" i="28"/>
  <c r="DR40" i="28" s="1"/>
  <c r="DP40" i="28"/>
  <c r="O140" i="28"/>
  <c r="DR51" i="28" s="1"/>
  <c r="N127" i="28"/>
  <c r="P127" i="28"/>
  <c r="O123" i="28"/>
  <c r="DF64" i="28" s="1"/>
  <c r="O78" i="28"/>
  <c r="CT49" i="28" s="1"/>
  <c r="Q75" i="28"/>
  <c r="P68" i="28"/>
  <c r="CF60" i="28"/>
  <c r="P103" i="28"/>
  <c r="O103" i="28"/>
  <c r="DF44" i="28" s="1"/>
  <c r="Q95" i="28"/>
  <c r="O57" i="28"/>
  <c r="CH58" i="28" s="1"/>
  <c r="N57" i="28"/>
  <c r="N55" i="28"/>
  <c r="J169" i="28"/>
  <c r="N157" i="28"/>
  <c r="P157" i="28"/>
  <c r="EI57" i="28"/>
  <c r="P174" i="28"/>
  <c r="O169" i="28"/>
  <c r="ED50" i="28" s="1"/>
  <c r="O176" i="28"/>
  <c r="ED57" i="28" s="1"/>
  <c r="P160" i="28"/>
  <c r="P167" i="28"/>
  <c r="O167" i="28"/>
  <c r="ED48" i="28" s="1"/>
  <c r="O164" i="28"/>
  <c r="ED45" i="28" s="1"/>
  <c r="J157" i="28"/>
  <c r="Q140" i="28"/>
  <c r="N140" i="28"/>
  <c r="P140" i="28"/>
  <c r="J127" i="28"/>
  <c r="Q127" i="28"/>
  <c r="J78" i="28"/>
  <c r="N97" i="28"/>
  <c r="P97" i="28"/>
  <c r="N75" i="28"/>
  <c r="N59" i="28"/>
  <c r="Q103" i="28"/>
  <c r="Q59" i="28"/>
  <c r="N95" i="28"/>
  <c r="CM56" i="28"/>
  <c r="P57" i="28"/>
  <c r="J55" i="28"/>
  <c r="CF56" i="28"/>
  <c r="J68" i="28"/>
  <c r="O97" i="28"/>
  <c r="DF38" i="28" s="1"/>
  <c r="J176" i="28"/>
  <c r="Q160" i="28"/>
  <c r="J167" i="28"/>
  <c r="Q164" i="28"/>
  <c r="Q169" i="28"/>
  <c r="P169" i="28"/>
  <c r="J160" i="28"/>
  <c r="N160" i="28"/>
  <c r="P176" i="28"/>
  <c r="V176" i="28" s="1"/>
  <c r="Q167" i="28"/>
  <c r="P164" i="28"/>
  <c r="O157" i="28"/>
  <c r="ED38" i="28" s="1"/>
  <c r="O127" i="28"/>
  <c r="DR38" i="28" s="1"/>
  <c r="N123" i="28"/>
  <c r="P123" i="28"/>
  <c r="N78" i="28"/>
  <c r="Q78" i="28"/>
  <c r="J97" i="28"/>
  <c r="Q97" i="28"/>
  <c r="J75" i="28"/>
  <c r="N103" i="28"/>
  <c r="P59" i="28"/>
  <c r="J95" i="28"/>
  <c r="CM58" i="28"/>
  <c r="O55" i="28"/>
  <c r="CH56" i="28" s="1"/>
  <c r="O68" i="28"/>
  <c r="CT39" i="28" s="1"/>
  <c r="EB41" i="28"/>
  <c r="V132" i="28"/>
  <c r="N179" i="28"/>
  <c r="EC60" i="28" s="1"/>
  <c r="V172" i="28"/>
  <c r="N180" i="28"/>
  <c r="N165" i="28"/>
  <c r="V159" i="28"/>
  <c r="N174" i="28"/>
  <c r="N156" i="28"/>
  <c r="N150" i="28"/>
  <c r="V143" i="28"/>
  <c r="N144" i="28"/>
  <c r="P148" i="28"/>
  <c r="EI43" i="28"/>
  <c r="J162" i="28"/>
  <c r="EB43" i="28"/>
  <c r="N134" i="28"/>
  <c r="P124" i="28"/>
  <c r="P120" i="28"/>
  <c r="O133" i="28"/>
  <c r="DR44" i="28" s="1"/>
  <c r="DP44" i="28"/>
  <c r="J174" i="28"/>
  <c r="EB55" i="28"/>
  <c r="Q153" i="28"/>
  <c r="DP64" i="28"/>
  <c r="Q168" i="28"/>
  <c r="EB49" i="28"/>
  <c r="V80" i="28"/>
  <c r="O119" i="28"/>
  <c r="DF60" i="28" s="1"/>
  <c r="N93" i="28"/>
  <c r="P93" i="28"/>
  <c r="J46" i="28"/>
  <c r="O111" i="28"/>
  <c r="DF52" i="28" s="1"/>
  <c r="DD52" i="28"/>
  <c r="Q155" i="28"/>
  <c r="EB36" i="28"/>
  <c r="J168" i="28"/>
  <c r="O155" i="28"/>
  <c r="ED36" i="28" s="1"/>
  <c r="N164" i="28"/>
  <c r="N91" i="28"/>
  <c r="N85" i="28"/>
  <c r="P85" i="28"/>
  <c r="J93" i="28"/>
  <c r="Q93" i="28"/>
  <c r="Q83" i="28"/>
  <c r="O46" i="28"/>
  <c r="CH47" i="28" s="1"/>
  <c r="O44" i="28"/>
  <c r="CH45" i="28" s="1"/>
  <c r="Q91" i="28"/>
  <c r="O168" i="28"/>
  <c r="ED49" i="28" s="1"/>
  <c r="V136" i="28"/>
  <c r="P111" i="28"/>
  <c r="V183" i="28"/>
  <c r="P168" i="28"/>
  <c r="J164" i="28"/>
  <c r="P155" i="28"/>
  <c r="Q111" i="28"/>
  <c r="N119" i="28"/>
  <c r="P119" i="28"/>
  <c r="J111" i="28"/>
  <c r="V87" i="28"/>
  <c r="J91" i="28"/>
  <c r="J85" i="28"/>
  <c r="Q85" i="28"/>
  <c r="O93" i="28"/>
  <c r="CT64" i="28" s="1"/>
  <c r="N83" i="28"/>
  <c r="N46" i="28"/>
  <c r="CM47" i="28"/>
  <c r="N44" i="28"/>
  <c r="CM45" i="28"/>
  <c r="Q172" i="28"/>
  <c r="EB53" i="28"/>
  <c r="DQ59" i="28"/>
  <c r="DE35" i="28"/>
  <c r="CS61" i="28"/>
  <c r="DG41" i="28"/>
  <c r="V100" i="28"/>
  <c r="DQ49" i="28"/>
  <c r="DQ53" i="28"/>
  <c r="CG55" i="28"/>
  <c r="DQ41" i="28"/>
  <c r="DG59" i="28"/>
  <c r="V118" i="28"/>
  <c r="EC63" i="28"/>
  <c r="CU55" i="28"/>
  <c r="V84" i="28"/>
  <c r="P177" i="28"/>
  <c r="N178" i="28"/>
  <c r="EC52" i="28"/>
  <c r="P181" i="28"/>
  <c r="N166" i="28"/>
  <c r="N170" i="28"/>
  <c r="P162" i="28"/>
  <c r="V151" i="28"/>
  <c r="V153" i="28"/>
  <c r="DQ64" i="28"/>
  <c r="DQ60" i="28"/>
  <c r="N169" i="28"/>
  <c r="V161" i="28"/>
  <c r="EC42" i="28"/>
  <c r="N154" i="28"/>
  <c r="P133" i="28"/>
  <c r="N129" i="28"/>
  <c r="P146" i="28"/>
  <c r="V137" i="28"/>
  <c r="N114" i="28"/>
  <c r="N116" i="28"/>
  <c r="N104" i="28"/>
  <c r="V121" i="28"/>
  <c r="DE62" i="28"/>
  <c r="BE100" i="28"/>
  <c r="BE84" i="28"/>
  <c r="N82" i="28"/>
  <c r="P94" i="28"/>
  <c r="P76" i="28"/>
  <c r="P90" i="28"/>
  <c r="N108" i="28"/>
  <c r="N67" i="28"/>
  <c r="N68" i="28"/>
  <c r="P64" i="28"/>
  <c r="P54" i="28"/>
  <c r="CG46" i="28"/>
  <c r="V45" i="28"/>
  <c r="DQ46" i="28"/>
  <c r="P130" i="28"/>
  <c r="DQ35" i="28"/>
  <c r="V117" i="28"/>
  <c r="DE58" i="28"/>
  <c r="N109" i="28"/>
  <c r="P109" i="28"/>
  <c r="O109" i="28"/>
  <c r="DF50" i="28" s="1"/>
  <c r="Q109" i="28"/>
  <c r="J109" i="28"/>
  <c r="DD50" i="28"/>
  <c r="P138" i="28"/>
  <c r="V125" i="28"/>
  <c r="DQ36" i="28"/>
  <c r="N112" i="28"/>
  <c r="N98" i="28"/>
  <c r="N72" i="28"/>
  <c r="N107" i="28"/>
  <c r="P106" i="28"/>
  <c r="N102" i="28"/>
  <c r="P86" i="28"/>
  <c r="P70" i="28"/>
  <c r="N56" i="28"/>
  <c r="P182" i="28"/>
  <c r="EC48" i="28"/>
  <c r="DQ63" i="28"/>
  <c r="V175" i="28"/>
  <c r="EC56" i="28"/>
  <c r="DQ57" i="28"/>
  <c r="P158" i="28"/>
  <c r="V145" i="28"/>
  <c r="DQ56" i="28"/>
  <c r="P142" i="28"/>
  <c r="N122" i="28"/>
  <c r="DQ39" i="28"/>
  <c r="V74" i="28"/>
  <c r="V60" i="28"/>
  <c r="P65" i="28"/>
  <c r="CG50" i="28"/>
  <c r="V49" i="28"/>
  <c r="V179" i="28"/>
  <c r="V163" i="28"/>
  <c r="EC44" i="28"/>
  <c r="O139" i="28"/>
  <c r="DR50" i="28" s="1"/>
  <c r="J139" i="28"/>
  <c r="N139" i="28"/>
  <c r="P139" i="28"/>
  <c r="Q139" i="28"/>
  <c r="DP50" i="28"/>
  <c r="P69" i="28"/>
  <c r="N69" i="28"/>
  <c r="Q69" i="28"/>
  <c r="J69" i="28"/>
  <c r="O69" i="28"/>
  <c r="CT40" i="28" s="1"/>
  <c r="CR40" i="28"/>
  <c r="V77" i="28"/>
  <c r="CS48" i="28"/>
  <c r="V66" i="28"/>
  <c r="CS37" i="28"/>
  <c r="CG48" i="28"/>
  <c r="V47" i="28"/>
  <c r="B108" i="27"/>
  <c r="S108" i="27" s="1"/>
  <c r="C108" i="27"/>
  <c r="D108" i="27"/>
  <c r="E108" i="27"/>
  <c r="F108" i="27"/>
  <c r="G108" i="27"/>
  <c r="H108" i="27"/>
  <c r="I108" i="27"/>
  <c r="R108" i="27"/>
  <c r="B109" i="27"/>
  <c r="S109" i="27" s="1"/>
  <c r="C109" i="27"/>
  <c r="D109" i="27"/>
  <c r="E109" i="27"/>
  <c r="F109" i="27"/>
  <c r="G109" i="27"/>
  <c r="H109" i="27"/>
  <c r="I109" i="27"/>
  <c r="R109" i="27"/>
  <c r="B110" i="27"/>
  <c r="S110" i="27" s="1"/>
  <c r="C110" i="27"/>
  <c r="D110" i="27"/>
  <c r="E110" i="27"/>
  <c r="F110" i="27"/>
  <c r="G110" i="27"/>
  <c r="H110" i="27"/>
  <c r="I110" i="27"/>
  <c r="R110" i="27"/>
  <c r="B111" i="27"/>
  <c r="S111" i="27" s="1"/>
  <c r="C111" i="27"/>
  <c r="D111" i="27"/>
  <c r="E111" i="27"/>
  <c r="F111" i="27"/>
  <c r="G111" i="27"/>
  <c r="H111" i="27"/>
  <c r="I111" i="27"/>
  <c r="B112" i="27"/>
  <c r="S112" i="27" s="1"/>
  <c r="C112" i="27"/>
  <c r="D112" i="27"/>
  <c r="E112" i="27"/>
  <c r="F112" i="27"/>
  <c r="G112" i="27"/>
  <c r="H112" i="27"/>
  <c r="I112" i="27"/>
  <c r="R112" i="27"/>
  <c r="B113" i="27"/>
  <c r="S113" i="27" s="1"/>
  <c r="C113" i="27"/>
  <c r="D113" i="27"/>
  <c r="E113" i="27"/>
  <c r="F113" i="27"/>
  <c r="G113" i="27"/>
  <c r="H113" i="27"/>
  <c r="I113" i="27"/>
  <c r="R113" i="27"/>
  <c r="B114" i="27"/>
  <c r="S114" i="27" s="1"/>
  <c r="C114" i="27"/>
  <c r="D114" i="27"/>
  <c r="E114" i="27"/>
  <c r="F114" i="27"/>
  <c r="G114" i="27"/>
  <c r="H114" i="27"/>
  <c r="I114" i="27"/>
  <c r="R114" i="27"/>
  <c r="B115" i="27"/>
  <c r="S115" i="27" s="1"/>
  <c r="C115" i="27"/>
  <c r="D115" i="27"/>
  <c r="E115" i="27"/>
  <c r="F115" i="27"/>
  <c r="G115" i="27"/>
  <c r="H115" i="27"/>
  <c r="I115" i="27"/>
  <c r="B116" i="27"/>
  <c r="S116" i="27" s="1"/>
  <c r="C116" i="27"/>
  <c r="D116" i="27"/>
  <c r="E116" i="27"/>
  <c r="F116" i="27"/>
  <c r="G116" i="27"/>
  <c r="H116" i="27"/>
  <c r="I116" i="27"/>
  <c r="R116" i="27"/>
  <c r="B117" i="27"/>
  <c r="S117" i="27" s="1"/>
  <c r="C117" i="27"/>
  <c r="D117" i="27"/>
  <c r="E117" i="27"/>
  <c r="F117" i="27"/>
  <c r="G117" i="27"/>
  <c r="H117" i="27"/>
  <c r="I117" i="27"/>
  <c r="R117" i="27"/>
  <c r="B118" i="27"/>
  <c r="S118" i="27" s="1"/>
  <c r="C118" i="27"/>
  <c r="D118" i="27"/>
  <c r="E118" i="27"/>
  <c r="F118" i="27"/>
  <c r="G118" i="27"/>
  <c r="H118" i="27"/>
  <c r="I118" i="27"/>
  <c r="R118" i="27"/>
  <c r="B119" i="27"/>
  <c r="S119" i="27" s="1"/>
  <c r="C119" i="27"/>
  <c r="D119" i="27"/>
  <c r="E119" i="27"/>
  <c r="F119" i="27"/>
  <c r="G119" i="27"/>
  <c r="H119" i="27"/>
  <c r="I119" i="27"/>
  <c r="B120" i="27"/>
  <c r="S120" i="27" s="1"/>
  <c r="C120" i="27"/>
  <c r="D120" i="27"/>
  <c r="E120" i="27"/>
  <c r="F120" i="27"/>
  <c r="G120" i="27"/>
  <c r="H120" i="27"/>
  <c r="I120" i="27"/>
  <c r="R120" i="27"/>
  <c r="B121" i="27"/>
  <c r="S121" i="27" s="1"/>
  <c r="C121" i="27"/>
  <c r="D121" i="27"/>
  <c r="E121" i="27"/>
  <c r="F121" i="27"/>
  <c r="G121" i="27"/>
  <c r="H121" i="27"/>
  <c r="I121" i="27"/>
  <c r="R121" i="27"/>
  <c r="B122" i="27"/>
  <c r="S122" i="27" s="1"/>
  <c r="C122" i="27"/>
  <c r="D122" i="27"/>
  <c r="E122" i="27"/>
  <c r="F122" i="27"/>
  <c r="G122" i="27"/>
  <c r="H122" i="27"/>
  <c r="I122" i="27"/>
  <c r="R122" i="27"/>
  <c r="B123" i="27"/>
  <c r="S123" i="27" s="1"/>
  <c r="C123" i="27"/>
  <c r="D123" i="27"/>
  <c r="E123" i="27"/>
  <c r="F123" i="27"/>
  <c r="G123" i="27"/>
  <c r="H123" i="27"/>
  <c r="I123" i="27"/>
  <c r="B124" i="27"/>
  <c r="S124" i="27" s="1"/>
  <c r="C124" i="27"/>
  <c r="D124" i="27"/>
  <c r="E124" i="27"/>
  <c r="F124" i="27"/>
  <c r="G124" i="27"/>
  <c r="H124" i="27"/>
  <c r="I124" i="27"/>
  <c r="R124" i="27"/>
  <c r="B125" i="27"/>
  <c r="S125" i="27" s="1"/>
  <c r="C125" i="27"/>
  <c r="D125" i="27"/>
  <c r="E125" i="27"/>
  <c r="F125" i="27"/>
  <c r="G125" i="27"/>
  <c r="H125" i="27"/>
  <c r="I125" i="27"/>
  <c r="R125" i="27"/>
  <c r="B126" i="27"/>
  <c r="S126" i="27" s="1"/>
  <c r="C126" i="27"/>
  <c r="D126" i="27"/>
  <c r="E126" i="27"/>
  <c r="F126" i="27"/>
  <c r="G126" i="27"/>
  <c r="H126" i="27"/>
  <c r="I126" i="27"/>
  <c r="R126" i="27"/>
  <c r="I107" i="27"/>
  <c r="H107" i="27"/>
  <c r="G107" i="27"/>
  <c r="F107" i="27"/>
  <c r="E107" i="27"/>
  <c r="D107" i="27"/>
  <c r="C107" i="27"/>
  <c r="B107" i="27"/>
  <c r="U107" i="27" s="1"/>
  <c r="B59" i="27"/>
  <c r="S59" i="27" s="1"/>
  <c r="C59" i="27"/>
  <c r="D59" i="27"/>
  <c r="E59" i="27"/>
  <c r="F59" i="27"/>
  <c r="G59" i="27"/>
  <c r="H59" i="27"/>
  <c r="I59" i="27"/>
  <c r="B60" i="27"/>
  <c r="S60" i="27" s="1"/>
  <c r="C60" i="27"/>
  <c r="D60" i="27"/>
  <c r="E60" i="27"/>
  <c r="F60" i="27"/>
  <c r="G60" i="27"/>
  <c r="H60" i="27"/>
  <c r="I60" i="27"/>
  <c r="R60" i="27"/>
  <c r="B61" i="27"/>
  <c r="S61" i="27" s="1"/>
  <c r="C61" i="27"/>
  <c r="D61" i="27"/>
  <c r="E61" i="27"/>
  <c r="F61" i="27"/>
  <c r="G61" i="27"/>
  <c r="H61" i="27"/>
  <c r="I61" i="27"/>
  <c r="R61" i="27"/>
  <c r="B62" i="27"/>
  <c r="S62" i="27" s="1"/>
  <c r="C62" i="27"/>
  <c r="D62" i="27"/>
  <c r="E62" i="27"/>
  <c r="F62" i="27"/>
  <c r="G62" i="27"/>
  <c r="H62" i="27"/>
  <c r="I62" i="27"/>
  <c r="R62" i="27"/>
  <c r="B63" i="27"/>
  <c r="S63" i="27" s="1"/>
  <c r="C63" i="27"/>
  <c r="D63" i="27"/>
  <c r="E63" i="27"/>
  <c r="F63" i="27"/>
  <c r="G63" i="27"/>
  <c r="H63" i="27"/>
  <c r="I63" i="27"/>
  <c r="B64" i="27"/>
  <c r="S64" i="27" s="1"/>
  <c r="C64" i="27"/>
  <c r="D64" i="27"/>
  <c r="E64" i="27"/>
  <c r="F64" i="27"/>
  <c r="G64" i="27"/>
  <c r="H64" i="27"/>
  <c r="I64" i="27"/>
  <c r="R64" i="27"/>
  <c r="B65" i="27"/>
  <c r="S65" i="27" s="1"/>
  <c r="C65" i="27"/>
  <c r="D65" i="27"/>
  <c r="E65" i="27"/>
  <c r="F65" i="27"/>
  <c r="G65" i="27"/>
  <c r="H65" i="27"/>
  <c r="I65" i="27"/>
  <c r="R65" i="27"/>
  <c r="B66" i="27"/>
  <c r="S66" i="27" s="1"/>
  <c r="C66" i="27"/>
  <c r="D66" i="27"/>
  <c r="E66" i="27"/>
  <c r="F66" i="27"/>
  <c r="G66" i="27"/>
  <c r="H66" i="27"/>
  <c r="I66" i="27"/>
  <c r="R66" i="27"/>
  <c r="B67" i="27"/>
  <c r="S67" i="27" s="1"/>
  <c r="C67" i="27"/>
  <c r="D67" i="27"/>
  <c r="E67" i="27"/>
  <c r="F67" i="27"/>
  <c r="G67" i="27"/>
  <c r="H67" i="27"/>
  <c r="I67" i="27"/>
  <c r="B68" i="27"/>
  <c r="S68" i="27" s="1"/>
  <c r="C68" i="27"/>
  <c r="D68" i="27"/>
  <c r="E68" i="27"/>
  <c r="F68" i="27"/>
  <c r="G68" i="27"/>
  <c r="H68" i="27"/>
  <c r="I68" i="27"/>
  <c r="R68" i="27"/>
  <c r="B69" i="27"/>
  <c r="S69" i="27" s="1"/>
  <c r="C69" i="27"/>
  <c r="D69" i="27"/>
  <c r="E69" i="27"/>
  <c r="F69" i="27"/>
  <c r="G69" i="27"/>
  <c r="H69" i="27"/>
  <c r="I69" i="27"/>
  <c r="R69" i="27"/>
  <c r="B70" i="27"/>
  <c r="S70" i="27" s="1"/>
  <c r="C70" i="27"/>
  <c r="D70" i="27"/>
  <c r="E70" i="27"/>
  <c r="F70" i="27"/>
  <c r="G70" i="27"/>
  <c r="H70" i="27"/>
  <c r="I70" i="27"/>
  <c r="R70" i="27"/>
  <c r="B71" i="27"/>
  <c r="S71" i="27" s="1"/>
  <c r="C71" i="27"/>
  <c r="D71" i="27"/>
  <c r="E71" i="27"/>
  <c r="F71" i="27"/>
  <c r="G71" i="27"/>
  <c r="H71" i="27"/>
  <c r="I71" i="27"/>
  <c r="B72" i="27"/>
  <c r="S72" i="27" s="1"/>
  <c r="C72" i="27"/>
  <c r="D72" i="27"/>
  <c r="E72" i="27"/>
  <c r="F72" i="27"/>
  <c r="G72" i="27"/>
  <c r="H72" i="27"/>
  <c r="I72" i="27"/>
  <c r="R72" i="27"/>
  <c r="B73" i="27"/>
  <c r="U73" i="27" s="1"/>
  <c r="C73" i="27"/>
  <c r="D73" i="27"/>
  <c r="E73" i="27"/>
  <c r="F73" i="27"/>
  <c r="G73" i="27"/>
  <c r="H73" i="27"/>
  <c r="I73" i="27"/>
  <c r="R73" i="27"/>
  <c r="T73" i="27"/>
  <c r="B74" i="27"/>
  <c r="S74" i="27" s="1"/>
  <c r="C74" i="27"/>
  <c r="D74" i="27"/>
  <c r="E74" i="27"/>
  <c r="F74" i="27"/>
  <c r="G74" i="27"/>
  <c r="H74" i="27"/>
  <c r="I74" i="27"/>
  <c r="B75" i="27"/>
  <c r="S75" i="27" s="1"/>
  <c r="C75" i="27"/>
  <c r="D75" i="27"/>
  <c r="E75" i="27"/>
  <c r="F75" i="27"/>
  <c r="G75" i="27"/>
  <c r="H75" i="27"/>
  <c r="I75" i="27"/>
  <c r="R75" i="27"/>
  <c r="B76" i="27"/>
  <c r="S76" i="27" s="1"/>
  <c r="C76" i="27"/>
  <c r="D76" i="27"/>
  <c r="E76" i="27"/>
  <c r="F76" i="27"/>
  <c r="G76" i="27"/>
  <c r="H76" i="27"/>
  <c r="I76" i="27"/>
  <c r="R76" i="27"/>
  <c r="B77" i="27"/>
  <c r="S77" i="27" s="1"/>
  <c r="C77" i="27"/>
  <c r="D77" i="27"/>
  <c r="E77" i="27"/>
  <c r="F77" i="27"/>
  <c r="G77" i="27"/>
  <c r="H77" i="27"/>
  <c r="I77" i="27"/>
  <c r="R77" i="27"/>
  <c r="B78" i="27"/>
  <c r="S78" i="27" s="1"/>
  <c r="C78" i="27"/>
  <c r="D78" i="27"/>
  <c r="E78" i="27"/>
  <c r="F78" i="27"/>
  <c r="G78" i="27"/>
  <c r="H78" i="27"/>
  <c r="I78" i="27"/>
  <c r="B79" i="27"/>
  <c r="S79" i="27" s="1"/>
  <c r="C79" i="27"/>
  <c r="D79" i="27"/>
  <c r="E79" i="27"/>
  <c r="F79" i="27"/>
  <c r="G79" i="27"/>
  <c r="H79" i="27"/>
  <c r="I79" i="27"/>
  <c r="R79" i="27"/>
  <c r="B80" i="27"/>
  <c r="S80" i="27" s="1"/>
  <c r="C80" i="27"/>
  <c r="D80" i="27"/>
  <c r="E80" i="27"/>
  <c r="F80" i="27"/>
  <c r="G80" i="27"/>
  <c r="H80" i="27"/>
  <c r="I80" i="27"/>
  <c r="R80" i="27"/>
  <c r="B81" i="27"/>
  <c r="S81" i="27" s="1"/>
  <c r="C81" i="27"/>
  <c r="D81" i="27"/>
  <c r="E81" i="27"/>
  <c r="F81" i="27"/>
  <c r="G81" i="27"/>
  <c r="H81" i="27"/>
  <c r="I81" i="27"/>
  <c r="R81" i="27"/>
  <c r="B82" i="27"/>
  <c r="S82" i="27" s="1"/>
  <c r="C82" i="27"/>
  <c r="D82" i="27"/>
  <c r="E82" i="27"/>
  <c r="F82" i="27"/>
  <c r="G82" i="27"/>
  <c r="H82" i="27"/>
  <c r="I82" i="27"/>
  <c r="B83" i="27"/>
  <c r="S83" i="27" s="1"/>
  <c r="C83" i="27"/>
  <c r="D83" i="27"/>
  <c r="E83" i="27"/>
  <c r="F83" i="27"/>
  <c r="G83" i="27"/>
  <c r="H83" i="27"/>
  <c r="I83" i="27"/>
  <c r="R83" i="27"/>
  <c r="B84" i="27"/>
  <c r="S84" i="27" s="1"/>
  <c r="C84" i="27"/>
  <c r="D84" i="27"/>
  <c r="E84" i="27"/>
  <c r="F84" i="27"/>
  <c r="G84" i="27"/>
  <c r="H84" i="27"/>
  <c r="I84" i="27"/>
  <c r="R84" i="27"/>
  <c r="B85" i="27"/>
  <c r="S85" i="27" s="1"/>
  <c r="C85" i="27"/>
  <c r="D85" i="27"/>
  <c r="E85" i="27"/>
  <c r="F85" i="27"/>
  <c r="G85" i="27"/>
  <c r="H85" i="27"/>
  <c r="I85" i="27"/>
  <c r="R85" i="27"/>
  <c r="B86" i="27"/>
  <c r="S86" i="27" s="1"/>
  <c r="C86" i="27"/>
  <c r="D86" i="27"/>
  <c r="E86" i="27"/>
  <c r="F86" i="27"/>
  <c r="G86" i="27"/>
  <c r="H86" i="27"/>
  <c r="I86" i="27"/>
  <c r="B87" i="27"/>
  <c r="S87" i="27" s="1"/>
  <c r="C87" i="27"/>
  <c r="D87" i="27"/>
  <c r="E87" i="27"/>
  <c r="F87" i="27"/>
  <c r="G87" i="27"/>
  <c r="H87" i="27"/>
  <c r="I87" i="27"/>
  <c r="R87" i="27"/>
  <c r="B88" i="27"/>
  <c r="S88" i="27" s="1"/>
  <c r="C88" i="27"/>
  <c r="D88" i="27"/>
  <c r="E88" i="27"/>
  <c r="F88" i="27"/>
  <c r="G88" i="27"/>
  <c r="H88" i="27"/>
  <c r="I88" i="27"/>
  <c r="R88" i="27"/>
  <c r="B89" i="27"/>
  <c r="S89" i="27" s="1"/>
  <c r="C89" i="27"/>
  <c r="D89" i="27"/>
  <c r="E89" i="27"/>
  <c r="F89" i="27"/>
  <c r="G89" i="27"/>
  <c r="H89" i="27"/>
  <c r="I89" i="27"/>
  <c r="R89" i="27"/>
  <c r="B90" i="27"/>
  <c r="S90" i="27" s="1"/>
  <c r="C90" i="27"/>
  <c r="D90" i="27"/>
  <c r="E90" i="27"/>
  <c r="F90" i="27"/>
  <c r="G90" i="27"/>
  <c r="H90" i="27"/>
  <c r="I90" i="27"/>
  <c r="B91" i="27"/>
  <c r="S91" i="27" s="1"/>
  <c r="C91" i="27"/>
  <c r="D91" i="27"/>
  <c r="E91" i="27"/>
  <c r="F91" i="27"/>
  <c r="G91" i="27"/>
  <c r="H91" i="27"/>
  <c r="I91" i="27"/>
  <c r="R91" i="27"/>
  <c r="B92" i="27"/>
  <c r="S92" i="27" s="1"/>
  <c r="C92" i="27"/>
  <c r="D92" i="27"/>
  <c r="E92" i="27"/>
  <c r="F92" i="27"/>
  <c r="G92" i="27"/>
  <c r="H92" i="27"/>
  <c r="I92" i="27"/>
  <c r="R92" i="27"/>
  <c r="B93" i="27"/>
  <c r="S93" i="27" s="1"/>
  <c r="C93" i="27"/>
  <c r="D93" i="27"/>
  <c r="E93" i="27"/>
  <c r="F93" i="27"/>
  <c r="G93" i="27"/>
  <c r="H93" i="27"/>
  <c r="I93" i="27"/>
  <c r="R93" i="27"/>
  <c r="B94" i="27"/>
  <c r="S94" i="27" s="1"/>
  <c r="C94" i="27"/>
  <c r="D94" i="27"/>
  <c r="E94" i="27"/>
  <c r="F94" i="27"/>
  <c r="G94" i="27"/>
  <c r="H94" i="27"/>
  <c r="I94" i="27"/>
  <c r="B95" i="27"/>
  <c r="S95" i="27" s="1"/>
  <c r="C95" i="27"/>
  <c r="D95" i="27"/>
  <c r="E95" i="27"/>
  <c r="F95" i="27"/>
  <c r="G95" i="27"/>
  <c r="H95" i="27"/>
  <c r="I95" i="27"/>
  <c r="R95" i="27"/>
  <c r="B96" i="27"/>
  <c r="S96" i="27" s="1"/>
  <c r="C96" i="27"/>
  <c r="D96" i="27"/>
  <c r="E96" i="27"/>
  <c r="F96" i="27"/>
  <c r="G96" i="27"/>
  <c r="H96" i="27"/>
  <c r="I96" i="27"/>
  <c r="R96" i="27"/>
  <c r="B97" i="27"/>
  <c r="S97" i="27" s="1"/>
  <c r="C97" i="27"/>
  <c r="D97" i="27"/>
  <c r="E97" i="27"/>
  <c r="F97" i="27"/>
  <c r="G97" i="27"/>
  <c r="H97" i="27"/>
  <c r="I97" i="27"/>
  <c r="R97" i="27"/>
  <c r="I58" i="27"/>
  <c r="H58" i="27"/>
  <c r="G58" i="27"/>
  <c r="F58" i="27"/>
  <c r="E58" i="27"/>
  <c r="D58" i="27"/>
  <c r="C58" i="27"/>
  <c r="B58" i="27"/>
  <c r="U58" i="27" s="1"/>
  <c r="B10" i="27"/>
  <c r="R10" i="27" s="1"/>
  <c r="B11" i="27"/>
  <c r="B12" i="27"/>
  <c r="R12" i="27" s="1"/>
  <c r="B13" i="27"/>
  <c r="B14" i="27"/>
  <c r="R14" i="27" s="1"/>
  <c r="B15" i="27"/>
  <c r="B16" i="27"/>
  <c r="R16" i="27" s="1"/>
  <c r="B17" i="27"/>
  <c r="R17" i="27" s="1"/>
  <c r="B18" i="27"/>
  <c r="U18" i="27" s="1"/>
  <c r="B19" i="27"/>
  <c r="B20" i="27"/>
  <c r="U20" i="27" s="1"/>
  <c r="B21" i="27"/>
  <c r="R21" i="27" s="1"/>
  <c r="B22" i="27"/>
  <c r="S22" i="27" s="1"/>
  <c r="B23" i="27"/>
  <c r="B24" i="27"/>
  <c r="U24" i="27" s="1"/>
  <c r="B25" i="27"/>
  <c r="S25" i="27" s="1"/>
  <c r="B26" i="27"/>
  <c r="U26" i="27" s="1"/>
  <c r="B27" i="27"/>
  <c r="B28" i="27"/>
  <c r="U28" i="27" s="1"/>
  <c r="B29" i="27"/>
  <c r="S29" i="27" s="1"/>
  <c r="B30" i="27"/>
  <c r="T30" i="27" s="1"/>
  <c r="B31" i="27"/>
  <c r="B32" i="27"/>
  <c r="R32" i="27" s="1"/>
  <c r="B33" i="27"/>
  <c r="R33" i="27" s="1"/>
  <c r="B34" i="27"/>
  <c r="U34" i="27" s="1"/>
  <c r="B35" i="27"/>
  <c r="B36" i="27"/>
  <c r="U36" i="27" s="1"/>
  <c r="B37" i="27"/>
  <c r="R37" i="27" s="1"/>
  <c r="B38" i="27"/>
  <c r="S38" i="27" s="1"/>
  <c r="B39" i="27"/>
  <c r="B40" i="27"/>
  <c r="U40" i="27" s="1"/>
  <c r="B41" i="27"/>
  <c r="S41" i="27" s="1"/>
  <c r="B42" i="27"/>
  <c r="U42" i="27" s="1"/>
  <c r="B43" i="27"/>
  <c r="B44" i="27"/>
  <c r="S44" i="27" s="1"/>
  <c r="B45" i="27"/>
  <c r="S45" i="27" s="1"/>
  <c r="B46" i="27"/>
  <c r="U46" i="27" s="1"/>
  <c r="B47" i="27"/>
  <c r="B48" i="27"/>
  <c r="R48" i="27" s="1"/>
  <c r="S13" i="27"/>
  <c r="U19" i="27"/>
  <c r="T20" i="27"/>
  <c r="U23" i="27"/>
  <c r="T24" i="27"/>
  <c r="U27" i="27"/>
  <c r="T28" i="27"/>
  <c r="U31" i="27"/>
  <c r="T32" i="27"/>
  <c r="U35" i="27"/>
  <c r="T36" i="27"/>
  <c r="U39" i="27"/>
  <c r="T40" i="27"/>
  <c r="U43" i="27"/>
  <c r="T44" i="27"/>
  <c r="U47" i="27"/>
  <c r="T48" i="27"/>
  <c r="B9" i="27"/>
  <c r="T19" i="27"/>
  <c r="T23" i="27"/>
  <c r="T27" i="27"/>
  <c r="T31" i="27"/>
  <c r="T35" i="27"/>
  <c r="T39" i="27"/>
  <c r="T43" i="27"/>
  <c r="T47" i="27"/>
  <c r="S11" i="27"/>
  <c r="S15" i="27"/>
  <c r="S19" i="27"/>
  <c r="S23" i="27"/>
  <c r="S24" i="27"/>
  <c r="S27" i="27"/>
  <c r="S31" i="27"/>
  <c r="S32" i="27"/>
  <c r="S35" i="27"/>
  <c r="S39" i="27"/>
  <c r="S40" i="27"/>
  <c r="S43" i="27"/>
  <c r="S47" i="27"/>
  <c r="S48" i="27"/>
  <c r="R11" i="27"/>
  <c r="R15" i="27"/>
  <c r="R19" i="27"/>
  <c r="R20" i="27"/>
  <c r="R23" i="27"/>
  <c r="R27" i="27"/>
  <c r="R28" i="27"/>
  <c r="R31" i="27"/>
  <c r="R35" i="27"/>
  <c r="R36" i="27"/>
  <c r="R39" i="27"/>
  <c r="R43" i="27"/>
  <c r="R44" i="27"/>
  <c r="R47" i="27"/>
  <c r="G10" i="27"/>
  <c r="H10" i="27"/>
  <c r="I10" i="27"/>
  <c r="G11" i="27"/>
  <c r="H11" i="27"/>
  <c r="I11" i="27"/>
  <c r="G12" i="27"/>
  <c r="H12" i="27"/>
  <c r="I12" i="27"/>
  <c r="G13" i="27"/>
  <c r="H13" i="27"/>
  <c r="I13" i="27"/>
  <c r="G14" i="27"/>
  <c r="H14" i="27"/>
  <c r="I14" i="27"/>
  <c r="G15" i="27"/>
  <c r="H15" i="27"/>
  <c r="I15" i="27"/>
  <c r="G16" i="27"/>
  <c r="H16" i="27"/>
  <c r="I16" i="27"/>
  <c r="G17" i="27"/>
  <c r="H17" i="27"/>
  <c r="I17" i="27"/>
  <c r="G18" i="27"/>
  <c r="H18" i="27"/>
  <c r="I18" i="27"/>
  <c r="G19" i="27"/>
  <c r="H19" i="27"/>
  <c r="I19" i="27"/>
  <c r="G20" i="27"/>
  <c r="H20" i="27"/>
  <c r="I20" i="27"/>
  <c r="G21" i="27"/>
  <c r="H21" i="27"/>
  <c r="I21" i="27"/>
  <c r="G22" i="27"/>
  <c r="H22" i="27"/>
  <c r="I22" i="27"/>
  <c r="G23" i="27"/>
  <c r="H23" i="27"/>
  <c r="I23" i="27"/>
  <c r="G24" i="27"/>
  <c r="H24" i="27"/>
  <c r="I24" i="27"/>
  <c r="G25" i="27"/>
  <c r="H25" i="27"/>
  <c r="I25" i="27"/>
  <c r="G26" i="27"/>
  <c r="H26" i="27"/>
  <c r="I26" i="27"/>
  <c r="G27" i="27"/>
  <c r="H27" i="27"/>
  <c r="I27" i="27"/>
  <c r="G28" i="27"/>
  <c r="H28" i="27"/>
  <c r="I28" i="27"/>
  <c r="G29" i="27"/>
  <c r="H29" i="27"/>
  <c r="I29" i="27"/>
  <c r="G30" i="27"/>
  <c r="H30" i="27"/>
  <c r="I30" i="27"/>
  <c r="G31" i="27"/>
  <c r="H31" i="27"/>
  <c r="I31" i="27"/>
  <c r="G32" i="27"/>
  <c r="H32" i="27"/>
  <c r="I32" i="27"/>
  <c r="G33" i="27"/>
  <c r="H33" i="27"/>
  <c r="I33" i="27"/>
  <c r="G34" i="27"/>
  <c r="H34" i="27"/>
  <c r="I34" i="27"/>
  <c r="G35" i="27"/>
  <c r="H35" i="27"/>
  <c r="I35" i="27"/>
  <c r="G36" i="27"/>
  <c r="H36" i="27"/>
  <c r="I36" i="27"/>
  <c r="G37" i="27"/>
  <c r="H37" i="27"/>
  <c r="I37" i="27"/>
  <c r="G38" i="27"/>
  <c r="H38" i="27"/>
  <c r="I38" i="27"/>
  <c r="G39" i="27"/>
  <c r="H39" i="27"/>
  <c r="I39" i="27"/>
  <c r="G40" i="27"/>
  <c r="H40" i="27"/>
  <c r="I40" i="27"/>
  <c r="G41" i="27"/>
  <c r="H41" i="27"/>
  <c r="I41" i="27"/>
  <c r="G42" i="27"/>
  <c r="H42" i="27"/>
  <c r="I42" i="27"/>
  <c r="G43" i="27"/>
  <c r="H43" i="27"/>
  <c r="I43" i="27"/>
  <c r="G44" i="27"/>
  <c r="H44" i="27"/>
  <c r="I44" i="27"/>
  <c r="G45" i="27"/>
  <c r="H45" i="27"/>
  <c r="I45" i="27"/>
  <c r="G46" i="27"/>
  <c r="H46" i="27"/>
  <c r="I46" i="27"/>
  <c r="G47" i="27"/>
  <c r="H47" i="27"/>
  <c r="I47" i="27"/>
  <c r="G48" i="27"/>
  <c r="H48" i="27"/>
  <c r="I48" i="27"/>
  <c r="I9" i="27"/>
  <c r="H9" i="27"/>
  <c r="G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9" i="27"/>
  <c r="C102" i="27"/>
  <c r="C101" i="27"/>
  <c r="C100" i="27"/>
  <c r="C53" i="27"/>
  <c r="C52" i="27"/>
  <c r="C51" i="27"/>
  <c r="C4" i="27"/>
  <c r="C3" i="27"/>
  <c r="C2" i="27"/>
  <c r="EK19" i="2"/>
  <c r="EK20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53" i="2"/>
  <c r="EK54" i="2"/>
  <c r="EK55" i="2"/>
  <c r="EK56" i="2"/>
  <c r="EK57" i="2"/>
  <c r="EK58" i="2"/>
  <c r="EK59" i="2"/>
  <c r="EK60" i="2"/>
  <c r="EK61" i="2"/>
  <c r="EK62" i="2"/>
  <c r="EK63" i="2"/>
  <c r="EK64" i="2"/>
  <c r="EK65" i="2"/>
  <c r="EK66" i="2"/>
  <c r="EK67" i="2"/>
  <c r="EK68" i="2"/>
  <c r="EK69" i="2"/>
  <c r="EK70" i="2"/>
  <c r="EK71" i="2"/>
  <c r="EK72" i="2"/>
  <c r="EK73" i="2"/>
  <c r="EK74" i="2"/>
  <c r="EK75" i="2"/>
  <c r="EK76" i="2"/>
  <c r="EK77" i="2"/>
  <c r="EK78" i="2"/>
  <c r="EK79" i="2"/>
  <c r="EK80" i="2"/>
  <c r="EK81" i="2"/>
  <c r="EK82" i="2"/>
  <c r="EK83" i="2"/>
  <c r="EK84" i="2"/>
  <c r="EK85" i="2"/>
  <c r="EK86" i="2"/>
  <c r="EK87" i="2"/>
  <c r="EK88" i="2"/>
  <c r="EK89" i="2"/>
  <c r="EK90" i="2"/>
  <c r="EK91" i="2"/>
  <c r="EK92" i="2"/>
  <c r="EK93" i="2"/>
  <c r="EK94" i="2"/>
  <c r="EK95" i="2"/>
  <c r="EK96" i="2"/>
  <c r="EK97" i="2"/>
  <c r="EK98" i="2"/>
  <c r="EK99" i="2"/>
  <c r="EK100" i="2"/>
  <c r="EK101" i="2"/>
  <c r="EK102" i="2"/>
  <c r="EK103" i="2"/>
  <c r="EK104" i="2"/>
  <c r="EK105" i="2"/>
  <c r="EK106" i="2"/>
  <c r="EK107" i="2"/>
  <c r="EK108" i="2"/>
  <c r="EK109" i="2"/>
  <c r="EK110" i="2"/>
  <c r="EK111" i="2"/>
  <c r="EK112" i="2"/>
  <c r="EK113" i="2"/>
  <c r="EK114" i="2"/>
  <c r="EK115" i="2"/>
  <c r="EK116" i="2"/>
  <c r="EJ18" i="2"/>
  <c r="EJ19" i="2"/>
  <c r="EJ20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53" i="2"/>
  <c r="EJ54" i="2"/>
  <c r="EJ55" i="2"/>
  <c r="EJ56" i="2"/>
  <c r="EJ57" i="2"/>
  <c r="EJ58" i="2"/>
  <c r="EJ59" i="2"/>
  <c r="EJ60" i="2"/>
  <c r="EJ61" i="2"/>
  <c r="EJ62" i="2"/>
  <c r="EJ63" i="2"/>
  <c r="EJ64" i="2"/>
  <c r="EJ65" i="2"/>
  <c r="EJ66" i="2"/>
  <c r="EJ67" i="2"/>
  <c r="EJ68" i="2"/>
  <c r="EJ69" i="2"/>
  <c r="EJ70" i="2"/>
  <c r="EJ71" i="2"/>
  <c r="EJ72" i="2"/>
  <c r="EJ73" i="2"/>
  <c r="EJ74" i="2"/>
  <c r="EJ75" i="2"/>
  <c r="EJ76" i="2"/>
  <c r="EJ77" i="2"/>
  <c r="EJ78" i="2"/>
  <c r="EJ79" i="2"/>
  <c r="EJ80" i="2"/>
  <c r="EJ81" i="2"/>
  <c r="EJ82" i="2"/>
  <c r="EJ83" i="2"/>
  <c r="EJ84" i="2"/>
  <c r="EJ85" i="2"/>
  <c r="EJ86" i="2"/>
  <c r="EJ87" i="2"/>
  <c r="EJ88" i="2"/>
  <c r="EJ89" i="2"/>
  <c r="EJ90" i="2"/>
  <c r="EJ91" i="2"/>
  <c r="EJ92" i="2"/>
  <c r="EJ93" i="2"/>
  <c r="EJ94" i="2"/>
  <c r="EJ95" i="2"/>
  <c r="EJ96" i="2"/>
  <c r="EJ97" i="2"/>
  <c r="EJ98" i="2"/>
  <c r="EJ99" i="2"/>
  <c r="EJ100" i="2"/>
  <c r="EJ101" i="2"/>
  <c r="EJ102" i="2"/>
  <c r="EJ103" i="2"/>
  <c r="EJ104" i="2"/>
  <c r="EJ105" i="2"/>
  <c r="EJ106" i="2"/>
  <c r="EJ107" i="2"/>
  <c r="EJ108" i="2"/>
  <c r="EJ109" i="2"/>
  <c r="EJ110" i="2"/>
  <c r="EJ111" i="2"/>
  <c r="EJ112" i="2"/>
  <c r="EJ113" i="2"/>
  <c r="EJ114" i="2"/>
  <c r="EJ115" i="2"/>
  <c r="EJ116" i="2"/>
  <c r="EA117" i="2"/>
  <c r="EA16" i="2" s="1"/>
  <c r="BE173" i="29" l="1"/>
  <c r="CS41" i="28"/>
  <c r="BC58" i="28"/>
  <c r="BE58" i="28" s="1"/>
  <c r="BC111" i="28"/>
  <c r="BE125" i="29"/>
  <c r="DV53" i="28"/>
  <c r="V141" i="28"/>
  <c r="V58" i="28"/>
  <c r="V115" i="28"/>
  <c r="BE52" i="29"/>
  <c r="BE65" i="29"/>
  <c r="V100" i="29"/>
  <c r="V62" i="28"/>
  <c r="S16" i="27"/>
  <c r="T16" i="27"/>
  <c r="CG54" i="28"/>
  <c r="EC43" i="28"/>
  <c r="BE134" i="29"/>
  <c r="BE122" i="29"/>
  <c r="EC44" i="29"/>
  <c r="BC163" i="29"/>
  <c r="BE163" i="29" s="1"/>
  <c r="T14" i="27"/>
  <c r="BE96" i="28"/>
  <c r="BD128" i="28"/>
  <c r="BE128" i="28" s="1"/>
  <c r="V78" i="28"/>
  <c r="BE155" i="29"/>
  <c r="V53" i="28"/>
  <c r="V63" i="28"/>
  <c r="DG37" i="28"/>
  <c r="V71" i="28"/>
  <c r="BE177" i="29"/>
  <c r="CS42" i="28"/>
  <c r="BD122" i="28"/>
  <c r="BE46" i="29"/>
  <c r="BE156" i="29"/>
  <c r="BE123" i="29"/>
  <c r="CU59" i="28"/>
  <c r="V95" i="28"/>
  <c r="BC88" i="28"/>
  <c r="BE88" i="28" s="1"/>
  <c r="BE107" i="29"/>
  <c r="BE178" i="29"/>
  <c r="V61" i="28"/>
  <c r="BD48" i="28"/>
  <c r="BE48" i="28" s="1"/>
  <c r="BD116" i="28"/>
  <c r="BC176" i="28"/>
  <c r="BD141" i="28"/>
  <c r="BE61" i="29"/>
  <c r="CO56" i="30"/>
  <c r="CC37" i="30"/>
  <c r="CC47" i="30"/>
  <c r="BE55" i="30"/>
  <c r="BQ55" i="30"/>
  <c r="BQ62" i="30"/>
  <c r="DA35" i="30"/>
  <c r="CS57" i="28"/>
  <c r="BE115" i="28"/>
  <c r="BE151" i="28"/>
  <c r="BC74" i="28"/>
  <c r="BE74" i="28" s="1"/>
  <c r="BE71" i="28"/>
  <c r="BE88" i="29"/>
  <c r="BE109" i="29"/>
  <c r="BE57" i="30"/>
  <c r="CC58" i="30"/>
  <c r="CC63" i="30"/>
  <c r="BQ45" i="30"/>
  <c r="BQ63" i="30"/>
  <c r="CC39" i="30"/>
  <c r="CO49" i="30"/>
  <c r="V48" i="28"/>
  <c r="BD51" i="28"/>
  <c r="BE46" i="30"/>
  <c r="BQ51" i="30"/>
  <c r="CC51" i="30"/>
  <c r="BQ37" i="30"/>
  <c r="DA52" i="30"/>
  <c r="BQ59" i="30"/>
  <c r="DA60" i="30"/>
  <c r="CC43" i="30"/>
  <c r="BE51" i="30"/>
  <c r="BQ49" i="30"/>
  <c r="DA54" i="30"/>
  <c r="DA59" i="30"/>
  <c r="DQ42" i="28"/>
  <c r="CS35" i="28"/>
  <c r="BE131" i="28"/>
  <c r="CU55" i="29"/>
  <c r="BD84" i="29"/>
  <c r="V71" i="29"/>
  <c r="CS42" i="29"/>
  <c r="BC71" i="29"/>
  <c r="BE71" i="29" s="1"/>
  <c r="BE100" i="29"/>
  <c r="BC117" i="29"/>
  <c r="V117" i="29"/>
  <c r="DE58" i="29"/>
  <c r="CA57" i="29"/>
  <c r="CU37" i="29"/>
  <c r="BD66" i="29"/>
  <c r="CS48" i="29"/>
  <c r="V77" i="29"/>
  <c r="BC77" i="29"/>
  <c r="BE77" i="29" s="1"/>
  <c r="CS60" i="29"/>
  <c r="BC89" i="29"/>
  <c r="BE89" i="29" s="1"/>
  <c r="V89" i="29"/>
  <c r="DE59" i="29"/>
  <c r="V118" i="29"/>
  <c r="BC118" i="29"/>
  <c r="BE118" i="29" s="1"/>
  <c r="BD115" i="29"/>
  <c r="DG56" i="29"/>
  <c r="V115" i="29"/>
  <c r="BD167" i="29"/>
  <c r="EE48" i="29"/>
  <c r="EE53" i="29"/>
  <c r="BD172" i="29"/>
  <c r="BE172" i="29" s="1"/>
  <c r="CU54" i="29"/>
  <c r="BD83" i="29"/>
  <c r="BE83" i="29" s="1"/>
  <c r="V75" i="29"/>
  <c r="CS46" i="29"/>
  <c r="BC75" i="29"/>
  <c r="BE75" i="29" s="1"/>
  <c r="V106" i="29"/>
  <c r="DE47" i="29"/>
  <c r="BC106" i="29"/>
  <c r="BE106" i="29" s="1"/>
  <c r="BE153" i="29"/>
  <c r="CI45" i="29"/>
  <c r="BD44" i="29"/>
  <c r="CG54" i="29"/>
  <c r="V53" i="29"/>
  <c r="BC53" i="29"/>
  <c r="BE53" i="29" s="1"/>
  <c r="V74" i="29"/>
  <c r="BC74" i="29"/>
  <c r="CS45" i="29"/>
  <c r="CU57" i="29"/>
  <c r="BD86" i="29"/>
  <c r="V110" i="29"/>
  <c r="DE51" i="29"/>
  <c r="BC110" i="29"/>
  <c r="BE110" i="29" s="1"/>
  <c r="V140" i="29"/>
  <c r="DQ51" i="29"/>
  <c r="BC140" i="29"/>
  <c r="BE140" i="29" s="1"/>
  <c r="BE154" i="29"/>
  <c r="DS46" i="29"/>
  <c r="BD135" i="29"/>
  <c r="BE135" i="29" s="1"/>
  <c r="EE62" i="29"/>
  <c r="BD181" i="29"/>
  <c r="BE181" i="29" s="1"/>
  <c r="EE51" i="29"/>
  <c r="BD170" i="29"/>
  <c r="EC63" i="29"/>
  <c r="V182" i="29"/>
  <c r="BC182" i="29"/>
  <c r="BE182" i="29" s="1"/>
  <c r="BE86" i="29"/>
  <c r="BE171" i="29"/>
  <c r="V88" i="28"/>
  <c r="V96" i="28"/>
  <c r="V50" i="28"/>
  <c r="BE81" i="28"/>
  <c r="BD53" i="28"/>
  <c r="BE53" i="28" s="1"/>
  <c r="BD63" i="28"/>
  <c r="BE153" i="28"/>
  <c r="V84" i="29"/>
  <c r="BC84" i="29"/>
  <c r="BE84" i="29" s="1"/>
  <c r="CS55" i="29"/>
  <c r="BE121" i="29"/>
  <c r="BE137" i="29"/>
  <c r="DS42" i="29"/>
  <c r="BD131" i="29"/>
  <c r="BD68" i="29"/>
  <c r="BE68" i="29" s="1"/>
  <c r="CU39" i="29"/>
  <c r="V79" i="29"/>
  <c r="CS50" i="29"/>
  <c r="BC79" i="29"/>
  <c r="BE79" i="29" s="1"/>
  <c r="V102" i="29"/>
  <c r="DE43" i="29"/>
  <c r="BC102" i="29"/>
  <c r="BE102" i="29" s="1"/>
  <c r="BD114" i="29"/>
  <c r="BE114" i="29" s="1"/>
  <c r="DG55" i="29"/>
  <c r="V114" i="29"/>
  <c r="V116" i="29"/>
  <c r="DE57" i="29"/>
  <c r="BC116" i="29"/>
  <c r="BE116" i="29" s="1"/>
  <c r="EE47" i="29"/>
  <c r="BD166" i="29"/>
  <c r="CG56" i="29"/>
  <c r="V55" i="29"/>
  <c r="BC55" i="29"/>
  <c r="BE55" i="29" s="1"/>
  <c r="V120" i="29"/>
  <c r="DE61" i="29"/>
  <c r="BC120" i="29"/>
  <c r="BE120" i="29" s="1"/>
  <c r="V136" i="29"/>
  <c r="DQ47" i="29"/>
  <c r="BC136" i="29"/>
  <c r="BE136" i="29" s="1"/>
  <c r="BE139" i="29"/>
  <c r="BE152" i="29"/>
  <c r="BE108" i="29"/>
  <c r="DG35" i="29"/>
  <c r="BD94" i="29"/>
  <c r="BE115" i="29"/>
  <c r="DS39" i="29"/>
  <c r="BD128" i="29"/>
  <c r="BE128" i="29" s="1"/>
  <c r="DS56" i="29"/>
  <c r="BD145" i="29"/>
  <c r="BD147" i="29"/>
  <c r="DS58" i="29"/>
  <c r="V147" i="29"/>
  <c r="EE46" i="29"/>
  <c r="BD165" i="29"/>
  <c r="EC57" i="29"/>
  <c r="BC176" i="29"/>
  <c r="BE176" i="29" s="1"/>
  <c r="V176" i="29"/>
  <c r="V167" i="29"/>
  <c r="V170" i="29"/>
  <c r="BC170" i="29"/>
  <c r="EC51" i="29"/>
  <c r="BE179" i="29"/>
  <c r="V86" i="29"/>
  <c r="BE165" i="29"/>
  <c r="V172" i="29"/>
  <c r="BC66" i="29"/>
  <c r="V66" i="29"/>
  <c r="CS37" i="29"/>
  <c r="V166" i="29"/>
  <c r="BC166" i="29"/>
  <c r="BE166" i="29" s="1"/>
  <c r="EC47" i="29"/>
  <c r="DG38" i="29"/>
  <c r="BD97" i="29"/>
  <c r="BE97" i="29" s="1"/>
  <c r="CG55" i="29"/>
  <c r="BC54" i="29"/>
  <c r="BE54" i="29" s="1"/>
  <c r="V54" i="29"/>
  <c r="BE80" i="29"/>
  <c r="DS43" i="29"/>
  <c r="BD132" i="29"/>
  <c r="BE132" i="29" s="1"/>
  <c r="BC145" i="29"/>
  <c r="V145" i="29"/>
  <c r="DQ56" i="29"/>
  <c r="DQ62" i="29"/>
  <c r="V151" i="29"/>
  <c r="BC151" i="29"/>
  <c r="BE151" i="29" s="1"/>
  <c r="EE49" i="29"/>
  <c r="BD168" i="29"/>
  <c r="BE168" i="29" s="1"/>
  <c r="V44" i="29"/>
  <c r="BE76" i="29"/>
  <c r="V168" i="29"/>
  <c r="BE94" i="29"/>
  <c r="BE131" i="29"/>
  <c r="DT35" i="28"/>
  <c r="DG58" i="29"/>
  <c r="BD117" i="29"/>
  <c r="DG53" i="29"/>
  <c r="BD112" i="29"/>
  <c r="BE112" i="29" s="1"/>
  <c r="V113" i="29"/>
  <c r="DE54" i="29"/>
  <c r="BC113" i="29"/>
  <c r="BE113" i="29" s="1"/>
  <c r="DE42" i="29"/>
  <c r="V101" i="29"/>
  <c r="BC101" i="29"/>
  <c r="BE101" i="29" s="1"/>
  <c r="BE147" i="29"/>
  <c r="BE45" i="29"/>
  <c r="CI58" i="29"/>
  <c r="BD57" i="29"/>
  <c r="BE57" i="29" s="1"/>
  <c r="DG36" i="29"/>
  <c r="BD95" i="29"/>
  <c r="BE95" i="29" s="1"/>
  <c r="CS61" i="29"/>
  <c r="BC90" i="29"/>
  <c r="BE90" i="29" s="1"/>
  <c r="V90" i="29"/>
  <c r="CU53" i="29"/>
  <c r="BD82" i="29"/>
  <c r="BE82" i="29" s="1"/>
  <c r="V47" i="29"/>
  <c r="CG48" i="29"/>
  <c r="BC47" i="29"/>
  <c r="BE47" i="29" s="1"/>
  <c r="V49" i="29"/>
  <c r="CG50" i="29"/>
  <c r="BC49" i="29"/>
  <c r="BE49" i="29" s="1"/>
  <c r="BE56" i="29"/>
  <c r="V87" i="29"/>
  <c r="CS58" i="29"/>
  <c r="BC87" i="29"/>
  <c r="BE87" i="29" s="1"/>
  <c r="CU45" i="29"/>
  <c r="BD74" i="29"/>
  <c r="BE98" i="29"/>
  <c r="CU43" i="29"/>
  <c r="BD72" i="29"/>
  <c r="BE72" i="29" s="1"/>
  <c r="DG46" i="29"/>
  <c r="BD105" i="29"/>
  <c r="BE105" i="29" s="1"/>
  <c r="DG60" i="29"/>
  <c r="BD119" i="29"/>
  <c r="BE119" i="29" s="1"/>
  <c r="BE167" i="29"/>
  <c r="EE61" i="29"/>
  <c r="BD180" i="29"/>
  <c r="BE180" i="29" s="1"/>
  <c r="EE56" i="29"/>
  <c r="BD175" i="29"/>
  <c r="BE175" i="29" s="1"/>
  <c r="BE44" i="29"/>
  <c r="V132" i="29"/>
  <c r="V135" i="29"/>
  <c r="V181" i="29"/>
  <c r="V83" i="29"/>
  <c r="V82" i="29"/>
  <c r="V94" i="29"/>
  <c r="BE143" i="29"/>
  <c r="V165" i="29"/>
  <c r="V131" i="29"/>
  <c r="BE47" i="28"/>
  <c r="V79" i="28"/>
  <c r="V127" i="28"/>
  <c r="DV63" i="28"/>
  <c r="V140" i="28"/>
  <c r="BE183" i="28"/>
  <c r="V73" i="28"/>
  <c r="V51" i="28"/>
  <c r="V131" i="28"/>
  <c r="V92" i="28"/>
  <c r="BC51" i="28"/>
  <c r="BE51" i="28" s="1"/>
  <c r="DS39" i="28"/>
  <c r="CY42" i="28"/>
  <c r="CX35" i="28"/>
  <c r="CU63" i="28"/>
  <c r="BE143" i="28"/>
  <c r="BC63" i="28"/>
  <c r="BE63" i="28" s="1"/>
  <c r="BE159" i="28"/>
  <c r="BE172" i="28"/>
  <c r="CG52" i="28"/>
  <c r="DE47" i="28"/>
  <c r="BE141" i="28"/>
  <c r="CL63" i="28"/>
  <c r="BC62" i="28"/>
  <c r="BE62" i="28" s="1"/>
  <c r="EE60" i="28"/>
  <c r="BD179" i="28"/>
  <c r="V99" i="28"/>
  <c r="DT50" i="28"/>
  <c r="DW50" i="28"/>
  <c r="DH50" i="28"/>
  <c r="DK50" i="28"/>
  <c r="EF49" i="28"/>
  <c r="EI49" i="28"/>
  <c r="CV49" i="28"/>
  <c r="EF50" i="28"/>
  <c r="CV46" i="28"/>
  <c r="CY46" i="28"/>
  <c r="CV43" i="28"/>
  <c r="DH40" i="28"/>
  <c r="DK40" i="28"/>
  <c r="DT44" i="28"/>
  <c r="EF63" i="28"/>
  <c r="DH51" i="28"/>
  <c r="DK51" i="28"/>
  <c r="CV62" i="28"/>
  <c r="CY62" i="28"/>
  <c r="CV54" i="28"/>
  <c r="CY54" i="28"/>
  <c r="EF36" i="28"/>
  <c r="EF45" i="28"/>
  <c r="CJ60" i="28"/>
  <c r="EF52" i="28"/>
  <c r="EI52" i="28"/>
  <c r="DT60" i="28"/>
  <c r="EF58" i="28"/>
  <c r="EI58" i="28"/>
  <c r="EF38" i="28"/>
  <c r="EI38" i="28"/>
  <c r="CV48" i="28"/>
  <c r="CY48" i="28"/>
  <c r="DH60" i="28"/>
  <c r="DK60" i="28"/>
  <c r="CV64" i="28"/>
  <c r="CY64" i="28"/>
  <c r="DH38" i="28"/>
  <c r="DT38" i="28"/>
  <c r="DW38" i="28"/>
  <c r="DT51" i="28"/>
  <c r="DH36" i="28"/>
  <c r="DK36" i="28"/>
  <c r="DH43" i="28"/>
  <c r="DT45" i="28"/>
  <c r="DW45" i="28"/>
  <c r="DT58" i="28"/>
  <c r="CV38" i="28"/>
  <c r="CY38" i="28"/>
  <c r="CJ55" i="28"/>
  <c r="DT46" i="28"/>
  <c r="DW46" i="28"/>
  <c r="BE45" i="28"/>
  <c r="CV40" i="28"/>
  <c r="EF48" i="28"/>
  <c r="EI48" i="28"/>
  <c r="EF41" i="28"/>
  <c r="DH44" i="28"/>
  <c r="DK44" i="28"/>
  <c r="CV53" i="28"/>
  <c r="CY53" i="28"/>
  <c r="EF62" i="28"/>
  <c r="EF55" i="28"/>
  <c r="EI55" i="28"/>
  <c r="CV39" i="28"/>
  <c r="CY39" i="28"/>
  <c r="DH64" i="28"/>
  <c r="DK64" i="28"/>
  <c r="CU36" i="28"/>
  <c r="BD65" i="28"/>
  <c r="DJ63" i="28"/>
  <c r="BC122" i="28"/>
  <c r="BC102" i="28"/>
  <c r="BE102" i="28" s="1"/>
  <c r="DJ43" i="28"/>
  <c r="CX43" i="28"/>
  <c r="BC72" i="28"/>
  <c r="DJ53" i="28"/>
  <c r="BC112" i="28"/>
  <c r="BE112" i="28" s="1"/>
  <c r="CX39" i="28"/>
  <c r="BC68" i="28"/>
  <c r="CU61" i="28"/>
  <c r="BD90" i="28"/>
  <c r="BE90" i="28" s="1"/>
  <c r="CX61" i="28"/>
  <c r="DS57" i="28"/>
  <c r="BD146" i="28"/>
  <c r="BE146" i="28" s="1"/>
  <c r="DV57" i="28"/>
  <c r="DS44" i="28"/>
  <c r="BD133" i="28"/>
  <c r="BE133" i="28" s="1"/>
  <c r="DV44" i="28"/>
  <c r="BC170" i="28"/>
  <c r="BE170" i="28" s="1"/>
  <c r="EH51" i="28"/>
  <c r="CL45" i="28"/>
  <c r="BC44" i="28"/>
  <c r="DH52" i="28"/>
  <c r="DK52" i="28"/>
  <c r="DG52" i="28"/>
  <c r="DJ52" i="28"/>
  <c r="BD111" i="28"/>
  <c r="BE111" i="28" s="1"/>
  <c r="CS62" i="28"/>
  <c r="BC91" i="28"/>
  <c r="BE91" i="28" s="1"/>
  <c r="CX62" i="28"/>
  <c r="BC164" i="28"/>
  <c r="EH45" i="28"/>
  <c r="V134" i="28"/>
  <c r="BC134" i="28"/>
  <c r="DV45" i="28"/>
  <c r="DS59" i="28"/>
  <c r="BD148" i="28"/>
  <c r="EC37" i="28"/>
  <c r="EH37" i="28"/>
  <c r="BC156" i="28"/>
  <c r="BE156" i="28" s="1"/>
  <c r="EC61" i="28"/>
  <c r="BC180" i="28"/>
  <c r="BE180" i="28" s="1"/>
  <c r="EH61" i="28"/>
  <c r="CI60" i="28"/>
  <c r="BD59" i="28"/>
  <c r="DG64" i="28"/>
  <c r="BD123" i="28"/>
  <c r="EC41" i="28"/>
  <c r="BC160" i="28"/>
  <c r="EH41" i="28"/>
  <c r="CS46" i="28"/>
  <c r="BC75" i="28"/>
  <c r="CX46" i="28"/>
  <c r="DQ51" i="28"/>
  <c r="BC140" i="28"/>
  <c r="DV51" i="28"/>
  <c r="EE38" i="28"/>
  <c r="BD157" i="28"/>
  <c r="CL56" i="28"/>
  <c r="BC55" i="28"/>
  <c r="BE55" i="28" s="1"/>
  <c r="CU39" i="28"/>
  <c r="BD68" i="28"/>
  <c r="CU50" i="28"/>
  <c r="BD79" i="28"/>
  <c r="DE40" i="28"/>
  <c r="BC99" i="28"/>
  <c r="DJ40" i="28"/>
  <c r="CS36" i="28"/>
  <c r="BC65" i="28"/>
  <c r="CX36" i="28"/>
  <c r="DG54" i="28"/>
  <c r="BD113" i="28"/>
  <c r="DT61" i="28"/>
  <c r="DW61" i="28"/>
  <c r="CV44" i="28"/>
  <c r="CY44" i="28"/>
  <c r="CS47" i="28"/>
  <c r="BC76" i="28"/>
  <c r="CX47" i="28"/>
  <c r="EF39" i="28"/>
  <c r="EI39" i="28"/>
  <c r="DG40" i="28"/>
  <c r="BD99" i="28"/>
  <c r="V126" i="28"/>
  <c r="BD126" i="28"/>
  <c r="BE126" i="28" s="1"/>
  <c r="DJ42" i="28"/>
  <c r="BC101" i="28"/>
  <c r="CI51" i="28"/>
  <c r="BD50" i="28"/>
  <c r="DH49" i="28"/>
  <c r="DK49" i="28"/>
  <c r="DW60" i="28"/>
  <c r="CY49" i="28"/>
  <c r="DE51" i="28"/>
  <c r="BC110" i="28"/>
  <c r="BE110" i="28" s="1"/>
  <c r="DJ51" i="28"/>
  <c r="BE49" i="28"/>
  <c r="DV37" i="28"/>
  <c r="BE161" i="28"/>
  <c r="DS50" i="28"/>
  <c r="BD139" i="28"/>
  <c r="DS53" i="28"/>
  <c r="BD142" i="28"/>
  <c r="BE142" i="28" s="1"/>
  <c r="EE39" i="28"/>
  <c r="BD158" i="28"/>
  <c r="EE63" i="28"/>
  <c r="BD182" i="28"/>
  <c r="CU41" i="28"/>
  <c r="BD70" i="28"/>
  <c r="BE70" i="28" s="1"/>
  <c r="CX41" i="28"/>
  <c r="DG47" i="28"/>
  <c r="BD106" i="28"/>
  <c r="BE106" i="28" s="1"/>
  <c r="DJ47" i="28"/>
  <c r="BC98" i="28"/>
  <c r="BE98" i="28" s="1"/>
  <c r="DJ39" i="28"/>
  <c r="BC67" i="28"/>
  <c r="CX38" i="28"/>
  <c r="CU47" i="28"/>
  <c r="BD76" i="28"/>
  <c r="BC82" i="28"/>
  <c r="CX53" i="28"/>
  <c r="DJ55" i="28"/>
  <c r="BC114" i="28"/>
  <c r="BE114" i="28" s="1"/>
  <c r="BC129" i="28"/>
  <c r="DV40" i="28"/>
  <c r="BC154" i="28"/>
  <c r="BE154" i="28" s="1"/>
  <c r="EH35" i="28"/>
  <c r="EH50" i="28"/>
  <c r="BC169" i="28"/>
  <c r="EH47" i="28"/>
  <c r="BC166" i="28"/>
  <c r="BE166" i="28" s="1"/>
  <c r="EH59" i="28"/>
  <c r="BC178" i="28"/>
  <c r="BE178" i="28" s="1"/>
  <c r="CV56" i="28"/>
  <c r="CY56" i="28"/>
  <c r="EE49" i="28"/>
  <c r="BD168" i="28"/>
  <c r="BE168" i="28" s="1"/>
  <c r="EH49" i="28"/>
  <c r="CU64" i="28"/>
  <c r="BD93" i="28"/>
  <c r="DV55" i="28"/>
  <c r="BC144" i="28"/>
  <c r="BE144" i="28" s="1"/>
  <c r="V174" i="28"/>
  <c r="BC174" i="28"/>
  <c r="EH55" i="28"/>
  <c r="DE44" i="28"/>
  <c r="BC103" i="28"/>
  <c r="DJ44" i="28"/>
  <c r="CM60" i="28"/>
  <c r="DE64" i="28"/>
  <c r="BC123" i="28"/>
  <c r="DJ64" i="28"/>
  <c r="EE45" i="28"/>
  <c r="BD164" i="28"/>
  <c r="CI58" i="28"/>
  <c r="BD57" i="28"/>
  <c r="DG38" i="28"/>
  <c r="BD97" i="28"/>
  <c r="EE48" i="28"/>
  <c r="BD167" i="28"/>
  <c r="BC157" i="28"/>
  <c r="EH38" i="28"/>
  <c r="CG58" i="28"/>
  <c r="CL58" i="28"/>
  <c r="BC57" i="28"/>
  <c r="DK43" i="28"/>
  <c r="BC120" i="28"/>
  <c r="DJ61" i="28"/>
  <c r="EE46" i="28"/>
  <c r="BD165" i="28"/>
  <c r="EC39" i="28"/>
  <c r="BC158" i="28"/>
  <c r="EH39" i="28"/>
  <c r="EE52" i="28"/>
  <c r="EH52" i="28"/>
  <c r="BD171" i="28"/>
  <c r="BE171" i="28" s="1"/>
  <c r="CI53" i="28"/>
  <c r="BD52" i="28"/>
  <c r="CI62" i="28"/>
  <c r="BD61" i="28"/>
  <c r="CG62" i="28"/>
  <c r="BC61" i="28"/>
  <c r="CL62" i="28"/>
  <c r="CU43" i="28"/>
  <c r="BD72" i="28"/>
  <c r="BC54" i="28"/>
  <c r="CL55" i="28"/>
  <c r="CG51" i="28"/>
  <c r="BC50" i="28"/>
  <c r="CL51" i="28"/>
  <c r="DV59" i="28"/>
  <c r="BC148" i="28"/>
  <c r="CI45" i="28"/>
  <c r="BD44" i="28"/>
  <c r="DG49" i="28"/>
  <c r="BD108" i="28"/>
  <c r="DW44" i="28"/>
  <c r="CS63" i="28"/>
  <c r="BC92" i="28"/>
  <c r="BE92" i="28" s="1"/>
  <c r="CX63" i="28"/>
  <c r="BE87" i="28"/>
  <c r="EC54" i="28"/>
  <c r="EH54" i="28"/>
  <c r="BC173" i="28"/>
  <c r="BE173" i="28" s="1"/>
  <c r="CY40" i="28"/>
  <c r="BC69" i="28"/>
  <c r="CX40" i="28"/>
  <c r="DV50" i="28"/>
  <c r="BC139" i="28"/>
  <c r="BC56" i="28"/>
  <c r="BE56" i="28" s="1"/>
  <c r="CL57" i="28"/>
  <c r="DJ48" i="28"/>
  <c r="BC107" i="28"/>
  <c r="BE107" i="28" s="1"/>
  <c r="DG50" i="28"/>
  <c r="BD109" i="28"/>
  <c r="CI55" i="28"/>
  <c r="BD54" i="28"/>
  <c r="DG35" i="28"/>
  <c r="BD94" i="28"/>
  <c r="BE94" i="28" s="1"/>
  <c r="DJ35" i="28"/>
  <c r="BC104" i="28"/>
  <c r="BE104" i="28" s="1"/>
  <c r="DJ45" i="28"/>
  <c r="EE62" i="28"/>
  <c r="BD181" i="28"/>
  <c r="EE58" i="28"/>
  <c r="BD177" i="28"/>
  <c r="EF53" i="28"/>
  <c r="EI53" i="28"/>
  <c r="BC46" i="28"/>
  <c r="BE46" i="28" s="1"/>
  <c r="CL47" i="28"/>
  <c r="DG60" i="28"/>
  <c r="BD119" i="28"/>
  <c r="CU56" i="28"/>
  <c r="BD85" i="28"/>
  <c r="CX64" i="28"/>
  <c r="BC93" i="28"/>
  <c r="DG61" i="28"/>
  <c r="BD120" i="28"/>
  <c r="EH60" i="28"/>
  <c r="BC179" i="28"/>
  <c r="EE50" i="28"/>
  <c r="BD169" i="28"/>
  <c r="BC97" i="28"/>
  <c r="DJ38" i="28"/>
  <c r="EE41" i="28"/>
  <c r="BD160" i="28"/>
  <c r="EE55" i="28"/>
  <c r="BD174" i="28"/>
  <c r="DG44" i="28"/>
  <c r="BD103" i="28"/>
  <c r="DS38" i="28"/>
  <c r="BD127" i="28"/>
  <c r="CU38" i="28"/>
  <c r="BD67" i="28"/>
  <c r="DS58" i="28"/>
  <c r="BD147" i="28"/>
  <c r="BE147" i="28" s="1"/>
  <c r="EF46" i="28"/>
  <c r="EI46" i="28"/>
  <c r="EI62" i="28"/>
  <c r="CU44" i="28"/>
  <c r="BD73" i="28"/>
  <c r="CU53" i="28"/>
  <c r="BD82" i="28"/>
  <c r="DW58" i="28"/>
  <c r="CU46" i="28"/>
  <c r="BD75" i="28"/>
  <c r="DS40" i="28"/>
  <c r="BD129" i="28"/>
  <c r="EH63" i="28"/>
  <c r="BC182" i="28"/>
  <c r="BC135" i="28"/>
  <c r="DV46" i="28"/>
  <c r="EI50" i="28"/>
  <c r="DS46" i="28"/>
  <c r="BD135" i="28"/>
  <c r="BE60" i="28"/>
  <c r="BE136" i="28"/>
  <c r="CU40" i="28"/>
  <c r="BD69" i="28"/>
  <c r="CU57" i="28"/>
  <c r="BD86" i="28"/>
  <c r="BE86" i="28" s="1"/>
  <c r="CX57" i="28"/>
  <c r="DS49" i="28"/>
  <c r="BD138" i="28"/>
  <c r="BE138" i="28" s="1"/>
  <c r="DV49" i="28"/>
  <c r="BC109" i="28"/>
  <c r="DJ50" i="28"/>
  <c r="DS41" i="28"/>
  <c r="BD130" i="28"/>
  <c r="BE130" i="28" s="1"/>
  <c r="DV41" i="28"/>
  <c r="CU35" i="28"/>
  <c r="BD64" i="28"/>
  <c r="BE64" i="28" s="1"/>
  <c r="BC108" i="28"/>
  <c r="DJ49" i="28"/>
  <c r="BC116" i="28"/>
  <c r="BE116" i="28" s="1"/>
  <c r="DJ57" i="28"/>
  <c r="EE43" i="28"/>
  <c r="BD162" i="28"/>
  <c r="BE162" i="28" s="1"/>
  <c r="BC83" i="28"/>
  <c r="BE83" i="28" s="1"/>
  <c r="CX54" i="28"/>
  <c r="BC119" i="28"/>
  <c r="DJ60" i="28"/>
  <c r="EE36" i="28"/>
  <c r="BD155" i="28"/>
  <c r="BC85" i="28"/>
  <c r="CX56" i="28"/>
  <c r="EI36" i="28"/>
  <c r="DT64" i="28"/>
  <c r="DW64" i="28"/>
  <c r="DS35" i="28"/>
  <c r="BD124" i="28"/>
  <c r="BE124" i="28" s="1"/>
  <c r="DV35" i="28"/>
  <c r="DQ61" i="28"/>
  <c r="BC150" i="28"/>
  <c r="DV61" i="28"/>
  <c r="EC46" i="28"/>
  <c r="EH46" i="28"/>
  <c r="BC165" i="28"/>
  <c r="CS49" i="28"/>
  <c r="BC78" i="28"/>
  <c r="CX49" i="28"/>
  <c r="DW51" i="28"/>
  <c r="EE57" i="28"/>
  <c r="BD176" i="28"/>
  <c r="BE176" i="28" s="1"/>
  <c r="EH57" i="28"/>
  <c r="DE36" i="28"/>
  <c r="BC95" i="28"/>
  <c r="DJ36" i="28"/>
  <c r="CG60" i="28"/>
  <c r="BC59" i="28"/>
  <c r="CL60" i="28"/>
  <c r="DS51" i="28"/>
  <c r="BD140" i="28"/>
  <c r="BE140" i="28" s="1"/>
  <c r="EI45" i="28"/>
  <c r="EI41" i="28"/>
  <c r="DK38" i="28"/>
  <c r="DQ38" i="28"/>
  <c r="BC127" i="28"/>
  <c r="DV38" i="28"/>
  <c r="CG53" i="28"/>
  <c r="CL53" i="28"/>
  <c r="BC52" i="28"/>
  <c r="CY43" i="28"/>
  <c r="DS45" i="28"/>
  <c r="BD134" i="28"/>
  <c r="BC181" i="28"/>
  <c r="EH62" i="28"/>
  <c r="CS50" i="28"/>
  <c r="BC79" i="28"/>
  <c r="CX50" i="28"/>
  <c r="BC73" i="28"/>
  <c r="CX44" i="28"/>
  <c r="BC113" i="28"/>
  <c r="DJ54" i="28"/>
  <c r="DS61" i="28"/>
  <c r="BD150" i="28"/>
  <c r="DG42" i="28"/>
  <c r="BD101" i="28"/>
  <c r="BE101" i="28" s="1"/>
  <c r="DG36" i="28"/>
  <c r="BD95" i="28"/>
  <c r="CU49" i="28"/>
  <c r="BD78" i="28"/>
  <c r="EI63" i="28"/>
  <c r="CM55" i="28"/>
  <c r="BC167" i="28"/>
  <c r="EH48" i="28"/>
  <c r="BC177" i="28"/>
  <c r="EH58" i="28"/>
  <c r="DS60" i="28"/>
  <c r="BD149" i="28"/>
  <c r="BE149" i="28" s="1"/>
  <c r="DV60" i="28"/>
  <c r="EC36" i="28"/>
  <c r="BC155" i="28"/>
  <c r="EH36" i="28"/>
  <c r="DS63" i="28"/>
  <c r="BD152" i="28"/>
  <c r="BE152" i="28" s="1"/>
  <c r="DV58" i="28"/>
  <c r="EH43" i="28"/>
  <c r="V111" i="28"/>
  <c r="DQ45" i="28"/>
  <c r="V110" i="28"/>
  <c r="DS37" i="28"/>
  <c r="V180" i="28"/>
  <c r="V113" i="28"/>
  <c r="V157" i="28"/>
  <c r="V120" i="28"/>
  <c r="V160" i="28"/>
  <c r="V148" i="28"/>
  <c r="V75" i="28"/>
  <c r="DE42" i="28"/>
  <c r="V101" i="28"/>
  <c r="V59" i="28"/>
  <c r="V91" i="28"/>
  <c r="EC38" i="28"/>
  <c r="DE61" i="28"/>
  <c r="EC55" i="28"/>
  <c r="V52" i="28"/>
  <c r="V123" i="28"/>
  <c r="V103" i="28"/>
  <c r="DE38" i="28"/>
  <c r="V97" i="28"/>
  <c r="V150" i="28"/>
  <c r="V168" i="28"/>
  <c r="V156" i="28"/>
  <c r="V57" i="28"/>
  <c r="V165" i="28"/>
  <c r="V167" i="28"/>
  <c r="V124" i="28"/>
  <c r="CG56" i="28"/>
  <c r="V55" i="28"/>
  <c r="V155" i="28"/>
  <c r="DQ55" i="28"/>
  <c r="V144" i="28"/>
  <c r="CS64" i="28"/>
  <c r="V93" i="28"/>
  <c r="CS54" i="28"/>
  <c r="V83" i="28"/>
  <c r="DE60" i="28"/>
  <c r="V119" i="28"/>
  <c r="CS56" i="28"/>
  <c r="V85" i="28"/>
  <c r="CG47" i="28"/>
  <c r="V46" i="28"/>
  <c r="V146" i="28"/>
  <c r="CG45" i="28"/>
  <c r="V44" i="28"/>
  <c r="EC45" i="28"/>
  <c r="V164" i="28"/>
  <c r="V133" i="28"/>
  <c r="V69" i="28"/>
  <c r="CS40" i="28"/>
  <c r="V102" i="28"/>
  <c r="DE43" i="28"/>
  <c r="V72" i="28"/>
  <c r="CS43" i="28"/>
  <c r="V112" i="28"/>
  <c r="DE53" i="28"/>
  <c r="CS38" i="28"/>
  <c r="V67" i="28"/>
  <c r="V82" i="28"/>
  <c r="CS53" i="28"/>
  <c r="V182" i="28"/>
  <c r="V181" i="28"/>
  <c r="V106" i="28"/>
  <c r="V98" i="28"/>
  <c r="DE39" i="28"/>
  <c r="DE45" i="28"/>
  <c r="V104" i="28"/>
  <c r="DE55" i="28"/>
  <c r="V114" i="28"/>
  <c r="DQ40" i="28"/>
  <c r="V129" i="28"/>
  <c r="EC35" i="28"/>
  <c r="V154" i="28"/>
  <c r="V130" i="28"/>
  <c r="V70" i="28"/>
  <c r="V158" i="28"/>
  <c r="V90" i="28"/>
  <c r="CG57" i="28"/>
  <c r="V56" i="28"/>
  <c r="DE48" i="28"/>
  <c r="V107" i="28"/>
  <c r="DE49" i="28"/>
  <c r="V108" i="28"/>
  <c r="V116" i="28"/>
  <c r="DE57" i="28"/>
  <c r="EC50" i="28"/>
  <c r="V169" i="28"/>
  <c r="V170" i="28"/>
  <c r="EC51" i="28"/>
  <c r="V177" i="28"/>
  <c r="V54" i="28"/>
  <c r="V139" i="28"/>
  <c r="DQ50" i="28"/>
  <c r="DE63" i="28"/>
  <c r="V122" i="28"/>
  <c r="V109" i="28"/>
  <c r="DE50" i="28"/>
  <c r="CS39" i="28"/>
  <c r="V68" i="28"/>
  <c r="V166" i="28"/>
  <c r="EC47" i="28"/>
  <c r="EC59" i="28"/>
  <c r="V178" i="28"/>
  <c r="V76" i="28"/>
  <c r="V162" i="28"/>
  <c r="V64" i="28"/>
  <c r="V142" i="28"/>
  <c r="V138" i="28"/>
  <c r="V65" i="28"/>
  <c r="V86" i="28"/>
  <c r="V94" i="28"/>
  <c r="R94" i="27"/>
  <c r="R90" i="27"/>
  <c r="R86" i="27"/>
  <c r="R115" i="27"/>
  <c r="R111" i="27"/>
  <c r="U38" i="27"/>
  <c r="R78" i="27"/>
  <c r="R71" i="27"/>
  <c r="R63" i="27"/>
  <c r="R59" i="27"/>
  <c r="R123" i="27"/>
  <c r="S46" i="27"/>
  <c r="U14" i="27"/>
  <c r="R82" i="27"/>
  <c r="R74" i="27"/>
  <c r="R67" i="27"/>
  <c r="R119" i="27"/>
  <c r="R34" i="27"/>
  <c r="R29" i="27"/>
  <c r="S14" i="27"/>
  <c r="U30" i="27"/>
  <c r="R18" i="27"/>
  <c r="S30" i="27"/>
  <c r="U22" i="27"/>
  <c r="R45" i="27"/>
  <c r="R46" i="27"/>
  <c r="R40" i="27"/>
  <c r="R30" i="27"/>
  <c r="R24" i="27"/>
  <c r="S42" i="27"/>
  <c r="S36" i="27"/>
  <c r="S26" i="27"/>
  <c r="S20" i="27"/>
  <c r="S10" i="27"/>
  <c r="T42" i="27"/>
  <c r="T34" i="27"/>
  <c r="T26" i="27"/>
  <c r="T18" i="27"/>
  <c r="U32" i="27"/>
  <c r="U16" i="27"/>
  <c r="S73" i="27"/>
  <c r="U71" i="27"/>
  <c r="U70" i="27"/>
  <c r="U69" i="27"/>
  <c r="U68" i="27"/>
  <c r="U67" i="27"/>
  <c r="U66" i="27"/>
  <c r="U65" i="27"/>
  <c r="U64" i="27"/>
  <c r="U63" i="27"/>
  <c r="U62" i="27"/>
  <c r="U61" i="27"/>
  <c r="U60" i="27"/>
  <c r="U59" i="27"/>
  <c r="U125" i="27"/>
  <c r="U123" i="27"/>
  <c r="U121" i="27"/>
  <c r="U119" i="27"/>
  <c r="U117" i="27"/>
  <c r="U115" i="27"/>
  <c r="U113" i="27"/>
  <c r="U111" i="27"/>
  <c r="U110" i="27"/>
  <c r="U109" i="27"/>
  <c r="U108" i="27"/>
  <c r="T71" i="27"/>
  <c r="T70" i="27"/>
  <c r="T69" i="27"/>
  <c r="T68" i="27"/>
  <c r="T67" i="27"/>
  <c r="T66" i="27"/>
  <c r="T65" i="27"/>
  <c r="T64" i="27"/>
  <c r="T63" i="27"/>
  <c r="T62" i="27"/>
  <c r="T61" i="27"/>
  <c r="T60" i="27"/>
  <c r="T59" i="27"/>
  <c r="S49" i="27"/>
  <c r="S127" i="27"/>
  <c r="T111" i="27"/>
  <c r="T110" i="27"/>
  <c r="T109" i="27"/>
  <c r="T108" i="27"/>
  <c r="R38" i="27"/>
  <c r="R22" i="27"/>
  <c r="S34" i="27"/>
  <c r="S28" i="27"/>
  <c r="S18" i="27"/>
  <c r="S12" i="27"/>
  <c r="T46" i="27"/>
  <c r="T38" i="27"/>
  <c r="T22" i="27"/>
  <c r="T72" i="27"/>
  <c r="U126" i="27"/>
  <c r="U124" i="27"/>
  <c r="U122" i="27"/>
  <c r="U120" i="27"/>
  <c r="U118" i="27"/>
  <c r="U116" i="27"/>
  <c r="U114" i="27"/>
  <c r="U112" i="27"/>
  <c r="R42" i="27"/>
  <c r="R26" i="27"/>
  <c r="S98" i="27"/>
  <c r="T126" i="27"/>
  <c r="T125" i="27"/>
  <c r="T124" i="27"/>
  <c r="T123" i="27"/>
  <c r="T122" i="27"/>
  <c r="T121" i="27"/>
  <c r="T120" i="27"/>
  <c r="T119" i="27"/>
  <c r="T118" i="27"/>
  <c r="T117" i="27"/>
  <c r="T116" i="27"/>
  <c r="T115" i="27"/>
  <c r="T114" i="27"/>
  <c r="T113" i="27"/>
  <c r="T112" i="27"/>
  <c r="R107" i="27"/>
  <c r="S107" i="27"/>
  <c r="T107" i="27"/>
  <c r="U96" i="27"/>
  <c r="U95" i="27"/>
  <c r="U94" i="27"/>
  <c r="U93" i="27"/>
  <c r="U92" i="27"/>
  <c r="U91" i="27"/>
  <c r="U90" i="27"/>
  <c r="U89" i="27"/>
  <c r="U88" i="27"/>
  <c r="U87" i="27"/>
  <c r="U86" i="27"/>
  <c r="U85" i="27"/>
  <c r="U84" i="27"/>
  <c r="U83" i="27"/>
  <c r="U82" i="27"/>
  <c r="U81" i="27"/>
  <c r="U80" i="27"/>
  <c r="U79" i="27"/>
  <c r="U78" i="27"/>
  <c r="U77" i="27"/>
  <c r="U76" i="27"/>
  <c r="U75" i="27"/>
  <c r="U74" i="27"/>
  <c r="U72" i="27"/>
  <c r="T96" i="27"/>
  <c r="T95" i="27"/>
  <c r="T94" i="27"/>
  <c r="T93" i="27"/>
  <c r="T92" i="27"/>
  <c r="T91" i="27"/>
  <c r="T90" i="27"/>
  <c r="T89" i="27"/>
  <c r="T88" i="27"/>
  <c r="T87" i="27"/>
  <c r="T86" i="27"/>
  <c r="T85" i="27"/>
  <c r="T84" i="27"/>
  <c r="T83" i="27"/>
  <c r="T82" i="27"/>
  <c r="T81" i="27"/>
  <c r="T80" i="27"/>
  <c r="T79" i="27"/>
  <c r="T78" i="27"/>
  <c r="T77" i="27"/>
  <c r="T76" i="27"/>
  <c r="T75" i="27"/>
  <c r="T74" i="27"/>
  <c r="R58" i="27"/>
  <c r="S58" i="27"/>
  <c r="T58" i="27"/>
  <c r="S33" i="27"/>
  <c r="S17" i="27"/>
  <c r="S37" i="27"/>
  <c r="S21" i="27"/>
  <c r="R41" i="27"/>
  <c r="R25" i="27"/>
  <c r="R13" i="27"/>
  <c r="U45" i="27"/>
  <c r="U41" i="27"/>
  <c r="U37" i="27"/>
  <c r="U33" i="27"/>
  <c r="U29" i="27"/>
  <c r="U25" i="27"/>
  <c r="U21" i="27"/>
  <c r="U17" i="27"/>
  <c r="T41" i="27"/>
  <c r="T33" i="27"/>
  <c r="T25" i="27"/>
  <c r="U44" i="27"/>
  <c r="T45" i="27"/>
  <c r="T37" i="27"/>
  <c r="T29" i="27"/>
  <c r="T21" i="27"/>
  <c r="T17" i="27"/>
  <c r="U48" i="27"/>
  <c r="R9" i="27"/>
  <c r="S9" i="27"/>
  <c r="E39" i="3"/>
  <c r="E36" i="3"/>
  <c r="O31" i="1"/>
  <c r="O32" i="1"/>
  <c r="O33" i="1"/>
  <c r="K30" i="1"/>
  <c r="K31" i="1"/>
  <c r="K32" i="1"/>
  <c r="K33" i="1"/>
  <c r="C35" i="25"/>
  <c r="C36" i="25"/>
  <c r="C37" i="25"/>
  <c r="C38" i="25"/>
  <c r="BC38" i="25" s="1"/>
  <c r="C39" i="25"/>
  <c r="C40" i="25"/>
  <c r="C41" i="25"/>
  <c r="C42" i="25"/>
  <c r="BC42" i="25" s="1"/>
  <c r="C43" i="25"/>
  <c r="C44" i="25"/>
  <c r="C45" i="25"/>
  <c r="C46" i="25"/>
  <c r="M46" i="25" s="1"/>
  <c r="C47" i="25"/>
  <c r="C48" i="25"/>
  <c r="C49" i="25"/>
  <c r="C50" i="25"/>
  <c r="M50" i="25" s="1"/>
  <c r="C51" i="25"/>
  <c r="C52" i="25"/>
  <c r="C53" i="25"/>
  <c r="C54" i="25"/>
  <c r="BC54" i="25" s="1"/>
  <c r="C55" i="25"/>
  <c r="C56" i="25"/>
  <c r="C57" i="25"/>
  <c r="C58" i="25"/>
  <c r="M58" i="25" s="1"/>
  <c r="C59" i="25"/>
  <c r="C60" i="25"/>
  <c r="C61" i="25"/>
  <c r="C62" i="25"/>
  <c r="BW62" i="25" s="1"/>
  <c r="C63" i="25"/>
  <c r="C64" i="25"/>
  <c r="C65" i="25"/>
  <c r="C66" i="25"/>
  <c r="S66" i="25" s="1"/>
  <c r="CX37" i="25" s="1"/>
  <c r="C67" i="25"/>
  <c r="C68" i="25"/>
  <c r="C69" i="25"/>
  <c r="C70" i="25"/>
  <c r="BW70" i="25" s="1"/>
  <c r="C71" i="25"/>
  <c r="C72" i="25"/>
  <c r="C73" i="25"/>
  <c r="C74" i="25"/>
  <c r="BW74" i="25" s="1"/>
  <c r="C75" i="25"/>
  <c r="C76" i="25"/>
  <c r="C77" i="25"/>
  <c r="C78" i="25"/>
  <c r="BD78" i="25" s="1"/>
  <c r="C79" i="25"/>
  <c r="C80" i="25"/>
  <c r="C81" i="25"/>
  <c r="C82" i="25"/>
  <c r="K82" i="25" s="1"/>
  <c r="C83" i="25"/>
  <c r="C84" i="25"/>
  <c r="C85" i="25"/>
  <c r="C86" i="25"/>
  <c r="BW86" i="25" s="1"/>
  <c r="C87" i="25"/>
  <c r="C88" i="25"/>
  <c r="C89" i="25"/>
  <c r="C90" i="25"/>
  <c r="M90" i="25" s="1"/>
  <c r="C91" i="25"/>
  <c r="C92" i="25"/>
  <c r="C93" i="25"/>
  <c r="C94" i="25"/>
  <c r="M94" i="25" s="1"/>
  <c r="C95" i="25"/>
  <c r="C96" i="25"/>
  <c r="C97" i="25"/>
  <c r="C98" i="25"/>
  <c r="M98" i="25" s="1"/>
  <c r="C99" i="25"/>
  <c r="C100" i="25"/>
  <c r="C101" i="25"/>
  <c r="C102" i="25"/>
  <c r="BD102" i="25" s="1"/>
  <c r="C103" i="25"/>
  <c r="C104" i="25"/>
  <c r="C105" i="25"/>
  <c r="C106" i="25"/>
  <c r="BD106" i="25" s="1"/>
  <c r="C107" i="25"/>
  <c r="C108" i="25"/>
  <c r="C109" i="25"/>
  <c r="C110" i="25"/>
  <c r="C111" i="25"/>
  <c r="C112" i="25"/>
  <c r="C113" i="25"/>
  <c r="C114" i="25"/>
  <c r="BD114" i="25" s="1"/>
  <c r="C115" i="25"/>
  <c r="C116" i="25"/>
  <c r="C117" i="25"/>
  <c r="C118" i="25"/>
  <c r="C119" i="25"/>
  <c r="C120" i="25"/>
  <c r="C121" i="25"/>
  <c r="C122" i="25"/>
  <c r="BD122" i="25" s="1"/>
  <c r="C123" i="25"/>
  <c r="C124" i="25"/>
  <c r="C125" i="25"/>
  <c r="C126" i="25"/>
  <c r="BC126" i="25" s="1"/>
  <c r="C127" i="25"/>
  <c r="C128" i="25"/>
  <c r="C129" i="25"/>
  <c r="C130" i="25"/>
  <c r="C131" i="25"/>
  <c r="C132" i="25"/>
  <c r="C133" i="25"/>
  <c r="C134" i="25"/>
  <c r="BW134" i="25" s="1"/>
  <c r="C135" i="25"/>
  <c r="C136" i="25"/>
  <c r="C137" i="25"/>
  <c r="C138" i="25"/>
  <c r="K138" i="25" s="1"/>
  <c r="C139" i="25"/>
  <c r="C140" i="25"/>
  <c r="C141" i="25"/>
  <c r="C142" i="25"/>
  <c r="K142" i="25" s="1"/>
  <c r="C143" i="25"/>
  <c r="C144" i="25"/>
  <c r="C145" i="25"/>
  <c r="C146" i="25"/>
  <c r="M146" i="25" s="1"/>
  <c r="C147" i="25"/>
  <c r="C148" i="25"/>
  <c r="C149" i="25"/>
  <c r="C150" i="25"/>
  <c r="BC150" i="25" s="1"/>
  <c r="C151" i="25"/>
  <c r="C152" i="25"/>
  <c r="C153" i="25"/>
  <c r="C154" i="25"/>
  <c r="C155" i="25"/>
  <c r="C156" i="25"/>
  <c r="C157" i="25"/>
  <c r="C158" i="25"/>
  <c r="S158" i="25" s="1"/>
  <c r="EH39" i="25" s="1"/>
  <c r="C159" i="25"/>
  <c r="C160" i="25"/>
  <c r="C161" i="25"/>
  <c r="C162" i="25"/>
  <c r="M162" i="25" s="1"/>
  <c r="C163" i="25"/>
  <c r="C164" i="25"/>
  <c r="C165" i="25"/>
  <c r="C166" i="25"/>
  <c r="BW166" i="25" s="1"/>
  <c r="C167" i="25"/>
  <c r="C168" i="25"/>
  <c r="C169" i="25"/>
  <c r="C170" i="25"/>
  <c r="BW170" i="25" s="1"/>
  <c r="C171" i="25"/>
  <c r="C172" i="25"/>
  <c r="C173" i="25"/>
  <c r="C174" i="25"/>
  <c r="K174" i="25" s="1"/>
  <c r="C175" i="25"/>
  <c r="C176" i="25"/>
  <c r="C177" i="25"/>
  <c r="C178" i="25"/>
  <c r="K178" i="25" s="1"/>
  <c r="C179" i="25"/>
  <c r="C180" i="25"/>
  <c r="C181" i="25"/>
  <c r="C182" i="25"/>
  <c r="M182" i="25" s="1"/>
  <c r="C183" i="25"/>
  <c r="C34" i="25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H183" i="25"/>
  <c r="BC182" i="25"/>
  <c r="H182" i="25"/>
  <c r="BW181" i="25"/>
  <c r="K181" i="25"/>
  <c r="H181" i="25"/>
  <c r="BD181" i="25"/>
  <c r="BD180" i="25"/>
  <c r="H180" i="25"/>
  <c r="BD179" i="25"/>
  <c r="BC179" i="25"/>
  <c r="M179" i="25"/>
  <c r="H179" i="25"/>
  <c r="M178" i="25"/>
  <c r="H178" i="25"/>
  <c r="BW177" i="25"/>
  <c r="K177" i="25"/>
  <c r="H177" i="25"/>
  <c r="BD177" i="25"/>
  <c r="S176" i="25"/>
  <c r="EH57" i="25" s="1"/>
  <c r="H176" i="25"/>
  <c r="H175" i="25"/>
  <c r="M174" i="25"/>
  <c r="H174" i="25"/>
  <c r="BW173" i="25"/>
  <c r="K173" i="25"/>
  <c r="H173" i="25"/>
  <c r="BD173" i="25"/>
  <c r="BD172" i="25"/>
  <c r="H172" i="25"/>
  <c r="BD171" i="25"/>
  <c r="BC171" i="25"/>
  <c r="M171" i="25"/>
  <c r="H171" i="25"/>
  <c r="K170" i="25"/>
  <c r="H170" i="25"/>
  <c r="BW169" i="25"/>
  <c r="K169" i="25"/>
  <c r="H169" i="25"/>
  <c r="BD169" i="25"/>
  <c r="S168" i="25"/>
  <c r="EH49" i="25" s="1"/>
  <c r="H168" i="25"/>
  <c r="H167" i="25"/>
  <c r="K166" i="25"/>
  <c r="H166" i="25"/>
  <c r="BW165" i="25"/>
  <c r="K165" i="25"/>
  <c r="H165" i="25"/>
  <c r="BD165" i="25"/>
  <c r="H164" i="25"/>
  <c r="BD163" i="25"/>
  <c r="BC163" i="25"/>
  <c r="M163" i="25"/>
  <c r="H163" i="25"/>
  <c r="BC162" i="25"/>
  <c r="H162" i="25"/>
  <c r="BD161" i="25"/>
  <c r="S161" i="25"/>
  <c r="EH42" i="25" s="1"/>
  <c r="M161" i="25"/>
  <c r="K161" i="25"/>
  <c r="H161" i="25"/>
  <c r="BC161" i="25"/>
  <c r="H160" i="25"/>
  <c r="H159" i="25"/>
  <c r="BW158" i="25"/>
  <c r="H158" i="25"/>
  <c r="BW157" i="25"/>
  <c r="BC157" i="25"/>
  <c r="M157" i="25"/>
  <c r="K157" i="25"/>
  <c r="H157" i="25"/>
  <c r="BD157" i="25"/>
  <c r="BW156" i="25"/>
  <c r="BD156" i="25"/>
  <c r="S156" i="25"/>
  <c r="EH37" i="25" s="1"/>
  <c r="K156" i="25"/>
  <c r="H156" i="25"/>
  <c r="BC155" i="25"/>
  <c r="H155" i="25"/>
  <c r="H154" i="25"/>
  <c r="BW153" i="25"/>
  <c r="BC153" i="25"/>
  <c r="M153" i="25"/>
  <c r="K153" i="25"/>
  <c r="H153" i="25"/>
  <c r="BD153" i="25"/>
  <c r="BW152" i="25"/>
  <c r="BD152" i="25"/>
  <c r="S152" i="25"/>
  <c r="DV63" i="25" s="1"/>
  <c r="K152" i="25"/>
  <c r="H152" i="25"/>
  <c r="BD151" i="25"/>
  <c r="S151" i="25"/>
  <c r="DV62" i="25" s="1"/>
  <c r="M151" i="25"/>
  <c r="H151" i="25"/>
  <c r="H150" i="25"/>
  <c r="BW149" i="25"/>
  <c r="BC149" i="25"/>
  <c r="M149" i="25"/>
  <c r="K149" i="25"/>
  <c r="H149" i="25"/>
  <c r="BD149" i="25"/>
  <c r="H148" i="25"/>
  <c r="BW148" i="25"/>
  <c r="BC147" i="25"/>
  <c r="M147" i="25"/>
  <c r="H147" i="25"/>
  <c r="BW147" i="25"/>
  <c r="BC146" i="25"/>
  <c r="H146" i="25"/>
  <c r="BW145" i="25"/>
  <c r="K145" i="25"/>
  <c r="H145" i="25"/>
  <c r="BD145" i="25"/>
  <c r="H144" i="25"/>
  <c r="BC143" i="25"/>
  <c r="M143" i="25"/>
  <c r="H143" i="25"/>
  <c r="BW143" i="25"/>
  <c r="M142" i="25"/>
  <c r="H142" i="25"/>
  <c r="BW141" i="25"/>
  <c r="K141" i="25"/>
  <c r="H141" i="25"/>
  <c r="BD141" i="25"/>
  <c r="BD140" i="25"/>
  <c r="H140" i="25"/>
  <c r="BC139" i="25"/>
  <c r="M139" i="25"/>
  <c r="H139" i="25"/>
  <c r="BW139" i="25"/>
  <c r="M138" i="25"/>
  <c r="H138" i="25"/>
  <c r="BW137" i="25"/>
  <c r="K137" i="25"/>
  <c r="H137" i="25"/>
  <c r="BD137" i="25"/>
  <c r="BD136" i="25"/>
  <c r="S136" i="25"/>
  <c r="DV47" i="25" s="1"/>
  <c r="H136" i="25"/>
  <c r="BC135" i="25"/>
  <c r="H135" i="25"/>
  <c r="K134" i="25"/>
  <c r="H134" i="25"/>
  <c r="BW133" i="25"/>
  <c r="K133" i="25"/>
  <c r="H133" i="25"/>
  <c r="BD133" i="25"/>
  <c r="H132" i="25"/>
  <c r="H131" i="25"/>
  <c r="H130" i="25"/>
  <c r="BC129" i="25"/>
  <c r="M129" i="25"/>
  <c r="H129" i="25"/>
  <c r="BW129" i="25"/>
  <c r="BW128" i="25"/>
  <c r="BC128" i="25"/>
  <c r="M128" i="25"/>
  <c r="K128" i="25"/>
  <c r="H128" i="25"/>
  <c r="BD128" i="25"/>
  <c r="BW127" i="25"/>
  <c r="K127" i="25"/>
  <c r="H127" i="25"/>
  <c r="BD127" i="25"/>
  <c r="H126" i="25"/>
  <c r="BC125" i="25"/>
  <c r="M125" i="25"/>
  <c r="H125" i="25"/>
  <c r="BW125" i="25"/>
  <c r="BW124" i="25"/>
  <c r="BC124" i="25"/>
  <c r="M124" i="25"/>
  <c r="K124" i="25"/>
  <c r="H124" i="25"/>
  <c r="BD124" i="25"/>
  <c r="BW123" i="25"/>
  <c r="K123" i="25"/>
  <c r="H123" i="25"/>
  <c r="BD123" i="25"/>
  <c r="H122" i="25"/>
  <c r="BC121" i="25"/>
  <c r="M121" i="25"/>
  <c r="H121" i="25"/>
  <c r="BW121" i="25"/>
  <c r="BW120" i="25"/>
  <c r="BC120" i="25"/>
  <c r="M120" i="25"/>
  <c r="K120" i="25"/>
  <c r="H120" i="25"/>
  <c r="BD120" i="25"/>
  <c r="BW119" i="25"/>
  <c r="K119" i="25"/>
  <c r="H119" i="25"/>
  <c r="BD119" i="25"/>
  <c r="H118" i="25"/>
  <c r="BC117" i="25"/>
  <c r="M117" i="25"/>
  <c r="H117" i="25"/>
  <c r="BW117" i="25"/>
  <c r="BW116" i="25"/>
  <c r="BC116" i="25"/>
  <c r="M116" i="25"/>
  <c r="K116" i="25"/>
  <c r="H116" i="25"/>
  <c r="BD116" i="25"/>
  <c r="BW115" i="25"/>
  <c r="K115" i="25"/>
  <c r="H115" i="25"/>
  <c r="BD115" i="25"/>
  <c r="BK114" i="25"/>
  <c r="BJ114" i="25"/>
  <c r="BI114" i="25"/>
  <c r="BH114" i="25"/>
  <c r="H114" i="25"/>
  <c r="BK113" i="25"/>
  <c r="BJ113" i="25"/>
  <c r="BI113" i="25"/>
  <c r="BH113" i="25"/>
  <c r="BD113" i="25"/>
  <c r="BC113" i="25"/>
  <c r="M113" i="25"/>
  <c r="H113" i="25"/>
  <c r="BW112" i="25"/>
  <c r="BK112" i="25"/>
  <c r="BJ112" i="25"/>
  <c r="BH112" i="25"/>
  <c r="BI112" i="25" s="1"/>
  <c r="BC112" i="25"/>
  <c r="M112" i="25"/>
  <c r="K112" i="25"/>
  <c r="H112" i="25"/>
  <c r="BD112" i="25"/>
  <c r="BW111" i="25"/>
  <c r="BK111" i="25"/>
  <c r="BJ111" i="25"/>
  <c r="BH111" i="25"/>
  <c r="BI111" i="25" s="1"/>
  <c r="K111" i="25"/>
  <c r="H111" i="25"/>
  <c r="BD111" i="25"/>
  <c r="BK110" i="25"/>
  <c r="BJ110" i="25"/>
  <c r="BI110" i="25"/>
  <c r="BH110" i="25"/>
  <c r="H110" i="25"/>
  <c r="BK109" i="25"/>
  <c r="BJ109" i="25"/>
  <c r="BI109" i="25"/>
  <c r="BH109" i="25"/>
  <c r="H109" i="25"/>
  <c r="BW108" i="25"/>
  <c r="BK108" i="25"/>
  <c r="BJ108" i="25"/>
  <c r="BH108" i="25"/>
  <c r="BI108" i="25" s="1"/>
  <c r="BC108" i="25"/>
  <c r="M108" i="25"/>
  <c r="K108" i="25"/>
  <c r="H108" i="25"/>
  <c r="BD108" i="25"/>
  <c r="BW107" i="25"/>
  <c r="BK107" i="25"/>
  <c r="BJ107" i="25"/>
  <c r="BH107" i="25"/>
  <c r="BI107" i="25" s="1"/>
  <c r="K107" i="25"/>
  <c r="H107" i="25"/>
  <c r="BD107" i="25"/>
  <c r="BK106" i="25"/>
  <c r="BJ106" i="25"/>
  <c r="BI106" i="25"/>
  <c r="BH106" i="25"/>
  <c r="H106" i="25"/>
  <c r="BK105" i="25"/>
  <c r="BJ105" i="25"/>
  <c r="BI105" i="25"/>
  <c r="BH105" i="25"/>
  <c r="H105" i="25"/>
  <c r="BW104" i="25"/>
  <c r="BK104" i="25"/>
  <c r="BJ104" i="25"/>
  <c r="BI104" i="25"/>
  <c r="BH104" i="25"/>
  <c r="BC104" i="25"/>
  <c r="M104" i="25"/>
  <c r="K104" i="25"/>
  <c r="H104" i="25"/>
  <c r="BD104" i="25"/>
  <c r="BW103" i="25"/>
  <c r="BK103" i="25"/>
  <c r="BJ103" i="25"/>
  <c r="BH103" i="25"/>
  <c r="BI103" i="25" s="1"/>
  <c r="K103" i="25"/>
  <c r="H103" i="25"/>
  <c r="BD103" i="25"/>
  <c r="BK102" i="25"/>
  <c r="BJ102" i="25"/>
  <c r="BI102" i="25"/>
  <c r="BH102" i="25"/>
  <c r="H102" i="25"/>
  <c r="BK101" i="25"/>
  <c r="BJ101" i="25"/>
  <c r="BI101" i="25"/>
  <c r="BH101" i="25"/>
  <c r="BC101" i="25"/>
  <c r="M101" i="25"/>
  <c r="H101" i="25"/>
  <c r="BD101" i="25"/>
  <c r="BW100" i="25"/>
  <c r="BK100" i="25"/>
  <c r="BJ100" i="25"/>
  <c r="BI100" i="25"/>
  <c r="BH100" i="25"/>
  <c r="BC100" i="25"/>
  <c r="M100" i="25"/>
  <c r="K100" i="25"/>
  <c r="H100" i="25"/>
  <c r="BD100" i="25"/>
  <c r="BK99" i="25"/>
  <c r="BJ99" i="25"/>
  <c r="BH99" i="25"/>
  <c r="BI99" i="25" s="1"/>
  <c r="H99" i="25"/>
  <c r="BK98" i="25"/>
  <c r="BJ98" i="25"/>
  <c r="BI98" i="25"/>
  <c r="BH98" i="25"/>
  <c r="S98" i="25"/>
  <c r="DJ39" i="25" s="1"/>
  <c r="H98" i="25"/>
  <c r="BK97" i="25"/>
  <c r="BJ97" i="25"/>
  <c r="BH97" i="25"/>
  <c r="BI97" i="25" s="1"/>
  <c r="BD97" i="25"/>
  <c r="K97" i="25"/>
  <c r="H97" i="25"/>
  <c r="BW96" i="25"/>
  <c r="BK96" i="25"/>
  <c r="BJ96" i="25"/>
  <c r="BI96" i="25"/>
  <c r="BH96" i="25"/>
  <c r="BC96" i="25"/>
  <c r="M96" i="25"/>
  <c r="K96" i="25"/>
  <c r="H96" i="25"/>
  <c r="BD96" i="25"/>
  <c r="BK95" i="25"/>
  <c r="BJ95" i="25"/>
  <c r="BH95" i="25"/>
  <c r="BI95" i="25" s="1"/>
  <c r="H95" i="25"/>
  <c r="BK94" i="25"/>
  <c r="BJ94" i="25"/>
  <c r="BI94" i="25"/>
  <c r="BH94" i="25"/>
  <c r="S94" i="25"/>
  <c r="DJ35" i="25" s="1"/>
  <c r="H94" i="25"/>
  <c r="BW93" i="25"/>
  <c r="BK93" i="25"/>
  <c r="BJ93" i="25"/>
  <c r="BH93" i="25"/>
  <c r="BI93" i="25" s="1"/>
  <c r="K93" i="25"/>
  <c r="H93" i="25"/>
  <c r="BD93" i="25"/>
  <c r="BK92" i="25"/>
  <c r="BJ92" i="25"/>
  <c r="BI92" i="25"/>
  <c r="BH92" i="25"/>
  <c r="H92" i="25"/>
  <c r="BC92" i="25"/>
  <c r="BK91" i="25"/>
  <c r="BJ91" i="25"/>
  <c r="BI91" i="25"/>
  <c r="BH91" i="25"/>
  <c r="BC91" i="25"/>
  <c r="M91" i="25"/>
  <c r="H91" i="25"/>
  <c r="BW91" i="25"/>
  <c r="BW90" i="25"/>
  <c r="BK90" i="25"/>
  <c r="BJ90" i="25"/>
  <c r="BH90" i="25"/>
  <c r="BI90" i="25" s="1"/>
  <c r="BC90" i="25"/>
  <c r="H90" i="25"/>
  <c r="BW89" i="25"/>
  <c r="BK89" i="25"/>
  <c r="BJ89" i="25"/>
  <c r="BH89" i="25"/>
  <c r="BI89" i="25" s="1"/>
  <c r="K89" i="25"/>
  <c r="H89" i="25"/>
  <c r="BD89" i="25"/>
  <c r="BK88" i="25"/>
  <c r="BJ88" i="25"/>
  <c r="BI88" i="25"/>
  <c r="BH88" i="25"/>
  <c r="H88" i="25"/>
  <c r="BC88" i="25"/>
  <c r="BK87" i="25"/>
  <c r="BJ87" i="25"/>
  <c r="BI87" i="25"/>
  <c r="BH87" i="25"/>
  <c r="BC87" i="25"/>
  <c r="M87" i="25"/>
  <c r="H87" i="25"/>
  <c r="BW87" i="25"/>
  <c r="BK86" i="25"/>
  <c r="BJ86" i="25"/>
  <c r="BH86" i="25"/>
  <c r="BI86" i="25" s="1"/>
  <c r="K86" i="25"/>
  <c r="H86" i="25"/>
  <c r="BD86" i="25"/>
  <c r="BW85" i="25"/>
  <c r="BK85" i="25"/>
  <c r="BJ85" i="25"/>
  <c r="BH85" i="25"/>
  <c r="BI85" i="25" s="1"/>
  <c r="K85" i="25"/>
  <c r="H85" i="25"/>
  <c r="BD85" i="25"/>
  <c r="BK84" i="25"/>
  <c r="BJ84" i="25"/>
  <c r="BI84" i="25"/>
  <c r="BH84" i="25"/>
  <c r="H84" i="25"/>
  <c r="BK83" i="25"/>
  <c r="BJ83" i="25"/>
  <c r="BI83" i="25"/>
  <c r="BH83" i="25"/>
  <c r="BC83" i="25"/>
  <c r="M83" i="25"/>
  <c r="H83" i="25"/>
  <c r="BW83" i="25"/>
  <c r="BK82" i="25"/>
  <c r="BJ82" i="25"/>
  <c r="BH82" i="25"/>
  <c r="BI82" i="25" s="1"/>
  <c r="M82" i="25"/>
  <c r="H82" i="25"/>
  <c r="BW81" i="25"/>
  <c r="BK81" i="25"/>
  <c r="BJ81" i="25"/>
  <c r="BH81" i="25"/>
  <c r="BI81" i="25" s="1"/>
  <c r="K81" i="25"/>
  <c r="H81" i="25"/>
  <c r="BD81" i="25"/>
  <c r="BK80" i="25"/>
  <c r="BJ80" i="25"/>
  <c r="BI80" i="25"/>
  <c r="BH80" i="25"/>
  <c r="BD80" i="25"/>
  <c r="S80" i="25"/>
  <c r="CX51" i="25" s="1"/>
  <c r="H80" i="25"/>
  <c r="BK79" i="25"/>
  <c r="BJ79" i="25"/>
  <c r="BI79" i="25"/>
  <c r="BH79" i="25"/>
  <c r="BC79" i="25"/>
  <c r="M79" i="25"/>
  <c r="H79" i="25"/>
  <c r="BW79" i="25"/>
  <c r="BQ78" i="25"/>
  <c r="BP78" i="25"/>
  <c r="BK78" i="25"/>
  <c r="BJ78" i="25"/>
  <c r="BH78" i="25"/>
  <c r="BI78" i="25" s="1"/>
  <c r="H78" i="25"/>
  <c r="BQ77" i="25"/>
  <c r="BP77" i="25"/>
  <c r="BK77" i="25"/>
  <c r="BJ77" i="25"/>
  <c r="BH77" i="25"/>
  <c r="BI77" i="25" s="1"/>
  <c r="BC77" i="25"/>
  <c r="M77" i="25"/>
  <c r="K77" i="25"/>
  <c r="H77" i="25"/>
  <c r="BW77" i="25"/>
  <c r="BQ76" i="25"/>
  <c r="BP76" i="25"/>
  <c r="BK76" i="25"/>
  <c r="BJ76" i="25"/>
  <c r="BH76" i="25"/>
  <c r="BI76" i="25" s="1"/>
  <c r="BC76" i="25"/>
  <c r="M76" i="25"/>
  <c r="K76" i="25"/>
  <c r="H76" i="25"/>
  <c r="BQ75" i="25"/>
  <c r="BP75" i="25"/>
  <c r="BK75" i="25"/>
  <c r="BJ75" i="25"/>
  <c r="BI75" i="25"/>
  <c r="BH75" i="25"/>
  <c r="BC75" i="25"/>
  <c r="M75" i="25"/>
  <c r="H75" i="25"/>
  <c r="BQ74" i="25"/>
  <c r="BP74" i="25"/>
  <c r="BK74" i="25"/>
  <c r="BJ74" i="25"/>
  <c r="BH74" i="25"/>
  <c r="BI74" i="25" s="1"/>
  <c r="BD74" i="25"/>
  <c r="H74" i="25"/>
  <c r="BQ73" i="25"/>
  <c r="BP73" i="25"/>
  <c r="BK73" i="25"/>
  <c r="BJ73" i="25"/>
  <c r="BI73" i="25"/>
  <c r="BH73" i="25"/>
  <c r="BC73" i="25"/>
  <c r="M73" i="25"/>
  <c r="K73" i="25"/>
  <c r="H73" i="25"/>
  <c r="BW73" i="25"/>
  <c r="BQ72" i="25"/>
  <c r="BP72" i="25"/>
  <c r="BK72" i="25"/>
  <c r="BJ72" i="25"/>
  <c r="BH72" i="25"/>
  <c r="BI72" i="25" s="1"/>
  <c r="K72" i="25"/>
  <c r="H72" i="25"/>
  <c r="BQ71" i="25"/>
  <c r="BP71" i="25"/>
  <c r="BK71" i="25"/>
  <c r="BJ71" i="25"/>
  <c r="BI71" i="25"/>
  <c r="BH71" i="25"/>
  <c r="BC71" i="25"/>
  <c r="M71" i="25"/>
  <c r="H71" i="25"/>
  <c r="BQ70" i="25"/>
  <c r="BP70" i="25"/>
  <c r="BK70" i="25"/>
  <c r="BJ70" i="25"/>
  <c r="BH70" i="25"/>
  <c r="BI70" i="25" s="1"/>
  <c r="H70" i="25"/>
  <c r="BQ69" i="25"/>
  <c r="BP69" i="25"/>
  <c r="BK69" i="25"/>
  <c r="BJ69" i="25"/>
  <c r="BI69" i="25"/>
  <c r="BH69" i="25"/>
  <c r="BC69" i="25"/>
  <c r="M69" i="25"/>
  <c r="K69" i="25"/>
  <c r="H69" i="25"/>
  <c r="BW69" i="25"/>
  <c r="BQ68" i="25"/>
  <c r="BP68" i="25"/>
  <c r="BK68" i="25"/>
  <c r="BJ68" i="25"/>
  <c r="BH68" i="25"/>
  <c r="BI68" i="25" s="1"/>
  <c r="H68" i="25"/>
  <c r="BD68" i="25"/>
  <c r="BQ67" i="25"/>
  <c r="BP67" i="25"/>
  <c r="BK67" i="25"/>
  <c r="BJ67" i="25"/>
  <c r="BI67" i="25"/>
  <c r="BH67" i="25"/>
  <c r="BC67" i="25"/>
  <c r="M67" i="25"/>
  <c r="H67" i="25"/>
  <c r="BQ66" i="25"/>
  <c r="BP66" i="25"/>
  <c r="BK66" i="25"/>
  <c r="BJ66" i="25"/>
  <c r="BH66" i="25"/>
  <c r="BI66" i="25" s="1"/>
  <c r="H66" i="25"/>
  <c r="BQ65" i="25"/>
  <c r="BP65" i="25"/>
  <c r="BK65" i="25"/>
  <c r="BJ65" i="25"/>
  <c r="BH65" i="25"/>
  <c r="BI65" i="25" s="1"/>
  <c r="BC65" i="25"/>
  <c r="M65" i="25"/>
  <c r="K65" i="25"/>
  <c r="H65" i="25"/>
  <c r="BW65" i="25"/>
  <c r="EG64" i="25"/>
  <c r="DZ64" i="25"/>
  <c r="DY64" i="25"/>
  <c r="DU64" i="25"/>
  <c r="DN64" i="25"/>
  <c r="DM64" i="25"/>
  <c r="DI64" i="25"/>
  <c r="DB64" i="25"/>
  <c r="DA64" i="25"/>
  <c r="CW64" i="25"/>
  <c r="CP64" i="25"/>
  <c r="CO64" i="25"/>
  <c r="CK64" i="25"/>
  <c r="CD64" i="25"/>
  <c r="CC64" i="25"/>
  <c r="BQ64" i="25"/>
  <c r="BP64" i="25"/>
  <c r="BK64" i="25"/>
  <c r="BJ64" i="25"/>
  <c r="BI64" i="25"/>
  <c r="BH64" i="25"/>
  <c r="K64" i="25"/>
  <c r="H64" i="25"/>
  <c r="EG63" i="25"/>
  <c r="DZ63" i="25"/>
  <c r="DY63" i="25"/>
  <c r="DU63" i="25"/>
  <c r="DN63" i="25"/>
  <c r="DM63" i="25"/>
  <c r="DI63" i="25"/>
  <c r="DB63" i="25"/>
  <c r="DA63" i="25"/>
  <c r="CW63" i="25"/>
  <c r="CP63" i="25"/>
  <c r="CO63" i="25"/>
  <c r="CK63" i="25"/>
  <c r="CD63" i="25"/>
  <c r="CC63" i="25"/>
  <c r="BR63" i="25"/>
  <c r="BQ63" i="25"/>
  <c r="BP63" i="25"/>
  <c r="BK63" i="25"/>
  <c r="BJ63" i="25"/>
  <c r="BH63" i="25"/>
  <c r="BI63" i="25" s="1"/>
  <c r="AZ63" i="25"/>
  <c r="S63" i="25"/>
  <c r="CL64" i="25" s="1"/>
  <c r="H63" i="25"/>
  <c r="EG62" i="25"/>
  <c r="DZ62" i="25"/>
  <c r="DY62" i="25"/>
  <c r="DU62" i="25"/>
  <c r="DN62" i="25"/>
  <c r="DM62" i="25"/>
  <c r="DI62" i="25"/>
  <c r="DB62" i="25"/>
  <c r="DA62" i="25"/>
  <c r="CW62" i="25"/>
  <c r="CP62" i="25"/>
  <c r="CO62" i="25"/>
  <c r="CK62" i="25"/>
  <c r="CD62" i="25"/>
  <c r="CC62" i="25"/>
  <c r="BR62" i="25"/>
  <c r="BQ62" i="25"/>
  <c r="BP62" i="25"/>
  <c r="BK62" i="25"/>
  <c r="BJ62" i="25"/>
  <c r="BI62" i="25"/>
  <c r="BH62" i="25"/>
  <c r="AZ62" i="25"/>
  <c r="H62" i="25"/>
  <c r="EG61" i="25"/>
  <c r="DZ61" i="25"/>
  <c r="DY61" i="25"/>
  <c r="DU61" i="25"/>
  <c r="DN61" i="25"/>
  <c r="DM61" i="25"/>
  <c r="DI61" i="25"/>
  <c r="DB61" i="25"/>
  <c r="DA61" i="25"/>
  <c r="CW61" i="25"/>
  <c r="CP61" i="25"/>
  <c r="CO61" i="25"/>
  <c r="CK61" i="25"/>
  <c r="CD61" i="25"/>
  <c r="CC61" i="25"/>
  <c r="BR61" i="25"/>
  <c r="BQ61" i="25"/>
  <c r="BP61" i="25"/>
  <c r="BK61" i="25"/>
  <c r="BJ61" i="25"/>
  <c r="BH61" i="25"/>
  <c r="BI61" i="25" s="1"/>
  <c r="AZ61" i="25"/>
  <c r="S61" i="25"/>
  <c r="CL62" i="25" s="1"/>
  <c r="H61" i="25"/>
  <c r="EG60" i="25"/>
  <c r="DZ60" i="25"/>
  <c r="DY60" i="25"/>
  <c r="DU60" i="25"/>
  <c r="DN60" i="25"/>
  <c r="DM60" i="25"/>
  <c r="DI60" i="25"/>
  <c r="DB60" i="25"/>
  <c r="DA60" i="25"/>
  <c r="CW60" i="25"/>
  <c r="CP60" i="25"/>
  <c r="CO60" i="25"/>
  <c r="CK60" i="25"/>
  <c r="CD60" i="25"/>
  <c r="CC60" i="25"/>
  <c r="BX60" i="25"/>
  <c r="BR60" i="25"/>
  <c r="BQ60" i="25"/>
  <c r="BP60" i="25"/>
  <c r="BK60" i="25"/>
  <c r="BJ60" i="25"/>
  <c r="BH60" i="25"/>
  <c r="BI60" i="25" s="1"/>
  <c r="AZ60" i="25"/>
  <c r="H60" i="25"/>
  <c r="EG59" i="25"/>
  <c r="DZ59" i="25"/>
  <c r="DY59" i="25"/>
  <c r="DU59" i="25"/>
  <c r="DN59" i="25"/>
  <c r="DM59" i="25"/>
  <c r="DI59" i="25"/>
  <c r="DB59" i="25"/>
  <c r="DA59" i="25"/>
  <c r="CW59" i="25"/>
  <c r="CP59" i="25"/>
  <c r="CO59" i="25"/>
  <c r="CK59" i="25"/>
  <c r="CD59" i="25"/>
  <c r="CC59" i="25"/>
  <c r="BX59" i="25"/>
  <c r="BR59" i="25"/>
  <c r="BQ59" i="25"/>
  <c r="BP59" i="25"/>
  <c r="BK59" i="25"/>
  <c r="BJ59" i="25"/>
  <c r="BH59" i="25"/>
  <c r="BI59" i="25" s="1"/>
  <c r="AZ59" i="25"/>
  <c r="H59" i="25"/>
  <c r="M59" i="25"/>
  <c r="EG58" i="25"/>
  <c r="DZ58" i="25"/>
  <c r="DY58" i="25"/>
  <c r="DU58" i="25"/>
  <c r="DN58" i="25"/>
  <c r="DM58" i="25"/>
  <c r="DI58" i="25"/>
  <c r="DB58" i="25"/>
  <c r="DA58" i="25"/>
  <c r="CW58" i="25"/>
  <c r="CP58" i="25"/>
  <c r="CO58" i="25"/>
  <c r="CK58" i="25"/>
  <c r="CD58" i="25"/>
  <c r="CC58" i="25"/>
  <c r="BX58" i="25"/>
  <c r="BR58" i="25"/>
  <c r="BQ58" i="25"/>
  <c r="BP58" i="25"/>
  <c r="BK58" i="25"/>
  <c r="BJ58" i="25"/>
  <c r="BH58" i="25"/>
  <c r="BI58" i="25" s="1"/>
  <c r="AZ58" i="25"/>
  <c r="H58" i="25"/>
  <c r="EG57" i="25"/>
  <c r="DZ57" i="25"/>
  <c r="DY57" i="25"/>
  <c r="DU57" i="25"/>
  <c r="DN57" i="25"/>
  <c r="DM57" i="25"/>
  <c r="DI57" i="25"/>
  <c r="DB57" i="25"/>
  <c r="DA57" i="25"/>
  <c r="CW57" i="25"/>
  <c r="CP57" i="25"/>
  <c r="CO57" i="25"/>
  <c r="CK57" i="25"/>
  <c r="CD57" i="25"/>
  <c r="CC57" i="25"/>
  <c r="BR57" i="25"/>
  <c r="BQ57" i="25"/>
  <c r="BP57" i="25"/>
  <c r="BK57" i="25"/>
  <c r="BJ57" i="25"/>
  <c r="BH57" i="25"/>
  <c r="BI57" i="25" s="1"/>
  <c r="AZ57" i="25"/>
  <c r="M57" i="25"/>
  <c r="H57" i="25"/>
  <c r="BW57" i="25"/>
  <c r="EG56" i="25"/>
  <c r="DZ56" i="25"/>
  <c r="DY56" i="25"/>
  <c r="DU56" i="25"/>
  <c r="DN56" i="25"/>
  <c r="DM56" i="25"/>
  <c r="DI56" i="25"/>
  <c r="DB56" i="25"/>
  <c r="DA56" i="25"/>
  <c r="CW56" i="25"/>
  <c r="CP56" i="25"/>
  <c r="CO56" i="25"/>
  <c r="CK56" i="25"/>
  <c r="CD56" i="25"/>
  <c r="CC56" i="25"/>
  <c r="BW56" i="25"/>
  <c r="BR56" i="25"/>
  <c r="BQ56" i="25"/>
  <c r="BP56" i="25"/>
  <c r="BK56" i="25"/>
  <c r="BJ56" i="25"/>
  <c r="BI56" i="25"/>
  <c r="BH56" i="25"/>
  <c r="BD56" i="25"/>
  <c r="BC56" i="25"/>
  <c r="AZ56" i="25"/>
  <c r="M56" i="25"/>
  <c r="K56" i="25"/>
  <c r="H56" i="25"/>
  <c r="S56" i="25"/>
  <c r="CL57" i="25" s="1"/>
  <c r="EG55" i="25"/>
  <c r="DZ55" i="25"/>
  <c r="DY55" i="25"/>
  <c r="DU55" i="25"/>
  <c r="DN55" i="25"/>
  <c r="DM55" i="25"/>
  <c r="DI55" i="25"/>
  <c r="DB55" i="25"/>
  <c r="DA55" i="25"/>
  <c r="CW55" i="25"/>
  <c r="CP55" i="25"/>
  <c r="CO55" i="25"/>
  <c r="CK55" i="25"/>
  <c r="CD55" i="25"/>
  <c r="CC55" i="25"/>
  <c r="BR55" i="25"/>
  <c r="BQ55" i="25"/>
  <c r="BP55" i="25"/>
  <c r="BK55" i="25"/>
  <c r="BJ55" i="25"/>
  <c r="BH55" i="25"/>
  <c r="BI55" i="25" s="1"/>
  <c r="AZ55" i="25"/>
  <c r="M55" i="25"/>
  <c r="H55" i="25"/>
  <c r="BW55" i="25"/>
  <c r="EG54" i="25"/>
  <c r="DZ54" i="25"/>
  <c r="DY54" i="25"/>
  <c r="DU54" i="25"/>
  <c r="DN54" i="25"/>
  <c r="DM54" i="25"/>
  <c r="DI54" i="25"/>
  <c r="DB54" i="25"/>
  <c r="DA54" i="25"/>
  <c r="CW54" i="25"/>
  <c r="CP54" i="25"/>
  <c r="CO54" i="25"/>
  <c r="CK54" i="25"/>
  <c r="CD54" i="25"/>
  <c r="CC54" i="25"/>
  <c r="BW54" i="25"/>
  <c r="BR54" i="25"/>
  <c r="BQ54" i="25"/>
  <c r="BP54" i="25"/>
  <c r="BK54" i="25"/>
  <c r="BJ54" i="25"/>
  <c r="BI54" i="25"/>
  <c r="BH54" i="25"/>
  <c r="BD54" i="25"/>
  <c r="AZ54" i="25"/>
  <c r="K54" i="25"/>
  <c r="H54" i="25"/>
  <c r="S54" i="25"/>
  <c r="CL55" i="25" s="1"/>
  <c r="EG53" i="25"/>
  <c r="DZ53" i="25"/>
  <c r="DY53" i="25"/>
  <c r="DU53" i="25"/>
  <c r="DN53" i="25"/>
  <c r="DM53" i="25"/>
  <c r="DI53" i="25"/>
  <c r="DB53" i="25"/>
  <c r="DA53" i="25"/>
  <c r="CW53" i="25"/>
  <c r="CP53" i="25"/>
  <c r="CO53" i="25"/>
  <c r="CK53" i="25"/>
  <c r="CD53" i="25"/>
  <c r="CC53" i="25"/>
  <c r="BR53" i="25"/>
  <c r="BQ53" i="25"/>
  <c r="BP53" i="25"/>
  <c r="BK53" i="25"/>
  <c r="BJ53" i="25"/>
  <c r="BH53" i="25"/>
  <c r="BI53" i="25" s="1"/>
  <c r="AZ53" i="25"/>
  <c r="M53" i="25"/>
  <c r="H53" i="25"/>
  <c r="BW53" i="25"/>
  <c r="EG52" i="25"/>
  <c r="DZ52" i="25"/>
  <c r="DY52" i="25"/>
  <c r="DU52" i="25"/>
  <c r="DN52" i="25"/>
  <c r="DM52" i="25"/>
  <c r="DI52" i="25"/>
  <c r="DB52" i="25"/>
  <c r="DA52" i="25"/>
  <c r="CW52" i="25"/>
  <c r="CP52" i="25"/>
  <c r="CO52" i="25"/>
  <c r="CK52" i="25"/>
  <c r="CD52" i="25"/>
  <c r="CC52" i="25"/>
  <c r="BW52" i="25"/>
  <c r="BR52" i="25"/>
  <c r="BQ52" i="25"/>
  <c r="BP52" i="25"/>
  <c r="BK52" i="25"/>
  <c r="BJ52" i="25"/>
  <c r="BI52" i="25"/>
  <c r="BH52" i="25"/>
  <c r="BD52" i="25"/>
  <c r="BC52" i="25"/>
  <c r="AZ52" i="25"/>
  <c r="M52" i="25"/>
  <c r="K52" i="25"/>
  <c r="H52" i="25"/>
  <c r="S52" i="25"/>
  <c r="CL53" i="25" s="1"/>
  <c r="EG51" i="25"/>
  <c r="DZ51" i="25"/>
  <c r="DY51" i="25"/>
  <c r="DU51" i="25"/>
  <c r="DN51" i="25"/>
  <c r="DM51" i="25"/>
  <c r="DI51" i="25"/>
  <c r="DB51" i="25"/>
  <c r="DA51" i="25"/>
  <c r="CW51" i="25"/>
  <c r="CP51" i="25"/>
  <c r="CO51" i="25"/>
  <c r="CK51" i="25"/>
  <c r="CD51" i="25"/>
  <c r="CC51" i="25"/>
  <c r="BR51" i="25"/>
  <c r="BQ51" i="25"/>
  <c r="BP51" i="25"/>
  <c r="BK51" i="25"/>
  <c r="BJ51" i="25"/>
  <c r="BH51" i="25"/>
  <c r="BI51" i="25" s="1"/>
  <c r="AZ51" i="25"/>
  <c r="M51" i="25"/>
  <c r="H51" i="25"/>
  <c r="BW51" i="25"/>
  <c r="EG50" i="25"/>
  <c r="DZ50" i="25"/>
  <c r="DY50" i="25"/>
  <c r="DU50" i="25"/>
  <c r="DN50" i="25"/>
  <c r="DM50" i="25"/>
  <c r="DI50" i="25"/>
  <c r="DB50" i="25"/>
  <c r="DA50" i="25"/>
  <c r="CW50" i="25"/>
  <c r="CP50" i="25"/>
  <c r="CO50" i="25"/>
  <c r="CK50" i="25"/>
  <c r="CD50" i="25"/>
  <c r="CC50" i="25"/>
  <c r="BR50" i="25"/>
  <c r="BQ50" i="25"/>
  <c r="BP50" i="25"/>
  <c r="BK50" i="25"/>
  <c r="BJ50" i="25"/>
  <c r="BI50" i="25"/>
  <c r="BH50" i="25"/>
  <c r="AZ50" i="25"/>
  <c r="H50" i="25"/>
  <c r="EG49" i="25"/>
  <c r="DZ49" i="25"/>
  <c r="DY49" i="25"/>
  <c r="DU49" i="25"/>
  <c r="DN49" i="25"/>
  <c r="DM49" i="25"/>
  <c r="DI49" i="25"/>
  <c r="DB49" i="25"/>
  <c r="DA49" i="25"/>
  <c r="CW49" i="25"/>
  <c r="CP49" i="25"/>
  <c r="CO49" i="25"/>
  <c r="CK49" i="25"/>
  <c r="CD49" i="25"/>
  <c r="CC49" i="25"/>
  <c r="BR49" i="25"/>
  <c r="BQ49" i="25"/>
  <c r="BP49" i="25"/>
  <c r="BK49" i="25"/>
  <c r="BJ49" i="25"/>
  <c r="BH49" i="25"/>
  <c r="BI49" i="25" s="1"/>
  <c r="AZ49" i="25"/>
  <c r="M49" i="25"/>
  <c r="H49" i="25"/>
  <c r="BW49" i="25"/>
  <c r="EG48" i="25"/>
  <c r="DZ48" i="25"/>
  <c r="DY48" i="25"/>
  <c r="DU48" i="25"/>
  <c r="DN48" i="25"/>
  <c r="DM48" i="25"/>
  <c r="DI48" i="25"/>
  <c r="DB48" i="25"/>
  <c r="DA48" i="25"/>
  <c r="CW48" i="25"/>
  <c r="CP48" i="25"/>
  <c r="CO48" i="25"/>
  <c r="CK48" i="25"/>
  <c r="CD48" i="25"/>
  <c r="CC48" i="25"/>
  <c r="BX48" i="25"/>
  <c r="BW48" i="25"/>
  <c r="BR48" i="25"/>
  <c r="BQ48" i="25"/>
  <c r="BP48" i="25"/>
  <c r="BK48" i="25"/>
  <c r="BJ48" i="25"/>
  <c r="BI48" i="25"/>
  <c r="BH48" i="25"/>
  <c r="BD48" i="25"/>
  <c r="BC48" i="25"/>
  <c r="AZ48" i="25"/>
  <c r="M48" i="25"/>
  <c r="K48" i="25"/>
  <c r="H48" i="25"/>
  <c r="S48" i="25"/>
  <c r="CL49" i="25" s="1"/>
  <c r="EG47" i="25"/>
  <c r="DZ47" i="25"/>
  <c r="DY47" i="25"/>
  <c r="DU47" i="25"/>
  <c r="DN47" i="25"/>
  <c r="DM47" i="25"/>
  <c r="DI47" i="25"/>
  <c r="DB47" i="25"/>
  <c r="DA47" i="25"/>
  <c r="CW47" i="25"/>
  <c r="CP47" i="25"/>
  <c r="CO47" i="25"/>
  <c r="CK47" i="25"/>
  <c r="CD47" i="25"/>
  <c r="CC47" i="25"/>
  <c r="BX47" i="25"/>
  <c r="BR47" i="25"/>
  <c r="BQ47" i="25"/>
  <c r="BP47" i="25"/>
  <c r="BK47" i="25"/>
  <c r="BJ47" i="25"/>
  <c r="BH47" i="25"/>
  <c r="BI47" i="25" s="1"/>
  <c r="AZ47" i="25"/>
  <c r="M47" i="25"/>
  <c r="H47" i="25"/>
  <c r="BW47" i="25"/>
  <c r="EG46" i="25"/>
  <c r="DZ46" i="25"/>
  <c r="DY46" i="25"/>
  <c r="DU46" i="25"/>
  <c r="DN46" i="25"/>
  <c r="DM46" i="25"/>
  <c r="DI46" i="25"/>
  <c r="DB46" i="25"/>
  <c r="DA46" i="25"/>
  <c r="CW46" i="25"/>
  <c r="CP46" i="25"/>
  <c r="CO46" i="25"/>
  <c r="CK46" i="25"/>
  <c r="CD46" i="25"/>
  <c r="CC46" i="25"/>
  <c r="BX46" i="25"/>
  <c r="BR46" i="25"/>
  <c r="BQ46" i="25"/>
  <c r="BP46" i="25"/>
  <c r="BK46" i="25"/>
  <c r="BJ46" i="25"/>
  <c r="BI46" i="25"/>
  <c r="BH46" i="25"/>
  <c r="BC46" i="25"/>
  <c r="AZ46" i="25"/>
  <c r="H46" i="25"/>
  <c r="EG45" i="25"/>
  <c r="DZ45" i="25"/>
  <c r="DY45" i="25"/>
  <c r="DU45" i="25"/>
  <c r="DN45" i="25"/>
  <c r="DM45" i="25"/>
  <c r="DI45" i="25"/>
  <c r="DB45" i="25"/>
  <c r="DA45" i="25"/>
  <c r="CW45" i="25"/>
  <c r="CP45" i="25"/>
  <c r="CO45" i="25"/>
  <c r="CK45" i="25"/>
  <c r="CD45" i="25"/>
  <c r="CC45" i="25"/>
  <c r="BX45" i="25"/>
  <c r="BR45" i="25"/>
  <c r="BQ45" i="25"/>
  <c r="BP45" i="25"/>
  <c r="BK45" i="25"/>
  <c r="BJ45" i="25"/>
  <c r="BH45" i="25"/>
  <c r="BI45" i="25" s="1"/>
  <c r="AZ45" i="25"/>
  <c r="H45" i="25"/>
  <c r="EG44" i="25"/>
  <c r="DZ44" i="25"/>
  <c r="DY44" i="25"/>
  <c r="DU44" i="25"/>
  <c r="DN44" i="25"/>
  <c r="DM44" i="25"/>
  <c r="DI44" i="25"/>
  <c r="DB44" i="25"/>
  <c r="DA44" i="25"/>
  <c r="CW44" i="25"/>
  <c r="CP44" i="25"/>
  <c r="CO44" i="25"/>
  <c r="CK44" i="25"/>
  <c r="CD44" i="25"/>
  <c r="CC44" i="25"/>
  <c r="BX44" i="25"/>
  <c r="BW44" i="25"/>
  <c r="BR44" i="25"/>
  <c r="BQ44" i="25"/>
  <c r="BP44" i="25"/>
  <c r="BK44" i="25"/>
  <c r="BJ44" i="25"/>
  <c r="BI44" i="25"/>
  <c r="BH44" i="25"/>
  <c r="BC44" i="25"/>
  <c r="AZ44" i="25"/>
  <c r="H44" i="25"/>
  <c r="S44" i="25"/>
  <c r="CL45" i="25" s="1"/>
  <c r="EG43" i="25"/>
  <c r="DZ43" i="25"/>
  <c r="DY43" i="25"/>
  <c r="DU43" i="25"/>
  <c r="DN43" i="25"/>
  <c r="DM43" i="25"/>
  <c r="DI43" i="25"/>
  <c r="DB43" i="25"/>
  <c r="DA43" i="25"/>
  <c r="CW43" i="25"/>
  <c r="CP43" i="25"/>
  <c r="CO43" i="25"/>
  <c r="CK43" i="25"/>
  <c r="CD43" i="25"/>
  <c r="CC43" i="25"/>
  <c r="BX43" i="25"/>
  <c r="BW43" i="25"/>
  <c r="BR43" i="25"/>
  <c r="BQ43" i="25"/>
  <c r="BP43" i="25"/>
  <c r="BK43" i="25"/>
  <c r="BJ43" i="25"/>
  <c r="BH43" i="25"/>
  <c r="BI43" i="25" s="1"/>
  <c r="BD43" i="25"/>
  <c r="AZ43" i="25"/>
  <c r="M43" i="25"/>
  <c r="K43" i="25"/>
  <c r="H43" i="25"/>
  <c r="BC43" i="25"/>
  <c r="EG42" i="25"/>
  <c r="DZ42" i="25"/>
  <c r="DY42" i="25"/>
  <c r="DU42" i="25"/>
  <c r="DN42" i="25"/>
  <c r="DM42" i="25"/>
  <c r="DI42" i="25"/>
  <c r="DB42" i="25"/>
  <c r="DA42" i="25"/>
  <c r="CW42" i="25"/>
  <c r="CP42" i="25"/>
  <c r="CO42" i="25"/>
  <c r="CK42" i="25"/>
  <c r="CD42" i="25"/>
  <c r="CC42" i="25"/>
  <c r="BX42" i="25"/>
  <c r="BR42" i="25"/>
  <c r="BQ42" i="25"/>
  <c r="BP42" i="25"/>
  <c r="BK42" i="25"/>
  <c r="BJ42" i="25"/>
  <c r="BI42" i="25"/>
  <c r="BH42" i="25"/>
  <c r="AZ42" i="25"/>
  <c r="H42" i="25"/>
  <c r="EG41" i="25"/>
  <c r="DZ41" i="25"/>
  <c r="DY41" i="25"/>
  <c r="DU41" i="25"/>
  <c r="DN41" i="25"/>
  <c r="DM41" i="25"/>
  <c r="DI41" i="25"/>
  <c r="DB41" i="25"/>
  <c r="DA41" i="25"/>
  <c r="CW41" i="25"/>
  <c r="CP41" i="25"/>
  <c r="CO41" i="25"/>
  <c r="CK41" i="25"/>
  <c r="CD41" i="25"/>
  <c r="CC41" i="25"/>
  <c r="BX41" i="25"/>
  <c r="BW41" i="25"/>
  <c r="BR41" i="25"/>
  <c r="BQ41" i="25"/>
  <c r="BP41" i="25"/>
  <c r="BK41" i="25"/>
  <c r="BJ41" i="25"/>
  <c r="BH41" i="25"/>
  <c r="BI41" i="25" s="1"/>
  <c r="BD41" i="25"/>
  <c r="AZ41" i="25"/>
  <c r="M41" i="25"/>
  <c r="K41" i="25"/>
  <c r="H41" i="25"/>
  <c r="BC41" i="25"/>
  <c r="EG40" i="25"/>
  <c r="DZ40" i="25"/>
  <c r="DY40" i="25"/>
  <c r="DU40" i="25"/>
  <c r="DN40" i="25"/>
  <c r="DM40" i="25"/>
  <c r="DI40" i="25"/>
  <c r="DB40" i="25"/>
  <c r="DA40" i="25"/>
  <c r="CW40" i="25"/>
  <c r="CP40" i="25"/>
  <c r="CO40" i="25"/>
  <c r="CK40" i="25"/>
  <c r="CD40" i="25"/>
  <c r="CC40" i="25"/>
  <c r="BX40" i="25"/>
  <c r="BR40" i="25"/>
  <c r="BQ40" i="25"/>
  <c r="BP40" i="25"/>
  <c r="BK40" i="25"/>
  <c r="BJ40" i="25"/>
  <c r="BI40" i="25"/>
  <c r="BH40" i="25"/>
  <c r="BC40" i="25"/>
  <c r="AZ40" i="25"/>
  <c r="H40" i="25"/>
  <c r="S40" i="25"/>
  <c r="CL41" i="25" s="1"/>
  <c r="EG39" i="25"/>
  <c r="DZ39" i="25"/>
  <c r="DY39" i="25"/>
  <c r="DU39" i="25"/>
  <c r="DN39" i="25"/>
  <c r="DM39" i="25"/>
  <c r="DI39" i="25"/>
  <c r="DB39" i="25"/>
  <c r="DA39" i="25"/>
  <c r="CW39" i="25"/>
  <c r="CP39" i="25"/>
  <c r="CO39" i="25"/>
  <c r="CK39" i="25"/>
  <c r="CD39" i="25"/>
  <c r="CC39" i="25"/>
  <c r="BX39" i="25"/>
  <c r="BW39" i="25"/>
  <c r="BR39" i="25"/>
  <c r="BQ39" i="25"/>
  <c r="BP39" i="25"/>
  <c r="BK39" i="25"/>
  <c r="BJ39" i="25"/>
  <c r="BH39" i="25"/>
  <c r="BI39" i="25" s="1"/>
  <c r="BD39" i="25"/>
  <c r="AZ39" i="25"/>
  <c r="M39" i="25"/>
  <c r="K39" i="25"/>
  <c r="H39" i="25"/>
  <c r="BC39" i="25"/>
  <c r="EG38" i="25"/>
  <c r="DZ38" i="25"/>
  <c r="DY38" i="25"/>
  <c r="DU38" i="25"/>
  <c r="DN38" i="25"/>
  <c r="DM38" i="25"/>
  <c r="DI38" i="25"/>
  <c r="DB38" i="25"/>
  <c r="DA38" i="25"/>
  <c r="CW38" i="25"/>
  <c r="CP38" i="25"/>
  <c r="CO38" i="25"/>
  <c r="CK38" i="25"/>
  <c r="CD38" i="25"/>
  <c r="CC38" i="25"/>
  <c r="BX38" i="25"/>
  <c r="BR38" i="25"/>
  <c r="BQ38" i="25"/>
  <c r="BP38" i="25"/>
  <c r="BK38" i="25"/>
  <c r="BJ38" i="25"/>
  <c r="BI38" i="25"/>
  <c r="BH38" i="25"/>
  <c r="AZ38" i="25"/>
  <c r="H38" i="25"/>
  <c r="EG37" i="25"/>
  <c r="DZ37" i="25"/>
  <c r="DY37" i="25"/>
  <c r="DU37" i="25"/>
  <c r="DN37" i="25"/>
  <c r="DM37" i="25"/>
  <c r="DI37" i="25"/>
  <c r="DB37" i="25"/>
  <c r="DA37" i="25"/>
  <c r="CW37" i="25"/>
  <c r="CP37" i="25"/>
  <c r="CO37" i="25"/>
  <c r="CK37" i="25"/>
  <c r="CD37" i="25"/>
  <c r="CC37" i="25"/>
  <c r="BX37" i="25"/>
  <c r="BW37" i="25"/>
  <c r="BR37" i="25"/>
  <c r="BQ37" i="25"/>
  <c r="BP37" i="25"/>
  <c r="BK37" i="25"/>
  <c r="BJ37" i="25"/>
  <c r="BI37" i="25"/>
  <c r="BH37" i="25"/>
  <c r="BD37" i="25"/>
  <c r="AZ37" i="25"/>
  <c r="M37" i="25"/>
  <c r="K37" i="25"/>
  <c r="H37" i="25"/>
  <c r="BC37" i="25"/>
  <c r="EG36" i="25"/>
  <c r="DZ36" i="25"/>
  <c r="DY36" i="25"/>
  <c r="DU36" i="25"/>
  <c r="DN36" i="25"/>
  <c r="DM36" i="25"/>
  <c r="DI36" i="25"/>
  <c r="DB36" i="25"/>
  <c r="DA36" i="25"/>
  <c r="CW36" i="25"/>
  <c r="CP36" i="25"/>
  <c r="CO36" i="25"/>
  <c r="CK36" i="25"/>
  <c r="CD36" i="25"/>
  <c r="CC36" i="25"/>
  <c r="BX36" i="25"/>
  <c r="BR36" i="25"/>
  <c r="BQ36" i="25"/>
  <c r="BP36" i="25"/>
  <c r="BK36" i="25"/>
  <c r="BJ36" i="25"/>
  <c r="BI36" i="25"/>
  <c r="BH36" i="25"/>
  <c r="BC36" i="25"/>
  <c r="AZ36" i="25"/>
  <c r="H36" i="25"/>
  <c r="S36" i="25"/>
  <c r="CL37" i="25" s="1"/>
  <c r="EG35" i="25"/>
  <c r="DZ35" i="25"/>
  <c r="DY35" i="25"/>
  <c r="DU35" i="25"/>
  <c r="DN35" i="25"/>
  <c r="DM35" i="25"/>
  <c r="DI35" i="25"/>
  <c r="DB35" i="25"/>
  <c r="DA35" i="25"/>
  <c r="CW35" i="25"/>
  <c r="CP35" i="25"/>
  <c r="CO35" i="25"/>
  <c r="CK35" i="25"/>
  <c r="CD35" i="25"/>
  <c r="CC35" i="25"/>
  <c r="BX35" i="25"/>
  <c r="BW35" i="25"/>
  <c r="BR35" i="25"/>
  <c r="BQ35" i="25"/>
  <c r="BP35" i="25"/>
  <c r="BK35" i="25"/>
  <c r="BJ35" i="25"/>
  <c r="BI35" i="25"/>
  <c r="BH35" i="25"/>
  <c r="AZ35" i="25"/>
  <c r="M35" i="25"/>
  <c r="K35" i="25"/>
  <c r="H35" i="25"/>
  <c r="BX34" i="25"/>
  <c r="BW34" i="25"/>
  <c r="BR34" i="25"/>
  <c r="BQ34" i="25"/>
  <c r="BP34" i="25"/>
  <c r="BK34" i="25"/>
  <c r="BJ34" i="25"/>
  <c r="BI34" i="25"/>
  <c r="BH34" i="25"/>
  <c r="AZ34" i="25"/>
  <c r="K34" i="25"/>
  <c r="H34" i="25"/>
  <c r="B27" i="14"/>
  <c r="F35" i="14" s="1"/>
  <c r="B26" i="14"/>
  <c r="B31" i="14" s="1"/>
  <c r="B25" i="14"/>
  <c r="B30" i="14" s="1"/>
  <c r="E38" i="3"/>
  <c r="E35" i="3"/>
  <c r="B35" i="3"/>
  <c r="BE182" i="28" l="1"/>
  <c r="BE66" i="29"/>
  <c r="BE177" i="28"/>
  <c r="BE54" i="28"/>
  <c r="BE109" i="28"/>
  <c r="BE73" i="28"/>
  <c r="BE157" i="28"/>
  <c r="BE122" i="28"/>
  <c r="BE52" i="28"/>
  <c r="BE165" i="28"/>
  <c r="BE170" i="29"/>
  <c r="BE69" i="28"/>
  <c r="BE145" i="29"/>
  <c r="BE155" i="28"/>
  <c r="BE74" i="29"/>
  <c r="BE179" i="28"/>
  <c r="BE57" i="28"/>
  <c r="BE117" i="29"/>
  <c r="BE113" i="28"/>
  <c r="BE79" i="28"/>
  <c r="BE75" i="28"/>
  <c r="BE148" i="28"/>
  <c r="BE61" i="28"/>
  <c r="BE181" i="28"/>
  <c r="BE127" i="28"/>
  <c r="BE139" i="28"/>
  <c r="BE50" i="28"/>
  <c r="BE108" i="28"/>
  <c r="BE78" i="28"/>
  <c r="BE120" i="28"/>
  <c r="BE167" i="28"/>
  <c r="BE174" i="28"/>
  <c r="BE93" i="28"/>
  <c r="BE129" i="28"/>
  <c r="BE82" i="28"/>
  <c r="BE67" i="28"/>
  <c r="BE72" i="28"/>
  <c r="BE95" i="28"/>
  <c r="BE85" i="28"/>
  <c r="BE103" i="28"/>
  <c r="BE123" i="28"/>
  <c r="BE164" i="28"/>
  <c r="BE150" i="28"/>
  <c r="BE97" i="28"/>
  <c r="BE76" i="28"/>
  <c r="BE99" i="28"/>
  <c r="BE134" i="28"/>
  <c r="BE44" i="28"/>
  <c r="BE65" i="28"/>
  <c r="BE135" i="28"/>
  <c r="BE119" i="28"/>
  <c r="BE169" i="28"/>
  <c r="BE158" i="28"/>
  <c r="BE160" i="28"/>
  <c r="BE59" i="28"/>
  <c r="BE68" i="28"/>
  <c r="S38" i="25"/>
  <c r="CL39" i="25" s="1"/>
  <c r="S42" i="25"/>
  <c r="CL43" i="25" s="1"/>
  <c r="S46" i="25"/>
  <c r="CL47" i="25" s="1"/>
  <c r="K46" i="25"/>
  <c r="BD46" i="25"/>
  <c r="BE46" i="25" s="1"/>
  <c r="BW46" i="25"/>
  <c r="BC50" i="25"/>
  <c r="M54" i="25"/>
  <c r="M62" i="25"/>
  <c r="K62" i="25"/>
  <c r="S78" i="25"/>
  <c r="CX49" i="25" s="1"/>
  <c r="BC82" i="25"/>
  <c r="BW82" i="25"/>
  <c r="M86" i="25"/>
  <c r="BD94" i="25"/>
  <c r="BD98" i="25"/>
  <c r="S114" i="25"/>
  <c r="DJ55" i="25" s="1"/>
  <c r="M134" i="25"/>
  <c r="BC138" i="25"/>
  <c r="BC142" i="25"/>
  <c r="BW146" i="25"/>
  <c r="BW162" i="25"/>
  <c r="M166" i="25"/>
  <c r="M170" i="25"/>
  <c r="BC174" i="25"/>
  <c r="BC178" i="25"/>
  <c r="BW182" i="25"/>
  <c r="S50" i="25"/>
  <c r="CL51" i="25" s="1"/>
  <c r="K50" i="25"/>
  <c r="BD50" i="25"/>
  <c r="BW50" i="25"/>
  <c r="K66" i="25"/>
  <c r="BD70" i="25"/>
  <c r="BC86" i="25"/>
  <c r="BE86" i="25" s="1"/>
  <c r="BD90" i="25"/>
  <c r="BE90" i="25" s="1"/>
  <c r="K90" i="25"/>
  <c r="BC134" i="25"/>
  <c r="BW138" i="25"/>
  <c r="BW142" i="25"/>
  <c r="BD146" i="25"/>
  <c r="BE146" i="25" s="1"/>
  <c r="K146" i="25"/>
  <c r="M158" i="25"/>
  <c r="K162" i="25"/>
  <c r="BC166" i="25"/>
  <c r="BC170" i="25"/>
  <c r="BW174" i="25"/>
  <c r="BW178" i="25"/>
  <c r="K182" i="25"/>
  <c r="BD62" i="25"/>
  <c r="BD82" i="25"/>
  <c r="BD138" i="25"/>
  <c r="BD142" i="25"/>
  <c r="BE96" i="25"/>
  <c r="BE161" i="25"/>
  <c r="BE153" i="25"/>
  <c r="BE56" i="25"/>
  <c r="BE100" i="25"/>
  <c r="BE52" i="25"/>
  <c r="BE43" i="25"/>
  <c r="BE128" i="25"/>
  <c r="BE37" i="25"/>
  <c r="BE41" i="25"/>
  <c r="BE157" i="25"/>
  <c r="BE108" i="25"/>
  <c r="BE112" i="25"/>
  <c r="BE39" i="25"/>
  <c r="BE54" i="25"/>
  <c r="BE48" i="25"/>
  <c r="BE149" i="25"/>
  <c r="BW45" i="25"/>
  <c r="BD45" i="25"/>
  <c r="K45" i="25"/>
  <c r="M34" i="25"/>
  <c r="K36" i="25"/>
  <c r="BD36" i="25"/>
  <c r="BE36" i="25" s="1"/>
  <c r="BW36" i="25"/>
  <c r="S37" i="25"/>
  <c r="CL38" i="25" s="1"/>
  <c r="K38" i="25"/>
  <c r="BD38" i="25"/>
  <c r="BE38" i="25" s="1"/>
  <c r="BW38" i="25"/>
  <c r="S39" i="25"/>
  <c r="CL40" i="25" s="1"/>
  <c r="K40" i="25"/>
  <c r="BD40" i="25"/>
  <c r="BE40" i="25" s="1"/>
  <c r="BW40" i="25"/>
  <c r="S41" i="25"/>
  <c r="CL42" i="25" s="1"/>
  <c r="K42" i="25"/>
  <c r="BD42" i="25"/>
  <c r="BE42" i="25" s="1"/>
  <c r="BW42" i="25"/>
  <c r="S43" i="25"/>
  <c r="CL44" i="25" s="1"/>
  <c r="K44" i="25"/>
  <c r="BD44" i="25"/>
  <c r="BE44" i="25" s="1"/>
  <c r="M36" i="25"/>
  <c r="M38" i="25"/>
  <c r="M40" i="25"/>
  <c r="M42" i="25"/>
  <c r="M44" i="25"/>
  <c r="M45" i="25"/>
  <c r="S45" i="25"/>
  <c r="CL46" i="25" s="1"/>
  <c r="BC45" i="25"/>
  <c r="S58" i="25"/>
  <c r="CL59" i="25" s="1"/>
  <c r="S59" i="25"/>
  <c r="CL60" i="25" s="1"/>
  <c r="BW60" i="25"/>
  <c r="BD60" i="25"/>
  <c r="K60" i="25"/>
  <c r="S47" i="25"/>
  <c r="CL48" i="25" s="1"/>
  <c r="S49" i="25"/>
  <c r="CL50" i="25" s="1"/>
  <c r="S51" i="25"/>
  <c r="CL52" i="25" s="1"/>
  <c r="S53" i="25"/>
  <c r="CL54" i="25" s="1"/>
  <c r="S55" i="25"/>
  <c r="CL56" i="25" s="1"/>
  <c r="S57" i="25"/>
  <c r="CL58" i="25" s="1"/>
  <c r="BC58" i="25"/>
  <c r="BC59" i="25"/>
  <c r="BC47" i="25"/>
  <c r="BC49" i="25"/>
  <c r="BC51" i="25"/>
  <c r="BC53" i="25"/>
  <c r="BC55" i="25"/>
  <c r="BC57" i="25"/>
  <c r="K58" i="25"/>
  <c r="BD58" i="25"/>
  <c r="BW58" i="25"/>
  <c r="K59" i="25"/>
  <c r="BD59" i="25"/>
  <c r="BW59" i="25"/>
  <c r="M60" i="25"/>
  <c r="S60" i="25"/>
  <c r="CL61" i="25" s="1"/>
  <c r="BC60" i="25"/>
  <c r="BC61" i="25"/>
  <c r="M61" i="25"/>
  <c r="BW61" i="25"/>
  <c r="BD61" i="25"/>
  <c r="K61" i="25"/>
  <c r="K47" i="25"/>
  <c r="BD47" i="25"/>
  <c r="K49" i="25"/>
  <c r="BD49" i="25"/>
  <c r="K51" i="25"/>
  <c r="BD51" i="25"/>
  <c r="K53" i="25"/>
  <c r="BD53" i="25"/>
  <c r="K55" i="25"/>
  <c r="BD55" i="25"/>
  <c r="K57" i="25"/>
  <c r="BD57" i="25"/>
  <c r="BC63" i="25"/>
  <c r="M63" i="25"/>
  <c r="BW63" i="25"/>
  <c r="BD63" i="25"/>
  <c r="K63" i="25"/>
  <c r="S62" i="25"/>
  <c r="CL63" i="25" s="1"/>
  <c r="BW64" i="25"/>
  <c r="BD64" i="25"/>
  <c r="S64" i="25"/>
  <c r="CX35" i="25" s="1"/>
  <c r="BC66" i="25"/>
  <c r="M66" i="25"/>
  <c r="BW66" i="25"/>
  <c r="BC84" i="25"/>
  <c r="M84" i="25"/>
  <c r="BW84" i="25"/>
  <c r="K84" i="25"/>
  <c r="BC62" i="25"/>
  <c r="BC64" i="25"/>
  <c r="BD66" i="25"/>
  <c r="BC70" i="25"/>
  <c r="M70" i="25"/>
  <c r="K70" i="25"/>
  <c r="BC74" i="25"/>
  <c r="BE74" i="25" s="1"/>
  <c r="M74" i="25"/>
  <c r="K74" i="25"/>
  <c r="BC68" i="25"/>
  <c r="BE68" i="25" s="1"/>
  <c r="M68" i="25"/>
  <c r="S68" i="25"/>
  <c r="CX39" i="25" s="1"/>
  <c r="BW68" i="25"/>
  <c r="BC78" i="25"/>
  <c r="BE78" i="25" s="1"/>
  <c r="M78" i="25"/>
  <c r="K78" i="25"/>
  <c r="S84" i="25"/>
  <c r="CX55" i="25" s="1"/>
  <c r="M64" i="25"/>
  <c r="K68" i="25"/>
  <c r="S70" i="25"/>
  <c r="CX41" i="25" s="1"/>
  <c r="S74" i="25"/>
  <c r="CX45" i="25" s="1"/>
  <c r="BW78" i="25"/>
  <c r="BC80" i="25"/>
  <c r="BE80" i="25" s="1"/>
  <c r="M80" i="25"/>
  <c r="BW80" i="25"/>
  <c r="K80" i="25"/>
  <c r="BD84" i="25"/>
  <c r="S88" i="25"/>
  <c r="CX59" i="25" s="1"/>
  <c r="BD88" i="25"/>
  <c r="BE88" i="25" s="1"/>
  <c r="S92" i="25"/>
  <c r="CX63" i="25" s="1"/>
  <c r="BD92" i="25"/>
  <c r="BE92" i="25" s="1"/>
  <c r="BE101" i="25"/>
  <c r="BW105" i="25"/>
  <c r="K105" i="25"/>
  <c r="S105" i="25"/>
  <c r="DJ46" i="25" s="1"/>
  <c r="BC110" i="25"/>
  <c r="M110" i="25"/>
  <c r="BW110" i="25"/>
  <c r="K110" i="25"/>
  <c r="S110" i="25"/>
  <c r="DJ51" i="25" s="1"/>
  <c r="BC118" i="25"/>
  <c r="M118" i="25"/>
  <c r="BW118" i="25"/>
  <c r="K118" i="25"/>
  <c r="S67" i="25"/>
  <c r="CX38" i="25" s="1"/>
  <c r="BD67" i="25"/>
  <c r="BE67" i="25" s="1"/>
  <c r="BW67" i="25"/>
  <c r="S71" i="25"/>
  <c r="CX42" i="25" s="1"/>
  <c r="BD71" i="25"/>
  <c r="BE71" i="25" s="1"/>
  <c r="BW71" i="25"/>
  <c r="M72" i="25"/>
  <c r="BC72" i="25"/>
  <c r="S75" i="25"/>
  <c r="CX46" i="25" s="1"/>
  <c r="BD75" i="25"/>
  <c r="BE75" i="25" s="1"/>
  <c r="BW75" i="25"/>
  <c r="S79" i="25"/>
  <c r="CX50" i="25" s="1"/>
  <c r="BD79" i="25"/>
  <c r="BE79" i="25" s="1"/>
  <c r="S83" i="25"/>
  <c r="CX54" i="25" s="1"/>
  <c r="BD83" i="25"/>
  <c r="BE83" i="25" s="1"/>
  <c r="S87" i="25"/>
  <c r="CX58" i="25" s="1"/>
  <c r="BD87" i="25"/>
  <c r="BE87" i="25" s="1"/>
  <c r="S91" i="25"/>
  <c r="CX62" i="25" s="1"/>
  <c r="BD91" i="25"/>
  <c r="BE91" i="25" s="1"/>
  <c r="BC95" i="25"/>
  <c r="M95" i="25"/>
  <c r="M97" i="25"/>
  <c r="S97" i="25"/>
  <c r="DJ38" i="25" s="1"/>
  <c r="BW97" i="25"/>
  <c r="BC99" i="25"/>
  <c r="M99" i="25"/>
  <c r="M105" i="25"/>
  <c r="BC105" i="25"/>
  <c r="BW109" i="25"/>
  <c r="K109" i="25"/>
  <c r="S109" i="25"/>
  <c r="DJ50" i="25" s="1"/>
  <c r="BC114" i="25"/>
  <c r="BE114" i="25" s="1"/>
  <c r="M114" i="25"/>
  <c r="BW114" i="25"/>
  <c r="K114" i="25"/>
  <c r="S122" i="25"/>
  <c r="DJ63" i="25" s="1"/>
  <c r="S72" i="25"/>
  <c r="CX43" i="25" s="1"/>
  <c r="BD72" i="25"/>
  <c r="BW72" i="25"/>
  <c r="S76" i="25"/>
  <c r="CX47" i="25" s="1"/>
  <c r="BD76" i="25"/>
  <c r="BE76" i="25" s="1"/>
  <c r="BW76" i="25"/>
  <c r="M81" i="25"/>
  <c r="BC81" i="25"/>
  <c r="BE81" i="25" s="1"/>
  <c r="S82" i="25"/>
  <c r="CX53" i="25" s="1"/>
  <c r="M85" i="25"/>
  <c r="BC85" i="25"/>
  <c r="BE85" i="25" s="1"/>
  <c r="S86" i="25"/>
  <c r="CX57" i="25" s="1"/>
  <c r="K88" i="25"/>
  <c r="BW88" i="25"/>
  <c r="M89" i="25"/>
  <c r="BC89" i="25"/>
  <c r="BE89" i="25" s="1"/>
  <c r="S90" i="25"/>
  <c r="CX61" i="25" s="1"/>
  <c r="K92" i="25"/>
  <c r="BW92" i="25"/>
  <c r="M93" i="25"/>
  <c r="BC93" i="25"/>
  <c r="BE93" i="25" s="1"/>
  <c r="BW94" i="25"/>
  <c r="K94" i="25"/>
  <c r="BC94" i="25"/>
  <c r="BD95" i="25"/>
  <c r="BW98" i="25"/>
  <c r="K98" i="25"/>
  <c r="BC98" i="25"/>
  <c r="BD99" i="25"/>
  <c r="BC102" i="25"/>
  <c r="BE102" i="25" s="1"/>
  <c r="M102" i="25"/>
  <c r="BW102" i="25"/>
  <c r="K102" i="25"/>
  <c r="S102" i="25"/>
  <c r="DJ43" i="25" s="1"/>
  <c r="BE104" i="25"/>
  <c r="BD105" i="25"/>
  <c r="M109" i="25"/>
  <c r="BC109" i="25"/>
  <c r="BD110" i="25"/>
  <c r="BW113" i="25"/>
  <c r="K113" i="25"/>
  <c r="S113" i="25"/>
  <c r="DJ54" i="25" s="1"/>
  <c r="S118" i="25"/>
  <c r="DJ59" i="25" s="1"/>
  <c r="BE120" i="25"/>
  <c r="S65" i="25"/>
  <c r="CX36" i="25" s="1"/>
  <c r="BD65" i="25"/>
  <c r="BE65" i="25" s="1"/>
  <c r="K67" i="25"/>
  <c r="S69" i="25"/>
  <c r="CX40" i="25" s="1"/>
  <c r="BD69" i="25"/>
  <c r="BE69" i="25" s="1"/>
  <c r="K71" i="25"/>
  <c r="S73" i="25"/>
  <c r="CX44" i="25" s="1"/>
  <c r="BD73" i="25"/>
  <c r="BE73" i="25" s="1"/>
  <c r="K75" i="25"/>
  <c r="S77" i="25"/>
  <c r="CX48" i="25" s="1"/>
  <c r="BD77" i="25"/>
  <c r="BE77" i="25" s="1"/>
  <c r="K79" i="25"/>
  <c r="S81" i="25"/>
  <c r="CX52" i="25" s="1"/>
  <c r="K83" i="25"/>
  <c r="S85" i="25"/>
  <c r="CX56" i="25" s="1"/>
  <c r="K87" i="25"/>
  <c r="M88" i="25"/>
  <c r="S89" i="25"/>
  <c r="CX60" i="25" s="1"/>
  <c r="K91" i="25"/>
  <c r="M92" i="25"/>
  <c r="S93" i="25"/>
  <c r="CX64" i="25" s="1"/>
  <c r="K95" i="25"/>
  <c r="S95" i="25"/>
  <c r="DJ36" i="25" s="1"/>
  <c r="BW95" i="25"/>
  <c r="BC97" i="25"/>
  <c r="BE97" i="25" s="1"/>
  <c r="K99" i="25"/>
  <c r="S99" i="25"/>
  <c r="DJ40" i="25" s="1"/>
  <c r="BW99" i="25"/>
  <c r="BW101" i="25"/>
  <c r="K101" i="25"/>
  <c r="S101" i="25"/>
  <c r="DJ42" i="25" s="1"/>
  <c r="BC106" i="25"/>
  <c r="BE106" i="25" s="1"/>
  <c r="M106" i="25"/>
  <c r="BW106" i="25"/>
  <c r="K106" i="25"/>
  <c r="S106" i="25"/>
  <c r="DJ47" i="25" s="1"/>
  <c r="BD109" i="25"/>
  <c r="BE113" i="25"/>
  <c r="BE116" i="25"/>
  <c r="BD118" i="25"/>
  <c r="BC122" i="25"/>
  <c r="BE122" i="25" s="1"/>
  <c r="M122" i="25"/>
  <c r="BW122" i="25"/>
  <c r="K122" i="25"/>
  <c r="BE124" i="25"/>
  <c r="S126" i="25"/>
  <c r="DV37" i="25" s="1"/>
  <c r="BD126" i="25"/>
  <c r="BE126" i="25" s="1"/>
  <c r="BD130" i="25"/>
  <c r="S130" i="25"/>
  <c r="DV41" i="25" s="1"/>
  <c r="BW130" i="25"/>
  <c r="BC132" i="25"/>
  <c r="M132" i="25"/>
  <c r="BW132" i="25"/>
  <c r="K132" i="25"/>
  <c r="S132" i="25"/>
  <c r="DV43" i="25" s="1"/>
  <c r="BC144" i="25"/>
  <c r="M144" i="25"/>
  <c r="BW144" i="25"/>
  <c r="K144" i="25"/>
  <c r="BW167" i="25"/>
  <c r="K167" i="25"/>
  <c r="BD167" i="25"/>
  <c r="S167" i="25"/>
  <c r="EH48" i="25" s="1"/>
  <c r="M167" i="25"/>
  <c r="S117" i="25"/>
  <c r="DJ58" i="25" s="1"/>
  <c r="BD117" i="25"/>
  <c r="BE117" i="25" s="1"/>
  <c r="S121" i="25"/>
  <c r="DJ62" i="25" s="1"/>
  <c r="BD121" i="25"/>
  <c r="BE121" i="25" s="1"/>
  <c r="S125" i="25"/>
  <c r="DV36" i="25" s="1"/>
  <c r="BD125" i="25"/>
  <c r="BE125" i="25" s="1"/>
  <c r="S129" i="25"/>
  <c r="DV40" i="25" s="1"/>
  <c r="BD129" i="25"/>
  <c r="BE129" i="25" s="1"/>
  <c r="BW131" i="25"/>
  <c r="K131" i="25"/>
  <c r="S131" i="25"/>
  <c r="DV42" i="25" s="1"/>
  <c r="BC140" i="25"/>
  <c r="BE140" i="25" s="1"/>
  <c r="M140" i="25"/>
  <c r="BW140" i="25"/>
  <c r="K140" i="25"/>
  <c r="BW150" i="25"/>
  <c r="S150" i="25"/>
  <c r="DV61" i="25" s="1"/>
  <c r="M150" i="25"/>
  <c r="BD150" i="25"/>
  <c r="BE150" i="25" s="1"/>
  <c r="K150" i="25"/>
  <c r="BC167" i="25"/>
  <c r="BW175" i="25"/>
  <c r="K175" i="25"/>
  <c r="BD175" i="25"/>
  <c r="BC175" i="25"/>
  <c r="M175" i="25"/>
  <c r="S175" i="25"/>
  <c r="EH56" i="25" s="1"/>
  <c r="S96" i="25"/>
  <c r="DJ37" i="25" s="1"/>
  <c r="S100" i="25"/>
  <c r="DJ41" i="25" s="1"/>
  <c r="M103" i="25"/>
  <c r="BC103" i="25"/>
  <c r="BE103" i="25" s="1"/>
  <c r="S104" i="25"/>
  <c r="DJ45" i="25" s="1"/>
  <c r="M107" i="25"/>
  <c r="BC107" i="25"/>
  <c r="BE107" i="25" s="1"/>
  <c r="S108" i="25"/>
  <c r="DJ49" i="25" s="1"/>
  <c r="M111" i="25"/>
  <c r="BC111" i="25"/>
  <c r="BE111" i="25" s="1"/>
  <c r="S112" i="25"/>
  <c r="DJ53" i="25" s="1"/>
  <c r="M115" i="25"/>
  <c r="BC115" i="25"/>
  <c r="BE115" i="25" s="1"/>
  <c r="S116" i="25"/>
  <c r="DJ57" i="25" s="1"/>
  <c r="M119" i="25"/>
  <c r="BC119" i="25"/>
  <c r="BE119" i="25" s="1"/>
  <c r="S120" i="25"/>
  <c r="DJ61" i="25" s="1"/>
  <c r="M123" i="25"/>
  <c r="BC123" i="25"/>
  <c r="BE123" i="25" s="1"/>
  <c r="S124" i="25"/>
  <c r="DV35" i="25" s="1"/>
  <c r="K126" i="25"/>
  <c r="BW126" i="25"/>
  <c r="M127" i="25"/>
  <c r="BC127" i="25"/>
  <c r="BE127" i="25" s="1"/>
  <c r="S128" i="25"/>
  <c r="DV39" i="25" s="1"/>
  <c r="K130" i="25"/>
  <c r="M131" i="25"/>
  <c r="BC131" i="25"/>
  <c r="BD132" i="25"/>
  <c r="BC136" i="25"/>
  <c r="BE136" i="25" s="1"/>
  <c r="M136" i="25"/>
  <c r="BW136" i="25"/>
  <c r="K136" i="25"/>
  <c r="S144" i="25"/>
  <c r="DV55" i="25" s="1"/>
  <c r="BW155" i="25"/>
  <c r="K155" i="25"/>
  <c r="S155" i="25"/>
  <c r="EH36" i="25" s="1"/>
  <c r="M155" i="25"/>
  <c r="BD155" i="25"/>
  <c r="BE155" i="25" s="1"/>
  <c r="BC160" i="25"/>
  <c r="M160" i="25"/>
  <c r="BW160" i="25"/>
  <c r="S160" i="25"/>
  <c r="EH41" i="25" s="1"/>
  <c r="K160" i="25"/>
  <c r="BD160" i="25"/>
  <c r="BC164" i="25"/>
  <c r="M164" i="25"/>
  <c r="BW164" i="25"/>
  <c r="K164" i="25"/>
  <c r="S164" i="25"/>
  <c r="EH45" i="25" s="1"/>
  <c r="S103" i="25"/>
  <c r="DJ44" i="25" s="1"/>
  <c r="S107" i="25"/>
  <c r="DJ48" i="25" s="1"/>
  <c r="S111" i="25"/>
  <c r="DJ52" i="25" s="1"/>
  <c r="S115" i="25"/>
  <c r="DJ56" i="25" s="1"/>
  <c r="K117" i="25"/>
  <c r="S119" i="25"/>
  <c r="DJ60" i="25" s="1"/>
  <c r="K121" i="25"/>
  <c r="S123" i="25"/>
  <c r="DJ64" i="25" s="1"/>
  <c r="K125" i="25"/>
  <c r="M126" i="25"/>
  <c r="S127" i="25"/>
  <c r="DV38" i="25" s="1"/>
  <c r="K129" i="25"/>
  <c r="M130" i="25"/>
  <c r="BC130" i="25"/>
  <c r="BD131" i="25"/>
  <c r="BW135" i="25"/>
  <c r="K135" i="25"/>
  <c r="BD135" i="25"/>
  <c r="BE135" i="25" s="1"/>
  <c r="S135" i="25"/>
  <c r="DV46" i="25" s="1"/>
  <c r="M135" i="25"/>
  <c r="S140" i="25"/>
  <c r="DV51" i="25" s="1"/>
  <c r="BD144" i="25"/>
  <c r="BC148" i="25"/>
  <c r="S148" i="25"/>
  <c r="DV59" i="25" s="1"/>
  <c r="M148" i="25"/>
  <c r="BD148" i="25"/>
  <c r="K148" i="25"/>
  <c r="BD164" i="25"/>
  <c r="S139" i="25"/>
  <c r="DV50" i="25" s="1"/>
  <c r="BD139" i="25"/>
  <c r="BE139" i="25" s="1"/>
  <c r="S143" i="25"/>
  <c r="DV54" i="25" s="1"/>
  <c r="BD143" i="25"/>
  <c r="BE143" i="25" s="1"/>
  <c r="S147" i="25"/>
  <c r="DV58" i="25" s="1"/>
  <c r="BD147" i="25"/>
  <c r="BE147" i="25" s="1"/>
  <c r="BC154" i="25"/>
  <c r="BW159" i="25"/>
  <c r="K159" i="25"/>
  <c r="BC159" i="25"/>
  <c r="BC168" i="25"/>
  <c r="M168" i="25"/>
  <c r="BW168" i="25"/>
  <c r="K168" i="25"/>
  <c r="BW183" i="25"/>
  <c r="K183" i="25"/>
  <c r="BD183" i="25"/>
  <c r="BC183" i="25"/>
  <c r="M183" i="25"/>
  <c r="M133" i="25"/>
  <c r="BC133" i="25"/>
  <c r="BE133" i="25" s="1"/>
  <c r="S134" i="25"/>
  <c r="DV45" i="25" s="1"/>
  <c r="BD134" i="25"/>
  <c r="M137" i="25"/>
  <c r="BC137" i="25"/>
  <c r="BE137" i="25" s="1"/>
  <c r="S138" i="25"/>
  <c r="DV49" i="25" s="1"/>
  <c r="M141" i="25"/>
  <c r="BC141" i="25"/>
  <c r="BE141" i="25" s="1"/>
  <c r="S142" i="25"/>
  <c r="DV53" i="25" s="1"/>
  <c r="M145" i="25"/>
  <c r="BC145" i="25"/>
  <c r="BE145" i="25" s="1"/>
  <c r="S146" i="25"/>
  <c r="DV57" i="25" s="1"/>
  <c r="BC152" i="25"/>
  <c r="BE152" i="25" s="1"/>
  <c r="M152" i="25"/>
  <c r="K154" i="25"/>
  <c r="BD154" i="25"/>
  <c r="BC158" i="25"/>
  <c r="BD159" i="25"/>
  <c r="BE163" i="25"/>
  <c r="BD168" i="25"/>
  <c r="BE171" i="25"/>
  <c r="S133" i="25"/>
  <c r="DV44" i="25" s="1"/>
  <c r="S137" i="25"/>
  <c r="DV48" i="25" s="1"/>
  <c r="K139" i="25"/>
  <c r="S141" i="25"/>
  <c r="DV52" i="25" s="1"/>
  <c r="K143" i="25"/>
  <c r="S145" i="25"/>
  <c r="DV56" i="25" s="1"/>
  <c r="K147" i="25"/>
  <c r="BW151" i="25"/>
  <c r="K151" i="25"/>
  <c r="BC151" i="25"/>
  <c r="BE151" i="25" s="1"/>
  <c r="M154" i="25"/>
  <c r="S154" i="25"/>
  <c r="EH35" i="25" s="1"/>
  <c r="BW154" i="25"/>
  <c r="BC156" i="25"/>
  <c r="BE156" i="25" s="1"/>
  <c r="M156" i="25"/>
  <c r="K158" i="25"/>
  <c r="BD158" i="25"/>
  <c r="M159" i="25"/>
  <c r="S159" i="25"/>
  <c r="EH40" i="25" s="1"/>
  <c r="BC176" i="25"/>
  <c r="M176" i="25"/>
  <c r="BW176" i="25"/>
  <c r="K176" i="25"/>
  <c r="BD176" i="25"/>
  <c r="BE179" i="25"/>
  <c r="S183" i="25"/>
  <c r="EH64" i="25" s="1"/>
  <c r="BC172" i="25"/>
  <c r="BE172" i="25" s="1"/>
  <c r="M172" i="25"/>
  <c r="BW172" i="25"/>
  <c r="K172" i="25"/>
  <c r="S172" i="25"/>
  <c r="EH53" i="25" s="1"/>
  <c r="BC180" i="25"/>
  <c r="BE180" i="25" s="1"/>
  <c r="M180" i="25"/>
  <c r="BW180" i="25"/>
  <c r="K180" i="25"/>
  <c r="S180" i="25"/>
  <c r="EH61" i="25" s="1"/>
  <c r="S149" i="25"/>
  <c r="DV60" i="25" s="1"/>
  <c r="S153" i="25"/>
  <c r="DV64" i="25" s="1"/>
  <c r="S157" i="25"/>
  <c r="EH38" i="25" s="1"/>
  <c r="BW161" i="25"/>
  <c r="BW163" i="25"/>
  <c r="K163" i="25"/>
  <c r="S163" i="25"/>
  <c r="EH44" i="25" s="1"/>
  <c r="BW171" i="25"/>
  <c r="K171" i="25"/>
  <c r="S171" i="25"/>
  <c r="EH52" i="25" s="1"/>
  <c r="BW179" i="25"/>
  <c r="K179" i="25"/>
  <c r="S179" i="25"/>
  <c r="EH60" i="25" s="1"/>
  <c r="S162" i="25"/>
  <c r="EH43" i="25" s="1"/>
  <c r="BD162" i="25"/>
  <c r="BE162" i="25" s="1"/>
  <c r="M165" i="25"/>
  <c r="BC165" i="25"/>
  <c r="BE165" i="25" s="1"/>
  <c r="S166" i="25"/>
  <c r="EH47" i="25" s="1"/>
  <c r="BD166" i="25"/>
  <c r="M169" i="25"/>
  <c r="BC169" i="25"/>
  <c r="BE169" i="25" s="1"/>
  <c r="S170" i="25"/>
  <c r="EH51" i="25" s="1"/>
  <c r="BD170" i="25"/>
  <c r="BE170" i="25" s="1"/>
  <c r="M173" i="25"/>
  <c r="BC173" i="25"/>
  <c r="BE173" i="25" s="1"/>
  <c r="S174" i="25"/>
  <c r="EH55" i="25" s="1"/>
  <c r="BD174" i="25"/>
  <c r="BE174" i="25" s="1"/>
  <c r="M177" i="25"/>
  <c r="BC177" i="25"/>
  <c r="BE177" i="25" s="1"/>
  <c r="S178" i="25"/>
  <c r="EH59" i="25" s="1"/>
  <c r="BD178" i="25"/>
  <c r="M181" i="25"/>
  <c r="BC181" i="25"/>
  <c r="BE181" i="25" s="1"/>
  <c r="S182" i="25"/>
  <c r="EH63" i="25" s="1"/>
  <c r="BD182" i="25"/>
  <c r="BE182" i="25" s="1"/>
  <c r="S165" i="25"/>
  <c r="EH46" i="25" s="1"/>
  <c r="S169" i="25"/>
  <c r="EH50" i="25" s="1"/>
  <c r="S173" i="25"/>
  <c r="EH54" i="25" s="1"/>
  <c r="S177" i="25"/>
  <c r="EH58" i="25" s="1"/>
  <c r="S181" i="25"/>
  <c r="EH62" i="25" s="1"/>
  <c r="F30" i="14"/>
  <c r="F42" i="14"/>
  <c r="BE70" i="25" l="1"/>
  <c r="BE138" i="25"/>
  <c r="BE94" i="25"/>
  <c r="BE134" i="25"/>
  <c r="BE62" i="25"/>
  <c r="BE178" i="25"/>
  <c r="BE50" i="25"/>
  <c r="BE142" i="25"/>
  <c r="BE166" i="25"/>
  <c r="BE98" i="25"/>
  <c r="BE82" i="25"/>
  <c r="BE45" i="25"/>
  <c r="BE183" i="25"/>
  <c r="BE64" i="25"/>
  <c r="BE58" i="25"/>
  <c r="BE160" i="25"/>
  <c r="BE109" i="25"/>
  <c r="CA59" i="25"/>
  <c r="BE59" i="25"/>
  <c r="BE158" i="25"/>
  <c r="BE154" i="25"/>
  <c r="BE164" i="25"/>
  <c r="BE51" i="25"/>
  <c r="CA58" i="25"/>
  <c r="BE131" i="25"/>
  <c r="BE168" i="25"/>
  <c r="BE144" i="25"/>
  <c r="BE105" i="25"/>
  <c r="BE61" i="25"/>
  <c r="BE176" i="25"/>
  <c r="BE95" i="25"/>
  <c r="BE63" i="25"/>
  <c r="BE55" i="25"/>
  <c r="BE47" i="25"/>
  <c r="CA60" i="25"/>
  <c r="BE130" i="25"/>
  <c r="BE167" i="25"/>
  <c r="BE99" i="25"/>
  <c r="BE118" i="25"/>
  <c r="BE110" i="25"/>
  <c r="BE66" i="25"/>
  <c r="BE60" i="25"/>
  <c r="BE159" i="25"/>
  <c r="BE148" i="25"/>
  <c r="BE175" i="25"/>
  <c r="BE132" i="25"/>
  <c r="BE72" i="25"/>
  <c r="BE84" i="25"/>
  <c r="BE57" i="25"/>
  <c r="BE53" i="25"/>
  <c r="BE49" i="25"/>
  <c r="J30" i="14"/>
  <c r="F60" i="14" s="1"/>
  <c r="CA57" i="25" l="1"/>
  <c r="BL104" i="18" l="1"/>
  <c r="AZ104" i="18"/>
  <c r="AY104" i="18"/>
  <c r="BL103" i="18"/>
  <c r="AZ103" i="18"/>
  <c r="AY103" i="18"/>
  <c r="BL102" i="18"/>
  <c r="AZ102" i="18"/>
  <c r="AY102" i="18"/>
  <c r="BL101" i="18"/>
  <c r="AZ101" i="18"/>
  <c r="AY101" i="18"/>
  <c r="BL100" i="18"/>
  <c r="AZ100" i="18"/>
  <c r="AY100" i="18"/>
  <c r="BL99" i="18"/>
  <c r="AZ99" i="18"/>
  <c r="AY99" i="18"/>
  <c r="BL98" i="18"/>
  <c r="AZ98" i="18"/>
  <c r="AY98" i="18"/>
  <c r="BL97" i="18"/>
  <c r="AZ97" i="18"/>
  <c r="AY97" i="18"/>
  <c r="BL96" i="18"/>
  <c r="AZ96" i="18"/>
  <c r="AY96" i="18"/>
  <c r="BL95" i="18"/>
  <c r="AZ95" i="18"/>
  <c r="AY95" i="18"/>
  <c r="BL94" i="18"/>
  <c r="AZ94" i="18"/>
  <c r="AY94" i="18"/>
  <c r="BL93" i="18"/>
  <c r="AZ93" i="18"/>
  <c r="AY93" i="18"/>
  <c r="BL92" i="18"/>
  <c r="AZ92" i="18"/>
  <c r="AY92" i="18"/>
  <c r="BL91" i="18"/>
  <c r="AZ91" i="18"/>
  <c r="AY91" i="18"/>
  <c r="BL90" i="18"/>
  <c r="AZ90" i="18"/>
  <c r="AY90" i="18"/>
  <c r="BL89" i="18"/>
  <c r="AZ89" i="18"/>
  <c r="AY89" i="18"/>
  <c r="BL88" i="18"/>
  <c r="AZ88" i="18"/>
  <c r="AY88" i="18"/>
  <c r="BL87" i="18"/>
  <c r="AZ87" i="18"/>
  <c r="AY87" i="18"/>
  <c r="BL86" i="18"/>
  <c r="AZ86" i="18"/>
  <c r="AY86" i="18"/>
  <c r="BL85" i="18"/>
  <c r="AZ85" i="18"/>
  <c r="AY85" i="18"/>
  <c r="BL84" i="18"/>
  <c r="AZ84" i="18"/>
  <c r="AY84" i="18"/>
  <c r="BL83" i="18"/>
  <c r="AZ83" i="18"/>
  <c r="AY83" i="18"/>
  <c r="BL82" i="18"/>
  <c r="AZ82" i="18"/>
  <c r="AY82" i="18"/>
  <c r="BL81" i="18"/>
  <c r="AZ81" i="18"/>
  <c r="AY81" i="18"/>
  <c r="BL80" i="18"/>
  <c r="AZ80" i="18"/>
  <c r="AY80" i="18"/>
  <c r="BL79" i="18"/>
  <c r="AZ79" i="18"/>
  <c r="AY79" i="18"/>
  <c r="BL78" i="18"/>
  <c r="AZ78" i="18"/>
  <c r="AY78" i="18"/>
  <c r="BL77" i="18"/>
  <c r="AZ77" i="18"/>
  <c r="AY77" i="18"/>
  <c r="BL76" i="18"/>
  <c r="AZ76" i="18"/>
  <c r="AY76" i="18"/>
  <c r="BL75" i="18"/>
  <c r="AZ75" i="18"/>
  <c r="AY75" i="18"/>
  <c r="BL74" i="18"/>
  <c r="AZ74" i="18"/>
  <c r="AY74" i="18"/>
  <c r="BL73" i="18"/>
  <c r="AZ73" i="18"/>
  <c r="AY73" i="18"/>
  <c r="BL72" i="18"/>
  <c r="AZ72" i="18"/>
  <c r="AY72" i="18"/>
  <c r="BL71" i="18"/>
  <c r="AZ71" i="18"/>
  <c r="AY71" i="18"/>
  <c r="BL70" i="18"/>
  <c r="AZ70" i="18"/>
  <c r="AY70" i="18"/>
  <c r="BL69" i="18"/>
  <c r="AZ69" i="18"/>
  <c r="AY69" i="18"/>
  <c r="BL68" i="18"/>
  <c r="AZ68" i="18"/>
  <c r="AY68" i="18"/>
  <c r="BL67" i="18"/>
  <c r="AZ67" i="18"/>
  <c r="AY67" i="18"/>
  <c r="BL66" i="18"/>
  <c r="AZ66" i="18"/>
  <c r="AY66" i="18"/>
  <c r="BL65" i="18"/>
  <c r="AZ65" i="18"/>
  <c r="AY65" i="18"/>
  <c r="BL64" i="18"/>
  <c r="AZ64" i="18"/>
  <c r="AY64" i="18"/>
  <c r="BL63" i="18"/>
  <c r="AZ63" i="18"/>
  <c r="AY63" i="18"/>
  <c r="BL62" i="18"/>
  <c r="AZ62" i="18"/>
  <c r="AY62" i="18"/>
  <c r="BL61" i="18"/>
  <c r="AZ61" i="18"/>
  <c r="AY61" i="18"/>
  <c r="BL60" i="18"/>
  <c r="AZ60" i="18"/>
  <c r="AY60" i="18"/>
  <c r="BL59" i="18"/>
  <c r="AZ59" i="18"/>
  <c r="AY59" i="18"/>
  <c r="BL58" i="18"/>
  <c r="AZ58" i="18"/>
  <c r="AY58" i="18"/>
  <c r="BL57" i="18"/>
  <c r="AZ57" i="18"/>
  <c r="AY57" i="18"/>
  <c r="BL56" i="18"/>
  <c r="AZ56" i="18"/>
  <c r="AY56" i="18"/>
  <c r="BL55" i="18"/>
  <c r="AZ55" i="18"/>
  <c r="AY55" i="18"/>
  <c r="BL54" i="18"/>
  <c r="AZ54" i="18"/>
  <c r="AY54" i="18"/>
  <c r="BL53" i="18"/>
  <c r="AZ53" i="18"/>
  <c r="AY53" i="18"/>
  <c r="BL52" i="18"/>
  <c r="AZ52" i="18"/>
  <c r="AY52" i="18"/>
  <c r="BL51" i="18"/>
  <c r="AZ51" i="18"/>
  <c r="AY51" i="18"/>
  <c r="BL50" i="18"/>
  <c r="AZ50" i="18"/>
  <c r="AY50" i="18"/>
  <c r="BL49" i="18"/>
  <c r="AZ49" i="18"/>
  <c r="AY49" i="18"/>
  <c r="BL48" i="18"/>
  <c r="AZ48" i="18"/>
  <c r="AY48" i="18"/>
  <c r="BL47" i="18"/>
  <c r="AZ47" i="18"/>
  <c r="AY47" i="18"/>
  <c r="BL46" i="18"/>
  <c r="AZ46" i="18"/>
  <c r="AY46" i="18"/>
  <c r="BL45" i="18"/>
  <c r="AZ45" i="18"/>
  <c r="AY45" i="18"/>
  <c r="BL44" i="18"/>
  <c r="AZ44" i="18"/>
  <c r="AY44" i="18"/>
  <c r="BL43" i="18"/>
  <c r="AZ43" i="18"/>
  <c r="AY43" i="18"/>
  <c r="BL42" i="18"/>
  <c r="AZ42" i="18"/>
  <c r="AY42" i="18"/>
  <c r="BL41" i="18"/>
  <c r="AZ41" i="18"/>
  <c r="AY41" i="18"/>
  <c r="BL40" i="18"/>
  <c r="AZ40" i="18"/>
  <c r="AY40" i="18"/>
  <c r="BL39" i="18"/>
  <c r="AZ39" i="18"/>
  <c r="AY39" i="18"/>
  <c r="BL38" i="18"/>
  <c r="AZ38" i="18"/>
  <c r="AY38" i="18"/>
  <c r="BL37" i="18"/>
  <c r="AZ37" i="18"/>
  <c r="AY37" i="18"/>
  <c r="BL36" i="18"/>
  <c r="AZ36" i="18"/>
  <c r="AY36" i="18"/>
  <c r="BL35" i="18"/>
  <c r="AZ35" i="18"/>
  <c r="AY35" i="18"/>
  <c r="BL34" i="18"/>
  <c r="AZ34" i="18"/>
  <c r="AY34" i="18"/>
  <c r="BL33" i="18"/>
  <c r="AZ33" i="18"/>
  <c r="AY33" i="18"/>
  <c r="BL32" i="18"/>
  <c r="AZ32" i="18"/>
  <c r="AY32" i="18"/>
  <c r="BL31" i="18"/>
  <c r="AZ31" i="18"/>
  <c r="AY31" i="18"/>
  <c r="BL30" i="18"/>
  <c r="AZ30" i="18"/>
  <c r="AY30" i="18"/>
  <c r="BL29" i="18"/>
  <c r="AZ29" i="18"/>
  <c r="AY29" i="18"/>
  <c r="BL28" i="18"/>
  <c r="AZ28" i="18"/>
  <c r="AY28" i="18"/>
  <c r="BL27" i="18"/>
  <c r="AZ27" i="18"/>
  <c r="AY27" i="18"/>
  <c r="BL26" i="18"/>
  <c r="AZ26" i="18"/>
  <c r="AY26" i="18"/>
  <c r="BL25" i="18"/>
  <c r="AZ25" i="18"/>
  <c r="AY25" i="18"/>
  <c r="BL24" i="18"/>
  <c r="BI24" i="18"/>
  <c r="AZ24" i="18"/>
  <c r="AY24" i="18"/>
  <c r="BL23" i="18"/>
  <c r="AZ23" i="18"/>
  <c r="AY23" i="18"/>
  <c r="BL22" i="18"/>
  <c r="BI22" i="18"/>
  <c r="AZ22" i="18"/>
  <c r="AY22" i="18"/>
  <c r="BL21" i="18"/>
  <c r="AZ21" i="18"/>
  <c r="AY21" i="18"/>
  <c r="BL20" i="18"/>
  <c r="BI20" i="18"/>
  <c r="AZ20" i="18"/>
  <c r="AY20" i="18"/>
  <c r="BL19" i="18"/>
  <c r="AZ19" i="18"/>
  <c r="AY19" i="18"/>
  <c r="BL18" i="18"/>
  <c r="BI18" i="18"/>
  <c r="AZ18" i="18"/>
  <c r="AY18" i="18"/>
  <c r="BL17" i="18"/>
  <c r="AZ17" i="18"/>
  <c r="AY17" i="18"/>
  <c r="BL16" i="18"/>
  <c r="BI16" i="18"/>
  <c r="AZ16" i="18"/>
  <c r="AY16" i="18"/>
  <c r="BL15" i="18"/>
  <c r="AZ15" i="18"/>
  <c r="AY15" i="18"/>
  <c r="BL14" i="18"/>
  <c r="BI14" i="18"/>
  <c r="AZ14" i="18"/>
  <c r="AY14" i="18"/>
  <c r="BL13" i="18"/>
  <c r="AZ13" i="18"/>
  <c r="AY13" i="18"/>
  <c r="BL12" i="18"/>
  <c r="BI12" i="18"/>
  <c r="AZ12" i="18"/>
  <c r="AY12" i="18"/>
  <c r="BL11" i="18"/>
  <c r="AZ11" i="18"/>
  <c r="AY11" i="18"/>
  <c r="BL10" i="18"/>
  <c r="BI10" i="18"/>
  <c r="BE10" i="18"/>
  <c r="BE12" i="18" s="1"/>
  <c r="BE14" i="18" s="1"/>
  <c r="AZ10" i="18"/>
  <c r="AY10" i="18"/>
  <c r="BL9" i="18"/>
  <c r="AZ9" i="18"/>
  <c r="AY9" i="18"/>
  <c r="BL8" i="18"/>
  <c r="BI8" i="18"/>
  <c r="AZ8" i="18"/>
  <c r="AY8" i="18"/>
  <c r="AU8" i="18"/>
  <c r="AU9" i="18" s="1"/>
  <c r="BL7" i="18"/>
  <c r="AZ7" i="18"/>
  <c r="AY7" i="18"/>
  <c r="D7" i="18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D45" i="18" s="1"/>
  <c r="D46" i="18" s="1"/>
  <c r="D47" i="18" s="1"/>
  <c r="D48" i="18" s="1"/>
  <c r="D49" i="18" s="1"/>
  <c r="D50" i="18" s="1"/>
  <c r="D51" i="18" s="1"/>
  <c r="D52" i="18" s="1"/>
  <c r="D53" i="18" s="1"/>
  <c r="D54" i="18" s="1"/>
  <c r="D55" i="18" s="1"/>
  <c r="D56" i="18" s="1"/>
  <c r="D57" i="18" s="1"/>
  <c r="D58" i="18" s="1"/>
  <c r="D59" i="18" s="1"/>
  <c r="D60" i="18" s="1"/>
  <c r="D61" i="18" s="1"/>
  <c r="D62" i="18" s="1"/>
  <c r="D63" i="18" s="1"/>
  <c r="D64" i="18" s="1"/>
  <c r="D65" i="18" s="1"/>
  <c r="D66" i="18" s="1"/>
  <c r="D67" i="18" s="1"/>
  <c r="D68" i="18" s="1"/>
  <c r="D69" i="18" s="1"/>
  <c r="D70" i="18" s="1"/>
  <c r="D71" i="18" s="1"/>
  <c r="D72" i="18" s="1"/>
  <c r="D73" i="18" s="1"/>
  <c r="D74" i="18" s="1"/>
  <c r="D75" i="18" s="1"/>
  <c r="D76" i="18" s="1"/>
  <c r="D77" i="18" s="1"/>
  <c r="D78" i="18" s="1"/>
  <c r="D79" i="18" s="1"/>
  <c r="D80" i="18" s="1"/>
  <c r="D81" i="18" s="1"/>
  <c r="D82" i="18" s="1"/>
  <c r="D83" i="18" s="1"/>
  <c r="D84" i="18" s="1"/>
  <c r="D85" i="18" s="1"/>
  <c r="D86" i="18" s="1"/>
  <c r="D87" i="18" s="1"/>
  <c r="D88" i="18" s="1"/>
  <c r="D89" i="18" s="1"/>
  <c r="D90" i="18" s="1"/>
  <c r="D91" i="18" s="1"/>
  <c r="D92" i="18" s="1"/>
  <c r="D93" i="18" s="1"/>
  <c r="D94" i="18" s="1"/>
  <c r="D95" i="18" s="1"/>
  <c r="D96" i="18" s="1"/>
  <c r="D97" i="18" s="1"/>
  <c r="D98" i="18" s="1"/>
  <c r="D99" i="18" s="1"/>
  <c r="D100" i="18" s="1"/>
  <c r="D101" i="18" s="1"/>
  <c r="D102" i="18" s="1"/>
  <c r="D103" i="18" s="1"/>
  <c r="D104" i="18" s="1"/>
  <c r="D105" i="18" s="1"/>
  <c r="D106" i="18" s="1"/>
  <c r="D107" i="18" s="1"/>
  <c r="D108" i="18" s="1"/>
  <c r="D109" i="18" s="1"/>
  <c r="D110" i="18" s="1"/>
  <c r="D111" i="18" s="1"/>
  <c r="D112" i="18" s="1"/>
  <c r="D113" i="18" s="1"/>
  <c r="D114" i="18" s="1"/>
  <c r="D115" i="18" s="1"/>
  <c r="D116" i="18" s="1"/>
  <c r="D117" i="18" s="1"/>
  <c r="D118" i="18" s="1"/>
  <c r="D119" i="18" s="1"/>
  <c r="D120" i="18" s="1"/>
  <c r="D121" i="18" s="1"/>
  <c r="D122" i="18" s="1"/>
  <c r="D123" i="18" s="1"/>
  <c r="D124" i="18" s="1"/>
  <c r="D125" i="18" s="1"/>
  <c r="D126" i="18" s="1"/>
  <c r="D127" i="18" s="1"/>
  <c r="D128" i="18" s="1"/>
  <c r="D129" i="18" s="1"/>
  <c r="D130" i="18" s="1"/>
  <c r="D131" i="18" s="1"/>
  <c r="D132" i="18" s="1"/>
  <c r="D133" i="18" s="1"/>
  <c r="D134" i="18" s="1"/>
  <c r="D135" i="18" s="1"/>
  <c r="D136" i="18" s="1"/>
  <c r="D137" i="18" s="1"/>
  <c r="D138" i="18" s="1"/>
  <c r="D139" i="18" s="1"/>
  <c r="D140" i="18" s="1"/>
  <c r="D141" i="18" s="1"/>
  <c r="D142" i="18" s="1"/>
  <c r="D143" i="18" s="1"/>
  <c r="D144" i="18" s="1"/>
  <c r="D145" i="18" s="1"/>
  <c r="D146" i="18" s="1"/>
  <c r="D147" i="18" s="1"/>
  <c r="D148" i="18" s="1"/>
  <c r="D149" i="18" s="1"/>
  <c r="D150" i="18" s="1"/>
  <c r="D151" i="18" s="1"/>
  <c r="D152" i="18" s="1"/>
  <c r="D153" i="18" s="1"/>
  <c r="D154" i="18" s="1"/>
  <c r="D155" i="18" s="1"/>
  <c r="D156" i="18" s="1"/>
  <c r="D157" i="18" s="1"/>
  <c r="D158" i="18" s="1"/>
  <c r="D159" i="18" s="1"/>
  <c r="D160" i="18" s="1"/>
  <c r="D161" i="18" s="1"/>
  <c r="D162" i="18" s="1"/>
  <c r="D163" i="18" s="1"/>
  <c r="D164" i="18" s="1"/>
  <c r="D165" i="18" s="1"/>
  <c r="D166" i="18" s="1"/>
  <c r="D167" i="18" s="1"/>
  <c r="D168" i="18" s="1"/>
  <c r="D169" i="18" s="1"/>
  <c r="D170" i="18" s="1"/>
  <c r="D171" i="18" s="1"/>
  <c r="D172" i="18" s="1"/>
  <c r="D173" i="18" s="1"/>
  <c r="D174" i="18" s="1"/>
  <c r="D175" i="18" s="1"/>
  <c r="D176" i="18" s="1"/>
  <c r="D177" i="18" s="1"/>
  <c r="D178" i="18" s="1"/>
  <c r="D179" i="18" s="1"/>
  <c r="D180" i="18" s="1"/>
  <c r="D181" i="18" s="1"/>
  <c r="D182" i="18" s="1"/>
  <c r="D183" i="18" s="1"/>
  <c r="D184" i="18" s="1"/>
  <c r="D185" i="18" s="1"/>
  <c r="D186" i="18" s="1"/>
  <c r="D187" i="18" s="1"/>
  <c r="D188" i="18" s="1"/>
  <c r="D189" i="18" s="1"/>
  <c r="D190" i="18" s="1"/>
  <c r="D191" i="18" s="1"/>
  <c r="D192" i="18" s="1"/>
  <c r="D193" i="18" s="1"/>
  <c r="D194" i="18" s="1"/>
  <c r="D195" i="18" s="1"/>
  <c r="D196" i="18" s="1"/>
  <c r="D197" i="18" s="1"/>
  <c r="D198" i="18" s="1"/>
  <c r="D199" i="18" s="1"/>
  <c r="D200" i="18" s="1"/>
  <c r="D201" i="18" s="1"/>
  <c r="D202" i="18" s="1"/>
  <c r="D203" i="18" s="1"/>
  <c r="D204" i="18" s="1"/>
  <c r="D205" i="18" s="1"/>
  <c r="D206" i="18" s="1"/>
  <c r="D207" i="18" s="1"/>
  <c r="D208" i="18" s="1"/>
  <c r="D209" i="18" s="1"/>
  <c r="D210" i="18" s="1"/>
  <c r="D211" i="18" s="1"/>
  <c r="D212" i="18" s="1"/>
  <c r="D213" i="18" s="1"/>
  <c r="D214" i="18" s="1"/>
  <c r="D215" i="18" s="1"/>
  <c r="D216" i="18" s="1"/>
  <c r="D217" i="18" s="1"/>
  <c r="D218" i="18" s="1"/>
  <c r="D219" i="18" s="1"/>
  <c r="D220" i="18" s="1"/>
  <c r="D221" i="18" s="1"/>
  <c r="D222" i="18" s="1"/>
  <c r="D223" i="18" s="1"/>
  <c r="D224" i="18" s="1"/>
  <c r="D225" i="18" s="1"/>
  <c r="D226" i="18" s="1"/>
  <c r="D227" i="18" s="1"/>
  <c r="D228" i="18" s="1"/>
  <c r="D229" i="18" s="1"/>
  <c r="D230" i="18" s="1"/>
  <c r="D231" i="18" s="1"/>
  <c r="D232" i="18" s="1"/>
  <c r="D233" i="18" s="1"/>
  <c r="D234" i="18" s="1"/>
  <c r="D235" i="18" s="1"/>
  <c r="D236" i="18" s="1"/>
  <c r="D237" i="18" s="1"/>
  <c r="D238" i="18" s="1"/>
  <c r="D239" i="18" s="1"/>
  <c r="D240" i="18" s="1"/>
  <c r="D241" i="18" s="1"/>
  <c r="D242" i="18" s="1"/>
  <c r="D243" i="18" s="1"/>
  <c r="D244" i="18" s="1"/>
  <c r="D245" i="18" s="1"/>
  <c r="D246" i="18" s="1"/>
  <c r="D247" i="18" s="1"/>
  <c r="D248" i="18" s="1"/>
  <c r="D249" i="18" s="1"/>
  <c r="D250" i="18" s="1"/>
  <c r="D251" i="18" s="1"/>
  <c r="D252" i="18" s="1"/>
  <c r="D253" i="18" s="1"/>
  <c r="D254" i="18" s="1"/>
  <c r="D255" i="18" s="1"/>
  <c r="D256" i="18" s="1"/>
  <c r="D257" i="18" s="1"/>
  <c r="D258" i="18" s="1"/>
  <c r="D259" i="18" s="1"/>
  <c r="D260" i="18" s="1"/>
  <c r="D261" i="18" s="1"/>
  <c r="D262" i="18" s="1"/>
  <c r="D263" i="18" s="1"/>
  <c r="D264" i="18" s="1"/>
  <c r="D265" i="18" s="1"/>
  <c r="D266" i="18" s="1"/>
  <c r="D267" i="18" s="1"/>
  <c r="D268" i="18" s="1"/>
  <c r="D269" i="18" s="1"/>
  <c r="D270" i="18" s="1"/>
  <c r="D271" i="18" s="1"/>
  <c r="D272" i="18" s="1"/>
  <c r="D273" i="18" s="1"/>
  <c r="D274" i="18" s="1"/>
  <c r="D275" i="18" s="1"/>
  <c r="D276" i="18" s="1"/>
  <c r="D277" i="18" s="1"/>
  <c r="D278" i="18" s="1"/>
  <c r="D279" i="18" s="1"/>
  <c r="D280" i="18" s="1"/>
  <c r="D281" i="18" s="1"/>
  <c r="D282" i="18" s="1"/>
  <c r="D283" i="18" s="1"/>
  <c r="D284" i="18" s="1"/>
  <c r="D285" i="18" s="1"/>
  <c r="D286" i="18" s="1"/>
  <c r="D287" i="18" s="1"/>
  <c r="D288" i="18" s="1"/>
  <c r="D289" i="18" s="1"/>
  <c r="D290" i="18" s="1"/>
  <c r="D291" i="18" s="1"/>
  <c r="D292" i="18" s="1"/>
  <c r="D293" i="18" s="1"/>
  <c r="D294" i="18" s="1"/>
  <c r="D295" i="18" s="1"/>
  <c r="D296" i="18" s="1"/>
  <c r="D297" i="18" s="1"/>
  <c r="D298" i="18" s="1"/>
  <c r="D299" i="18" s="1"/>
  <c r="D300" i="18" s="1"/>
  <c r="D301" i="18" s="1"/>
  <c r="D302" i="18" s="1"/>
  <c r="D303" i="18" s="1"/>
  <c r="D304" i="18" s="1"/>
  <c r="D305" i="18" s="1"/>
  <c r="BL6" i="18"/>
  <c r="BI6" i="18"/>
  <c r="AZ6" i="18"/>
  <c r="AY6" i="18"/>
  <c r="D6" i="18"/>
  <c r="B6" i="18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L5" i="18"/>
  <c r="BI5" i="18"/>
  <c r="AZ5" i="18"/>
  <c r="AY5" i="18"/>
  <c r="BL4" i="18"/>
  <c r="BI4" i="18"/>
  <c r="AZ4" i="18"/>
  <c r="AY4" i="18"/>
  <c r="B103" i="17"/>
  <c r="C103" i="17" s="1"/>
  <c r="B102" i="17"/>
  <c r="C102" i="17" s="1"/>
  <c r="B101" i="17"/>
  <c r="C101" i="17" s="1"/>
  <c r="B100" i="17"/>
  <c r="C100" i="17" s="1"/>
  <c r="B99" i="17"/>
  <c r="C99" i="17" s="1"/>
  <c r="B98" i="17"/>
  <c r="C98" i="17" s="1"/>
  <c r="B97" i="17"/>
  <c r="C97" i="17" s="1"/>
  <c r="B96" i="17"/>
  <c r="C96" i="17" s="1"/>
  <c r="B95" i="17"/>
  <c r="C95" i="17" s="1"/>
  <c r="B94" i="17"/>
  <c r="C94" i="17" s="1"/>
  <c r="B93" i="17"/>
  <c r="C93" i="17" s="1"/>
  <c r="B92" i="17"/>
  <c r="C92" i="17" s="1"/>
  <c r="B91" i="17"/>
  <c r="C91" i="17" s="1"/>
  <c r="B90" i="17"/>
  <c r="C90" i="17" s="1"/>
  <c r="B89" i="17"/>
  <c r="C89" i="17" s="1"/>
  <c r="B88" i="17"/>
  <c r="C88" i="17" s="1"/>
  <c r="B87" i="17"/>
  <c r="C87" i="17" s="1"/>
  <c r="B86" i="17"/>
  <c r="C86" i="17" s="1"/>
  <c r="B85" i="17"/>
  <c r="C85" i="17" s="1"/>
  <c r="B84" i="17"/>
  <c r="C84" i="17" s="1"/>
  <c r="B83" i="17"/>
  <c r="C83" i="17" s="1"/>
  <c r="B82" i="17"/>
  <c r="C82" i="17" s="1"/>
  <c r="B81" i="17"/>
  <c r="C81" i="17" s="1"/>
  <c r="B80" i="17"/>
  <c r="C80" i="17" s="1"/>
  <c r="B79" i="17"/>
  <c r="C79" i="17" s="1"/>
  <c r="B78" i="17"/>
  <c r="C78" i="17" s="1"/>
  <c r="B77" i="17"/>
  <c r="C77" i="17" s="1"/>
  <c r="B76" i="17"/>
  <c r="C76" i="17" s="1"/>
  <c r="B75" i="17"/>
  <c r="C75" i="17" s="1"/>
  <c r="B74" i="17"/>
  <c r="C74" i="17" s="1"/>
  <c r="B73" i="17"/>
  <c r="C73" i="17" s="1"/>
  <c r="B72" i="17"/>
  <c r="C72" i="17" s="1"/>
  <c r="B71" i="17"/>
  <c r="C71" i="17" s="1"/>
  <c r="B70" i="17"/>
  <c r="C70" i="17" s="1"/>
  <c r="B69" i="17"/>
  <c r="C69" i="17" s="1"/>
  <c r="B68" i="17"/>
  <c r="C68" i="17" s="1"/>
  <c r="B67" i="17"/>
  <c r="C67" i="17" s="1"/>
  <c r="B66" i="17"/>
  <c r="C66" i="17" s="1"/>
  <c r="B65" i="17"/>
  <c r="C65" i="17" s="1"/>
  <c r="B64" i="17"/>
  <c r="C64" i="17" s="1"/>
  <c r="B63" i="17"/>
  <c r="C63" i="17" s="1"/>
  <c r="B62" i="17"/>
  <c r="C62" i="17" s="1"/>
  <c r="B61" i="17"/>
  <c r="C61" i="17" s="1"/>
  <c r="B60" i="17"/>
  <c r="C60" i="17" s="1"/>
  <c r="B59" i="17"/>
  <c r="C59" i="17" s="1"/>
  <c r="B58" i="17"/>
  <c r="C58" i="17" s="1"/>
  <c r="B57" i="17"/>
  <c r="C57" i="17" s="1"/>
  <c r="B56" i="17"/>
  <c r="C56" i="17" s="1"/>
  <c r="B55" i="17"/>
  <c r="C55" i="17" s="1"/>
  <c r="B54" i="17"/>
  <c r="C54" i="17" s="1"/>
  <c r="B53" i="17"/>
  <c r="C53" i="17" s="1"/>
  <c r="B52" i="17"/>
  <c r="C52" i="17" s="1"/>
  <c r="B51" i="17"/>
  <c r="C51" i="17" s="1"/>
  <c r="B50" i="17"/>
  <c r="C50" i="17" s="1"/>
  <c r="B49" i="17"/>
  <c r="C49" i="17" s="1"/>
  <c r="B48" i="17"/>
  <c r="C48" i="17" s="1"/>
  <c r="B47" i="17"/>
  <c r="C47" i="17" s="1"/>
  <c r="B46" i="17"/>
  <c r="C46" i="17" s="1"/>
  <c r="B45" i="17"/>
  <c r="C45" i="17" s="1"/>
  <c r="B44" i="17"/>
  <c r="C44" i="17" s="1"/>
  <c r="B43" i="17"/>
  <c r="C43" i="17" s="1"/>
  <c r="B42" i="17"/>
  <c r="C42" i="17" s="1"/>
  <c r="B41" i="17"/>
  <c r="C41" i="17" s="1"/>
  <c r="B40" i="17"/>
  <c r="C40" i="17" s="1"/>
  <c r="B39" i="17"/>
  <c r="C39" i="17" s="1"/>
  <c r="B38" i="17"/>
  <c r="C38" i="17" s="1"/>
  <c r="B37" i="17"/>
  <c r="C37" i="17" s="1"/>
  <c r="B36" i="17"/>
  <c r="C36" i="17" s="1"/>
  <c r="B35" i="17"/>
  <c r="C35" i="17" s="1"/>
  <c r="B34" i="17"/>
  <c r="C34" i="17" s="1"/>
  <c r="B33" i="17"/>
  <c r="C33" i="17" s="1"/>
  <c r="B32" i="17"/>
  <c r="C32" i="17" s="1"/>
  <c r="B31" i="17"/>
  <c r="C31" i="17" s="1"/>
  <c r="B30" i="17"/>
  <c r="C30" i="17" s="1"/>
  <c r="B29" i="17"/>
  <c r="C29" i="17" s="1"/>
  <c r="B28" i="17"/>
  <c r="C28" i="17" s="1"/>
  <c r="B27" i="17"/>
  <c r="C27" i="17" s="1"/>
  <c r="B26" i="17"/>
  <c r="C26" i="17" s="1"/>
  <c r="B25" i="17"/>
  <c r="C25" i="17" s="1"/>
  <c r="B24" i="17"/>
  <c r="C24" i="17" s="1"/>
  <c r="B23" i="17"/>
  <c r="C23" i="17" s="1"/>
  <c r="B22" i="17"/>
  <c r="C22" i="17" s="1"/>
  <c r="B21" i="17"/>
  <c r="C21" i="17" s="1"/>
  <c r="B20" i="17"/>
  <c r="C20" i="17" s="1"/>
  <c r="B19" i="17"/>
  <c r="C19" i="17" s="1"/>
  <c r="B18" i="17"/>
  <c r="C18" i="17" s="1"/>
  <c r="B17" i="17"/>
  <c r="C17" i="17" s="1"/>
  <c r="B16" i="17"/>
  <c r="C16" i="17" s="1"/>
  <c r="B15" i="17"/>
  <c r="C15" i="17" s="1"/>
  <c r="B14" i="17"/>
  <c r="C14" i="17" s="1"/>
  <c r="B13" i="17"/>
  <c r="C13" i="17" s="1"/>
  <c r="B12" i="17"/>
  <c r="C12" i="17" s="1"/>
  <c r="B11" i="17"/>
  <c r="C11" i="17" s="1"/>
  <c r="B10" i="17"/>
  <c r="C10" i="17" s="1"/>
  <c r="B9" i="17"/>
  <c r="C9" i="17" s="1"/>
  <c r="B8" i="17"/>
  <c r="C8" i="17" s="1"/>
  <c r="B7" i="17"/>
  <c r="C7" i="17" s="1"/>
  <c r="B6" i="17"/>
  <c r="C6" i="17" s="1"/>
  <c r="B5" i="17"/>
  <c r="C5" i="17" s="1"/>
  <c r="B4" i="17"/>
  <c r="C4" i="17" s="1"/>
  <c r="B3" i="17"/>
  <c r="C3" i="17" s="1"/>
  <c r="C8" i="12"/>
  <c r="E6" i="12"/>
  <c r="E4" i="12"/>
  <c r="C30" i="3"/>
  <c r="C29" i="3" s="1"/>
  <c r="B30" i="3"/>
  <c r="B29" i="3" s="1"/>
  <c r="D26" i="3"/>
  <c r="D25" i="3" s="1"/>
  <c r="C25" i="3"/>
  <c r="AU10" i="18" l="1"/>
  <c r="AU11" i="18" s="1"/>
  <c r="BE16" i="18"/>
  <c r="BE18" i="18" l="1"/>
  <c r="AU12" i="18"/>
  <c r="AU13" i="18" s="1"/>
  <c r="AU14" i="18" l="1"/>
  <c r="AU15" i="18" s="1"/>
  <c r="BE20" i="18"/>
  <c r="AF85" i="18"/>
  <c r="P79" i="18"/>
  <c r="X73" i="18"/>
  <c r="P60" i="18"/>
  <c r="X53" i="18"/>
  <c r="AN65" i="18"/>
  <c r="AB60" i="18"/>
  <c r="T43" i="18"/>
  <c r="AF92" i="18"/>
  <c r="T77" i="18"/>
  <c r="L71" i="18"/>
  <c r="AR57" i="18"/>
  <c r="L51" i="18"/>
  <c r="AN62" i="18"/>
  <c r="L52" i="18"/>
  <c r="AJ40" i="18"/>
  <c r="T90" i="18"/>
  <c r="X85" i="18"/>
  <c r="AR68" i="18"/>
  <c r="AF55" i="18"/>
  <c r="T76" i="18"/>
  <c r="AB55" i="18"/>
  <c r="AJ48" i="18"/>
  <c r="P38" i="18"/>
  <c r="AB86" i="18"/>
  <c r="L80" i="18"/>
  <c r="AF80" i="18"/>
  <c r="AN51" i="18"/>
  <c r="AJ65" i="18"/>
  <c r="X47" i="18"/>
  <c r="AR44" i="18"/>
  <c r="AB63" i="18"/>
  <c r="L86" i="18"/>
  <c r="AJ79" i="18"/>
  <c r="AB77" i="18"/>
  <c r="X51" i="18"/>
  <c r="T65" i="18"/>
  <c r="AJ46" i="18"/>
  <c r="AB44" i="18"/>
  <c r="X62" i="18"/>
  <c r="AB91" i="18"/>
  <c r="T84" i="18"/>
  <c r="T74" i="18"/>
  <c r="L49" i="18"/>
  <c r="AJ62" i="18"/>
  <c r="AN44" i="18"/>
  <c r="T42" i="18"/>
  <c r="AF91" i="18"/>
  <c r="AJ83" i="18"/>
  <c r="L77" i="18"/>
  <c r="X72" i="18"/>
  <c r="AB72" i="18"/>
  <c r="AN60" i="18"/>
  <c r="AF42" i="18"/>
  <c r="AF87" i="18"/>
  <c r="P81" i="18"/>
  <c r="P83" i="18"/>
  <c r="T53" i="18"/>
  <c r="AR66" i="18"/>
  <c r="AF48" i="18"/>
  <c r="X46" i="18"/>
  <c r="L36" i="18"/>
  <c r="AJ85" i="18"/>
  <c r="T79" i="18"/>
  <c r="AN76" i="18"/>
  <c r="AJ50" i="18"/>
  <c r="AF64" i="18"/>
  <c r="T46" i="18"/>
  <c r="L44" i="18"/>
  <c r="T59" i="18"/>
  <c r="X90" i="18"/>
  <c r="AR82" i="18"/>
  <c r="AR73" i="18"/>
  <c r="AN48" i="18"/>
  <c r="T62" i="18"/>
  <c r="X44" i="18"/>
  <c r="AF41" i="18"/>
  <c r="AJ89" i="18"/>
  <c r="X81" i="18"/>
  <c r="L74" i="18"/>
  <c r="L70" i="18"/>
  <c r="X66" i="18"/>
  <c r="AB58" i="18"/>
  <c r="AR40" i="18"/>
  <c r="L38" i="18"/>
  <c r="T89" i="18"/>
  <c r="AJ80" i="18"/>
  <c r="AJ73" i="18"/>
  <c r="AJ69" i="18"/>
  <c r="AF65" i="18"/>
  <c r="L58" i="18"/>
  <c r="AB40" i="18"/>
  <c r="AN37" i="18"/>
  <c r="AJ86" i="18"/>
  <c r="AN78" i="18"/>
  <c r="X71" i="18"/>
  <c r="AN74" i="18"/>
  <c r="AJ63" i="18"/>
  <c r="AN55" i="18"/>
  <c r="X38" i="18"/>
  <c r="T35" i="18"/>
  <c r="AN84" i="18"/>
  <c r="AB76" i="18"/>
  <c r="L69" i="18"/>
  <c r="AF68" i="18"/>
  <c r="X61" i="18"/>
  <c r="AB53" i="18"/>
  <c r="AF35" i="18"/>
  <c r="AR32" i="18"/>
  <c r="AN89" i="18"/>
  <c r="X83" i="18"/>
  <c r="AJ78" i="18"/>
  <c r="X64" i="18"/>
  <c r="P57" i="18"/>
  <c r="AB82" i="18"/>
  <c r="AR31" i="18"/>
  <c r="P47" i="18"/>
  <c r="AB35" i="18"/>
  <c r="X91" i="18"/>
  <c r="AF89" i="18"/>
  <c r="AF69" i="18"/>
  <c r="AN56" i="18"/>
  <c r="AF49" i="18"/>
  <c r="AJ59" i="18"/>
  <c r="AJ49" i="18"/>
  <c r="P39" i="18"/>
  <c r="L89" i="18"/>
  <c r="AN82" i="18"/>
  <c r="AJ67" i="18"/>
  <c r="AB54" i="18"/>
  <c r="AN69" i="18"/>
  <c r="P50" i="18"/>
  <c r="AB47" i="18"/>
  <c r="L37" i="18"/>
  <c r="AR86" i="18"/>
  <c r="AB80" i="18"/>
  <c r="AJ81" i="18"/>
  <c r="P52" i="18"/>
  <c r="L66" i="18"/>
  <c r="AN47" i="18"/>
  <c r="P45" i="18"/>
  <c r="X35" i="18"/>
  <c r="T87" i="18"/>
  <c r="AN79" i="18"/>
  <c r="AB73" i="18"/>
  <c r="X79" i="18"/>
  <c r="AR61" i="18"/>
  <c r="AR43" i="18"/>
  <c r="P41" i="18"/>
  <c r="AN92" i="18"/>
  <c r="P86" i="18"/>
  <c r="T78" i="18"/>
  <c r="L73" i="18"/>
  <c r="X77" i="18"/>
  <c r="AB61" i="18"/>
  <c r="AB43" i="18"/>
  <c r="AF40" i="18"/>
  <c r="AB90" i="18"/>
  <c r="P82" i="18"/>
  <c r="AR74" i="18"/>
  <c r="AR70" i="18"/>
  <c r="AN67" i="18"/>
  <c r="P59" i="18"/>
  <c r="AB41" i="18"/>
  <c r="AR38" i="18"/>
  <c r="P88" i="18"/>
  <c r="AR79" i="18"/>
  <c r="AF72" i="18"/>
  <c r="AR88" i="18"/>
  <c r="AR64" i="18"/>
  <c r="T57" i="18"/>
  <c r="AN39" i="18"/>
  <c r="AN36" i="18"/>
  <c r="X84" i="18"/>
  <c r="L76" i="18"/>
  <c r="AN68" i="18"/>
  <c r="AR67" i="18"/>
  <c r="AJ60" i="18"/>
  <c r="L53" i="18"/>
  <c r="P35" i="18"/>
  <c r="L63" i="18"/>
  <c r="AR90" i="18"/>
  <c r="AF82" i="18"/>
  <c r="P75" i="18"/>
  <c r="P71" i="18"/>
  <c r="T68" i="18"/>
  <c r="AF59" i="18"/>
  <c r="AR41" i="18"/>
  <c r="L39" i="18"/>
  <c r="AF88" i="18"/>
  <c r="T80" i="18"/>
  <c r="T73" i="18"/>
  <c r="T69" i="18"/>
  <c r="P65" i="18"/>
  <c r="AJ57" i="18"/>
  <c r="L40" i="18"/>
  <c r="X37" i="18"/>
  <c r="T86" i="18"/>
  <c r="X78" i="18"/>
  <c r="AJ70" i="18"/>
  <c r="P73" i="18"/>
  <c r="T63" i="18"/>
  <c r="X55" i="18"/>
  <c r="AJ37" i="18"/>
  <c r="AJ34" i="18"/>
  <c r="AJ91" i="18"/>
  <c r="L88" i="18"/>
  <c r="AN85" i="18"/>
  <c r="AR65" i="18"/>
  <c r="L59" i="18"/>
  <c r="P51" i="18"/>
  <c r="AB33" i="18"/>
  <c r="AF53" i="18"/>
  <c r="T91" i="18"/>
  <c r="AJ87" i="18"/>
  <c r="AR83" i="18"/>
  <c r="AB65" i="18"/>
  <c r="AN58" i="18"/>
  <c r="AR50" i="18"/>
  <c r="L33" i="18"/>
  <c r="AB52" i="18"/>
  <c r="AJ88" i="18"/>
  <c r="T82" i="18"/>
  <c r="X76" i="18"/>
  <c r="P63" i="18"/>
  <c r="AB56" i="18"/>
  <c r="X74" i="18"/>
  <c r="L31" i="18"/>
  <c r="AB46" i="18"/>
  <c r="AN86" i="18"/>
  <c r="X80" i="18"/>
  <c r="P74" i="18"/>
  <c r="T61" i="18"/>
  <c r="P54" i="18"/>
  <c r="AF66" i="18"/>
  <c r="AR92" i="18"/>
  <c r="AR91" i="18"/>
  <c r="X68" i="18"/>
  <c r="L67" i="18"/>
  <c r="T60" i="18"/>
  <c r="AN52" i="18"/>
  <c r="AF34" i="18"/>
  <c r="AR60" i="18"/>
  <c r="AF90" i="18"/>
  <c r="AF86" i="18"/>
  <c r="T81" i="18"/>
  <c r="L65" i="18"/>
  <c r="X58" i="18"/>
  <c r="AB50" i="18"/>
  <c r="AN32" i="18"/>
  <c r="X48" i="18"/>
  <c r="T88" i="18"/>
  <c r="AR81" i="18"/>
  <c r="P76" i="18"/>
  <c r="AR62" i="18"/>
  <c r="L56" i="18"/>
  <c r="T71" i="18"/>
  <c r="AN30" i="18"/>
  <c r="L46" i="18"/>
  <c r="AB84" i="18"/>
  <c r="L78" i="18"/>
  <c r="AR71" i="18"/>
  <c r="AJ58" i="18"/>
  <c r="AR51" i="18"/>
  <c r="T64" i="18"/>
  <c r="AN54" i="18"/>
  <c r="AJ41" i="18"/>
  <c r="L84" i="18"/>
  <c r="AJ77" i="18"/>
  <c r="AB71" i="18"/>
  <c r="T58" i="18"/>
  <c r="AB51" i="18"/>
  <c r="AR63" i="18"/>
  <c r="P53" i="18"/>
  <c r="T41" i="18"/>
  <c r="AJ90" i="18"/>
  <c r="AB88" i="18"/>
  <c r="P69" i="18"/>
  <c r="X56" i="18"/>
  <c r="AF83" i="18"/>
  <c r="AF58" i="18"/>
  <c r="T49" i="18"/>
  <c r="AF38" i="18"/>
  <c r="AN88" i="18"/>
  <c r="X82" i="18"/>
  <c r="T67" i="18"/>
  <c r="L54" i="18"/>
  <c r="P68" i="18"/>
  <c r="AN49" i="18"/>
  <c r="L47" i="18"/>
  <c r="AR36" i="18"/>
  <c r="AF84" i="18"/>
  <c r="P78" i="18"/>
  <c r="X75" i="18"/>
  <c r="AR49" i="18"/>
  <c r="AN63" i="18"/>
  <c r="AB45" i="18"/>
  <c r="P43" i="18"/>
  <c r="P58" i="18"/>
  <c r="X87" i="18"/>
  <c r="L79" i="18"/>
  <c r="AN71" i="18"/>
  <c r="AR75" i="18"/>
  <c r="L64" i="18"/>
  <c r="P56" i="18"/>
  <c r="AN38" i="18"/>
  <c r="AJ35" i="18"/>
  <c r="L85" i="18"/>
  <c r="AR76" i="18"/>
  <c r="AB69" i="18"/>
  <c r="AF70" i="18"/>
  <c r="AN61" i="18"/>
  <c r="AR53" i="18"/>
  <c r="T36" i="18"/>
  <c r="P33" i="18"/>
  <c r="L92" i="18"/>
  <c r="P89" i="18"/>
  <c r="P67" i="18"/>
  <c r="T66" i="18"/>
  <c r="AB59" i="18"/>
  <c r="AF51" i="18"/>
  <c r="AR33" i="18"/>
  <c r="T56" i="18"/>
  <c r="AR87" i="18"/>
  <c r="AB81" i="18"/>
  <c r="AJ75" i="18"/>
  <c r="AB62" i="18"/>
  <c r="AJ55" i="18"/>
  <c r="P70" i="18"/>
  <c r="X30" i="18"/>
  <c r="AJ45" i="18"/>
  <c r="AB87" i="18"/>
  <c r="L81" i="18"/>
  <c r="T75" i="18"/>
  <c r="L62" i="18"/>
  <c r="T55" i="18"/>
  <c r="AJ68" i="18"/>
  <c r="AR29" i="18"/>
  <c r="T45" i="18"/>
  <c r="P85" i="18"/>
  <c r="AR78" i="18"/>
  <c r="AJ72" i="18"/>
  <c r="AN59" i="18"/>
  <c r="AJ52" i="18"/>
  <c r="X65" i="18"/>
  <c r="X57" i="18"/>
  <c r="AN42" i="18"/>
  <c r="P92" i="18"/>
  <c r="AF76" i="18"/>
  <c r="AN70" i="18"/>
  <c r="AB57" i="18"/>
  <c r="AN50" i="18"/>
  <c r="P61" i="18"/>
  <c r="AJ51" i="18"/>
  <c r="T40" i="18"/>
  <c r="X88" i="18"/>
  <c r="AF81" i="18"/>
  <c r="L91" i="18"/>
  <c r="AJ53" i="18"/>
  <c r="AB67" i="18"/>
  <c r="AR48" i="18"/>
  <c r="AN46" i="18"/>
  <c r="L29" i="18"/>
  <c r="X70" i="18"/>
  <c r="X50" i="18"/>
  <c r="AB25" i="18"/>
  <c r="AB49" i="18"/>
  <c r="AR77" i="18"/>
  <c r="L43" i="18"/>
  <c r="AB74" i="18"/>
  <c r="AR85" i="18"/>
  <c r="T37" i="18"/>
  <c r="P62" i="18"/>
  <c r="AB92" i="18"/>
  <c r="AR39" i="18"/>
  <c r="AB79" i="18"/>
  <c r="AJ76" i="18"/>
  <c r="AF56" i="18"/>
  <c r="X36" i="18"/>
  <c r="X89" i="18"/>
  <c r="AN77" i="18"/>
  <c r="AR56" i="18"/>
  <c r="AB31" i="18"/>
  <c r="L87" i="18"/>
  <c r="AF74" i="18"/>
  <c r="AF54" i="18"/>
  <c r="AB29" i="18"/>
  <c r="AR84" i="18"/>
  <c r="T72" i="18"/>
  <c r="T52" i="18"/>
  <c r="AR55" i="18"/>
  <c r="AR89" i="18"/>
  <c r="AB68" i="18"/>
  <c r="L75" i="18"/>
  <c r="T48" i="18"/>
  <c r="AB89" i="18"/>
  <c r="L68" i="18"/>
  <c r="AR72" i="18"/>
  <c r="AR47" i="18"/>
  <c r="P87" i="18"/>
  <c r="L82" i="18"/>
  <c r="AB66" i="18"/>
  <c r="AF45" i="18"/>
  <c r="T85" i="18"/>
  <c r="AN75" i="18"/>
  <c r="P64" i="18"/>
  <c r="AF43" i="18"/>
  <c r="T83" i="18"/>
  <c r="AF71" i="18"/>
  <c r="X60" i="18"/>
  <c r="AB39" i="18"/>
  <c r="X40" i="18"/>
  <c r="X24" i="18"/>
  <c r="L35" i="18"/>
  <c r="AF13" i="18"/>
  <c r="AR6" i="18"/>
  <c r="AF26" i="18"/>
  <c r="AJ18" i="18"/>
  <c r="P27" i="18"/>
  <c r="T8" i="18"/>
  <c r="AB48" i="18"/>
  <c r="AF15" i="18"/>
  <c r="X26" i="18"/>
  <c r="AN14" i="18"/>
  <c r="AF7" i="18"/>
  <c r="AF36" i="18"/>
  <c r="AN24" i="18"/>
  <c r="X15" i="18"/>
  <c r="AB14" i="18"/>
  <c r="AF23" i="18"/>
  <c r="T15" i="18"/>
  <c r="P24" i="18"/>
  <c r="P5" i="18"/>
  <c r="AJ56" i="18"/>
  <c r="AR17" i="18"/>
  <c r="X28" i="18"/>
  <c r="AB18" i="18"/>
  <c r="P10" i="18"/>
  <c r="T39" i="18"/>
  <c r="X27" i="18"/>
  <c r="T17" i="18"/>
  <c r="L5" i="18"/>
  <c r="X9" i="18"/>
  <c r="T24" i="18"/>
  <c r="AJ15" i="18"/>
  <c r="AF24" i="18"/>
  <c r="AF5" i="18"/>
  <c r="AJ21" i="18"/>
  <c r="X33" i="18"/>
  <c r="AJ22" i="18"/>
  <c r="AF16" i="18"/>
  <c r="P49" i="18"/>
  <c r="T16" i="18"/>
  <c r="AN26" i="18"/>
  <c r="AB15" i="18"/>
  <c r="X8" i="18"/>
  <c r="P37" i="18"/>
  <c r="P25" i="18"/>
  <c r="AN15" i="18"/>
  <c r="AR15" i="18"/>
  <c r="AJ7" i="18"/>
  <c r="X22" i="18"/>
  <c r="AN34" i="18"/>
  <c r="L23" i="18"/>
  <c r="L4" i="18"/>
  <c r="L42" i="18"/>
  <c r="T26" i="18"/>
  <c r="AB16" i="18"/>
  <c r="X4" i="18"/>
  <c r="AB8" i="18"/>
  <c r="AF28" i="18"/>
  <c r="P20" i="18"/>
  <c r="AR28" i="18"/>
  <c r="L10" i="18"/>
  <c r="L55" i="18"/>
  <c r="AB17" i="18"/>
  <c r="AR27" i="18"/>
  <c r="L18" i="18"/>
  <c r="AJ9" i="18"/>
  <c r="AJ38" i="18"/>
  <c r="AJ26" i="18"/>
  <c r="AR16" i="18"/>
  <c r="AN4" i="18"/>
  <c r="AB7" i="18"/>
  <c r="T92" i="18"/>
  <c r="AF39" i="18"/>
  <c r="P84" i="18"/>
  <c r="X63" i="18"/>
  <c r="AJ84" i="18"/>
  <c r="AN72" i="18"/>
  <c r="P40" i="18"/>
  <c r="AN81" i="18"/>
  <c r="AR58" i="18"/>
  <c r="AB38" i="18"/>
  <c r="L72" i="18"/>
  <c r="AJ54" i="18"/>
  <c r="P77" i="18"/>
  <c r="AJ71" i="18"/>
  <c r="T54" i="18"/>
  <c r="AN90" i="18"/>
  <c r="AJ66" i="18"/>
  <c r="P44" i="18"/>
  <c r="L57" i="18"/>
  <c r="L60" i="18"/>
  <c r="AJ74" i="18"/>
  <c r="AJ42" i="18"/>
  <c r="L61" i="18"/>
  <c r="AB70" i="18"/>
  <c r="AF77" i="18"/>
  <c r="T34" i="18"/>
  <c r="AF33" i="18"/>
  <c r="AN87" i="18"/>
  <c r="P72" i="18"/>
  <c r="AB64" i="18"/>
  <c r="X39" i="18"/>
  <c r="AN43" i="18"/>
  <c r="AJ82" i="18"/>
  <c r="AF63" i="18"/>
  <c r="AB75" i="18"/>
  <c r="AR46" i="18"/>
  <c r="AN80" i="18"/>
  <c r="AJ61" i="18"/>
  <c r="X67" i="18"/>
  <c r="AF44" i="18"/>
  <c r="AB78" i="18"/>
  <c r="X59" i="18"/>
  <c r="AJ64" i="18"/>
  <c r="X42" i="18"/>
  <c r="AB83" i="18"/>
  <c r="P55" i="18"/>
  <c r="X54" i="18"/>
  <c r="AR37" i="18"/>
  <c r="L83" i="18"/>
  <c r="AR54" i="18"/>
  <c r="T51" i="18"/>
  <c r="AB37" i="18"/>
  <c r="AR80" i="18"/>
  <c r="AF52" i="18"/>
  <c r="P48" i="18"/>
  <c r="AN35" i="18"/>
  <c r="AF78" i="18"/>
  <c r="T50" i="18"/>
  <c r="AR45" i="18"/>
  <c r="P91" i="18"/>
  <c r="AF75" i="18"/>
  <c r="X69" i="18"/>
  <c r="P42" i="18"/>
  <c r="AB36" i="18"/>
  <c r="P18" i="18"/>
  <c r="AN28" i="18"/>
  <c r="AR18" i="18"/>
  <c r="AF10" i="18"/>
  <c r="X45" i="18"/>
  <c r="AR35" i="18"/>
  <c r="X23" i="18"/>
  <c r="AN10" i="18"/>
  <c r="P4" i="18"/>
  <c r="T30" i="18"/>
  <c r="AN21" i="18"/>
  <c r="AJ30" i="18"/>
  <c r="L11" i="18"/>
  <c r="T7" i="18"/>
  <c r="AF18" i="18"/>
  <c r="P29" i="18"/>
  <c r="T19" i="18"/>
  <c r="AJ47" i="18"/>
  <c r="AF30" i="18"/>
  <c r="T20" i="18"/>
  <c r="AN7" i="18"/>
  <c r="P12" i="18"/>
  <c r="X34" i="18"/>
  <c r="AJ23" i="18"/>
  <c r="AB34" i="18"/>
  <c r="X13" i="18"/>
  <c r="T4" i="18"/>
  <c r="AR20" i="18"/>
  <c r="X31" i="18"/>
  <c r="AF21" i="18"/>
  <c r="AR13" i="18"/>
  <c r="AB42" i="18"/>
  <c r="AF31" i="18"/>
  <c r="AJ20" i="18"/>
  <c r="P8" i="18"/>
  <c r="AN45" i="18"/>
  <c r="T28" i="18"/>
  <c r="X18" i="18"/>
  <c r="AR5" i="18"/>
  <c r="T10" i="18"/>
  <c r="T31" i="18"/>
  <c r="L22" i="18"/>
  <c r="AJ31" i="18"/>
  <c r="AB11" i="18"/>
  <c r="AN5" i="18"/>
  <c r="X19" i="18"/>
  <c r="X29" i="18"/>
  <c r="AJ19" i="18"/>
  <c r="AF11" i="18"/>
  <c r="AN40" i="18"/>
  <c r="AJ28" i="18"/>
  <c r="AN18" i="18"/>
  <c r="P6" i="18"/>
  <c r="AJ10" i="18"/>
  <c r="L20" i="18"/>
  <c r="AR30" i="18"/>
  <c r="AN20" i="18"/>
  <c r="AB12" i="18"/>
  <c r="T47" i="18"/>
  <c r="P14" i="18"/>
  <c r="AR24" i="18"/>
  <c r="AJ12" i="18"/>
  <c r="X6" i="18"/>
  <c r="AN33" i="18"/>
  <c r="T23" i="18"/>
  <c r="T33" i="18"/>
  <c r="AN12" i="18"/>
  <c r="L6" i="18"/>
  <c r="AB20" i="18"/>
  <c r="P31" i="18"/>
  <c r="P21" i="18"/>
  <c r="P13" i="18"/>
  <c r="AN91" i="18"/>
  <c r="AF50" i="18"/>
  <c r="AJ92" i="18"/>
  <c r="L45" i="18"/>
  <c r="X92" i="18"/>
  <c r="AF73" i="18"/>
  <c r="L90" i="18"/>
  <c r="AN66" i="18"/>
  <c r="L41" i="18"/>
  <c r="T70" i="18"/>
  <c r="AF62" i="18"/>
  <c r="AB85" i="18"/>
  <c r="AR69" i="18"/>
  <c r="AJ36" i="18"/>
  <c r="AF67" i="18"/>
  <c r="X52" i="18"/>
  <c r="AN83" i="18"/>
  <c r="L50" i="18"/>
  <c r="AF79" i="18"/>
  <c r="P66" i="18"/>
  <c r="T27" i="18"/>
  <c r="L26" i="18"/>
  <c r="AR8" i="18"/>
  <c r="P30" i="18"/>
  <c r="L12" i="18"/>
  <c r="AF29" i="18"/>
  <c r="AF6" i="18"/>
  <c r="AR25" i="18"/>
  <c r="AB26" i="18"/>
  <c r="AJ16" i="18"/>
  <c r="X17" i="18"/>
  <c r="X43" i="18"/>
  <c r="AB21" i="18"/>
  <c r="AB13" i="18"/>
  <c r="AR19" i="18"/>
  <c r="AF9" i="18"/>
  <c r="L17" i="18"/>
  <c r="AN17" i="18"/>
  <c r="AF14" i="18"/>
  <c r="L13" i="18"/>
  <c r="AN41" i="18"/>
  <c r="AF19" i="18"/>
  <c r="AJ11" i="18"/>
  <c r="T18" i="18"/>
  <c r="AR7" i="18"/>
  <c r="P15" i="18"/>
  <c r="AN13" i="18"/>
  <c r="T29" i="18"/>
  <c r="AF27" i="18"/>
  <c r="AJ4" i="18"/>
  <c r="P32" i="18"/>
  <c r="X14" i="18"/>
  <c r="AN31" i="18"/>
  <c r="AF8" i="18"/>
  <c r="AJ27" i="18"/>
  <c r="L28" i="18"/>
  <c r="T9" i="18"/>
  <c r="P34" i="18"/>
  <c r="P80" i="18"/>
  <c r="X32" i="18"/>
  <c r="AN73" i="18"/>
  <c r="AF61" i="18"/>
  <c r="AJ33" i="18"/>
  <c r="AB9" i="18"/>
  <c r="AF37" i="18"/>
  <c r="L16" i="18"/>
  <c r="AB6" i="18"/>
  <c r="T14" i="18"/>
  <c r="AB4" i="18"/>
  <c r="L34" i="18"/>
  <c r="AR9" i="18"/>
  <c r="AB22" i="18"/>
  <c r="AR11" i="18"/>
  <c r="L25" i="18"/>
  <c r="AN25" i="18"/>
  <c r="AF46" i="18"/>
  <c r="AB24" i="18"/>
  <c r="AJ5" i="18"/>
  <c r="AR22" i="18"/>
  <c r="X12" i="18"/>
  <c r="AF20" i="18"/>
  <c r="AB10" i="18"/>
  <c r="P23" i="18"/>
  <c r="AR23" i="18"/>
  <c r="AJ44" i="18"/>
  <c r="AF22" i="18"/>
  <c r="L15" i="18"/>
  <c r="X21" i="18"/>
  <c r="AR10" i="18"/>
  <c r="P36" i="18"/>
  <c r="X11" i="18"/>
  <c r="AJ39" i="18"/>
  <c r="AJ17" i="18"/>
  <c r="AN9" i="18"/>
  <c r="X16" i="18"/>
  <c r="T6" i="18"/>
  <c r="T13" i="18"/>
  <c r="AN11" i="18"/>
  <c r="AN57" i="18"/>
  <c r="AN64" i="18"/>
  <c r="AF47" i="18"/>
  <c r="AF60" i="18"/>
  <c r="AJ43" i="18"/>
  <c r="P17" i="18"/>
  <c r="L7" i="18"/>
  <c r="AN19" i="18"/>
  <c r="X20" i="18"/>
  <c r="X41" i="18"/>
  <c r="P19" i="18"/>
  <c r="T11" i="18"/>
  <c r="AF17" i="18"/>
  <c r="P11" i="18"/>
  <c r="L27" i="18"/>
  <c r="AN8" i="18"/>
  <c r="AF32" i="18"/>
  <c r="L9" i="18"/>
  <c r="P28" i="18"/>
  <c r="AB28" i="18"/>
  <c r="AR52" i="18"/>
  <c r="AB27" i="18"/>
  <c r="AF12" i="18"/>
  <c r="T25" i="18"/>
  <c r="AN6" i="18"/>
  <c r="AN29" i="18"/>
  <c r="X7" i="18"/>
  <c r="P26" i="18"/>
  <c r="AR26" i="18"/>
  <c r="L48" i="18"/>
  <c r="AJ25" i="18"/>
  <c r="P7" i="18"/>
  <c r="L19" i="18"/>
  <c r="AJ8" i="18"/>
  <c r="T21" i="18"/>
  <c r="T22" i="18"/>
  <c r="AR42" i="18"/>
  <c r="L21" i="18"/>
  <c r="AR12" i="18"/>
  <c r="AB19" i="18"/>
  <c r="P9" i="18"/>
  <c r="AR59" i="18"/>
  <c r="P90" i="18"/>
  <c r="AF57" i="18"/>
  <c r="X86" i="18"/>
  <c r="AN53" i="18"/>
  <c r="X49" i="18"/>
  <c r="AR21" i="18"/>
  <c r="L14" i="18"/>
  <c r="AF25" i="18"/>
  <c r="P16" i="18"/>
  <c r="AN22" i="18"/>
  <c r="AB23" i="18"/>
  <c r="T44" i="18"/>
  <c r="P22" i="18"/>
  <c r="T38" i="18"/>
  <c r="AB32" i="18"/>
  <c r="X5" i="18"/>
  <c r="AN16" i="18"/>
  <c r="AJ6" i="18"/>
  <c r="AJ13" i="18"/>
  <c r="T12" i="18"/>
  <c r="T32" i="18"/>
  <c r="AJ32" i="18"/>
  <c r="L32" i="18"/>
  <c r="AJ29" i="18"/>
  <c r="L8" i="18"/>
  <c r="AJ14" i="18"/>
  <c r="AR4" i="18"/>
  <c r="AR34" i="18"/>
  <c r="X10" i="18"/>
  <c r="L30" i="18"/>
  <c r="AB30" i="18"/>
  <c r="AR14" i="18"/>
  <c r="AN23" i="18"/>
  <c r="AF4" i="18"/>
  <c r="AN27" i="18"/>
  <c r="AB5" i="18"/>
  <c r="AJ24" i="18"/>
  <c r="X25" i="18"/>
  <c r="P46" i="18"/>
  <c r="L24" i="18"/>
  <c r="T5" i="18"/>
  <c r="U5" i="18" l="1"/>
  <c r="M24" i="18"/>
  <c r="Q46" i="18"/>
  <c r="Y25" i="18"/>
  <c r="AK24" i="18"/>
  <c r="AC5" i="18"/>
  <c r="AO27" i="18"/>
  <c r="AG4" i="18"/>
  <c r="AO23" i="18"/>
  <c r="AS14" i="18"/>
  <c r="AC30" i="18"/>
  <c r="M30" i="18"/>
  <c r="Y10" i="18"/>
  <c r="AS34" i="18"/>
  <c r="AS4" i="18"/>
  <c r="AK14" i="18"/>
  <c r="M8" i="18"/>
  <c r="AK29" i="18"/>
  <c r="M32" i="18"/>
  <c r="AK32" i="18"/>
  <c r="U32" i="18"/>
  <c r="U12" i="18"/>
  <c r="AK13" i="18"/>
  <c r="AK6" i="18"/>
  <c r="AO16" i="18"/>
  <c r="Y5" i="18"/>
  <c r="AC32" i="18"/>
  <c r="U38" i="18"/>
  <c r="Q22" i="18"/>
  <c r="U44" i="18"/>
  <c r="AC23" i="18"/>
  <c r="AO22" i="18"/>
  <c r="Q16" i="18"/>
  <c r="AG25" i="18"/>
  <c r="M14" i="18"/>
  <c r="AS21" i="18"/>
  <c r="Y49" i="18"/>
  <c r="AO53" i="18"/>
  <c r="Y86" i="18"/>
  <c r="AG57" i="18"/>
  <c r="Q90" i="18"/>
  <c r="AS59" i="18"/>
  <c r="Q9" i="18"/>
  <c r="AC19" i="18"/>
  <c r="AS12" i="18"/>
  <c r="M21" i="18"/>
  <c r="AS42" i="18"/>
  <c r="U22" i="18"/>
  <c r="U21" i="18"/>
  <c r="AK8" i="18"/>
  <c r="M19" i="18"/>
  <c r="Q7" i="18"/>
  <c r="AK25" i="18"/>
  <c r="M48" i="18"/>
  <c r="AS26" i="18"/>
  <c r="Q26" i="18"/>
  <c r="Y7" i="18"/>
  <c r="AO29" i="18"/>
  <c r="AO6" i="18"/>
  <c r="U25" i="18"/>
  <c r="AG12" i="18"/>
  <c r="AC27" i="18"/>
  <c r="AS52" i="18"/>
  <c r="AC28" i="18"/>
  <c r="Q28" i="18"/>
  <c r="M9" i="18"/>
  <c r="AG32" i="18"/>
  <c r="AO8" i="18"/>
  <c r="M27" i="18"/>
  <c r="Q11" i="18"/>
  <c r="AG17" i="18"/>
  <c r="U11" i="18"/>
  <c r="Q19" i="18"/>
  <c r="Y41" i="18"/>
  <c r="Y20" i="18"/>
  <c r="AO19" i="18"/>
  <c r="M7" i="18"/>
  <c r="Q17" i="18"/>
  <c r="AK43" i="18"/>
  <c r="AG60" i="18"/>
  <c r="AG47" i="18"/>
  <c r="AO64" i="18"/>
  <c r="AO57" i="18"/>
  <c r="AO11" i="18"/>
  <c r="U13" i="18"/>
  <c r="U6" i="18"/>
  <c r="Y16" i="18"/>
  <c r="AO9" i="18"/>
  <c r="AK17" i="18"/>
  <c r="AK39" i="18"/>
  <c r="Y11" i="18"/>
  <c r="Q36" i="18"/>
  <c r="AS10" i="18"/>
  <c r="Y21" i="18"/>
  <c r="M15" i="18"/>
  <c r="AG22" i="18"/>
  <c r="AK44" i="18"/>
  <c r="AS23" i="18"/>
  <c r="Q23" i="18"/>
  <c r="AC10" i="18"/>
  <c r="AG20" i="18"/>
  <c r="Y12" i="18"/>
  <c r="AS22" i="18"/>
  <c r="AK5" i="18"/>
  <c r="AC24" i="18"/>
  <c r="AG46" i="18"/>
  <c r="AO25" i="18"/>
  <c r="M25" i="18"/>
  <c r="AS11" i="18"/>
  <c r="AC22" i="18"/>
  <c r="AS9" i="18"/>
  <c r="M34" i="18"/>
  <c r="AC4" i="18"/>
  <c r="U14" i="18"/>
  <c r="AC6" i="18"/>
  <c r="M16" i="18"/>
  <c r="AG37" i="18"/>
  <c r="AC9" i="18"/>
  <c r="AK33" i="18"/>
  <c r="AG61" i="18"/>
  <c r="AO73" i="18"/>
  <c r="Y32" i="18"/>
  <c r="Q80" i="18"/>
  <c r="Q34" i="18"/>
  <c r="U9" i="18"/>
  <c r="M28" i="18"/>
  <c r="AK27" i="18"/>
  <c r="AG8" i="18"/>
  <c r="AO31" i="18"/>
  <c r="Y14" i="18"/>
  <c r="Q32" i="18"/>
  <c r="AK4" i="18"/>
  <c r="AG27" i="18"/>
  <c r="U29" i="18"/>
  <c r="AO13" i="18"/>
  <c r="Q15" i="18"/>
  <c r="AS7" i="18"/>
  <c r="U18" i="18"/>
  <c r="AK11" i="18"/>
  <c r="AG19" i="18"/>
  <c r="AO41" i="18"/>
  <c r="M13" i="18"/>
  <c r="AG14" i="18"/>
  <c r="AO17" i="18"/>
  <c r="M17" i="18"/>
  <c r="AG9" i="18"/>
  <c r="AS19" i="18"/>
  <c r="AC13" i="18"/>
  <c r="AC21" i="18"/>
  <c r="Y43" i="18"/>
  <c r="Y17" i="18"/>
  <c r="AK16" i="18"/>
  <c r="AC26" i="18"/>
  <c r="AS25" i="18"/>
  <c r="AG6" i="18"/>
  <c r="AG29" i="18"/>
  <c r="M12" i="18"/>
  <c r="Q30" i="18"/>
  <c r="AS8" i="18"/>
  <c r="M26" i="18"/>
  <c r="U27" i="18"/>
  <c r="Q66" i="18"/>
  <c r="AG79" i="18"/>
  <c r="M50" i="18"/>
  <c r="AO83" i="18"/>
  <c r="Y52" i="18"/>
  <c r="AG67" i="18"/>
  <c r="AK36" i="18"/>
  <c r="AS69" i="18"/>
  <c r="AC85" i="18"/>
  <c r="AG62" i="18"/>
  <c r="U70" i="18"/>
  <c r="M41" i="18"/>
  <c r="AO66" i="18"/>
  <c r="M90" i="18"/>
  <c r="AG73" i="18"/>
  <c r="Y92" i="18"/>
  <c r="M45" i="18"/>
  <c r="AK92" i="18"/>
  <c r="AG50" i="18"/>
  <c r="AO91" i="18"/>
  <c r="Q13" i="18"/>
  <c r="Q21" i="18"/>
  <c r="Q31" i="18"/>
  <c r="AC20" i="18"/>
  <c r="M6" i="18"/>
  <c r="AO12" i="18"/>
  <c r="U33" i="18"/>
  <c r="U23" i="18"/>
  <c r="AO33" i="18"/>
  <c r="Y6" i="18"/>
  <c r="AK12" i="18"/>
  <c r="AS24" i="18"/>
  <c r="Q14" i="18"/>
  <c r="U47" i="18"/>
  <c r="AC12" i="18"/>
  <c r="AO20" i="18"/>
  <c r="AS30" i="18"/>
  <c r="M20" i="18"/>
  <c r="AK10" i="18"/>
  <c r="Q6" i="18"/>
  <c r="AO18" i="18"/>
  <c r="AK28" i="18"/>
  <c r="AO40" i="18"/>
  <c r="AG11" i="18"/>
  <c r="AK19" i="18"/>
  <c r="Y29" i="18"/>
  <c r="Y19" i="18"/>
  <c r="AO5" i="18"/>
  <c r="AC11" i="18"/>
  <c r="AK31" i="18"/>
  <c r="M22" i="18"/>
  <c r="U31" i="18"/>
  <c r="U10" i="18"/>
  <c r="AS5" i="18"/>
  <c r="Y18" i="18"/>
  <c r="U28" i="18"/>
  <c r="AO45" i="18"/>
  <c r="Q8" i="18"/>
  <c r="AK20" i="18"/>
  <c r="AG31" i="18"/>
  <c r="AC42" i="18"/>
  <c r="AS13" i="18"/>
  <c r="AG21" i="18"/>
  <c r="Y31" i="18"/>
  <c r="AS20" i="18"/>
  <c r="U4" i="18"/>
  <c r="Y13" i="18"/>
  <c r="AC34" i="18"/>
  <c r="AK23" i="18"/>
  <c r="Y34" i="18"/>
  <c r="Q12" i="18"/>
  <c r="AO7" i="18"/>
  <c r="U20" i="18"/>
  <c r="AG30" i="18"/>
  <c r="AK47" i="18"/>
  <c r="U19" i="18"/>
  <c r="Q29" i="18"/>
  <c r="AG18" i="18"/>
  <c r="U7" i="18"/>
  <c r="M11" i="18"/>
  <c r="AK30" i="18"/>
  <c r="AO21" i="18"/>
  <c r="U30" i="18"/>
  <c r="Q4" i="18"/>
  <c r="AO10" i="18"/>
  <c r="Y23" i="18"/>
  <c r="AS35" i="18"/>
  <c r="Y45" i="18"/>
  <c r="AG10" i="18"/>
  <c r="AS18" i="18"/>
  <c r="AO28" i="18"/>
  <c r="Q18" i="18"/>
  <c r="AC36" i="18"/>
  <c r="Q42" i="18"/>
  <c r="Y69" i="18"/>
  <c r="AG75" i="18"/>
  <c r="Q91" i="18"/>
  <c r="AS45" i="18"/>
  <c r="U50" i="18"/>
  <c r="AG78" i="18"/>
  <c r="AO35" i="18"/>
  <c r="Q48" i="18"/>
  <c r="AG52" i="18"/>
  <c r="AS80" i="18"/>
  <c r="AC37" i="18"/>
  <c r="U51" i="18"/>
  <c r="AS54" i="18"/>
  <c r="M83" i="18"/>
  <c r="AS37" i="18"/>
  <c r="Y54" i="18"/>
  <c r="Q55" i="18"/>
  <c r="AC83" i="18"/>
  <c r="Y42" i="18"/>
  <c r="AK64" i="18"/>
  <c r="Y59" i="18"/>
  <c r="AC78" i="18"/>
  <c r="AG44" i="18"/>
  <c r="Y67" i="18"/>
  <c r="AK61" i="18"/>
  <c r="AO80" i="18"/>
  <c r="AS46" i="18"/>
  <c r="AC75" i="18"/>
  <c r="AG63" i="18"/>
  <c r="AK82" i="18"/>
  <c r="AO43" i="18"/>
  <c r="Y39" i="18"/>
  <c r="AC64" i="18"/>
  <c r="Q72" i="18"/>
  <c r="AO87" i="18"/>
  <c r="AG33" i="18"/>
  <c r="U34" i="18"/>
  <c r="AG77" i="18"/>
  <c r="AC70" i="18"/>
  <c r="M61" i="18"/>
  <c r="AK42" i="18"/>
  <c r="AK74" i="18"/>
  <c r="M60" i="18"/>
  <c r="M57" i="18"/>
  <c r="Q44" i="18"/>
  <c r="AK66" i="18"/>
  <c r="AO90" i="18"/>
  <c r="U54" i="18"/>
  <c r="AK71" i="18"/>
  <c r="Q77" i="18"/>
  <c r="AK54" i="18"/>
  <c r="M72" i="18"/>
  <c r="AC38" i="18"/>
  <c r="AS58" i="18"/>
  <c r="AO81" i="18"/>
  <c r="Q40" i="18"/>
  <c r="AO72" i="18"/>
  <c r="AK84" i="18"/>
  <c r="Y63" i="18"/>
  <c r="Q84" i="18"/>
  <c r="AG39" i="18"/>
  <c r="U92" i="18"/>
  <c r="AC7" i="18"/>
  <c r="AO4" i="18"/>
  <c r="AS16" i="18"/>
  <c r="AK26" i="18"/>
  <c r="AK38" i="18"/>
  <c r="AK9" i="18"/>
  <c r="M18" i="18"/>
  <c r="AS27" i="18"/>
  <c r="AC17" i="18"/>
  <c r="M55" i="18"/>
  <c r="M10" i="18"/>
  <c r="AS28" i="18"/>
  <c r="Q20" i="18"/>
  <c r="AG28" i="18"/>
  <c r="AC8" i="18"/>
  <c r="Y4" i="18"/>
  <c r="AC16" i="18"/>
  <c r="U26" i="18"/>
  <c r="M42" i="18"/>
  <c r="M4" i="18"/>
  <c r="M23" i="18"/>
  <c r="AO34" i="18"/>
  <c r="Y22" i="18"/>
  <c r="AK7" i="18"/>
  <c r="AS15" i="18"/>
  <c r="AO15" i="18"/>
  <c r="Q25" i="18"/>
  <c r="Q37" i="18"/>
  <c r="Y8" i="18"/>
  <c r="AC15" i="18"/>
  <c r="AO26" i="18"/>
  <c r="U16" i="18"/>
  <c r="Q49" i="18"/>
  <c r="AG16" i="18"/>
  <c r="AK22" i="18"/>
  <c r="Y33" i="18"/>
  <c r="AK21" i="18"/>
  <c r="AG5" i="18"/>
  <c r="AG24" i="18"/>
  <c r="AK15" i="18"/>
  <c r="U24" i="18"/>
  <c r="Y9" i="18"/>
  <c r="M5" i="18"/>
  <c r="U17" i="18"/>
  <c r="Y27" i="18"/>
  <c r="U39" i="18"/>
  <c r="Q10" i="18"/>
  <c r="AC18" i="18"/>
  <c r="Y28" i="18"/>
  <c r="AS17" i="18"/>
  <c r="AK56" i="18"/>
  <c r="Q5" i="18"/>
  <c r="Q24" i="18"/>
  <c r="U15" i="18"/>
  <c r="AG23" i="18"/>
  <c r="AC14" i="18"/>
  <c r="Y15" i="18"/>
  <c r="AO24" i="18"/>
  <c r="AG36" i="18"/>
  <c r="AG7" i="18"/>
  <c r="AO14" i="18"/>
  <c r="Y26" i="18"/>
  <c r="AG15" i="18"/>
  <c r="AC48" i="18"/>
  <c r="U8" i="18"/>
  <c r="Q27" i="18"/>
  <c r="AK18" i="18"/>
  <c r="AG26" i="18"/>
  <c r="AS6" i="18"/>
  <c r="AG13" i="18"/>
  <c r="M35" i="18"/>
  <c r="Y24" i="18"/>
  <c r="Y40" i="18"/>
  <c r="AC39" i="18"/>
  <c r="Y60" i="18"/>
  <c r="AG71" i="18"/>
  <c r="U83" i="18"/>
  <c r="AG43" i="18"/>
  <c r="Q64" i="18"/>
  <c r="AO75" i="18"/>
  <c r="U85" i="18"/>
  <c r="AG45" i="18"/>
  <c r="AC66" i="18"/>
  <c r="M82" i="18"/>
  <c r="Q87" i="18"/>
  <c r="AS47" i="18"/>
  <c r="AS72" i="18"/>
  <c r="M68" i="18"/>
  <c r="AC89" i="18"/>
  <c r="U48" i="18"/>
  <c r="M75" i="18"/>
  <c r="AC68" i="18"/>
  <c r="AS89" i="18"/>
  <c r="AS55" i="18"/>
  <c r="U52" i="18"/>
  <c r="U72" i="18"/>
  <c r="AS84" i="18"/>
  <c r="AC29" i="18"/>
  <c r="AG54" i="18"/>
  <c r="AG74" i="18"/>
  <c r="M87" i="18"/>
  <c r="AC31" i="18"/>
  <c r="AS56" i="18"/>
  <c r="AO77" i="18"/>
  <c r="Y89" i="18"/>
  <c r="Y36" i="18"/>
  <c r="AG56" i="18"/>
  <c r="AK76" i="18"/>
  <c r="AC79" i="18"/>
  <c r="AS39" i="18"/>
  <c r="AC92" i="18"/>
  <c r="Q62" i="18"/>
  <c r="U37" i="18"/>
  <c r="AS85" i="18"/>
  <c r="AC74" i="18"/>
  <c r="M43" i="18"/>
  <c r="AS77" i="18"/>
  <c r="AC49" i="18"/>
  <c r="AC25" i="18"/>
  <c r="Y50" i="18"/>
  <c r="Y70" i="18"/>
  <c r="M29" i="18"/>
  <c r="AO46" i="18"/>
  <c r="AS48" i="18"/>
  <c r="AC67" i="18"/>
  <c r="AK53" i="18"/>
  <c r="M91" i="18"/>
  <c r="AG81" i="18"/>
  <c r="Y88" i="18"/>
  <c r="U40" i="18"/>
  <c r="AK51" i="18"/>
  <c r="Q61" i="18"/>
  <c r="AO50" i="18"/>
  <c r="AC57" i="18"/>
  <c r="AO70" i="18"/>
  <c r="AG76" i="18"/>
  <c r="Q92" i="18"/>
  <c r="AO42" i="18"/>
  <c r="Y57" i="18"/>
  <c r="Y65" i="18"/>
  <c r="AK52" i="18"/>
  <c r="AO59" i="18"/>
  <c r="AK72" i="18"/>
  <c r="AS78" i="18"/>
  <c r="Q85" i="18"/>
  <c r="U45" i="18"/>
  <c r="AS29" i="18"/>
  <c r="AK68" i="18"/>
  <c r="U55" i="18"/>
  <c r="M62" i="18"/>
  <c r="U75" i="18"/>
  <c r="M81" i="18"/>
  <c r="AC87" i="18"/>
  <c r="AK45" i="18"/>
  <c r="Y30" i="18"/>
  <c r="Q70" i="18"/>
  <c r="AK55" i="18"/>
  <c r="AC62" i="18"/>
  <c r="AK75" i="18"/>
  <c r="AC81" i="18"/>
  <c r="AS87" i="18"/>
  <c r="U56" i="18"/>
  <c r="AS33" i="18"/>
  <c r="AG51" i="18"/>
  <c r="AC59" i="18"/>
  <c r="U66" i="18"/>
  <c r="Q67" i="18"/>
  <c r="Q89" i="18"/>
  <c r="M92" i="18"/>
  <c r="Q33" i="18"/>
  <c r="U36" i="18"/>
  <c r="AS53" i="18"/>
  <c r="AO61" i="18"/>
  <c r="AG70" i="18"/>
  <c r="AC69" i="18"/>
  <c r="AS76" i="18"/>
  <c r="M85" i="18"/>
  <c r="AK35" i="18"/>
  <c r="AO38" i="18"/>
  <c r="Q56" i="18"/>
  <c r="M64" i="18"/>
  <c r="AS75" i="18"/>
  <c r="AO71" i="18"/>
  <c r="M79" i="18"/>
  <c r="Y87" i="18"/>
  <c r="Q58" i="18"/>
  <c r="Q43" i="18"/>
  <c r="AC45" i="18"/>
  <c r="AO63" i="18"/>
  <c r="AS49" i="18"/>
  <c r="Y75" i="18"/>
  <c r="Q78" i="18"/>
  <c r="AG84" i="18"/>
  <c r="AS36" i="18"/>
  <c r="M47" i="18"/>
  <c r="AO49" i="18"/>
  <c r="Q68" i="18"/>
  <c r="M54" i="18"/>
  <c r="U67" i="18"/>
  <c r="Y82" i="18"/>
  <c r="AO88" i="18"/>
  <c r="AG38" i="18"/>
  <c r="U49" i="18"/>
  <c r="AG58" i="18"/>
  <c r="AG83" i="18"/>
  <c r="Y56" i="18"/>
  <c r="Q69" i="18"/>
  <c r="AC88" i="18"/>
  <c r="AK90" i="18"/>
  <c r="U41" i="18"/>
  <c r="Q53" i="18"/>
  <c r="AS63" i="18"/>
  <c r="AC51" i="18"/>
  <c r="U58" i="18"/>
  <c r="AC71" i="18"/>
  <c r="AK77" i="18"/>
  <c r="M84" i="18"/>
  <c r="AK41" i="18"/>
  <c r="AO54" i="18"/>
  <c r="U64" i="18"/>
  <c r="AS51" i="18"/>
  <c r="AK58" i="18"/>
  <c r="AS71" i="18"/>
  <c r="M78" i="18"/>
  <c r="AC84" i="18"/>
  <c r="M46" i="18"/>
  <c r="AO30" i="18"/>
  <c r="U71" i="18"/>
  <c r="M56" i="18"/>
  <c r="AS62" i="18"/>
  <c r="Q76" i="18"/>
  <c r="AS81" i="18"/>
  <c r="U88" i="18"/>
  <c r="Y48" i="18"/>
  <c r="AO32" i="18"/>
  <c r="AC50" i="18"/>
  <c r="Y58" i="18"/>
  <c r="M65" i="18"/>
  <c r="U81" i="18"/>
  <c r="AG86" i="18"/>
  <c r="AG90" i="18"/>
  <c r="AS60" i="18"/>
  <c r="AG34" i="18"/>
  <c r="AO52" i="18"/>
  <c r="U60" i="18"/>
  <c r="M67" i="18"/>
  <c r="Y68" i="18"/>
  <c r="AS91" i="18"/>
  <c r="AS92" i="18"/>
  <c r="AG66" i="18"/>
  <c r="Q54" i="18"/>
  <c r="U61" i="18"/>
  <c r="Q74" i="18"/>
  <c r="Y80" i="18"/>
  <c r="AO86" i="18"/>
  <c r="AC46" i="18"/>
  <c r="M31" i="18"/>
  <c r="Y74" i="18"/>
  <c r="AC56" i="18"/>
  <c r="Q63" i="18"/>
  <c r="Y76" i="18"/>
  <c r="U82" i="18"/>
  <c r="AK88" i="18"/>
  <c r="AC52" i="18"/>
  <c r="M33" i="18"/>
  <c r="AS50" i="18"/>
  <c r="AO58" i="18"/>
  <c r="AC65" i="18"/>
  <c r="AS83" i="18"/>
  <c r="AK87" i="18"/>
  <c r="U91" i="18"/>
  <c r="AG53" i="18"/>
  <c r="AC33" i="18"/>
  <c r="Q51" i="18"/>
  <c r="M59" i="18"/>
  <c r="AS65" i="18"/>
  <c r="AO85" i="18"/>
  <c r="M88" i="18"/>
  <c r="AK91" i="18"/>
  <c r="AK34" i="18"/>
  <c r="AK37" i="18"/>
  <c r="Y55" i="18"/>
  <c r="U63" i="18"/>
  <c r="Q73" i="18"/>
  <c r="AK70" i="18"/>
  <c r="Y78" i="18"/>
  <c r="U86" i="18"/>
  <c r="Y37" i="18"/>
  <c r="M40" i="18"/>
  <c r="AK57" i="18"/>
  <c r="Q65" i="18"/>
  <c r="U69" i="18"/>
  <c r="U73" i="18"/>
  <c r="U80" i="18"/>
  <c r="AG88" i="18"/>
  <c r="M39" i="18"/>
  <c r="AS41" i="18"/>
  <c r="AG59" i="18"/>
  <c r="U68" i="18"/>
  <c r="Q71" i="18"/>
  <c r="Q75" i="18"/>
  <c r="AG82" i="18"/>
  <c r="AS90" i="18"/>
  <c r="M63" i="18"/>
  <c r="Q35" i="18"/>
  <c r="M53" i="18"/>
  <c r="AK60" i="18"/>
  <c r="AS67" i="18"/>
  <c r="AO68" i="18"/>
  <c r="M76" i="18"/>
  <c r="Y84" i="18"/>
  <c r="AO36" i="18"/>
  <c r="AO39" i="18"/>
  <c r="U57" i="18"/>
  <c r="AS64" i="18"/>
  <c r="AS88" i="18"/>
  <c r="AG72" i="18"/>
  <c r="AS79" i="18"/>
  <c r="Q88" i="18"/>
  <c r="AS38" i="18"/>
  <c r="AC41" i="18"/>
  <c r="Q59" i="18"/>
  <c r="AO67" i="18"/>
  <c r="AS70" i="18"/>
  <c r="AS74" i="18"/>
  <c r="Q82" i="18"/>
  <c r="AC90" i="18"/>
  <c r="AG40" i="18"/>
  <c r="AC43" i="18"/>
  <c r="AC61" i="18"/>
  <c r="Y77" i="18"/>
  <c r="M73" i="18"/>
  <c r="U78" i="18"/>
  <c r="Q86" i="18"/>
  <c r="AO92" i="18"/>
  <c r="Q41" i="18"/>
  <c r="AS43" i="18"/>
  <c r="AS61" i="18"/>
  <c r="Y79" i="18"/>
  <c r="AC73" i="18"/>
  <c r="AO79" i="18"/>
  <c r="U87" i="18"/>
  <c r="Y35" i="18"/>
  <c r="Q45" i="18"/>
  <c r="AO47" i="18"/>
  <c r="M66" i="18"/>
  <c r="Q52" i="18"/>
  <c r="AK81" i="18"/>
  <c r="AC80" i="18"/>
  <c r="AS86" i="18"/>
  <c r="M37" i="18"/>
  <c r="AC47" i="18"/>
  <c r="Q50" i="18"/>
  <c r="AO69" i="18"/>
  <c r="AC54" i="18"/>
  <c r="AK67" i="18"/>
  <c r="AO82" i="18"/>
  <c r="M89" i="18"/>
  <c r="Q39" i="18"/>
  <c r="AK49" i="18"/>
  <c r="AK59" i="18"/>
  <c r="AG49" i="18"/>
  <c r="AO56" i="18"/>
  <c r="AG69" i="18"/>
  <c r="AG89" i="18"/>
  <c r="Y91" i="18"/>
  <c r="AC35" i="18"/>
  <c r="Q47" i="18"/>
  <c r="AS31" i="18"/>
  <c r="AC82" i="18"/>
  <c r="Q57" i="18"/>
  <c r="Y64" i="18"/>
  <c r="AK78" i="18"/>
  <c r="Y83" i="18"/>
  <c r="AO89" i="18"/>
  <c r="AS32" i="18"/>
  <c r="AG35" i="18"/>
  <c r="AC53" i="18"/>
  <c r="Y61" i="18"/>
  <c r="AG68" i="18"/>
  <c r="M69" i="18"/>
  <c r="AC76" i="18"/>
  <c r="AO84" i="18"/>
  <c r="U35" i="18"/>
  <c r="Y38" i="18"/>
  <c r="AO55" i="18"/>
  <c r="AK63" i="18"/>
  <c r="AO74" i="18"/>
  <c r="Y71" i="18"/>
  <c r="AO78" i="18"/>
  <c r="AK86" i="18"/>
  <c r="AO37" i="18"/>
  <c r="AC40" i="18"/>
  <c r="M58" i="18"/>
  <c r="AG65" i="18"/>
  <c r="AK69" i="18"/>
  <c r="AK73" i="18"/>
  <c r="AK80" i="18"/>
  <c r="U89" i="18"/>
  <c r="M38" i="18"/>
  <c r="AS40" i="18"/>
  <c r="AC58" i="18"/>
  <c r="Y66" i="18"/>
  <c r="M70" i="18"/>
  <c r="M74" i="18"/>
  <c r="Y81" i="18"/>
  <c r="AK89" i="18"/>
  <c r="AG41" i="18"/>
  <c r="Y44" i="18"/>
  <c r="U62" i="18"/>
  <c r="AO48" i="18"/>
  <c r="AS73" i="18"/>
  <c r="AS82" i="18"/>
  <c r="Y90" i="18"/>
  <c r="U59" i="18"/>
  <c r="M44" i="18"/>
  <c r="U46" i="18"/>
  <c r="AG64" i="18"/>
  <c r="AK50" i="18"/>
  <c r="AO76" i="18"/>
  <c r="U79" i="18"/>
  <c r="AK85" i="18"/>
  <c r="M36" i="18"/>
  <c r="Y46" i="18"/>
  <c r="AG48" i="18"/>
  <c r="AS66" i="18"/>
  <c r="U53" i="18"/>
  <c r="Q83" i="18"/>
  <c r="Q81" i="18"/>
  <c r="AG87" i="18"/>
  <c r="AG42" i="18"/>
  <c r="AO60" i="18"/>
  <c r="AC72" i="18"/>
  <c r="Y72" i="18"/>
  <c r="M77" i="18"/>
  <c r="AK83" i="18"/>
  <c r="AG91" i="18"/>
  <c r="U42" i="18"/>
  <c r="AO44" i="18"/>
  <c r="AK62" i="18"/>
  <c r="M49" i="18"/>
  <c r="U74" i="18"/>
  <c r="U84" i="18"/>
  <c r="AC91" i="18"/>
  <c r="Y62" i="18"/>
  <c r="AC44" i="18"/>
  <c r="AK46" i="18"/>
  <c r="U65" i="18"/>
  <c r="Y51" i="18"/>
  <c r="AC77" i="18"/>
  <c r="AK79" i="18"/>
  <c r="M86" i="18"/>
  <c r="AC63" i="18"/>
  <c r="AS44" i="18"/>
  <c r="Y47" i="18"/>
  <c r="AK65" i="18"/>
  <c r="AO51" i="18"/>
  <c r="AG80" i="18"/>
  <c r="M80" i="18"/>
  <c r="AC86" i="18"/>
  <c r="Q38" i="18"/>
  <c r="AK48" i="18"/>
  <c r="AC55" i="18"/>
  <c r="U76" i="18"/>
  <c r="AG55" i="18"/>
  <c r="AS68" i="18"/>
  <c r="Y85" i="18"/>
  <c r="U90" i="18"/>
  <c r="AK40" i="18"/>
  <c r="M52" i="18"/>
  <c r="AO62" i="18"/>
  <c r="M51" i="18"/>
  <c r="AS57" i="18"/>
  <c r="M71" i="18"/>
  <c r="U77" i="18"/>
  <c r="AG92" i="18"/>
  <c r="U43" i="18"/>
  <c r="AC60" i="18"/>
  <c r="AO65" i="18"/>
  <c r="Y53" i="18"/>
  <c r="Q60" i="18"/>
  <c r="Y73" i="18"/>
  <c r="Q79" i="18"/>
  <c r="AG85" i="18"/>
  <c r="BE22" i="18"/>
  <c r="AU16" i="18"/>
  <c r="AU17" i="18" s="1"/>
  <c r="BE24" i="18" l="1"/>
  <c r="AU18" i="18"/>
  <c r="AU19" i="18" s="1"/>
  <c r="AU20" i="18" l="1"/>
  <c r="AU21" i="18" s="1"/>
  <c r="BE26" i="18"/>
  <c r="BE28" i="18" l="1"/>
  <c r="AU22" i="18"/>
  <c r="AU23" i="18" s="1"/>
  <c r="AU24" i="18" l="1"/>
  <c r="AU25" i="18" s="1"/>
  <c r="BE30" i="18"/>
  <c r="BE32" i="18" l="1"/>
  <c r="AU26" i="18"/>
  <c r="AU27" i="18" s="1"/>
  <c r="AU28" i="18" l="1"/>
  <c r="AU29" i="18" s="1"/>
  <c r="BE34" i="18"/>
  <c r="BE36" i="18" l="1"/>
  <c r="AU30" i="18"/>
  <c r="AU31" i="18" s="1"/>
  <c r="AU32" i="18" l="1"/>
  <c r="AU33" i="18" s="1"/>
  <c r="BE38" i="18"/>
  <c r="BE40" i="18" l="1"/>
  <c r="AU34" i="18"/>
  <c r="AU35" i="18" s="1"/>
  <c r="AU36" i="18" l="1"/>
  <c r="AU37" i="18" s="1"/>
  <c r="BE42" i="18"/>
  <c r="AU38" i="18" l="1"/>
  <c r="AU39" i="18" s="1"/>
  <c r="AU40" i="18" l="1"/>
  <c r="AU41" i="18" s="1"/>
  <c r="DY37" i="2" l="1"/>
  <c r="Q29" i="27" s="1"/>
  <c r="DY38" i="2"/>
  <c r="Q30" i="27" s="1"/>
  <c r="DY39" i="2"/>
  <c r="Q31" i="27" s="1"/>
  <c r="DY40" i="2"/>
  <c r="Q32" i="27" s="1"/>
  <c r="DY41" i="2"/>
  <c r="Q33" i="27" s="1"/>
  <c r="DY42" i="2"/>
  <c r="Q34" i="27" s="1"/>
  <c r="DY43" i="2"/>
  <c r="Q35" i="27" s="1"/>
  <c r="DY44" i="2"/>
  <c r="Q36" i="27" s="1"/>
  <c r="DY45" i="2"/>
  <c r="Q37" i="27" s="1"/>
  <c r="DY46" i="2"/>
  <c r="Q38" i="27" s="1"/>
  <c r="DY47" i="2"/>
  <c r="Q39" i="27" s="1"/>
  <c r="DY48" i="2"/>
  <c r="Q40" i="27" s="1"/>
  <c r="DY49" i="2"/>
  <c r="Q41" i="27" s="1"/>
  <c r="DY50" i="2"/>
  <c r="Q42" i="27" s="1"/>
  <c r="DY51" i="2"/>
  <c r="Q43" i="27" s="1"/>
  <c r="DY52" i="2"/>
  <c r="Q44" i="27" s="1"/>
  <c r="DY53" i="2"/>
  <c r="Q45" i="27" s="1"/>
  <c r="DY54" i="2"/>
  <c r="Q46" i="27" s="1"/>
  <c r="DY55" i="2"/>
  <c r="Q47" i="27" s="1"/>
  <c r="DY56" i="2"/>
  <c r="Q48" i="27" s="1"/>
  <c r="DY57" i="2"/>
  <c r="Q58" i="27" s="1"/>
  <c r="DY58" i="2"/>
  <c r="Q59" i="27" s="1"/>
  <c r="DY59" i="2"/>
  <c r="Q60" i="27" s="1"/>
  <c r="DY60" i="2"/>
  <c r="Q61" i="27" s="1"/>
  <c r="DY61" i="2"/>
  <c r="Q62" i="27" s="1"/>
  <c r="DY62" i="2"/>
  <c r="Q63" i="27" s="1"/>
  <c r="DY63" i="2"/>
  <c r="Q64" i="27" s="1"/>
  <c r="DY64" i="2"/>
  <c r="Q65" i="27" s="1"/>
  <c r="DY65" i="2"/>
  <c r="Q66" i="27" s="1"/>
  <c r="DY66" i="2"/>
  <c r="Q67" i="27" s="1"/>
  <c r="DY67" i="2"/>
  <c r="Q68" i="27" s="1"/>
  <c r="DY68" i="2"/>
  <c r="Q69" i="27" s="1"/>
  <c r="DY69" i="2"/>
  <c r="Q70" i="27" s="1"/>
  <c r="DY70" i="2"/>
  <c r="Q71" i="27" s="1"/>
  <c r="DY71" i="2"/>
  <c r="Q72" i="27" s="1"/>
  <c r="DY72" i="2"/>
  <c r="Q73" i="27" s="1"/>
  <c r="DY73" i="2"/>
  <c r="Q74" i="27" s="1"/>
  <c r="DY74" i="2"/>
  <c r="Q75" i="27" s="1"/>
  <c r="DY75" i="2"/>
  <c r="Q76" i="27" s="1"/>
  <c r="DY76" i="2"/>
  <c r="Q77" i="27" s="1"/>
  <c r="DY77" i="2"/>
  <c r="Q78" i="27" s="1"/>
  <c r="DY78" i="2"/>
  <c r="Q79" i="27" s="1"/>
  <c r="DY79" i="2"/>
  <c r="Q80" i="27" s="1"/>
  <c r="DY80" i="2"/>
  <c r="Q81" i="27" s="1"/>
  <c r="DY81" i="2"/>
  <c r="Q82" i="27" s="1"/>
  <c r="DY82" i="2"/>
  <c r="Q83" i="27" s="1"/>
  <c r="DY83" i="2"/>
  <c r="Q84" i="27" s="1"/>
  <c r="DY84" i="2"/>
  <c r="Q85" i="27" s="1"/>
  <c r="DY85" i="2"/>
  <c r="Q86" i="27" s="1"/>
  <c r="DY86" i="2"/>
  <c r="Q87" i="27" s="1"/>
  <c r="DY87" i="2"/>
  <c r="Q88" i="27" s="1"/>
  <c r="DY88" i="2"/>
  <c r="Q89" i="27" s="1"/>
  <c r="DY89" i="2"/>
  <c r="Q90" i="27" s="1"/>
  <c r="DY90" i="2"/>
  <c r="Q91" i="27" s="1"/>
  <c r="DY91" i="2"/>
  <c r="Q92" i="27" s="1"/>
  <c r="DY92" i="2"/>
  <c r="Q93" i="27" s="1"/>
  <c r="DY93" i="2"/>
  <c r="Q94" i="27" s="1"/>
  <c r="DY94" i="2"/>
  <c r="Q95" i="27" s="1"/>
  <c r="DY95" i="2"/>
  <c r="Q96" i="27" s="1"/>
  <c r="DY97" i="2"/>
  <c r="Q107" i="27" s="1"/>
  <c r="DY98" i="2"/>
  <c r="Q108" i="27" s="1"/>
  <c r="DY99" i="2"/>
  <c r="Q109" i="27" s="1"/>
  <c r="DY100" i="2"/>
  <c r="Q110" i="27" s="1"/>
  <c r="DY101" i="2"/>
  <c r="Q111" i="27" s="1"/>
  <c r="DY102" i="2"/>
  <c r="Q112" i="27" s="1"/>
  <c r="DY103" i="2"/>
  <c r="Q113" i="27" s="1"/>
  <c r="DY104" i="2"/>
  <c r="Q114" i="27" s="1"/>
  <c r="DY105" i="2"/>
  <c r="Q115" i="27" s="1"/>
  <c r="DY106" i="2"/>
  <c r="Q116" i="27" s="1"/>
  <c r="DY107" i="2"/>
  <c r="Q117" i="27" s="1"/>
  <c r="DY108" i="2"/>
  <c r="Q118" i="27" s="1"/>
  <c r="DY109" i="2"/>
  <c r="Q119" i="27" s="1"/>
  <c r="DY110" i="2"/>
  <c r="Q120" i="27" s="1"/>
  <c r="DY111" i="2"/>
  <c r="Q121" i="27" s="1"/>
  <c r="DY112" i="2"/>
  <c r="Q122" i="27" s="1"/>
  <c r="DY113" i="2"/>
  <c r="Q123" i="27" s="1"/>
  <c r="DY114" i="2"/>
  <c r="Q124" i="27" s="1"/>
  <c r="DY115" i="2"/>
  <c r="Q125" i="27" s="1"/>
  <c r="DY116" i="2"/>
  <c r="Q126" i="27" s="1"/>
  <c r="DX37" i="2"/>
  <c r="P29" i="27" s="1"/>
  <c r="DX38" i="2"/>
  <c r="P30" i="27" s="1"/>
  <c r="DX39" i="2"/>
  <c r="P31" i="27" s="1"/>
  <c r="DX40" i="2"/>
  <c r="P32" i="27" s="1"/>
  <c r="DX41" i="2"/>
  <c r="P33" i="27" s="1"/>
  <c r="DX42" i="2"/>
  <c r="P34" i="27" s="1"/>
  <c r="DX43" i="2"/>
  <c r="P35" i="27" s="1"/>
  <c r="DX44" i="2"/>
  <c r="P36" i="27" s="1"/>
  <c r="DX45" i="2"/>
  <c r="P37" i="27" s="1"/>
  <c r="DX46" i="2"/>
  <c r="P38" i="27" s="1"/>
  <c r="DX47" i="2"/>
  <c r="P39" i="27" s="1"/>
  <c r="DX48" i="2"/>
  <c r="P40" i="27" s="1"/>
  <c r="DX49" i="2"/>
  <c r="P41" i="27" s="1"/>
  <c r="DX50" i="2"/>
  <c r="P42" i="27" s="1"/>
  <c r="DX51" i="2"/>
  <c r="P43" i="27" s="1"/>
  <c r="DX52" i="2"/>
  <c r="P44" i="27" s="1"/>
  <c r="DX53" i="2"/>
  <c r="P45" i="27" s="1"/>
  <c r="DX54" i="2"/>
  <c r="P46" i="27" s="1"/>
  <c r="DX55" i="2"/>
  <c r="P47" i="27" s="1"/>
  <c r="DX56" i="2"/>
  <c r="P48" i="27" s="1"/>
  <c r="DX57" i="2"/>
  <c r="P58" i="27" s="1"/>
  <c r="DX58" i="2"/>
  <c r="P59" i="27" s="1"/>
  <c r="DX59" i="2"/>
  <c r="P60" i="27" s="1"/>
  <c r="DX60" i="2"/>
  <c r="P61" i="27" s="1"/>
  <c r="DX61" i="2"/>
  <c r="P62" i="27" s="1"/>
  <c r="DX62" i="2"/>
  <c r="P63" i="27" s="1"/>
  <c r="DX63" i="2"/>
  <c r="P64" i="27" s="1"/>
  <c r="DX64" i="2"/>
  <c r="P65" i="27" s="1"/>
  <c r="DX65" i="2"/>
  <c r="P66" i="27" s="1"/>
  <c r="DX66" i="2"/>
  <c r="P67" i="27" s="1"/>
  <c r="DX67" i="2"/>
  <c r="P68" i="27" s="1"/>
  <c r="DX68" i="2"/>
  <c r="P69" i="27" s="1"/>
  <c r="DX69" i="2"/>
  <c r="P70" i="27" s="1"/>
  <c r="DX70" i="2"/>
  <c r="P71" i="27" s="1"/>
  <c r="DX71" i="2"/>
  <c r="P72" i="27" s="1"/>
  <c r="DX72" i="2"/>
  <c r="P73" i="27" s="1"/>
  <c r="DX73" i="2"/>
  <c r="P74" i="27" s="1"/>
  <c r="DX74" i="2"/>
  <c r="P75" i="27" s="1"/>
  <c r="DX75" i="2"/>
  <c r="P76" i="27" s="1"/>
  <c r="DX76" i="2"/>
  <c r="P77" i="27" s="1"/>
  <c r="DX77" i="2"/>
  <c r="P78" i="27" s="1"/>
  <c r="DX78" i="2"/>
  <c r="P79" i="27" s="1"/>
  <c r="DX79" i="2"/>
  <c r="P80" i="27" s="1"/>
  <c r="DX80" i="2"/>
  <c r="P81" i="27" s="1"/>
  <c r="DX81" i="2"/>
  <c r="P82" i="27" s="1"/>
  <c r="DX82" i="2"/>
  <c r="P83" i="27" s="1"/>
  <c r="DX83" i="2"/>
  <c r="P84" i="27" s="1"/>
  <c r="DX84" i="2"/>
  <c r="P85" i="27" s="1"/>
  <c r="DX85" i="2"/>
  <c r="P86" i="27" s="1"/>
  <c r="DX86" i="2"/>
  <c r="P87" i="27" s="1"/>
  <c r="DX87" i="2"/>
  <c r="P88" i="27" s="1"/>
  <c r="DX88" i="2"/>
  <c r="P89" i="27" s="1"/>
  <c r="DX89" i="2"/>
  <c r="P90" i="27" s="1"/>
  <c r="DX90" i="2"/>
  <c r="P91" i="27" s="1"/>
  <c r="DX91" i="2"/>
  <c r="P92" i="27" s="1"/>
  <c r="DX92" i="2"/>
  <c r="P93" i="27" s="1"/>
  <c r="DX93" i="2"/>
  <c r="P94" i="27" s="1"/>
  <c r="DX94" i="2"/>
  <c r="P95" i="27" s="1"/>
  <c r="DX95" i="2"/>
  <c r="P96" i="27" s="1"/>
  <c r="DX97" i="2"/>
  <c r="P107" i="27" s="1"/>
  <c r="DX98" i="2"/>
  <c r="P108" i="27" s="1"/>
  <c r="DX99" i="2"/>
  <c r="P109" i="27" s="1"/>
  <c r="DX100" i="2"/>
  <c r="P110" i="27" s="1"/>
  <c r="DX101" i="2"/>
  <c r="P111" i="27" s="1"/>
  <c r="DX102" i="2"/>
  <c r="P112" i="27" s="1"/>
  <c r="DX103" i="2"/>
  <c r="P113" i="27" s="1"/>
  <c r="DX104" i="2"/>
  <c r="P114" i="27" s="1"/>
  <c r="DX105" i="2"/>
  <c r="P115" i="27" s="1"/>
  <c r="DX106" i="2"/>
  <c r="P116" i="27" s="1"/>
  <c r="DX107" i="2"/>
  <c r="P117" i="27" s="1"/>
  <c r="DX108" i="2"/>
  <c r="P118" i="27" s="1"/>
  <c r="DX109" i="2"/>
  <c r="P119" i="27" s="1"/>
  <c r="DX110" i="2"/>
  <c r="P120" i="27" s="1"/>
  <c r="DX111" i="2"/>
  <c r="P121" i="27" s="1"/>
  <c r="DX112" i="2"/>
  <c r="P122" i="27" s="1"/>
  <c r="DX113" i="2"/>
  <c r="P123" i="27" s="1"/>
  <c r="DX114" i="2"/>
  <c r="P124" i="27" s="1"/>
  <c r="DX115" i="2"/>
  <c r="P125" i="27" s="1"/>
  <c r="DX116" i="2"/>
  <c r="P126" i="27" s="1"/>
  <c r="EI13" i="2" l="1"/>
  <c r="EH13" i="2"/>
  <c r="DN14" i="2"/>
  <c r="DT13" i="2"/>
  <c r="DN17" i="2"/>
  <c r="C34" i="4" l="1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S59" i="4" s="1"/>
  <c r="C60" i="4"/>
  <c r="S60" i="4" s="1"/>
  <c r="C61" i="4"/>
  <c r="S61" i="4" s="1"/>
  <c r="C62" i="4"/>
  <c r="S62" i="4" s="1"/>
  <c r="C63" i="4"/>
  <c r="S63" i="4" s="1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H42" i="4"/>
  <c r="H35" i="4"/>
  <c r="H34" i="4"/>
  <c r="H36" i="4"/>
  <c r="H37" i="4"/>
  <c r="H38" i="4"/>
  <c r="H39" i="4"/>
  <c r="H40" i="4"/>
  <c r="H41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2" i="5"/>
  <c r="A13" i="5"/>
  <c r="B13" i="5"/>
  <c r="A14" i="5"/>
  <c r="B14" i="5"/>
  <c r="A15" i="5"/>
  <c r="B15" i="5"/>
  <c r="A16" i="5"/>
  <c r="B16" i="5"/>
  <c r="A17" i="5"/>
  <c r="B17" i="5"/>
  <c r="A18" i="5"/>
  <c r="B18" i="5"/>
  <c r="A19" i="5"/>
  <c r="B19" i="5"/>
  <c r="A20" i="5"/>
  <c r="B20" i="5"/>
  <c r="A21" i="5"/>
  <c r="B21" i="5"/>
  <c r="A22" i="5"/>
  <c r="B22" i="5"/>
  <c r="A23" i="5"/>
  <c r="B23" i="5"/>
  <c r="A24" i="5"/>
  <c r="B24" i="5"/>
  <c r="A25" i="5"/>
  <c r="B25" i="5"/>
  <c r="A26" i="5"/>
  <c r="B26" i="5"/>
  <c r="A27" i="5"/>
  <c r="B27" i="5"/>
  <c r="A28" i="5"/>
  <c r="B28" i="5"/>
  <c r="A29" i="5"/>
  <c r="B29" i="5"/>
  <c r="A30" i="5"/>
  <c r="B30" i="5"/>
  <c r="A31" i="5"/>
  <c r="B31" i="5"/>
  <c r="A32" i="5"/>
  <c r="B32" i="5"/>
  <c r="A33" i="5"/>
  <c r="B33" i="5"/>
  <c r="A34" i="5"/>
  <c r="B34" i="5"/>
  <c r="A35" i="5"/>
  <c r="B35" i="5"/>
  <c r="A36" i="5"/>
  <c r="B36" i="5"/>
  <c r="A37" i="5"/>
  <c r="B37" i="5"/>
  <c r="A38" i="5"/>
  <c r="B38" i="5"/>
  <c r="A39" i="5"/>
  <c r="B39" i="5"/>
  <c r="A40" i="5"/>
  <c r="B40" i="5"/>
  <c r="A41" i="5"/>
  <c r="B41" i="5"/>
  <c r="A42" i="5"/>
  <c r="B42" i="5"/>
  <c r="A43" i="5"/>
  <c r="B43" i="5"/>
  <c r="A44" i="5"/>
  <c r="B44" i="5"/>
  <c r="A45" i="5"/>
  <c r="B45" i="5"/>
  <c r="A46" i="5"/>
  <c r="B46" i="5"/>
  <c r="A47" i="5"/>
  <c r="B47" i="5"/>
  <c r="A48" i="5"/>
  <c r="B48" i="5"/>
  <c r="A49" i="5"/>
  <c r="B49" i="5"/>
  <c r="A50" i="5"/>
  <c r="B50" i="5"/>
  <c r="A51" i="5"/>
  <c r="B51" i="5"/>
  <c r="A52" i="5"/>
  <c r="B52" i="5"/>
  <c r="A53" i="5"/>
  <c r="B53" i="5"/>
  <c r="A54" i="5"/>
  <c r="B54" i="5"/>
  <c r="A55" i="5"/>
  <c r="B55" i="5"/>
  <c r="A56" i="5"/>
  <c r="B56" i="5"/>
  <c r="A57" i="5"/>
  <c r="B57" i="5"/>
  <c r="A58" i="5"/>
  <c r="B58" i="5"/>
  <c r="A59" i="5"/>
  <c r="B59" i="5"/>
  <c r="A60" i="5"/>
  <c r="B60" i="5"/>
  <c r="A61" i="5"/>
  <c r="B61" i="5"/>
  <c r="A62" i="5"/>
  <c r="B62" i="5"/>
  <c r="A63" i="5"/>
  <c r="B63" i="5"/>
  <c r="A64" i="5"/>
  <c r="B64" i="5"/>
  <c r="A65" i="5"/>
  <c r="B65" i="5"/>
  <c r="A66" i="5"/>
  <c r="B66" i="5"/>
  <c r="A67" i="5"/>
  <c r="B67" i="5"/>
  <c r="A68" i="5"/>
  <c r="B68" i="5"/>
  <c r="A69" i="5"/>
  <c r="B69" i="5"/>
  <c r="A70" i="5"/>
  <c r="B70" i="5"/>
  <c r="A71" i="5"/>
  <c r="B71" i="5"/>
  <c r="A72" i="5"/>
  <c r="B72" i="5"/>
  <c r="A73" i="5"/>
  <c r="B73" i="5"/>
  <c r="A74" i="5"/>
  <c r="B74" i="5"/>
  <c r="A75" i="5"/>
  <c r="B75" i="5"/>
  <c r="A76" i="5"/>
  <c r="B76" i="5"/>
  <c r="A77" i="5"/>
  <c r="B77" i="5"/>
  <c r="A78" i="5"/>
  <c r="B78" i="5"/>
  <c r="A79" i="5"/>
  <c r="B79" i="5"/>
  <c r="A80" i="5"/>
  <c r="B80" i="5"/>
  <c r="A81" i="5"/>
  <c r="B81" i="5"/>
  <c r="A82" i="5"/>
  <c r="B82" i="5"/>
  <c r="A83" i="5"/>
  <c r="B83" i="5"/>
  <c r="A84" i="5"/>
  <c r="B84" i="5"/>
  <c r="A85" i="5"/>
  <c r="B85" i="5"/>
  <c r="A86" i="5"/>
  <c r="B86" i="5"/>
  <c r="A87" i="5"/>
  <c r="B87" i="5"/>
  <c r="A88" i="5"/>
  <c r="B88" i="5"/>
  <c r="A89" i="5"/>
  <c r="B89" i="5"/>
  <c r="A90" i="5"/>
  <c r="B90" i="5"/>
  <c r="A91" i="5"/>
  <c r="B91" i="5"/>
  <c r="A92" i="5"/>
  <c r="B92" i="5"/>
  <c r="A93" i="5"/>
  <c r="B93" i="5"/>
  <c r="A94" i="5"/>
  <c r="B94" i="5"/>
  <c r="A95" i="5"/>
  <c r="B95" i="5"/>
  <c r="A96" i="5"/>
  <c r="B96" i="5"/>
  <c r="A97" i="5"/>
  <c r="B97" i="5"/>
  <c r="A98" i="5"/>
  <c r="B98" i="5"/>
  <c r="A99" i="5"/>
  <c r="B99" i="5"/>
  <c r="A100" i="5"/>
  <c r="B100" i="5"/>
  <c r="A101" i="5"/>
  <c r="B101" i="5"/>
  <c r="A3" i="5"/>
  <c r="B3" i="5"/>
  <c r="A4" i="5"/>
  <c r="B4" i="5"/>
  <c r="A5" i="5"/>
  <c r="B5" i="5"/>
  <c r="A6" i="5"/>
  <c r="B6" i="5"/>
  <c r="A7" i="5"/>
  <c r="B7" i="5"/>
  <c r="A8" i="5"/>
  <c r="B8" i="5"/>
  <c r="A9" i="5"/>
  <c r="B9" i="5"/>
  <c r="A10" i="5"/>
  <c r="B10" i="5"/>
  <c r="A11" i="5"/>
  <c r="B11" i="5"/>
  <c r="A12" i="5"/>
  <c r="B12" i="5"/>
  <c r="B2" i="5"/>
  <c r="A2" i="5"/>
  <c r="F37" i="28" l="1"/>
  <c r="CE38" i="28" s="1"/>
  <c r="F37" i="29"/>
  <c r="CE38" i="29" s="1"/>
  <c r="F38" i="28"/>
  <c r="CE39" i="28" s="1"/>
  <c r="F38" i="29"/>
  <c r="CE39" i="29" s="1"/>
  <c r="F40" i="28"/>
  <c r="CE41" i="28" s="1"/>
  <c r="F40" i="29"/>
  <c r="CE41" i="29" s="1"/>
  <c r="F34" i="29"/>
  <c r="CE35" i="29" s="1"/>
  <c r="F35" i="29"/>
  <c r="CE36" i="29" s="1"/>
  <c r="F36" i="28"/>
  <c r="CE37" i="28" s="1"/>
  <c r="F36" i="29"/>
  <c r="CE37" i="29" s="1"/>
  <c r="F34" i="28"/>
  <c r="CE35" i="28" s="1"/>
  <c r="F35" i="28"/>
  <c r="CE36" i="28" s="1"/>
  <c r="F42" i="29"/>
  <c r="CE43" i="29" s="1"/>
  <c r="F43" i="28"/>
  <c r="CE44" i="28" s="1"/>
  <c r="F43" i="29"/>
  <c r="CE44" i="29" s="1"/>
  <c r="F42" i="28"/>
  <c r="CE43" i="28" s="1"/>
  <c r="F39" i="29"/>
  <c r="CE40" i="29" s="1"/>
  <c r="F39" i="28"/>
  <c r="CE40" i="28" s="1"/>
  <c r="F41" i="28"/>
  <c r="CE42" i="28" s="1"/>
  <c r="F41" i="29"/>
  <c r="CE42" i="29" s="1"/>
  <c r="M34" i="4"/>
  <c r="F183" i="25"/>
  <c r="EA64" i="25" s="1"/>
  <c r="F182" i="25"/>
  <c r="EA63" i="25" s="1"/>
  <c r="G181" i="25"/>
  <c r="I181" i="25" s="1"/>
  <c r="F179" i="25"/>
  <c r="EA60" i="25" s="1"/>
  <c r="F178" i="25"/>
  <c r="EA59" i="25" s="1"/>
  <c r="G177" i="25"/>
  <c r="I177" i="25" s="1"/>
  <c r="G175" i="25"/>
  <c r="I175" i="25" s="1"/>
  <c r="G174" i="25"/>
  <c r="I174" i="25" s="1"/>
  <c r="G171" i="25"/>
  <c r="I171" i="25" s="1"/>
  <c r="G170" i="25"/>
  <c r="I170" i="25" s="1"/>
  <c r="G163" i="25"/>
  <c r="I163" i="25" s="1"/>
  <c r="G162" i="25"/>
  <c r="I162" i="25" s="1"/>
  <c r="F161" i="25"/>
  <c r="EA42" i="25" s="1"/>
  <c r="F160" i="25"/>
  <c r="EA41" i="25" s="1"/>
  <c r="G154" i="25"/>
  <c r="I154" i="25" s="1"/>
  <c r="F153" i="25"/>
  <c r="DO64" i="25" s="1"/>
  <c r="F152" i="25"/>
  <c r="DO63" i="25" s="1"/>
  <c r="G150" i="25"/>
  <c r="I150" i="25" s="1"/>
  <c r="F149" i="25"/>
  <c r="DO60" i="25" s="1"/>
  <c r="F148" i="25"/>
  <c r="DO59" i="25" s="1"/>
  <c r="F145" i="25"/>
  <c r="DO56" i="25" s="1"/>
  <c r="F144" i="25"/>
  <c r="DO55" i="25" s="1"/>
  <c r="G143" i="25"/>
  <c r="I143" i="25" s="1"/>
  <c r="F140" i="25"/>
  <c r="DO51" i="25" s="1"/>
  <c r="G139" i="25"/>
  <c r="I139" i="25" s="1"/>
  <c r="G136" i="25"/>
  <c r="I136" i="25" s="1"/>
  <c r="G135" i="25"/>
  <c r="I135" i="25" s="1"/>
  <c r="G134" i="25"/>
  <c r="I134" i="25" s="1"/>
  <c r="G131" i="25"/>
  <c r="I131" i="25" s="1"/>
  <c r="F130" i="25"/>
  <c r="DO41" i="25" s="1"/>
  <c r="G129" i="25"/>
  <c r="I129" i="25" s="1"/>
  <c r="G128" i="25"/>
  <c r="I128" i="25" s="1"/>
  <c r="F125" i="25"/>
  <c r="DO36" i="25" s="1"/>
  <c r="F124" i="25"/>
  <c r="DO35" i="25" s="1"/>
  <c r="G119" i="25"/>
  <c r="I119" i="25" s="1"/>
  <c r="G118" i="25"/>
  <c r="I118" i="25" s="1"/>
  <c r="F115" i="25"/>
  <c r="DC56" i="25" s="1"/>
  <c r="F114" i="25"/>
  <c r="DC55" i="25" s="1"/>
  <c r="F112" i="25"/>
  <c r="DC53" i="25" s="1"/>
  <c r="G111" i="25"/>
  <c r="I111" i="25" s="1"/>
  <c r="G110" i="25"/>
  <c r="I110" i="25" s="1"/>
  <c r="F109" i="25"/>
  <c r="DC50" i="25" s="1"/>
  <c r="G104" i="25"/>
  <c r="I104" i="25" s="1"/>
  <c r="G96" i="25"/>
  <c r="I96" i="25" s="1"/>
  <c r="F95" i="25"/>
  <c r="DC36" i="25" s="1"/>
  <c r="F94" i="25"/>
  <c r="DC35" i="25" s="1"/>
  <c r="F93" i="25"/>
  <c r="CQ64" i="25" s="1"/>
  <c r="F92" i="25"/>
  <c r="CQ63" i="25" s="1"/>
  <c r="G87" i="25"/>
  <c r="I87" i="25" s="1"/>
  <c r="G86" i="25"/>
  <c r="I86" i="25" s="1"/>
  <c r="G80" i="25"/>
  <c r="I80" i="25" s="1"/>
  <c r="G75" i="25"/>
  <c r="I75" i="25" s="1"/>
  <c r="F72" i="25"/>
  <c r="CQ43" i="25" s="1"/>
  <c r="F68" i="25"/>
  <c r="CQ39" i="25" s="1"/>
  <c r="F67" i="25"/>
  <c r="CQ38" i="25" s="1"/>
  <c r="F66" i="25"/>
  <c r="CQ37" i="25" s="1"/>
  <c r="G64" i="25"/>
  <c r="I64" i="25" s="1"/>
  <c r="G62" i="25"/>
  <c r="I62" i="25" s="1"/>
  <c r="G60" i="25"/>
  <c r="I60" i="25" s="1"/>
  <c r="F57" i="25"/>
  <c r="CE58" i="25" s="1"/>
  <c r="F56" i="25"/>
  <c r="CE57" i="25" s="1"/>
  <c r="G54" i="25"/>
  <c r="I54" i="25" s="1"/>
  <c r="F53" i="25"/>
  <c r="CE54" i="25" s="1"/>
  <c r="F52" i="25"/>
  <c r="CE53" i="25" s="1"/>
  <c r="F49" i="25"/>
  <c r="CE50" i="25" s="1"/>
  <c r="G48" i="25"/>
  <c r="I48" i="25" s="1"/>
  <c r="G47" i="25"/>
  <c r="I47" i="25" s="1"/>
  <c r="F45" i="25"/>
  <c r="CE46" i="25" s="1"/>
  <c r="G44" i="25"/>
  <c r="I44" i="25" s="1"/>
  <c r="F43" i="25"/>
  <c r="CE44" i="25" s="1"/>
  <c r="F42" i="25"/>
  <c r="CE43" i="25" s="1"/>
  <c r="G37" i="25"/>
  <c r="I37" i="25" s="1"/>
  <c r="F181" i="25"/>
  <c r="EA62" i="25" s="1"/>
  <c r="G180" i="25"/>
  <c r="I180" i="25" s="1"/>
  <c r="F177" i="25"/>
  <c r="EA58" i="25" s="1"/>
  <c r="G176" i="25"/>
  <c r="I176" i="25" s="1"/>
  <c r="F175" i="25"/>
  <c r="EA56" i="25" s="1"/>
  <c r="F174" i="25"/>
  <c r="EA55" i="25" s="1"/>
  <c r="G173" i="25"/>
  <c r="I173" i="25" s="1"/>
  <c r="F171" i="25"/>
  <c r="EA52" i="25" s="1"/>
  <c r="F170" i="25"/>
  <c r="EA51" i="25" s="1"/>
  <c r="G169" i="25"/>
  <c r="I169" i="25" s="1"/>
  <c r="G167" i="25"/>
  <c r="I167" i="25" s="1"/>
  <c r="G166" i="25"/>
  <c r="I166" i="25" s="1"/>
  <c r="F163" i="25"/>
  <c r="EA44" i="25" s="1"/>
  <c r="F162" i="25"/>
  <c r="EA43" i="25" s="1"/>
  <c r="G157" i="25"/>
  <c r="I157" i="25" s="1"/>
  <c r="G156" i="25"/>
  <c r="I156" i="25" s="1"/>
  <c r="G155" i="25"/>
  <c r="I155" i="25" s="1"/>
  <c r="F154" i="25"/>
  <c r="EA35" i="25" s="1"/>
  <c r="G151" i="25"/>
  <c r="I151" i="25" s="1"/>
  <c r="F150" i="25"/>
  <c r="DO61" i="25" s="1"/>
  <c r="G147" i="25"/>
  <c r="I147" i="25" s="1"/>
  <c r="F143" i="25"/>
  <c r="DO54" i="25" s="1"/>
  <c r="G142" i="25"/>
  <c r="I142" i="25" s="1"/>
  <c r="F139" i="25"/>
  <c r="DO50" i="25" s="1"/>
  <c r="G138" i="25"/>
  <c r="I138" i="25" s="1"/>
  <c r="F136" i="25"/>
  <c r="DO47" i="25" s="1"/>
  <c r="F135" i="25"/>
  <c r="DO46" i="25" s="1"/>
  <c r="F134" i="25"/>
  <c r="DO45" i="25" s="1"/>
  <c r="G133" i="25"/>
  <c r="I133" i="25" s="1"/>
  <c r="G132" i="25"/>
  <c r="I132" i="25" s="1"/>
  <c r="F131" i="25"/>
  <c r="DO42" i="25" s="1"/>
  <c r="F129" i="25"/>
  <c r="DO40" i="25" s="1"/>
  <c r="F128" i="25"/>
  <c r="DO39" i="25" s="1"/>
  <c r="G123" i="25"/>
  <c r="I123" i="25" s="1"/>
  <c r="G122" i="25"/>
  <c r="I122" i="25" s="1"/>
  <c r="F119" i="25"/>
  <c r="DC60" i="25" s="1"/>
  <c r="F118" i="25"/>
  <c r="DC59" i="25" s="1"/>
  <c r="G117" i="25"/>
  <c r="I117" i="25" s="1"/>
  <c r="G116" i="25"/>
  <c r="I116" i="25" s="1"/>
  <c r="G113" i="25"/>
  <c r="I113" i="25" s="1"/>
  <c r="F111" i="25"/>
  <c r="DC52" i="25" s="1"/>
  <c r="F110" i="25"/>
  <c r="DC51" i="25" s="1"/>
  <c r="G108" i="25"/>
  <c r="I108" i="25" s="1"/>
  <c r="G105" i="25"/>
  <c r="I105" i="25" s="1"/>
  <c r="F104" i="25"/>
  <c r="DC45" i="25" s="1"/>
  <c r="G103" i="25"/>
  <c r="I103" i="25" s="1"/>
  <c r="G102" i="25"/>
  <c r="I102" i="25" s="1"/>
  <c r="G99" i="25"/>
  <c r="I99" i="25" s="1"/>
  <c r="G98" i="25"/>
  <c r="I98" i="25" s="1"/>
  <c r="G97" i="25"/>
  <c r="I97" i="25" s="1"/>
  <c r="F96" i="25"/>
  <c r="DC37" i="25" s="1"/>
  <c r="G91" i="25"/>
  <c r="I91" i="25" s="1"/>
  <c r="F87" i="25"/>
  <c r="CQ58" i="25" s="1"/>
  <c r="F86" i="25"/>
  <c r="CQ57" i="25" s="1"/>
  <c r="G85" i="25"/>
  <c r="I85" i="25" s="1"/>
  <c r="G84" i="25"/>
  <c r="I84" i="25" s="1"/>
  <c r="F80" i="25"/>
  <c r="CQ51" i="25" s="1"/>
  <c r="G79" i="25"/>
  <c r="I79" i="25" s="1"/>
  <c r="G77" i="25"/>
  <c r="I77" i="25" s="1"/>
  <c r="G76" i="25"/>
  <c r="I76" i="25" s="1"/>
  <c r="F75" i="25"/>
  <c r="CQ46" i="25" s="1"/>
  <c r="G74" i="25"/>
  <c r="I74" i="25" s="1"/>
  <c r="G73" i="25"/>
  <c r="I73" i="25" s="1"/>
  <c r="F64" i="25"/>
  <c r="CQ35" i="25" s="1"/>
  <c r="F62" i="25"/>
  <c r="CE63" i="25" s="1"/>
  <c r="F60" i="25"/>
  <c r="CE61" i="25" s="1"/>
  <c r="G58" i="25"/>
  <c r="I58" i="25" s="1"/>
  <c r="F54" i="25"/>
  <c r="CE55" i="25" s="1"/>
  <c r="G50" i="25"/>
  <c r="I50" i="25" s="1"/>
  <c r="F48" i="25"/>
  <c r="CE49" i="25" s="1"/>
  <c r="F47" i="25"/>
  <c r="CE48" i="25" s="1"/>
  <c r="G46" i="25"/>
  <c r="I46" i="25" s="1"/>
  <c r="F44" i="25"/>
  <c r="CE45" i="25" s="1"/>
  <c r="G41" i="25"/>
  <c r="I41" i="25" s="1"/>
  <c r="G39" i="25"/>
  <c r="I39" i="25" s="1"/>
  <c r="G38" i="25"/>
  <c r="I38" i="25" s="1"/>
  <c r="F37" i="25"/>
  <c r="CE38" i="25" s="1"/>
  <c r="G36" i="25"/>
  <c r="I36" i="25" s="1"/>
  <c r="F180" i="25"/>
  <c r="EA61" i="25" s="1"/>
  <c r="F176" i="25"/>
  <c r="EA57" i="25" s="1"/>
  <c r="F173" i="25"/>
  <c r="EA54" i="25" s="1"/>
  <c r="G172" i="25"/>
  <c r="I172" i="25" s="1"/>
  <c r="F169" i="25"/>
  <c r="EA50" i="25" s="1"/>
  <c r="G168" i="25"/>
  <c r="I168" i="25" s="1"/>
  <c r="F167" i="25"/>
  <c r="EA48" i="25" s="1"/>
  <c r="F166" i="25"/>
  <c r="EA47" i="25" s="1"/>
  <c r="G165" i="25"/>
  <c r="I165" i="25" s="1"/>
  <c r="G164" i="25"/>
  <c r="I164" i="25" s="1"/>
  <c r="G159" i="25"/>
  <c r="I159" i="25" s="1"/>
  <c r="G158" i="25"/>
  <c r="I158" i="25" s="1"/>
  <c r="F157" i="25"/>
  <c r="EA38" i="25" s="1"/>
  <c r="F156" i="25"/>
  <c r="EA37" i="25" s="1"/>
  <c r="F155" i="25"/>
  <c r="EA36" i="25" s="1"/>
  <c r="F151" i="25"/>
  <c r="DO62" i="25" s="1"/>
  <c r="F147" i="25"/>
  <c r="DO58" i="25" s="1"/>
  <c r="G146" i="25"/>
  <c r="I146" i="25" s="1"/>
  <c r="F142" i="25"/>
  <c r="DO53" i="25" s="1"/>
  <c r="G141" i="25"/>
  <c r="I141" i="25" s="1"/>
  <c r="F138" i="25"/>
  <c r="DO49" i="25" s="1"/>
  <c r="G137" i="25"/>
  <c r="I137" i="25" s="1"/>
  <c r="F133" i="25"/>
  <c r="DO44" i="25" s="1"/>
  <c r="F132" i="25"/>
  <c r="DO43" i="25" s="1"/>
  <c r="G127" i="25"/>
  <c r="I127" i="25" s="1"/>
  <c r="G126" i="25"/>
  <c r="I126" i="25" s="1"/>
  <c r="F123" i="25"/>
  <c r="DC64" i="25" s="1"/>
  <c r="F122" i="25"/>
  <c r="DC63" i="25" s="1"/>
  <c r="G121" i="25"/>
  <c r="I121" i="25" s="1"/>
  <c r="G120" i="25"/>
  <c r="I120" i="25" s="1"/>
  <c r="F117" i="25"/>
  <c r="DC58" i="25" s="1"/>
  <c r="F116" i="25"/>
  <c r="DC57" i="25" s="1"/>
  <c r="F113" i="25"/>
  <c r="DC54" i="25" s="1"/>
  <c r="F108" i="25"/>
  <c r="DC49" i="25" s="1"/>
  <c r="G107" i="25"/>
  <c r="I107" i="25" s="1"/>
  <c r="G106" i="25"/>
  <c r="I106" i="25" s="1"/>
  <c r="F105" i="25"/>
  <c r="DC46" i="25" s="1"/>
  <c r="F103" i="25"/>
  <c r="DC44" i="25" s="1"/>
  <c r="F102" i="25"/>
  <c r="DC43" i="25" s="1"/>
  <c r="G101" i="25"/>
  <c r="I101" i="25" s="1"/>
  <c r="G100" i="25"/>
  <c r="I100" i="25" s="1"/>
  <c r="F99" i="25"/>
  <c r="DC40" i="25" s="1"/>
  <c r="F98" i="25"/>
  <c r="DC39" i="25" s="1"/>
  <c r="F97" i="25"/>
  <c r="DC38" i="25" s="1"/>
  <c r="F91" i="25"/>
  <c r="CQ62" i="25" s="1"/>
  <c r="G90" i="25"/>
  <c r="I90" i="25" s="1"/>
  <c r="G89" i="25"/>
  <c r="I89" i="25" s="1"/>
  <c r="G88" i="25"/>
  <c r="I88" i="25" s="1"/>
  <c r="F85" i="25"/>
  <c r="CQ56" i="25" s="1"/>
  <c r="F84" i="25"/>
  <c r="CQ55" i="25" s="1"/>
  <c r="G83" i="25"/>
  <c r="I83" i="25" s="1"/>
  <c r="G82" i="25"/>
  <c r="I82" i="25" s="1"/>
  <c r="G81" i="25"/>
  <c r="I81" i="25" s="1"/>
  <c r="F79" i="25"/>
  <c r="CQ50" i="25" s="1"/>
  <c r="G78" i="25"/>
  <c r="I78" i="25" s="1"/>
  <c r="F77" i="25"/>
  <c r="CQ48" i="25" s="1"/>
  <c r="F76" i="25"/>
  <c r="CQ47" i="25" s="1"/>
  <c r="F74" i="25"/>
  <c r="CQ45" i="25" s="1"/>
  <c r="F73" i="25"/>
  <c r="CQ44" i="25" s="1"/>
  <c r="G71" i="25"/>
  <c r="I71" i="25" s="1"/>
  <c r="G70" i="25"/>
  <c r="I70" i="25" s="1"/>
  <c r="G69" i="25"/>
  <c r="I69" i="25" s="1"/>
  <c r="G65" i="25"/>
  <c r="I65" i="25" s="1"/>
  <c r="G63" i="25"/>
  <c r="I63" i="25" s="1"/>
  <c r="G61" i="25"/>
  <c r="I61" i="25" s="1"/>
  <c r="G59" i="25"/>
  <c r="I59" i="25" s="1"/>
  <c r="F58" i="25"/>
  <c r="CE59" i="25" s="1"/>
  <c r="G55" i="25"/>
  <c r="I55" i="25" s="1"/>
  <c r="G51" i="25"/>
  <c r="I51" i="25" s="1"/>
  <c r="F50" i="25"/>
  <c r="CE51" i="25" s="1"/>
  <c r="F46" i="25"/>
  <c r="CE47" i="25" s="1"/>
  <c r="F41" i="25"/>
  <c r="CE42" i="25" s="1"/>
  <c r="G40" i="25"/>
  <c r="I40" i="25" s="1"/>
  <c r="F39" i="25"/>
  <c r="CE40" i="25" s="1"/>
  <c r="F38" i="25"/>
  <c r="CE39" i="25" s="1"/>
  <c r="F36" i="25"/>
  <c r="CE37" i="25" s="1"/>
  <c r="G183" i="25"/>
  <c r="I183" i="25" s="1"/>
  <c r="G182" i="25"/>
  <c r="I182" i="25" s="1"/>
  <c r="G179" i="25"/>
  <c r="I179" i="25" s="1"/>
  <c r="G178" i="25"/>
  <c r="I178" i="25" s="1"/>
  <c r="F172" i="25"/>
  <c r="EA53" i="25" s="1"/>
  <c r="F168" i="25"/>
  <c r="EA49" i="25" s="1"/>
  <c r="F165" i="25"/>
  <c r="EA46" i="25" s="1"/>
  <c r="F164" i="25"/>
  <c r="EA45" i="25" s="1"/>
  <c r="G161" i="25"/>
  <c r="I161" i="25" s="1"/>
  <c r="G160" i="25"/>
  <c r="I160" i="25" s="1"/>
  <c r="F159" i="25"/>
  <c r="EA40" i="25" s="1"/>
  <c r="F158" i="25"/>
  <c r="EA39" i="25" s="1"/>
  <c r="G153" i="25"/>
  <c r="I153" i="25" s="1"/>
  <c r="G152" i="25"/>
  <c r="I152" i="25" s="1"/>
  <c r="G149" i="25"/>
  <c r="I149" i="25" s="1"/>
  <c r="G148" i="25"/>
  <c r="I148" i="25" s="1"/>
  <c r="F146" i="25"/>
  <c r="DO57" i="25" s="1"/>
  <c r="G145" i="25"/>
  <c r="I145" i="25" s="1"/>
  <c r="G144" i="25"/>
  <c r="I144" i="25" s="1"/>
  <c r="F141" i="25"/>
  <c r="DO52" i="25" s="1"/>
  <c r="G140" i="25"/>
  <c r="I140" i="25" s="1"/>
  <c r="F137" i="25"/>
  <c r="DO48" i="25" s="1"/>
  <c r="G130" i="25"/>
  <c r="I130" i="25" s="1"/>
  <c r="F127" i="25"/>
  <c r="DO38" i="25" s="1"/>
  <c r="F126" i="25"/>
  <c r="DO37" i="25" s="1"/>
  <c r="G125" i="25"/>
  <c r="I125" i="25" s="1"/>
  <c r="G124" i="25"/>
  <c r="I124" i="25" s="1"/>
  <c r="F121" i="25"/>
  <c r="DC62" i="25" s="1"/>
  <c r="F120" i="25"/>
  <c r="DC61" i="25" s="1"/>
  <c r="G115" i="25"/>
  <c r="I115" i="25" s="1"/>
  <c r="G114" i="25"/>
  <c r="I114" i="25" s="1"/>
  <c r="G112" i="25"/>
  <c r="I112" i="25" s="1"/>
  <c r="G109" i="25"/>
  <c r="I109" i="25" s="1"/>
  <c r="F107" i="25"/>
  <c r="DC48" i="25" s="1"/>
  <c r="F106" i="25"/>
  <c r="DC47" i="25" s="1"/>
  <c r="F101" i="25"/>
  <c r="DC42" i="25" s="1"/>
  <c r="F100" i="25"/>
  <c r="DC41" i="25" s="1"/>
  <c r="G95" i="25"/>
  <c r="I95" i="25" s="1"/>
  <c r="G94" i="25"/>
  <c r="I94" i="25" s="1"/>
  <c r="G93" i="25"/>
  <c r="I93" i="25" s="1"/>
  <c r="G92" i="25"/>
  <c r="I92" i="25" s="1"/>
  <c r="F90" i="25"/>
  <c r="CQ61" i="25" s="1"/>
  <c r="F89" i="25"/>
  <c r="CQ60" i="25" s="1"/>
  <c r="F88" i="25"/>
  <c r="CQ59" i="25" s="1"/>
  <c r="F83" i="25"/>
  <c r="CQ54" i="25" s="1"/>
  <c r="F82" i="25"/>
  <c r="CQ53" i="25" s="1"/>
  <c r="F81" i="25"/>
  <c r="CQ52" i="25" s="1"/>
  <c r="F78" i="25"/>
  <c r="CQ49" i="25" s="1"/>
  <c r="G72" i="25"/>
  <c r="I72" i="25" s="1"/>
  <c r="F71" i="25"/>
  <c r="CQ42" i="25" s="1"/>
  <c r="F70" i="25"/>
  <c r="CQ41" i="25" s="1"/>
  <c r="F69" i="25"/>
  <c r="CQ40" i="25" s="1"/>
  <c r="G68" i="25"/>
  <c r="I68" i="25" s="1"/>
  <c r="G67" i="25"/>
  <c r="I67" i="25" s="1"/>
  <c r="G66" i="25"/>
  <c r="I66" i="25" s="1"/>
  <c r="F65" i="25"/>
  <c r="CQ36" i="25" s="1"/>
  <c r="F63" i="25"/>
  <c r="CE64" i="25" s="1"/>
  <c r="F61" i="25"/>
  <c r="CE62" i="25" s="1"/>
  <c r="F59" i="25"/>
  <c r="CE60" i="25" s="1"/>
  <c r="G57" i="25"/>
  <c r="I57" i="25" s="1"/>
  <c r="G56" i="25"/>
  <c r="I56" i="25" s="1"/>
  <c r="F55" i="25"/>
  <c r="CE56" i="25" s="1"/>
  <c r="G53" i="25"/>
  <c r="I53" i="25" s="1"/>
  <c r="G52" i="25"/>
  <c r="I52" i="25" s="1"/>
  <c r="F51" i="25"/>
  <c r="CE52" i="25" s="1"/>
  <c r="G49" i="25"/>
  <c r="I49" i="25" s="1"/>
  <c r="G45" i="25"/>
  <c r="I45" i="25" s="1"/>
  <c r="G43" i="25"/>
  <c r="I43" i="25" s="1"/>
  <c r="G42" i="25"/>
  <c r="I42" i="25" s="1"/>
  <c r="F40" i="25"/>
  <c r="CE41" i="25" s="1"/>
  <c r="G34" i="25"/>
  <c r="I34" i="25" s="1"/>
  <c r="P34" i="25" s="1"/>
  <c r="G35" i="25"/>
  <c r="I35" i="25" s="1"/>
  <c r="J35" i="25" s="1"/>
  <c r="F34" i="25"/>
  <c r="CE35" i="25" s="1"/>
  <c r="F35" i="25"/>
  <c r="CE36" i="25" s="1"/>
  <c r="S182" i="4"/>
  <c r="S178" i="4"/>
  <c r="S174" i="4"/>
  <c r="S170" i="4"/>
  <c r="S166" i="4"/>
  <c r="S162" i="4"/>
  <c r="S158" i="4"/>
  <c r="S154" i="4"/>
  <c r="S150" i="4"/>
  <c r="S146" i="4"/>
  <c r="S142" i="4"/>
  <c r="S138" i="4"/>
  <c r="S134" i="4"/>
  <c r="S130" i="4"/>
  <c r="S126" i="4"/>
  <c r="S122" i="4"/>
  <c r="S118" i="4"/>
  <c r="S114" i="4"/>
  <c r="S110" i="4"/>
  <c r="S106" i="4"/>
  <c r="S102" i="4"/>
  <c r="S98" i="4"/>
  <c r="S94" i="4"/>
  <c r="S90" i="4"/>
  <c r="S86" i="4"/>
  <c r="S82" i="4"/>
  <c r="S78" i="4"/>
  <c r="S74" i="4"/>
  <c r="S70" i="4"/>
  <c r="S66" i="4"/>
  <c r="S58" i="4"/>
  <c r="S54" i="4"/>
  <c r="S50" i="4"/>
  <c r="S46" i="4"/>
  <c r="S42" i="4"/>
  <c r="S181" i="4"/>
  <c r="S177" i="4"/>
  <c r="S173" i="4"/>
  <c r="S169" i="4"/>
  <c r="S165" i="4"/>
  <c r="S161" i="4"/>
  <c r="S157" i="4"/>
  <c r="S153" i="4"/>
  <c r="S149" i="4"/>
  <c r="S145" i="4"/>
  <c r="S141" i="4"/>
  <c r="S137" i="4"/>
  <c r="S133" i="4"/>
  <c r="S129" i="4"/>
  <c r="S125" i="4"/>
  <c r="S121" i="4"/>
  <c r="S117" i="4"/>
  <c r="S113" i="4"/>
  <c r="S109" i="4"/>
  <c r="S105" i="4"/>
  <c r="S101" i="4"/>
  <c r="S97" i="4"/>
  <c r="S93" i="4"/>
  <c r="S89" i="4"/>
  <c r="S85" i="4"/>
  <c r="S81" i="4"/>
  <c r="S77" i="4"/>
  <c r="S73" i="4"/>
  <c r="S69" i="4"/>
  <c r="S65" i="4"/>
  <c r="S57" i="4"/>
  <c r="S53" i="4"/>
  <c r="S49" i="4"/>
  <c r="S45" i="4"/>
  <c r="S180" i="4"/>
  <c r="S176" i="4"/>
  <c r="S172" i="4"/>
  <c r="S168" i="4"/>
  <c r="S164" i="4"/>
  <c r="S160" i="4"/>
  <c r="S156" i="4"/>
  <c r="S152" i="4"/>
  <c r="S148" i="4"/>
  <c r="S144" i="4"/>
  <c r="S140" i="4"/>
  <c r="S136" i="4"/>
  <c r="S132" i="4"/>
  <c r="S128" i="4"/>
  <c r="S124" i="4"/>
  <c r="S120" i="4"/>
  <c r="S116" i="4"/>
  <c r="S112" i="4"/>
  <c r="S108" i="4"/>
  <c r="S104" i="4"/>
  <c r="S100" i="4"/>
  <c r="S96" i="4"/>
  <c r="S92" i="4"/>
  <c r="S88" i="4"/>
  <c r="S84" i="4"/>
  <c r="S80" i="4"/>
  <c r="S76" i="4"/>
  <c r="S72" i="4"/>
  <c r="S68" i="4"/>
  <c r="S64" i="4"/>
  <c r="S56" i="4"/>
  <c r="S52" i="4"/>
  <c r="S48" i="4"/>
  <c r="S44" i="4"/>
  <c r="S183" i="4"/>
  <c r="S179" i="4"/>
  <c r="S175" i="4"/>
  <c r="S171" i="4"/>
  <c r="S167" i="4"/>
  <c r="S163" i="4"/>
  <c r="S159" i="4"/>
  <c r="S155" i="4"/>
  <c r="S151" i="4"/>
  <c r="S147" i="4"/>
  <c r="S143" i="4"/>
  <c r="S139" i="4"/>
  <c r="S135" i="4"/>
  <c r="S131" i="4"/>
  <c r="S127" i="4"/>
  <c r="S123" i="4"/>
  <c r="S119" i="4"/>
  <c r="S115" i="4"/>
  <c r="S111" i="4"/>
  <c r="S107" i="4"/>
  <c r="S103" i="4"/>
  <c r="S99" i="4"/>
  <c r="S95" i="4"/>
  <c r="S91" i="4"/>
  <c r="S87" i="4"/>
  <c r="S83" i="4"/>
  <c r="S79" i="4"/>
  <c r="S75" i="4"/>
  <c r="S71" i="4"/>
  <c r="S67" i="4"/>
  <c r="S55" i="4"/>
  <c r="S51" i="4"/>
  <c r="S47" i="4"/>
  <c r="S40" i="4"/>
  <c r="F36" i="4"/>
  <c r="F35" i="4"/>
  <c r="F54" i="4"/>
  <c r="F50" i="4"/>
  <c r="F44" i="4"/>
  <c r="F38" i="4"/>
  <c r="F52" i="4"/>
  <c r="F48" i="4"/>
  <c r="F46" i="4"/>
  <c r="F42" i="4"/>
  <c r="F40" i="4"/>
  <c r="F34" i="4"/>
  <c r="F53" i="4"/>
  <c r="F51" i="4"/>
  <c r="F49" i="4"/>
  <c r="F47" i="4"/>
  <c r="F45" i="4"/>
  <c r="F43" i="4"/>
  <c r="F41" i="4"/>
  <c r="F39" i="4"/>
  <c r="F37" i="4"/>
  <c r="K182" i="4"/>
  <c r="K180" i="4"/>
  <c r="K178" i="4"/>
  <c r="K176" i="4"/>
  <c r="K174" i="4"/>
  <c r="K172" i="4"/>
  <c r="K170" i="4"/>
  <c r="K168" i="4"/>
  <c r="K166" i="4"/>
  <c r="K164" i="4"/>
  <c r="K162" i="4"/>
  <c r="K160" i="4"/>
  <c r="K158" i="4"/>
  <c r="K156" i="4"/>
  <c r="K154" i="4"/>
  <c r="K152" i="4"/>
  <c r="K150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34" i="4"/>
  <c r="K183" i="4"/>
  <c r="K181" i="4"/>
  <c r="K179" i="4"/>
  <c r="K177" i="4"/>
  <c r="K175" i="4"/>
  <c r="K173" i="4"/>
  <c r="K171" i="4"/>
  <c r="K169" i="4"/>
  <c r="K167" i="4"/>
  <c r="K165" i="4"/>
  <c r="K163" i="4"/>
  <c r="K161" i="4"/>
  <c r="K159" i="4"/>
  <c r="K157" i="4"/>
  <c r="K155" i="4"/>
  <c r="K153" i="4"/>
  <c r="K151" i="4"/>
  <c r="K149" i="4"/>
  <c r="K147" i="4"/>
  <c r="K145" i="4"/>
  <c r="K143" i="4"/>
  <c r="K141" i="4"/>
  <c r="K139" i="4"/>
  <c r="K137" i="4"/>
  <c r="K135" i="4"/>
  <c r="K133" i="4"/>
  <c r="K131" i="4"/>
  <c r="K129" i="4"/>
  <c r="K127" i="4"/>
  <c r="K125" i="4"/>
  <c r="K123" i="4"/>
  <c r="K121" i="4"/>
  <c r="K119" i="4"/>
  <c r="K117" i="4"/>
  <c r="K115" i="4"/>
  <c r="K35" i="4"/>
  <c r="K112" i="4"/>
  <c r="M112" i="4"/>
  <c r="K110" i="4"/>
  <c r="M110" i="4"/>
  <c r="K108" i="4"/>
  <c r="M108" i="4"/>
  <c r="K106" i="4"/>
  <c r="M106" i="4"/>
  <c r="K104" i="4"/>
  <c r="M104" i="4"/>
  <c r="K102" i="4"/>
  <c r="M102" i="4"/>
  <c r="K100" i="4"/>
  <c r="M100" i="4"/>
  <c r="K98" i="4"/>
  <c r="M98" i="4"/>
  <c r="K96" i="4"/>
  <c r="M96" i="4"/>
  <c r="K94" i="4"/>
  <c r="M94" i="4"/>
  <c r="K92" i="4"/>
  <c r="M92" i="4"/>
  <c r="K90" i="4"/>
  <c r="M90" i="4"/>
  <c r="K88" i="4"/>
  <c r="M88" i="4"/>
  <c r="K86" i="4"/>
  <c r="M86" i="4"/>
  <c r="K84" i="4"/>
  <c r="M84" i="4"/>
  <c r="K82" i="4"/>
  <c r="M82" i="4"/>
  <c r="K80" i="4"/>
  <c r="M80" i="4"/>
  <c r="K78" i="4"/>
  <c r="M78" i="4"/>
  <c r="K76" i="4"/>
  <c r="M76" i="4"/>
  <c r="K74" i="4"/>
  <c r="M74" i="4"/>
  <c r="K72" i="4"/>
  <c r="M72" i="4"/>
  <c r="K70" i="4"/>
  <c r="M70" i="4"/>
  <c r="K68" i="4"/>
  <c r="M68" i="4"/>
  <c r="K66" i="4"/>
  <c r="M66" i="4"/>
  <c r="K64" i="4"/>
  <c r="M64" i="4"/>
  <c r="K62" i="4"/>
  <c r="M62" i="4"/>
  <c r="K60" i="4"/>
  <c r="M60" i="4"/>
  <c r="K58" i="4"/>
  <c r="M58" i="4"/>
  <c r="K56" i="4"/>
  <c r="M56" i="4"/>
  <c r="K54" i="4"/>
  <c r="M54" i="4"/>
  <c r="K52" i="4"/>
  <c r="M52" i="4"/>
  <c r="K50" i="4"/>
  <c r="M50" i="4"/>
  <c r="K48" i="4"/>
  <c r="M48" i="4"/>
  <c r="K46" i="4"/>
  <c r="M46" i="4"/>
  <c r="K44" i="4"/>
  <c r="M44" i="4"/>
  <c r="K42" i="4"/>
  <c r="M42" i="4"/>
  <c r="K40" i="4"/>
  <c r="M40" i="4"/>
  <c r="K38" i="4"/>
  <c r="M38" i="4"/>
  <c r="K36" i="4"/>
  <c r="M36" i="4"/>
  <c r="M182" i="4"/>
  <c r="M180" i="4"/>
  <c r="M178" i="4"/>
  <c r="M176" i="4"/>
  <c r="M174" i="4"/>
  <c r="M172" i="4"/>
  <c r="M170" i="4"/>
  <c r="M168" i="4"/>
  <c r="M166" i="4"/>
  <c r="M164" i="4"/>
  <c r="M162" i="4"/>
  <c r="M160" i="4"/>
  <c r="M158" i="4"/>
  <c r="M156" i="4"/>
  <c r="M154" i="4"/>
  <c r="M152" i="4"/>
  <c r="M150" i="4"/>
  <c r="M148" i="4"/>
  <c r="M146" i="4"/>
  <c r="M144" i="4"/>
  <c r="M142" i="4"/>
  <c r="M140" i="4"/>
  <c r="M138" i="4"/>
  <c r="M136" i="4"/>
  <c r="M134" i="4"/>
  <c r="M132" i="4"/>
  <c r="M130" i="4"/>
  <c r="M128" i="4"/>
  <c r="M126" i="4"/>
  <c r="M124" i="4"/>
  <c r="M122" i="4"/>
  <c r="M120" i="4"/>
  <c r="M118" i="4"/>
  <c r="M116" i="4"/>
  <c r="M114" i="4"/>
  <c r="K113" i="4"/>
  <c r="M113" i="4"/>
  <c r="K111" i="4"/>
  <c r="M111" i="4"/>
  <c r="K109" i="4"/>
  <c r="M109" i="4"/>
  <c r="K107" i="4"/>
  <c r="M107" i="4"/>
  <c r="K105" i="4"/>
  <c r="M105" i="4"/>
  <c r="K103" i="4"/>
  <c r="M103" i="4"/>
  <c r="K101" i="4"/>
  <c r="M101" i="4"/>
  <c r="K99" i="4"/>
  <c r="M99" i="4"/>
  <c r="K97" i="4"/>
  <c r="M97" i="4"/>
  <c r="K95" i="4"/>
  <c r="M95" i="4"/>
  <c r="K93" i="4"/>
  <c r="M93" i="4"/>
  <c r="K91" i="4"/>
  <c r="M91" i="4"/>
  <c r="K89" i="4"/>
  <c r="M89" i="4"/>
  <c r="K87" i="4"/>
  <c r="M87" i="4"/>
  <c r="K85" i="4"/>
  <c r="M85" i="4"/>
  <c r="K83" i="4"/>
  <c r="M83" i="4"/>
  <c r="K81" i="4"/>
  <c r="M81" i="4"/>
  <c r="K79" i="4"/>
  <c r="M79" i="4"/>
  <c r="K77" i="4"/>
  <c r="M77" i="4"/>
  <c r="K75" i="4"/>
  <c r="M75" i="4"/>
  <c r="K73" i="4"/>
  <c r="M73" i="4"/>
  <c r="K71" i="4"/>
  <c r="M71" i="4"/>
  <c r="K69" i="4"/>
  <c r="M69" i="4"/>
  <c r="K67" i="4"/>
  <c r="M67" i="4"/>
  <c r="K65" i="4"/>
  <c r="M65" i="4"/>
  <c r="K63" i="4"/>
  <c r="M63" i="4"/>
  <c r="K61" i="4"/>
  <c r="M61" i="4"/>
  <c r="K59" i="4"/>
  <c r="M59" i="4"/>
  <c r="K57" i="4"/>
  <c r="M57" i="4"/>
  <c r="K55" i="4"/>
  <c r="M55" i="4"/>
  <c r="K53" i="4"/>
  <c r="M53" i="4"/>
  <c r="K51" i="4"/>
  <c r="M51" i="4"/>
  <c r="K49" i="4"/>
  <c r="M49" i="4"/>
  <c r="K47" i="4"/>
  <c r="M47" i="4"/>
  <c r="K45" i="4"/>
  <c r="M45" i="4"/>
  <c r="K43" i="4"/>
  <c r="M43" i="4"/>
  <c r="K41" i="4"/>
  <c r="M41" i="4"/>
  <c r="K39" i="4"/>
  <c r="M39" i="4"/>
  <c r="K37" i="4"/>
  <c r="M37" i="4"/>
  <c r="M183" i="4"/>
  <c r="M181" i="4"/>
  <c r="M179" i="4"/>
  <c r="M177" i="4"/>
  <c r="M175" i="4"/>
  <c r="M173" i="4"/>
  <c r="M171" i="4"/>
  <c r="M169" i="4"/>
  <c r="M167" i="4"/>
  <c r="M165" i="4"/>
  <c r="M163" i="4"/>
  <c r="M161" i="4"/>
  <c r="M159" i="4"/>
  <c r="M157" i="4"/>
  <c r="M155" i="4"/>
  <c r="M153" i="4"/>
  <c r="M151" i="4"/>
  <c r="M149" i="4"/>
  <c r="M147" i="4"/>
  <c r="M145" i="4"/>
  <c r="M143" i="4"/>
  <c r="M141" i="4"/>
  <c r="M139" i="4"/>
  <c r="M137" i="4"/>
  <c r="M135" i="4"/>
  <c r="M133" i="4"/>
  <c r="M131" i="4"/>
  <c r="M129" i="4"/>
  <c r="M127" i="4"/>
  <c r="M125" i="4"/>
  <c r="M123" i="4"/>
  <c r="M121" i="4"/>
  <c r="M119" i="4"/>
  <c r="M117" i="4"/>
  <c r="M115" i="4"/>
  <c r="M35" i="4"/>
  <c r="F183" i="4"/>
  <c r="F181" i="4"/>
  <c r="F179" i="4"/>
  <c r="F177" i="4"/>
  <c r="F175" i="4"/>
  <c r="F173" i="4"/>
  <c r="F171" i="4"/>
  <c r="F169" i="4"/>
  <c r="F167" i="4"/>
  <c r="F165" i="4"/>
  <c r="F163" i="4"/>
  <c r="F161" i="4"/>
  <c r="F159" i="4"/>
  <c r="F157" i="4"/>
  <c r="F155" i="4"/>
  <c r="F153" i="4"/>
  <c r="F151" i="4"/>
  <c r="F149" i="4"/>
  <c r="F147" i="4"/>
  <c r="F145" i="4"/>
  <c r="F143" i="4"/>
  <c r="F141" i="4"/>
  <c r="F139" i="4"/>
  <c r="F137" i="4"/>
  <c r="F135" i="4"/>
  <c r="F133" i="4"/>
  <c r="F131" i="4"/>
  <c r="F129" i="4"/>
  <c r="F127" i="4"/>
  <c r="F125" i="4"/>
  <c r="F123" i="4"/>
  <c r="F121" i="4"/>
  <c r="F119" i="4"/>
  <c r="F117" i="4"/>
  <c r="F115" i="4"/>
  <c r="F113" i="4"/>
  <c r="F111" i="4"/>
  <c r="F109" i="4"/>
  <c r="F107" i="4"/>
  <c r="F105" i="4"/>
  <c r="F103" i="4"/>
  <c r="F101" i="4"/>
  <c r="F99" i="4"/>
  <c r="F97" i="4"/>
  <c r="F95" i="4"/>
  <c r="F93" i="4"/>
  <c r="F91" i="4"/>
  <c r="F89" i="4"/>
  <c r="F87" i="4"/>
  <c r="F85" i="4"/>
  <c r="F83" i="4"/>
  <c r="F81" i="4"/>
  <c r="F79" i="4"/>
  <c r="F77" i="4"/>
  <c r="F75" i="4"/>
  <c r="F73" i="4"/>
  <c r="F71" i="4"/>
  <c r="F69" i="4"/>
  <c r="F67" i="4"/>
  <c r="F65" i="4"/>
  <c r="F63" i="4"/>
  <c r="F61" i="4"/>
  <c r="F59" i="4"/>
  <c r="F57" i="4"/>
  <c r="F55" i="4"/>
  <c r="G182" i="4"/>
  <c r="I182" i="4" s="1"/>
  <c r="G180" i="4"/>
  <c r="I180" i="4" s="1"/>
  <c r="G178" i="4"/>
  <c r="I178" i="4" s="1"/>
  <c r="G176" i="4"/>
  <c r="I176" i="4" s="1"/>
  <c r="G174" i="4"/>
  <c r="I174" i="4" s="1"/>
  <c r="G172" i="4"/>
  <c r="I172" i="4" s="1"/>
  <c r="G170" i="4"/>
  <c r="I170" i="4" s="1"/>
  <c r="G168" i="4"/>
  <c r="I168" i="4" s="1"/>
  <c r="G166" i="4"/>
  <c r="I166" i="4" s="1"/>
  <c r="G164" i="4"/>
  <c r="I164" i="4" s="1"/>
  <c r="G162" i="4"/>
  <c r="I162" i="4" s="1"/>
  <c r="G160" i="4"/>
  <c r="I160" i="4" s="1"/>
  <c r="G158" i="4"/>
  <c r="I158" i="4" s="1"/>
  <c r="G156" i="4"/>
  <c r="I156" i="4" s="1"/>
  <c r="G154" i="4"/>
  <c r="I154" i="4" s="1"/>
  <c r="G152" i="4"/>
  <c r="I152" i="4" s="1"/>
  <c r="G150" i="4"/>
  <c r="I150" i="4" s="1"/>
  <c r="G148" i="4"/>
  <c r="I148" i="4" s="1"/>
  <c r="G146" i="4"/>
  <c r="I146" i="4" s="1"/>
  <c r="G144" i="4"/>
  <c r="I144" i="4" s="1"/>
  <c r="G142" i="4"/>
  <c r="I142" i="4" s="1"/>
  <c r="G140" i="4"/>
  <c r="I140" i="4" s="1"/>
  <c r="G138" i="4"/>
  <c r="I138" i="4" s="1"/>
  <c r="G136" i="4"/>
  <c r="I136" i="4" s="1"/>
  <c r="G134" i="4"/>
  <c r="I134" i="4" s="1"/>
  <c r="G132" i="4"/>
  <c r="I132" i="4" s="1"/>
  <c r="G130" i="4"/>
  <c r="I130" i="4" s="1"/>
  <c r="G128" i="4"/>
  <c r="I128" i="4" s="1"/>
  <c r="G126" i="4"/>
  <c r="I126" i="4" s="1"/>
  <c r="G124" i="4"/>
  <c r="I124" i="4" s="1"/>
  <c r="G122" i="4"/>
  <c r="I122" i="4" s="1"/>
  <c r="G120" i="4"/>
  <c r="I120" i="4" s="1"/>
  <c r="G118" i="4"/>
  <c r="I118" i="4" s="1"/>
  <c r="G116" i="4"/>
  <c r="I116" i="4" s="1"/>
  <c r="G114" i="4"/>
  <c r="I114" i="4" s="1"/>
  <c r="G112" i="4"/>
  <c r="I112" i="4" s="1"/>
  <c r="G110" i="4"/>
  <c r="I110" i="4" s="1"/>
  <c r="G108" i="4"/>
  <c r="I108" i="4" s="1"/>
  <c r="G106" i="4"/>
  <c r="I106" i="4" s="1"/>
  <c r="G104" i="4"/>
  <c r="I104" i="4" s="1"/>
  <c r="G102" i="4"/>
  <c r="I102" i="4" s="1"/>
  <c r="G100" i="4"/>
  <c r="I100" i="4" s="1"/>
  <c r="G98" i="4"/>
  <c r="I98" i="4" s="1"/>
  <c r="G96" i="4"/>
  <c r="I96" i="4" s="1"/>
  <c r="G94" i="4"/>
  <c r="I94" i="4" s="1"/>
  <c r="G92" i="4"/>
  <c r="I92" i="4" s="1"/>
  <c r="G90" i="4"/>
  <c r="I90" i="4" s="1"/>
  <c r="G88" i="4"/>
  <c r="I88" i="4" s="1"/>
  <c r="G86" i="4"/>
  <c r="I86" i="4" s="1"/>
  <c r="G84" i="4"/>
  <c r="I84" i="4" s="1"/>
  <c r="G82" i="4"/>
  <c r="I82" i="4" s="1"/>
  <c r="G80" i="4"/>
  <c r="I80" i="4" s="1"/>
  <c r="G78" i="4"/>
  <c r="I78" i="4" s="1"/>
  <c r="G76" i="4"/>
  <c r="I76" i="4" s="1"/>
  <c r="G74" i="4"/>
  <c r="I74" i="4" s="1"/>
  <c r="G72" i="4"/>
  <c r="I72" i="4" s="1"/>
  <c r="G70" i="4"/>
  <c r="I70" i="4" s="1"/>
  <c r="G68" i="4"/>
  <c r="I68" i="4" s="1"/>
  <c r="G66" i="4"/>
  <c r="I66" i="4" s="1"/>
  <c r="G64" i="4"/>
  <c r="I64" i="4" s="1"/>
  <c r="F182" i="4"/>
  <c r="F180" i="4"/>
  <c r="F178" i="4"/>
  <c r="F176" i="4"/>
  <c r="F174" i="4"/>
  <c r="F172" i="4"/>
  <c r="F170" i="4"/>
  <c r="F168" i="4"/>
  <c r="F166" i="4"/>
  <c r="F164" i="4"/>
  <c r="F162" i="4"/>
  <c r="F160" i="4"/>
  <c r="F158" i="4"/>
  <c r="F156" i="4"/>
  <c r="F154" i="4"/>
  <c r="F152" i="4"/>
  <c r="F150" i="4"/>
  <c r="F148" i="4"/>
  <c r="F146" i="4"/>
  <c r="F144" i="4"/>
  <c r="F142" i="4"/>
  <c r="F140" i="4"/>
  <c r="F138" i="4"/>
  <c r="F136" i="4"/>
  <c r="F134" i="4"/>
  <c r="F132" i="4"/>
  <c r="F130" i="4"/>
  <c r="F128" i="4"/>
  <c r="F126" i="4"/>
  <c r="F124" i="4"/>
  <c r="F122" i="4"/>
  <c r="F120" i="4"/>
  <c r="F118" i="4"/>
  <c r="F116" i="4"/>
  <c r="F114" i="4"/>
  <c r="F112" i="4"/>
  <c r="F110" i="4"/>
  <c r="F108" i="4"/>
  <c r="F106" i="4"/>
  <c r="F104" i="4"/>
  <c r="F102" i="4"/>
  <c r="F100" i="4"/>
  <c r="F98" i="4"/>
  <c r="F96" i="4"/>
  <c r="F94" i="4"/>
  <c r="F92" i="4"/>
  <c r="F90" i="4"/>
  <c r="F88" i="4"/>
  <c r="F86" i="4"/>
  <c r="F84" i="4"/>
  <c r="F82" i="4"/>
  <c r="F80" i="4"/>
  <c r="F78" i="4"/>
  <c r="F76" i="4"/>
  <c r="F74" i="4"/>
  <c r="F72" i="4"/>
  <c r="F70" i="4"/>
  <c r="F68" i="4"/>
  <c r="F66" i="4"/>
  <c r="F64" i="4"/>
  <c r="F62" i="4"/>
  <c r="F60" i="4"/>
  <c r="F58" i="4"/>
  <c r="F56" i="4"/>
  <c r="G183" i="4"/>
  <c r="I183" i="4" s="1"/>
  <c r="G181" i="4"/>
  <c r="I181" i="4" s="1"/>
  <c r="G179" i="4"/>
  <c r="I179" i="4" s="1"/>
  <c r="G177" i="4"/>
  <c r="I177" i="4" s="1"/>
  <c r="G175" i="4"/>
  <c r="I175" i="4" s="1"/>
  <c r="G173" i="4"/>
  <c r="I173" i="4" s="1"/>
  <c r="G171" i="4"/>
  <c r="I171" i="4" s="1"/>
  <c r="G169" i="4"/>
  <c r="I169" i="4" s="1"/>
  <c r="G167" i="4"/>
  <c r="I167" i="4" s="1"/>
  <c r="G165" i="4"/>
  <c r="I165" i="4" s="1"/>
  <c r="G163" i="4"/>
  <c r="I163" i="4" s="1"/>
  <c r="G161" i="4"/>
  <c r="I161" i="4" s="1"/>
  <c r="G159" i="4"/>
  <c r="I159" i="4" s="1"/>
  <c r="G157" i="4"/>
  <c r="I157" i="4" s="1"/>
  <c r="G155" i="4"/>
  <c r="I155" i="4" s="1"/>
  <c r="G153" i="4"/>
  <c r="I153" i="4" s="1"/>
  <c r="G151" i="4"/>
  <c r="I151" i="4" s="1"/>
  <c r="G149" i="4"/>
  <c r="I149" i="4" s="1"/>
  <c r="G147" i="4"/>
  <c r="I147" i="4" s="1"/>
  <c r="G145" i="4"/>
  <c r="I145" i="4" s="1"/>
  <c r="G143" i="4"/>
  <c r="I143" i="4" s="1"/>
  <c r="G141" i="4"/>
  <c r="I141" i="4" s="1"/>
  <c r="G139" i="4"/>
  <c r="I139" i="4" s="1"/>
  <c r="G137" i="4"/>
  <c r="I137" i="4" s="1"/>
  <c r="G135" i="4"/>
  <c r="I135" i="4" s="1"/>
  <c r="G133" i="4"/>
  <c r="I133" i="4" s="1"/>
  <c r="G131" i="4"/>
  <c r="I131" i="4" s="1"/>
  <c r="G129" i="4"/>
  <c r="I129" i="4" s="1"/>
  <c r="G127" i="4"/>
  <c r="I127" i="4" s="1"/>
  <c r="G125" i="4"/>
  <c r="I125" i="4" s="1"/>
  <c r="G123" i="4"/>
  <c r="I123" i="4" s="1"/>
  <c r="G121" i="4"/>
  <c r="I121" i="4" s="1"/>
  <c r="G119" i="4"/>
  <c r="I119" i="4" s="1"/>
  <c r="G117" i="4"/>
  <c r="I117" i="4" s="1"/>
  <c r="G115" i="4"/>
  <c r="I115" i="4" s="1"/>
  <c r="G113" i="4"/>
  <c r="I113" i="4" s="1"/>
  <c r="G111" i="4"/>
  <c r="I111" i="4" s="1"/>
  <c r="G109" i="4"/>
  <c r="I109" i="4" s="1"/>
  <c r="G107" i="4"/>
  <c r="I107" i="4" s="1"/>
  <c r="G105" i="4"/>
  <c r="I105" i="4" s="1"/>
  <c r="G103" i="4"/>
  <c r="I103" i="4" s="1"/>
  <c r="G101" i="4"/>
  <c r="I101" i="4" s="1"/>
  <c r="G99" i="4"/>
  <c r="I99" i="4" s="1"/>
  <c r="G97" i="4"/>
  <c r="I97" i="4" s="1"/>
  <c r="G95" i="4"/>
  <c r="I95" i="4" s="1"/>
  <c r="G93" i="4"/>
  <c r="I93" i="4" s="1"/>
  <c r="G91" i="4"/>
  <c r="I91" i="4" s="1"/>
  <c r="G89" i="4"/>
  <c r="I89" i="4" s="1"/>
  <c r="G87" i="4"/>
  <c r="I87" i="4" s="1"/>
  <c r="G85" i="4"/>
  <c r="I85" i="4" s="1"/>
  <c r="G83" i="4"/>
  <c r="I83" i="4" s="1"/>
  <c r="G81" i="4"/>
  <c r="I81" i="4" s="1"/>
  <c r="G79" i="4"/>
  <c r="I79" i="4" s="1"/>
  <c r="G77" i="4"/>
  <c r="I77" i="4" s="1"/>
  <c r="G75" i="4"/>
  <c r="I75" i="4" s="1"/>
  <c r="G73" i="4"/>
  <c r="I73" i="4" s="1"/>
  <c r="G71" i="4"/>
  <c r="I71" i="4" s="1"/>
  <c r="G69" i="4"/>
  <c r="I69" i="4" s="1"/>
  <c r="G67" i="4"/>
  <c r="I67" i="4" s="1"/>
  <c r="G65" i="4"/>
  <c r="I65" i="4" s="1"/>
  <c r="G29" i="3"/>
  <c r="E29" i="3"/>
  <c r="G35" i="3"/>
  <c r="I25" i="3"/>
  <c r="G38" i="3"/>
  <c r="B8" i="14" s="1"/>
  <c r="B36" i="3"/>
  <c r="K35" i="3"/>
  <c r="Q75" i="4" l="1"/>
  <c r="P75" i="4"/>
  <c r="N75" i="4"/>
  <c r="Q107" i="4"/>
  <c r="P107" i="4"/>
  <c r="N107" i="4"/>
  <c r="Q139" i="4"/>
  <c r="P139" i="4"/>
  <c r="N139" i="4"/>
  <c r="Q163" i="4"/>
  <c r="P163" i="4"/>
  <c r="N163" i="4"/>
  <c r="Q179" i="4"/>
  <c r="P179" i="4"/>
  <c r="N179" i="4"/>
  <c r="Q74" i="4"/>
  <c r="P74" i="4"/>
  <c r="N74" i="4"/>
  <c r="Q90" i="4"/>
  <c r="P90" i="4"/>
  <c r="N90" i="4"/>
  <c r="Q106" i="4"/>
  <c r="P106" i="4"/>
  <c r="N106" i="4"/>
  <c r="Q122" i="4"/>
  <c r="P122" i="4"/>
  <c r="N122" i="4"/>
  <c r="Q138" i="4"/>
  <c r="P138" i="4"/>
  <c r="N138" i="4"/>
  <c r="C138" i="30" s="1"/>
  <c r="Q154" i="4"/>
  <c r="P154" i="4"/>
  <c r="N154" i="4"/>
  <c r="Q178" i="4"/>
  <c r="P178" i="4"/>
  <c r="N178" i="4"/>
  <c r="Q67" i="4"/>
  <c r="P67" i="4"/>
  <c r="N67" i="4"/>
  <c r="Q99" i="4"/>
  <c r="P99" i="4"/>
  <c r="N99" i="4"/>
  <c r="C99" i="30" s="1"/>
  <c r="Q131" i="4"/>
  <c r="P131" i="4"/>
  <c r="N131" i="4"/>
  <c r="Q155" i="4"/>
  <c r="P155" i="4"/>
  <c r="N155" i="4"/>
  <c r="Q171" i="4"/>
  <c r="P171" i="4"/>
  <c r="N171" i="4"/>
  <c r="Q66" i="4"/>
  <c r="P66" i="4"/>
  <c r="N66" i="4"/>
  <c r="C66" i="30" s="1"/>
  <c r="Q82" i="4"/>
  <c r="P82" i="4"/>
  <c r="N82" i="4"/>
  <c r="Q98" i="4"/>
  <c r="P98" i="4"/>
  <c r="N98" i="4"/>
  <c r="Q114" i="4"/>
  <c r="P114" i="4"/>
  <c r="N114" i="4"/>
  <c r="Q130" i="4"/>
  <c r="P130" i="4"/>
  <c r="N130" i="4"/>
  <c r="C130" i="30" s="1"/>
  <c r="Q146" i="4"/>
  <c r="P146" i="4"/>
  <c r="N146" i="4"/>
  <c r="Q162" i="4"/>
  <c r="P162" i="4"/>
  <c r="N162" i="4"/>
  <c r="Q170" i="4"/>
  <c r="P170" i="4"/>
  <c r="N170" i="4"/>
  <c r="Q69" i="4"/>
  <c r="P69" i="4"/>
  <c r="N69" i="4"/>
  <c r="C69" i="30" s="1"/>
  <c r="Q77" i="4"/>
  <c r="P77" i="4"/>
  <c r="N77" i="4"/>
  <c r="Q85" i="4"/>
  <c r="P85" i="4"/>
  <c r="N85" i="4"/>
  <c r="Q93" i="4"/>
  <c r="P93" i="4"/>
  <c r="N93" i="4"/>
  <c r="Q101" i="4"/>
  <c r="P101" i="4"/>
  <c r="N101" i="4"/>
  <c r="C101" i="30" s="1"/>
  <c r="Q109" i="4"/>
  <c r="P109" i="4"/>
  <c r="N109" i="4"/>
  <c r="Q117" i="4"/>
  <c r="P117" i="4"/>
  <c r="N117" i="4"/>
  <c r="Q125" i="4"/>
  <c r="P125" i="4"/>
  <c r="N125" i="4"/>
  <c r="Q133" i="4"/>
  <c r="P133" i="4"/>
  <c r="N133" i="4"/>
  <c r="C133" i="30" s="1"/>
  <c r="Q141" i="4"/>
  <c r="P141" i="4"/>
  <c r="N141" i="4"/>
  <c r="Q149" i="4"/>
  <c r="P149" i="4"/>
  <c r="N149" i="4"/>
  <c r="Q157" i="4"/>
  <c r="P157" i="4"/>
  <c r="N157" i="4"/>
  <c r="Q165" i="4"/>
  <c r="P165" i="4"/>
  <c r="N165" i="4"/>
  <c r="C165" i="30" s="1"/>
  <c r="Q173" i="4"/>
  <c r="P173" i="4"/>
  <c r="N173" i="4"/>
  <c r="Q181" i="4"/>
  <c r="P181" i="4"/>
  <c r="N181" i="4"/>
  <c r="Q68" i="4"/>
  <c r="P68" i="4"/>
  <c r="N68" i="4"/>
  <c r="Q76" i="4"/>
  <c r="P76" i="4"/>
  <c r="N76" i="4"/>
  <c r="C76" i="30" s="1"/>
  <c r="Q84" i="4"/>
  <c r="P84" i="4"/>
  <c r="N84" i="4"/>
  <c r="Q92" i="4"/>
  <c r="P92" i="4"/>
  <c r="N92" i="4"/>
  <c r="Q100" i="4"/>
  <c r="P100" i="4"/>
  <c r="N100" i="4"/>
  <c r="Q108" i="4"/>
  <c r="P108" i="4"/>
  <c r="N108" i="4"/>
  <c r="C108" i="30" s="1"/>
  <c r="Q116" i="4"/>
  <c r="P116" i="4"/>
  <c r="N116" i="4"/>
  <c r="Q124" i="4"/>
  <c r="P124" i="4"/>
  <c r="N124" i="4"/>
  <c r="Q132" i="4"/>
  <c r="P132" i="4"/>
  <c r="N132" i="4"/>
  <c r="Q140" i="4"/>
  <c r="P140" i="4"/>
  <c r="N140" i="4"/>
  <c r="C140" i="30" s="1"/>
  <c r="Q148" i="4"/>
  <c r="P148" i="4"/>
  <c r="N148" i="4"/>
  <c r="Q156" i="4"/>
  <c r="P156" i="4"/>
  <c r="N156" i="4"/>
  <c r="Q164" i="4"/>
  <c r="P164" i="4"/>
  <c r="N164" i="4"/>
  <c r="Q172" i="4"/>
  <c r="P172" i="4"/>
  <c r="N172" i="4"/>
  <c r="C172" i="30" s="1"/>
  <c r="Q180" i="4"/>
  <c r="P180" i="4"/>
  <c r="N180" i="4"/>
  <c r="Q83" i="4"/>
  <c r="P83" i="4"/>
  <c r="N83" i="4"/>
  <c r="Q123" i="4"/>
  <c r="P123" i="4"/>
  <c r="N123" i="4"/>
  <c r="Q71" i="4"/>
  <c r="P71" i="4"/>
  <c r="N71" i="4"/>
  <c r="C71" i="30" s="1"/>
  <c r="Q87" i="4"/>
  <c r="P87" i="4"/>
  <c r="N87" i="4"/>
  <c r="Q103" i="4"/>
  <c r="P103" i="4"/>
  <c r="N103" i="4"/>
  <c r="Q119" i="4"/>
  <c r="P119" i="4"/>
  <c r="N119" i="4"/>
  <c r="Q135" i="4"/>
  <c r="P135" i="4"/>
  <c r="N135" i="4"/>
  <c r="Q151" i="4"/>
  <c r="P151" i="4"/>
  <c r="N151" i="4"/>
  <c r="Q167" i="4"/>
  <c r="P167" i="4"/>
  <c r="N167" i="4"/>
  <c r="Q183" i="4"/>
  <c r="P183" i="4"/>
  <c r="N183" i="4"/>
  <c r="Q78" i="4"/>
  <c r="P78" i="4"/>
  <c r="N78" i="4"/>
  <c r="Q102" i="4"/>
  <c r="P102" i="4"/>
  <c r="N102" i="4"/>
  <c r="Q110" i="4"/>
  <c r="P110" i="4"/>
  <c r="N110" i="4"/>
  <c r="Q126" i="4"/>
  <c r="P126" i="4"/>
  <c r="N126" i="4"/>
  <c r="Q150" i="4"/>
  <c r="P150" i="4"/>
  <c r="N150" i="4"/>
  <c r="Q182" i="4"/>
  <c r="P182" i="4"/>
  <c r="N182" i="4"/>
  <c r="Q91" i="4"/>
  <c r="P91" i="4"/>
  <c r="N91" i="4"/>
  <c r="Q115" i="4"/>
  <c r="P115" i="4"/>
  <c r="N115" i="4"/>
  <c r="Q147" i="4"/>
  <c r="P147" i="4"/>
  <c r="N147" i="4"/>
  <c r="Q79" i="4"/>
  <c r="P79" i="4"/>
  <c r="N79" i="4"/>
  <c r="Q95" i="4"/>
  <c r="P95" i="4"/>
  <c r="N95" i="4"/>
  <c r="Q111" i="4"/>
  <c r="P111" i="4"/>
  <c r="N111" i="4"/>
  <c r="Q127" i="4"/>
  <c r="P127" i="4"/>
  <c r="N127" i="4"/>
  <c r="Q143" i="4"/>
  <c r="P143" i="4"/>
  <c r="N143" i="4"/>
  <c r="Q159" i="4"/>
  <c r="P159" i="4"/>
  <c r="N159" i="4"/>
  <c r="Q175" i="4"/>
  <c r="P175" i="4"/>
  <c r="N175" i="4"/>
  <c r="Q70" i="4"/>
  <c r="P70" i="4"/>
  <c r="N70" i="4"/>
  <c r="Q86" i="4"/>
  <c r="P86" i="4"/>
  <c r="N86" i="4"/>
  <c r="Q94" i="4"/>
  <c r="P94" i="4"/>
  <c r="N94" i="4"/>
  <c r="Q118" i="4"/>
  <c r="P118" i="4"/>
  <c r="N118" i="4"/>
  <c r="Q134" i="4"/>
  <c r="P134" i="4"/>
  <c r="N134" i="4"/>
  <c r="Q142" i="4"/>
  <c r="P142" i="4"/>
  <c r="N142" i="4"/>
  <c r="Q158" i="4"/>
  <c r="P158" i="4"/>
  <c r="N158" i="4"/>
  <c r="Q166" i="4"/>
  <c r="P166" i="4"/>
  <c r="N166" i="4"/>
  <c r="Q174" i="4"/>
  <c r="N174" i="4"/>
  <c r="P174" i="4"/>
  <c r="Q65" i="4"/>
  <c r="P65" i="4"/>
  <c r="N65" i="4"/>
  <c r="Q73" i="4"/>
  <c r="P73" i="4"/>
  <c r="N73" i="4"/>
  <c r="Q81" i="4"/>
  <c r="P81" i="4"/>
  <c r="N81" i="4"/>
  <c r="Q89" i="4"/>
  <c r="P89" i="4"/>
  <c r="N89" i="4"/>
  <c r="Q97" i="4"/>
  <c r="P97" i="4"/>
  <c r="N97" i="4"/>
  <c r="Q105" i="4"/>
  <c r="P105" i="4"/>
  <c r="N105" i="4"/>
  <c r="Q113" i="4"/>
  <c r="P113" i="4"/>
  <c r="N113" i="4"/>
  <c r="Q121" i="4"/>
  <c r="P121" i="4"/>
  <c r="N121" i="4"/>
  <c r="Q129" i="4"/>
  <c r="P129" i="4"/>
  <c r="N129" i="4"/>
  <c r="Q137" i="4"/>
  <c r="P137" i="4"/>
  <c r="N137" i="4"/>
  <c r="Q145" i="4"/>
  <c r="P145" i="4"/>
  <c r="N145" i="4"/>
  <c r="Q153" i="4"/>
  <c r="P153" i="4"/>
  <c r="N153" i="4"/>
  <c r="Q161" i="4"/>
  <c r="P161" i="4"/>
  <c r="N161" i="4"/>
  <c r="Q169" i="4"/>
  <c r="P169" i="4"/>
  <c r="N169" i="4"/>
  <c r="Q177" i="4"/>
  <c r="P177" i="4"/>
  <c r="N177" i="4"/>
  <c r="Q64" i="4"/>
  <c r="P64" i="4"/>
  <c r="N64" i="4"/>
  <c r="Q72" i="4"/>
  <c r="P72" i="4"/>
  <c r="N72" i="4"/>
  <c r="Q80" i="4"/>
  <c r="P80" i="4"/>
  <c r="N80" i="4"/>
  <c r="Q88" i="4"/>
  <c r="P88" i="4"/>
  <c r="N88" i="4"/>
  <c r="Q96" i="4"/>
  <c r="P96" i="4"/>
  <c r="N96" i="4"/>
  <c r="Q104" i="4"/>
  <c r="P104" i="4"/>
  <c r="N104" i="4"/>
  <c r="Q112" i="4"/>
  <c r="P112" i="4"/>
  <c r="N112" i="4"/>
  <c r="Q120" i="4"/>
  <c r="P120" i="4"/>
  <c r="N120" i="4"/>
  <c r="Q128" i="4"/>
  <c r="P128" i="4"/>
  <c r="N128" i="4"/>
  <c r="Q136" i="4"/>
  <c r="P136" i="4"/>
  <c r="N136" i="4"/>
  <c r="Q144" i="4"/>
  <c r="P144" i="4"/>
  <c r="N144" i="4"/>
  <c r="Q152" i="4"/>
  <c r="P152" i="4"/>
  <c r="N152" i="4"/>
  <c r="Q160" i="4"/>
  <c r="P160" i="4"/>
  <c r="N160" i="4"/>
  <c r="Q168" i="4"/>
  <c r="P168" i="4"/>
  <c r="N168" i="4"/>
  <c r="Q176" i="4"/>
  <c r="P176" i="4"/>
  <c r="N176" i="4"/>
  <c r="O34" i="25"/>
  <c r="CH35" i="25" s="1"/>
  <c r="CF35" i="25"/>
  <c r="J34" i="25"/>
  <c r="P35" i="25"/>
  <c r="CI36" i="25" s="1"/>
  <c r="N34" i="25"/>
  <c r="V34" i="25" s="1"/>
  <c r="N35" i="25"/>
  <c r="J42" i="25"/>
  <c r="CF43" i="25"/>
  <c r="O42" i="25"/>
  <c r="CH43" i="25" s="1"/>
  <c r="Q42" i="25"/>
  <c r="CJ43" i="25" s="1"/>
  <c r="T42" i="25"/>
  <c r="CM43" i="25" s="1"/>
  <c r="N42" i="25"/>
  <c r="P42" i="25"/>
  <c r="CI43" i="25" s="1"/>
  <c r="Q56" i="25"/>
  <c r="CJ57" i="25" s="1"/>
  <c r="O56" i="25"/>
  <c r="CH57" i="25" s="1"/>
  <c r="N56" i="25"/>
  <c r="P56" i="25"/>
  <c r="CI57" i="25" s="1"/>
  <c r="T56" i="25"/>
  <c r="CM57" i="25" s="1"/>
  <c r="J56" i="25"/>
  <c r="CF57" i="25"/>
  <c r="P68" i="25"/>
  <c r="CU39" i="25" s="1"/>
  <c r="CR39" i="25"/>
  <c r="N68" i="25"/>
  <c r="O68" i="25"/>
  <c r="CT39" i="25" s="1"/>
  <c r="T68" i="25"/>
  <c r="CY39" i="25" s="1"/>
  <c r="J68" i="25"/>
  <c r="Q68" i="25"/>
  <c r="CV39" i="25" s="1"/>
  <c r="P72" i="25"/>
  <c r="CU43" i="25" s="1"/>
  <c r="N72" i="25"/>
  <c r="Q72" i="25"/>
  <c r="CV43" i="25" s="1"/>
  <c r="T72" i="25"/>
  <c r="CY43" i="25" s="1"/>
  <c r="O72" i="25"/>
  <c r="CT43" i="25" s="1"/>
  <c r="J72" i="25"/>
  <c r="CR43" i="25"/>
  <c r="Q92" i="25"/>
  <c r="CV63" i="25" s="1"/>
  <c r="CR63" i="25"/>
  <c r="T92" i="25"/>
  <c r="CY63" i="25" s="1"/>
  <c r="P92" i="25"/>
  <c r="CU63" i="25" s="1"/>
  <c r="J92" i="25"/>
  <c r="N92" i="25"/>
  <c r="O92" i="25"/>
  <c r="CT63" i="25" s="1"/>
  <c r="DD50" i="25"/>
  <c r="N109" i="25"/>
  <c r="T109" i="25"/>
  <c r="DK50" i="25" s="1"/>
  <c r="J109" i="25"/>
  <c r="O109" i="25"/>
  <c r="DF50" i="25" s="1"/>
  <c r="Q109" i="25"/>
  <c r="DH50" i="25" s="1"/>
  <c r="P109" i="25"/>
  <c r="DG50" i="25" s="1"/>
  <c r="DP51" i="25"/>
  <c r="O140" i="25"/>
  <c r="DR51" i="25" s="1"/>
  <c r="Q140" i="25"/>
  <c r="DT51" i="25" s="1"/>
  <c r="P140" i="25"/>
  <c r="DS51" i="25" s="1"/>
  <c r="J140" i="25"/>
  <c r="T140" i="25"/>
  <c r="DW51" i="25" s="1"/>
  <c r="N140" i="25"/>
  <c r="DP64" i="25"/>
  <c r="Q153" i="25"/>
  <c r="DT64" i="25" s="1"/>
  <c r="T153" i="25"/>
  <c r="DW64" i="25" s="1"/>
  <c r="J153" i="25"/>
  <c r="N153" i="25"/>
  <c r="P153" i="25"/>
  <c r="DS64" i="25" s="1"/>
  <c r="O153" i="25"/>
  <c r="DR64" i="25" s="1"/>
  <c r="T161" i="25"/>
  <c r="EI42" i="25" s="1"/>
  <c r="J161" i="25"/>
  <c r="Q161" i="25"/>
  <c r="EF42" i="25" s="1"/>
  <c r="P161" i="25"/>
  <c r="EE42" i="25" s="1"/>
  <c r="O161" i="25"/>
  <c r="ED42" i="25" s="1"/>
  <c r="EB42" i="25"/>
  <c r="N161" i="25"/>
  <c r="EB64" i="25"/>
  <c r="T183" i="25"/>
  <c r="EI64" i="25" s="1"/>
  <c r="Q183" i="25"/>
  <c r="EF64" i="25" s="1"/>
  <c r="P183" i="25"/>
  <c r="EE64" i="25" s="1"/>
  <c r="N183" i="25"/>
  <c r="O183" i="25"/>
  <c r="ED64" i="25" s="1"/>
  <c r="J183" i="25"/>
  <c r="Q59" i="25"/>
  <c r="CJ60" i="25" s="1"/>
  <c r="J59" i="25"/>
  <c r="N59" i="25"/>
  <c r="O59" i="25"/>
  <c r="CH60" i="25" s="1"/>
  <c r="CF60" i="25"/>
  <c r="T59" i="25"/>
  <c r="CM60" i="25" s="1"/>
  <c r="P59" i="25"/>
  <c r="CI60" i="25" s="1"/>
  <c r="J69" i="25"/>
  <c r="N69" i="25"/>
  <c r="O69" i="25"/>
  <c r="CT40" i="25" s="1"/>
  <c r="P69" i="25"/>
  <c r="CU40" i="25" s="1"/>
  <c r="T69" i="25"/>
  <c r="CY40" i="25" s="1"/>
  <c r="Q69" i="25"/>
  <c r="CV40" i="25" s="1"/>
  <c r="CR40" i="25"/>
  <c r="CR61" i="25"/>
  <c r="J90" i="25"/>
  <c r="N90" i="25"/>
  <c r="T90" i="25"/>
  <c r="CY61" i="25" s="1"/>
  <c r="Q90" i="25"/>
  <c r="CV61" i="25" s="1"/>
  <c r="O90" i="25"/>
  <c r="CT61" i="25" s="1"/>
  <c r="P90" i="25"/>
  <c r="CU61" i="25" s="1"/>
  <c r="DD61" i="25"/>
  <c r="J120" i="25"/>
  <c r="N120" i="25"/>
  <c r="T120" i="25"/>
  <c r="DK61" i="25" s="1"/>
  <c r="Q120" i="25"/>
  <c r="DH61" i="25" s="1"/>
  <c r="O120" i="25"/>
  <c r="DF61" i="25" s="1"/>
  <c r="P120" i="25"/>
  <c r="DG61" i="25" s="1"/>
  <c r="Q126" i="25"/>
  <c r="DT37" i="25" s="1"/>
  <c r="DP37" i="25"/>
  <c r="N126" i="25"/>
  <c r="J126" i="25"/>
  <c r="T126" i="25"/>
  <c r="DW37" i="25" s="1"/>
  <c r="O126" i="25"/>
  <c r="DR37" i="25" s="1"/>
  <c r="P126" i="25"/>
  <c r="DS37" i="25" s="1"/>
  <c r="DP48" i="25"/>
  <c r="O137" i="25"/>
  <c r="DR48" i="25" s="1"/>
  <c r="T137" i="25"/>
  <c r="DW48" i="25" s="1"/>
  <c r="N137" i="25"/>
  <c r="Q137" i="25"/>
  <c r="DT48" i="25" s="1"/>
  <c r="P137" i="25"/>
  <c r="DS48" i="25" s="1"/>
  <c r="J137" i="25"/>
  <c r="DP57" i="25"/>
  <c r="O146" i="25"/>
  <c r="DR57" i="25" s="1"/>
  <c r="P146" i="25"/>
  <c r="DS57" i="25" s="1"/>
  <c r="J146" i="25"/>
  <c r="N146" i="25"/>
  <c r="Q146" i="25"/>
  <c r="DT57" i="25" s="1"/>
  <c r="T146" i="25"/>
  <c r="DW57" i="25" s="1"/>
  <c r="EB45" i="25"/>
  <c r="Q164" i="25"/>
  <c r="EF45" i="25" s="1"/>
  <c r="N164" i="25"/>
  <c r="P164" i="25"/>
  <c r="EE45" i="25" s="1"/>
  <c r="T164" i="25"/>
  <c r="EI45" i="25" s="1"/>
  <c r="J164" i="25"/>
  <c r="O164" i="25"/>
  <c r="ED45" i="25" s="1"/>
  <c r="EB49" i="25"/>
  <c r="T168" i="25"/>
  <c r="EI49" i="25" s="1"/>
  <c r="Q168" i="25"/>
  <c r="EF49" i="25" s="1"/>
  <c r="P168" i="25"/>
  <c r="EE49" i="25" s="1"/>
  <c r="J168" i="25"/>
  <c r="O168" i="25"/>
  <c r="ED49" i="25" s="1"/>
  <c r="N168" i="25"/>
  <c r="P39" i="25"/>
  <c r="CI40" i="25" s="1"/>
  <c r="T39" i="25"/>
  <c r="CM40" i="25" s="1"/>
  <c r="N39" i="25"/>
  <c r="J39" i="25"/>
  <c r="O39" i="25"/>
  <c r="CH40" i="25" s="1"/>
  <c r="Q39" i="25"/>
  <c r="CJ40" i="25" s="1"/>
  <c r="CF40" i="25"/>
  <c r="O58" i="25"/>
  <c r="CH59" i="25" s="1"/>
  <c r="T58" i="25"/>
  <c r="CM59" i="25" s="1"/>
  <c r="J58" i="25"/>
  <c r="N58" i="25"/>
  <c r="P58" i="25"/>
  <c r="CI59" i="25" s="1"/>
  <c r="Q58" i="25"/>
  <c r="CJ59" i="25" s="1"/>
  <c r="CF59" i="25"/>
  <c r="T73" i="25"/>
  <c r="CY44" i="25" s="1"/>
  <c r="P73" i="25"/>
  <c r="CU44" i="25" s="1"/>
  <c r="N73" i="25"/>
  <c r="O73" i="25"/>
  <c r="CT44" i="25" s="1"/>
  <c r="J73" i="25"/>
  <c r="Q73" i="25"/>
  <c r="CV44" i="25" s="1"/>
  <c r="CR44" i="25"/>
  <c r="T77" i="25"/>
  <c r="CY48" i="25" s="1"/>
  <c r="N77" i="25"/>
  <c r="Q77" i="25"/>
  <c r="CV48" i="25" s="1"/>
  <c r="P77" i="25"/>
  <c r="CU48" i="25" s="1"/>
  <c r="O77" i="25"/>
  <c r="CT48" i="25" s="1"/>
  <c r="J77" i="25"/>
  <c r="CR48" i="25"/>
  <c r="CR56" i="25"/>
  <c r="O85" i="25"/>
  <c r="CT56" i="25" s="1"/>
  <c r="N85" i="25"/>
  <c r="Q85" i="25"/>
  <c r="CV56" i="25" s="1"/>
  <c r="J85" i="25"/>
  <c r="T85" i="25"/>
  <c r="CY56" i="25" s="1"/>
  <c r="P85" i="25"/>
  <c r="CU56" i="25" s="1"/>
  <c r="DD43" i="25"/>
  <c r="N102" i="25"/>
  <c r="O102" i="25"/>
  <c r="DF43" i="25" s="1"/>
  <c r="T102" i="25"/>
  <c r="DK43" i="25" s="1"/>
  <c r="Q102" i="25"/>
  <c r="DH43" i="25" s="1"/>
  <c r="P102" i="25"/>
  <c r="DG43" i="25" s="1"/>
  <c r="J102" i="25"/>
  <c r="DD49" i="25"/>
  <c r="O108" i="25"/>
  <c r="DF49" i="25" s="1"/>
  <c r="J108" i="25"/>
  <c r="N108" i="25"/>
  <c r="T108" i="25"/>
  <c r="DK49" i="25" s="1"/>
  <c r="P108" i="25"/>
  <c r="DG49" i="25" s="1"/>
  <c r="Q108" i="25"/>
  <c r="DH49" i="25" s="1"/>
  <c r="DD57" i="25"/>
  <c r="N116" i="25"/>
  <c r="T116" i="25"/>
  <c r="DK57" i="25" s="1"/>
  <c r="Q116" i="25"/>
  <c r="DH57" i="25" s="1"/>
  <c r="O116" i="25"/>
  <c r="DF57" i="25" s="1"/>
  <c r="P116" i="25"/>
  <c r="DG57" i="25" s="1"/>
  <c r="J116" i="25"/>
  <c r="N122" i="25"/>
  <c r="J122" i="25"/>
  <c r="O122" i="25"/>
  <c r="DF63" i="25" s="1"/>
  <c r="Q122" i="25"/>
  <c r="DH63" i="25" s="1"/>
  <c r="DD63" i="25"/>
  <c r="P122" i="25"/>
  <c r="DG63" i="25" s="1"/>
  <c r="T122" i="25"/>
  <c r="DK63" i="25" s="1"/>
  <c r="DP53" i="25"/>
  <c r="J142" i="25"/>
  <c r="T142" i="25"/>
  <c r="DW53" i="25" s="1"/>
  <c r="Q142" i="25"/>
  <c r="DT53" i="25" s="1"/>
  <c r="P142" i="25"/>
  <c r="DS53" i="25" s="1"/>
  <c r="O142" i="25"/>
  <c r="DR53" i="25" s="1"/>
  <c r="N142" i="25"/>
  <c r="P151" i="25"/>
  <c r="DS62" i="25" s="1"/>
  <c r="O151" i="25"/>
  <c r="DR62" i="25" s="1"/>
  <c r="N151" i="25"/>
  <c r="T151" i="25"/>
  <c r="DW62" i="25" s="1"/>
  <c r="Q151" i="25"/>
  <c r="DT62" i="25" s="1"/>
  <c r="DP62" i="25"/>
  <c r="J151" i="25"/>
  <c r="N157" i="25"/>
  <c r="Q157" i="25"/>
  <c r="EF38" i="25" s="1"/>
  <c r="EB38" i="25"/>
  <c r="O157" i="25"/>
  <c r="ED38" i="25" s="1"/>
  <c r="P157" i="25"/>
  <c r="EE38" i="25" s="1"/>
  <c r="T157" i="25"/>
  <c r="EI38" i="25" s="1"/>
  <c r="J157" i="25"/>
  <c r="EB48" i="25"/>
  <c r="N167" i="25"/>
  <c r="T167" i="25"/>
  <c r="EI48" i="25" s="1"/>
  <c r="P167" i="25"/>
  <c r="EE48" i="25" s="1"/>
  <c r="O167" i="25"/>
  <c r="ED48" i="25" s="1"/>
  <c r="Q167" i="25"/>
  <c r="EF48" i="25" s="1"/>
  <c r="J167" i="25"/>
  <c r="J173" i="25"/>
  <c r="P173" i="25"/>
  <c r="EE54" i="25" s="1"/>
  <c r="EB54" i="25"/>
  <c r="Q173" i="25"/>
  <c r="EF54" i="25" s="1"/>
  <c r="O173" i="25"/>
  <c r="ED54" i="25" s="1"/>
  <c r="T173" i="25"/>
  <c r="EI54" i="25" s="1"/>
  <c r="N173" i="25"/>
  <c r="J48" i="25"/>
  <c r="T48" i="25"/>
  <c r="CM49" i="25" s="1"/>
  <c r="Q48" i="25"/>
  <c r="CJ49" i="25" s="1"/>
  <c r="P48" i="25"/>
  <c r="CI49" i="25" s="1"/>
  <c r="O48" i="25"/>
  <c r="CH49" i="25" s="1"/>
  <c r="CF49" i="25"/>
  <c r="N48" i="25"/>
  <c r="Q54" i="25"/>
  <c r="CJ55" i="25" s="1"/>
  <c r="J54" i="25"/>
  <c r="P54" i="25"/>
  <c r="CI55" i="25" s="1"/>
  <c r="CF55" i="25"/>
  <c r="T54" i="25"/>
  <c r="CM55" i="25" s="1"/>
  <c r="N54" i="25"/>
  <c r="O54" i="25"/>
  <c r="CH55" i="25" s="1"/>
  <c r="P62" i="25"/>
  <c r="CI63" i="25" s="1"/>
  <c r="J62" i="25"/>
  <c r="CF63" i="25"/>
  <c r="Q62" i="25"/>
  <c r="CJ63" i="25" s="1"/>
  <c r="N62" i="25"/>
  <c r="T62" i="25"/>
  <c r="CM63" i="25" s="1"/>
  <c r="O62" i="25"/>
  <c r="CH63" i="25" s="1"/>
  <c r="CR57" i="25"/>
  <c r="N86" i="25"/>
  <c r="T86" i="25"/>
  <c r="CY57" i="25" s="1"/>
  <c r="Q86" i="25"/>
  <c r="CV57" i="25" s="1"/>
  <c r="O86" i="25"/>
  <c r="CT57" i="25" s="1"/>
  <c r="P86" i="25"/>
  <c r="CU57" i="25" s="1"/>
  <c r="J86" i="25"/>
  <c r="N136" i="25"/>
  <c r="DP47" i="25"/>
  <c r="O136" i="25"/>
  <c r="DR47" i="25" s="1"/>
  <c r="T136" i="25"/>
  <c r="DW47" i="25" s="1"/>
  <c r="J136" i="25"/>
  <c r="Q136" i="25"/>
  <c r="DT47" i="25" s="1"/>
  <c r="P136" i="25"/>
  <c r="DS47" i="25" s="1"/>
  <c r="P150" i="25"/>
  <c r="DS61" i="25" s="1"/>
  <c r="J150" i="25"/>
  <c r="Q150" i="25"/>
  <c r="DT61" i="25" s="1"/>
  <c r="N150" i="25"/>
  <c r="T150" i="25"/>
  <c r="DW61" i="25" s="1"/>
  <c r="O150" i="25"/>
  <c r="DR61" i="25" s="1"/>
  <c r="DP61" i="25"/>
  <c r="P170" i="25"/>
  <c r="EE51" i="25" s="1"/>
  <c r="J170" i="25"/>
  <c r="EB51" i="25"/>
  <c r="N170" i="25"/>
  <c r="Q170" i="25"/>
  <c r="EF51" i="25" s="1"/>
  <c r="O170" i="25"/>
  <c r="ED51" i="25" s="1"/>
  <c r="T170" i="25"/>
  <c r="EI51" i="25" s="1"/>
  <c r="T177" i="25"/>
  <c r="EI58" i="25" s="1"/>
  <c r="N177" i="25"/>
  <c r="Q177" i="25"/>
  <c r="EF58" i="25" s="1"/>
  <c r="O177" i="25"/>
  <c r="ED58" i="25" s="1"/>
  <c r="P177" i="25"/>
  <c r="EE58" i="25" s="1"/>
  <c r="J177" i="25"/>
  <c r="EB58" i="25"/>
  <c r="P43" i="25"/>
  <c r="CI44" i="25" s="1"/>
  <c r="Q43" i="25"/>
  <c r="CJ44" i="25" s="1"/>
  <c r="O43" i="25"/>
  <c r="CH44" i="25" s="1"/>
  <c r="T43" i="25"/>
  <c r="CM44" i="25" s="1"/>
  <c r="CF44" i="25"/>
  <c r="J43" i="25"/>
  <c r="N43" i="25"/>
  <c r="P52" i="25"/>
  <c r="CI53" i="25" s="1"/>
  <c r="CF53" i="25"/>
  <c r="T52" i="25"/>
  <c r="CM53" i="25" s="1"/>
  <c r="N52" i="25"/>
  <c r="O52" i="25"/>
  <c r="CH53" i="25" s="1"/>
  <c r="Q52" i="25"/>
  <c r="CJ53" i="25" s="1"/>
  <c r="J52" i="25"/>
  <c r="J57" i="25"/>
  <c r="CF58" i="25"/>
  <c r="N57" i="25"/>
  <c r="P57" i="25"/>
  <c r="CI58" i="25" s="1"/>
  <c r="Q57" i="25"/>
  <c r="CJ58" i="25" s="1"/>
  <c r="O57" i="25"/>
  <c r="CH58" i="25" s="1"/>
  <c r="T57" i="25"/>
  <c r="CM58" i="25" s="1"/>
  <c r="CR64" i="25"/>
  <c r="N93" i="25"/>
  <c r="O93" i="25"/>
  <c r="CT64" i="25" s="1"/>
  <c r="Q93" i="25"/>
  <c r="CV64" i="25" s="1"/>
  <c r="J93" i="25"/>
  <c r="P93" i="25"/>
  <c r="CU64" i="25" s="1"/>
  <c r="T93" i="25"/>
  <c r="CY64" i="25" s="1"/>
  <c r="DD53" i="25"/>
  <c r="O112" i="25"/>
  <c r="DF53" i="25" s="1"/>
  <c r="J112" i="25"/>
  <c r="Q112" i="25"/>
  <c r="DH53" i="25" s="1"/>
  <c r="N112" i="25"/>
  <c r="T112" i="25"/>
  <c r="DK53" i="25" s="1"/>
  <c r="P112" i="25"/>
  <c r="DG53" i="25" s="1"/>
  <c r="N148" i="25"/>
  <c r="DP59" i="25"/>
  <c r="T148" i="25"/>
  <c r="DW59" i="25" s="1"/>
  <c r="Q148" i="25"/>
  <c r="DT59" i="25" s="1"/>
  <c r="P148" i="25"/>
  <c r="DS59" i="25" s="1"/>
  <c r="O148" i="25"/>
  <c r="DR59" i="25" s="1"/>
  <c r="J148" i="25"/>
  <c r="EB59" i="25"/>
  <c r="J178" i="25"/>
  <c r="N178" i="25"/>
  <c r="P178" i="25"/>
  <c r="EE59" i="25" s="1"/>
  <c r="O178" i="25"/>
  <c r="ED59" i="25" s="1"/>
  <c r="Q178" i="25"/>
  <c r="EF59" i="25" s="1"/>
  <c r="T178" i="25"/>
  <c r="EI59" i="25" s="1"/>
  <c r="O40" i="25"/>
  <c r="CH41" i="25" s="1"/>
  <c r="J40" i="25"/>
  <c r="CF41" i="25"/>
  <c r="T40" i="25"/>
  <c r="CM41" i="25" s="1"/>
  <c r="N40" i="25"/>
  <c r="P40" i="25"/>
  <c r="CI41" i="25" s="1"/>
  <c r="Q40" i="25"/>
  <c r="CJ41" i="25" s="1"/>
  <c r="CF52" i="25"/>
  <c r="J51" i="25"/>
  <c r="Q51" i="25"/>
  <c r="CJ52" i="25" s="1"/>
  <c r="T51" i="25"/>
  <c r="CM52" i="25" s="1"/>
  <c r="N51" i="25"/>
  <c r="O51" i="25"/>
  <c r="CH52" i="25" s="1"/>
  <c r="P51" i="25"/>
  <c r="CI52" i="25" s="1"/>
  <c r="O61" i="25"/>
  <c r="CH62" i="25" s="1"/>
  <c r="CF62" i="25"/>
  <c r="J61" i="25"/>
  <c r="Q61" i="25"/>
  <c r="CJ62" i="25" s="1"/>
  <c r="T61" i="25"/>
  <c r="CM62" i="25" s="1"/>
  <c r="P61" i="25"/>
  <c r="CI62" i="25" s="1"/>
  <c r="N61" i="25"/>
  <c r="N70" i="25"/>
  <c r="CR41" i="25"/>
  <c r="Q70" i="25"/>
  <c r="CV41" i="25" s="1"/>
  <c r="P70" i="25"/>
  <c r="CU41" i="25" s="1"/>
  <c r="O70" i="25"/>
  <c r="CT41" i="25" s="1"/>
  <c r="T70" i="25"/>
  <c r="CY41" i="25" s="1"/>
  <c r="J70" i="25"/>
  <c r="CR52" i="25"/>
  <c r="Q81" i="25"/>
  <c r="CV52" i="25" s="1"/>
  <c r="P81" i="25"/>
  <c r="CU52" i="25" s="1"/>
  <c r="O81" i="25"/>
  <c r="CT52" i="25" s="1"/>
  <c r="T81" i="25"/>
  <c r="CY52" i="25" s="1"/>
  <c r="N81" i="25"/>
  <c r="J81" i="25"/>
  <c r="N100" i="25"/>
  <c r="P100" i="25"/>
  <c r="DG41" i="25" s="1"/>
  <c r="T100" i="25"/>
  <c r="DK41" i="25" s="1"/>
  <c r="DD41" i="25"/>
  <c r="Q100" i="25"/>
  <c r="DH41" i="25" s="1"/>
  <c r="O100" i="25"/>
  <c r="DF41" i="25" s="1"/>
  <c r="J100" i="25"/>
  <c r="N121" i="25"/>
  <c r="O121" i="25"/>
  <c r="DF62" i="25" s="1"/>
  <c r="J121" i="25"/>
  <c r="DD62" i="25"/>
  <c r="T121" i="25"/>
  <c r="DK62" i="25" s="1"/>
  <c r="P121" i="25"/>
  <c r="DG62" i="25" s="1"/>
  <c r="Q121" i="25"/>
  <c r="DH62" i="25" s="1"/>
  <c r="DP38" i="25"/>
  <c r="N127" i="25"/>
  <c r="O127" i="25"/>
  <c r="DR38" i="25" s="1"/>
  <c r="Q127" i="25"/>
  <c r="DT38" i="25" s="1"/>
  <c r="J127" i="25"/>
  <c r="P127" i="25"/>
  <c r="DS38" i="25" s="1"/>
  <c r="T127" i="25"/>
  <c r="DW38" i="25" s="1"/>
  <c r="O165" i="25"/>
  <c r="ED46" i="25" s="1"/>
  <c r="EB46" i="25"/>
  <c r="J165" i="25"/>
  <c r="N165" i="25"/>
  <c r="P165" i="25"/>
  <c r="EE46" i="25" s="1"/>
  <c r="Q165" i="25"/>
  <c r="EF46" i="25" s="1"/>
  <c r="T165" i="25"/>
  <c r="EI46" i="25" s="1"/>
  <c r="CF37" i="25"/>
  <c r="J36" i="25"/>
  <c r="T36" i="25"/>
  <c r="CM37" i="25" s="1"/>
  <c r="Q36" i="25"/>
  <c r="CJ37" i="25" s="1"/>
  <c r="O36" i="25"/>
  <c r="CH37" i="25" s="1"/>
  <c r="N36" i="25"/>
  <c r="P36" i="25"/>
  <c r="CI37" i="25" s="1"/>
  <c r="CF42" i="25"/>
  <c r="P41" i="25"/>
  <c r="CI42" i="25" s="1"/>
  <c r="N41" i="25"/>
  <c r="Q41" i="25"/>
  <c r="CJ42" i="25" s="1"/>
  <c r="O41" i="25"/>
  <c r="CH42" i="25" s="1"/>
  <c r="T41" i="25"/>
  <c r="CM42" i="25" s="1"/>
  <c r="J41" i="25"/>
  <c r="O74" i="25"/>
  <c r="CT45" i="25" s="1"/>
  <c r="N74" i="25"/>
  <c r="CR45" i="25"/>
  <c r="T74" i="25"/>
  <c r="CY45" i="25" s="1"/>
  <c r="P74" i="25"/>
  <c r="CU45" i="25" s="1"/>
  <c r="J74" i="25"/>
  <c r="Q74" i="25"/>
  <c r="CV45" i="25" s="1"/>
  <c r="Q79" i="25"/>
  <c r="CV50" i="25" s="1"/>
  <c r="N79" i="25"/>
  <c r="J79" i="25"/>
  <c r="P79" i="25"/>
  <c r="CU50" i="25" s="1"/>
  <c r="O79" i="25"/>
  <c r="CT50" i="25" s="1"/>
  <c r="CR50" i="25"/>
  <c r="T79" i="25"/>
  <c r="CY50" i="25" s="1"/>
  <c r="DD38" i="25"/>
  <c r="N97" i="25"/>
  <c r="O97" i="25"/>
  <c r="DF38" i="25" s="1"/>
  <c r="Q97" i="25"/>
  <c r="DH38" i="25" s="1"/>
  <c r="J97" i="25"/>
  <c r="P97" i="25"/>
  <c r="DG38" i="25" s="1"/>
  <c r="T97" i="25"/>
  <c r="DK38" i="25" s="1"/>
  <c r="O103" i="25"/>
  <c r="DF44" i="25" s="1"/>
  <c r="DD44" i="25"/>
  <c r="J103" i="25"/>
  <c r="N103" i="25"/>
  <c r="Q103" i="25"/>
  <c r="DH44" i="25" s="1"/>
  <c r="P103" i="25"/>
  <c r="DG44" i="25" s="1"/>
  <c r="T103" i="25"/>
  <c r="DK44" i="25" s="1"/>
  <c r="DD58" i="25"/>
  <c r="T117" i="25"/>
  <c r="DK58" i="25" s="1"/>
  <c r="O117" i="25"/>
  <c r="DF58" i="25" s="1"/>
  <c r="P117" i="25"/>
  <c r="DG58" i="25" s="1"/>
  <c r="Q117" i="25"/>
  <c r="DH58" i="25" s="1"/>
  <c r="N117" i="25"/>
  <c r="J117" i="25"/>
  <c r="J123" i="25"/>
  <c r="DD64" i="25"/>
  <c r="O123" i="25"/>
  <c r="DF64" i="25" s="1"/>
  <c r="N123" i="25"/>
  <c r="Q123" i="25"/>
  <c r="DH64" i="25" s="1"/>
  <c r="P123" i="25"/>
  <c r="DG64" i="25" s="1"/>
  <c r="T123" i="25"/>
  <c r="DK64" i="25" s="1"/>
  <c r="DP43" i="25"/>
  <c r="Q132" i="25"/>
  <c r="DT43" i="25" s="1"/>
  <c r="J132" i="25"/>
  <c r="T132" i="25"/>
  <c r="DW43" i="25" s="1"/>
  <c r="O132" i="25"/>
  <c r="DR43" i="25" s="1"/>
  <c r="P132" i="25"/>
  <c r="DS43" i="25" s="1"/>
  <c r="N132" i="25"/>
  <c r="EB50" i="25"/>
  <c r="O169" i="25"/>
  <c r="ED50" i="25" s="1"/>
  <c r="T169" i="25"/>
  <c r="EI50" i="25" s="1"/>
  <c r="J169" i="25"/>
  <c r="N169" i="25"/>
  <c r="Q169" i="25"/>
  <c r="EF50" i="25" s="1"/>
  <c r="P169" i="25"/>
  <c r="EE50" i="25" s="1"/>
  <c r="EB61" i="25"/>
  <c r="P180" i="25"/>
  <c r="EE61" i="25" s="1"/>
  <c r="T180" i="25"/>
  <c r="EI61" i="25" s="1"/>
  <c r="Q180" i="25"/>
  <c r="EF61" i="25" s="1"/>
  <c r="J180" i="25"/>
  <c r="N180" i="25"/>
  <c r="O180" i="25"/>
  <c r="ED61" i="25" s="1"/>
  <c r="J44" i="25"/>
  <c r="T44" i="25"/>
  <c r="CM45" i="25" s="1"/>
  <c r="O44" i="25"/>
  <c r="CH45" i="25" s="1"/>
  <c r="CF45" i="25"/>
  <c r="N44" i="25"/>
  <c r="P44" i="25"/>
  <c r="CI45" i="25" s="1"/>
  <c r="Q44" i="25"/>
  <c r="CJ45" i="25" s="1"/>
  <c r="CR35" i="25"/>
  <c r="Q64" i="25"/>
  <c r="CV35" i="25" s="1"/>
  <c r="P64" i="25"/>
  <c r="CU35" i="25" s="1"/>
  <c r="J64" i="25"/>
  <c r="T64" i="25"/>
  <c r="CY35" i="25" s="1"/>
  <c r="N64" i="25"/>
  <c r="O64" i="25"/>
  <c r="CT35" i="25" s="1"/>
  <c r="CR58" i="25"/>
  <c r="P87" i="25"/>
  <c r="CU58" i="25" s="1"/>
  <c r="T87" i="25"/>
  <c r="CY58" i="25" s="1"/>
  <c r="N87" i="25"/>
  <c r="J87" i="25"/>
  <c r="Q87" i="25"/>
  <c r="CV58" i="25" s="1"/>
  <c r="O87" i="25"/>
  <c r="CT58" i="25" s="1"/>
  <c r="DD51" i="25"/>
  <c r="T110" i="25"/>
  <c r="DK51" i="25" s="1"/>
  <c r="Q110" i="25"/>
  <c r="DH51" i="25" s="1"/>
  <c r="O110" i="25"/>
  <c r="DF51" i="25" s="1"/>
  <c r="J110" i="25"/>
  <c r="N110" i="25"/>
  <c r="P110" i="25"/>
  <c r="DG51" i="25" s="1"/>
  <c r="DP42" i="25"/>
  <c r="O131" i="25"/>
  <c r="DR42" i="25" s="1"/>
  <c r="Q131" i="25"/>
  <c r="DT42" i="25" s="1"/>
  <c r="P131" i="25"/>
  <c r="DS42" i="25" s="1"/>
  <c r="T131" i="25"/>
  <c r="DW42" i="25" s="1"/>
  <c r="J131" i="25"/>
  <c r="N131" i="25"/>
  <c r="DP50" i="25"/>
  <c r="N139" i="25"/>
  <c r="O139" i="25"/>
  <c r="DR50" i="25" s="1"/>
  <c r="P139" i="25"/>
  <c r="DS50" i="25" s="1"/>
  <c r="J139" i="25"/>
  <c r="T139" i="25"/>
  <c r="DW50" i="25" s="1"/>
  <c r="Q139" i="25"/>
  <c r="DT50" i="25" s="1"/>
  <c r="Q171" i="25"/>
  <c r="EF52" i="25" s="1"/>
  <c r="EB52" i="25"/>
  <c r="O171" i="25"/>
  <c r="ED52" i="25" s="1"/>
  <c r="N171" i="25"/>
  <c r="T171" i="25"/>
  <c r="EI52" i="25" s="1"/>
  <c r="J171" i="25"/>
  <c r="P171" i="25"/>
  <c r="EE52" i="25" s="1"/>
  <c r="CF36" i="25"/>
  <c r="P45" i="25"/>
  <c r="CI46" i="25" s="1"/>
  <c r="J45" i="25"/>
  <c r="N45" i="25"/>
  <c r="T45" i="25"/>
  <c r="CM46" i="25" s="1"/>
  <c r="O45" i="25"/>
  <c r="CH46" i="25" s="1"/>
  <c r="CF46" i="25"/>
  <c r="Q45" i="25"/>
  <c r="CJ46" i="25" s="1"/>
  <c r="P53" i="25"/>
  <c r="CI54" i="25" s="1"/>
  <c r="T53" i="25"/>
  <c r="CM54" i="25" s="1"/>
  <c r="CF54" i="25"/>
  <c r="J53" i="25"/>
  <c r="Q53" i="25"/>
  <c r="CJ54" i="25" s="1"/>
  <c r="O53" i="25"/>
  <c r="CH54" i="25" s="1"/>
  <c r="N53" i="25"/>
  <c r="O66" i="25"/>
  <c r="CT37" i="25" s="1"/>
  <c r="T66" i="25"/>
  <c r="CY37" i="25" s="1"/>
  <c r="P66" i="25"/>
  <c r="CU37" i="25" s="1"/>
  <c r="Q66" i="25"/>
  <c r="CV37" i="25" s="1"/>
  <c r="CR37" i="25"/>
  <c r="J66" i="25"/>
  <c r="N66" i="25"/>
  <c r="T94" i="25"/>
  <c r="DK35" i="25" s="1"/>
  <c r="Q94" i="25"/>
  <c r="DH35" i="25" s="1"/>
  <c r="P94" i="25"/>
  <c r="DG35" i="25" s="1"/>
  <c r="N94" i="25"/>
  <c r="J94" i="25"/>
  <c r="DD35" i="25"/>
  <c r="O94" i="25"/>
  <c r="DF35" i="25" s="1"/>
  <c r="DD55" i="25"/>
  <c r="T114" i="25"/>
  <c r="DK55" i="25" s="1"/>
  <c r="J114" i="25"/>
  <c r="Q114" i="25"/>
  <c r="DH55" i="25" s="1"/>
  <c r="N114" i="25"/>
  <c r="P114" i="25"/>
  <c r="DG55" i="25" s="1"/>
  <c r="O114" i="25"/>
  <c r="DF55" i="25" s="1"/>
  <c r="DP35" i="25"/>
  <c r="N124" i="25"/>
  <c r="T124" i="25"/>
  <c r="DW35" i="25" s="1"/>
  <c r="Q124" i="25"/>
  <c r="DT35" i="25" s="1"/>
  <c r="O124" i="25"/>
  <c r="DR35" i="25" s="1"/>
  <c r="P124" i="25"/>
  <c r="DS35" i="25" s="1"/>
  <c r="J124" i="25"/>
  <c r="DP41" i="25"/>
  <c r="P130" i="25"/>
  <c r="DS41" i="25" s="1"/>
  <c r="O130" i="25"/>
  <c r="DR41" i="25" s="1"/>
  <c r="Q130" i="25"/>
  <c r="DT41" i="25" s="1"/>
  <c r="N130" i="25"/>
  <c r="T130" i="25"/>
  <c r="DW41" i="25" s="1"/>
  <c r="J130" i="25"/>
  <c r="T144" i="25"/>
  <c r="DW55" i="25" s="1"/>
  <c r="P144" i="25"/>
  <c r="DS55" i="25" s="1"/>
  <c r="N144" i="25"/>
  <c r="DP55" i="25"/>
  <c r="O144" i="25"/>
  <c r="DR55" i="25" s="1"/>
  <c r="Q144" i="25"/>
  <c r="DT55" i="25" s="1"/>
  <c r="J144" i="25"/>
  <c r="Q149" i="25"/>
  <c r="DT60" i="25" s="1"/>
  <c r="DP60" i="25"/>
  <c r="P149" i="25"/>
  <c r="DS60" i="25" s="1"/>
  <c r="N149" i="25"/>
  <c r="J149" i="25"/>
  <c r="T149" i="25"/>
  <c r="DW60" i="25" s="1"/>
  <c r="O149" i="25"/>
  <c r="DR60" i="25" s="1"/>
  <c r="EB60" i="25"/>
  <c r="N179" i="25"/>
  <c r="O179" i="25"/>
  <c r="ED60" i="25" s="1"/>
  <c r="P179" i="25"/>
  <c r="EE60" i="25" s="1"/>
  <c r="T179" i="25"/>
  <c r="EI60" i="25" s="1"/>
  <c r="Q179" i="25"/>
  <c r="EF60" i="25" s="1"/>
  <c r="J179" i="25"/>
  <c r="P55" i="25"/>
  <c r="CI56" i="25" s="1"/>
  <c r="CF56" i="25"/>
  <c r="T55" i="25"/>
  <c r="CM56" i="25" s="1"/>
  <c r="Q55" i="25"/>
  <c r="CJ56" i="25" s="1"/>
  <c r="N55" i="25"/>
  <c r="O55" i="25"/>
  <c r="CH56" i="25" s="1"/>
  <c r="J55" i="25"/>
  <c r="N63" i="25"/>
  <c r="T63" i="25"/>
  <c r="CM64" i="25" s="1"/>
  <c r="O63" i="25"/>
  <c r="CH64" i="25" s="1"/>
  <c r="Q63" i="25"/>
  <c r="CJ64" i="25" s="1"/>
  <c r="P63" i="25"/>
  <c r="CI64" i="25" s="1"/>
  <c r="CF64" i="25"/>
  <c r="J63" i="25"/>
  <c r="T71" i="25"/>
  <c r="CY42" i="25" s="1"/>
  <c r="N71" i="25"/>
  <c r="P71" i="25"/>
  <c r="CU42" i="25" s="1"/>
  <c r="J71" i="25"/>
  <c r="Q71" i="25"/>
  <c r="CV42" i="25" s="1"/>
  <c r="O71" i="25"/>
  <c r="CT42" i="25" s="1"/>
  <c r="CR42" i="25"/>
  <c r="CR53" i="25"/>
  <c r="O82" i="25"/>
  <c r="CT53" i="25" s="1"/>
  <c r="P82" i="25"/>
  <c r="CU53" i="25" s="1"/>
  <c r="J82" i="25"/>
  <c r="N82" i="25"/>
  <c r="T82" i="25"/>
  <c r="CY53" i="25" s="1"/>
  <c r="Q82" i="25"/>
  <c r="CV53" i="25" s="1"/>
  <c r="Q88" i="25"/>
  <c r="CV59" i="25" s="1"/>
  <c r="CR59" i="25"/>
  <c r="N88" i="25"/>
  <c r="J88" i="25"/>
  <c r="O88" i="25"/>
  <c r="CT59" i="25" s="1"/>
  <c r="P88" i="25"/>
  <c r="CU59" i="25" s="1"/>
  <c r="T88" i="25"/>
  <c r="CY59" i="25" s="1"/>
  <c r="Q101" i="25"/>
  <c r="DH42" i="25" s="1"/>
  <c r="DD42" i="25"/>
  <c r="N101" i="25"/>
  <c r="J101" i="25"/>
  <c r="T101" i="25"/>
  <c r="DK42" i="25" s="1"/>
  <c r="P101" i="25"/>
  <c r="DG42" i="25" s="1"/>
  <c r="O101" i="25"/>
  <c r="DF42" i="25" s="1"/>
  <c r="J106" i="25"/>
  <c r="DD47" i="25"/>
  <c r="O106" i="25"/>
  <c r="DF47" i="25" s="1"/>
  <c r="T106" i="25"/>
  <c r="DK47" i="25" s="1"/>
  <c r="N106" i="25"/>
  <c r="Q106" i="25"/>
  <c r="DH47" i="25" s="1"/>
  <c r="P106" i="25"/>
  <c r="DG47" i="25" s="1"/>
  <c r="J141" i="25"/>
  <c r="DP52" i="25"/>
  <c r="T141" i="25"/>
  <c r="DW52" i="25" s="1"/>
  <c r="O141" i="25"/>
  <c r="DR52" i="25" s="1"/>
  <c r="N141" i="25"/>
  <c r="Q141" i="25"/>
  <c r="DT52" i="25" s="1"/>
  <c r="P141" i="25"/>
  <c r="DS52" i="25" s="1"/>
  <c r="EB39" i="25"/>
  <c r="O158" i="25"/>
  <c r="ED39" i="25" s="1"/>
  <c r="N158" i="25"/>
  <c r="J158" i="25"/>
  <c r="T158" i="25"/>
  <c r="EI39" i="25" s="1"/>
  <c r="Q158" i="25"/>
  <c r="EF39" i="25" s="1"/>
  <c r="P158" i="25"/>
  <c r="EE39" i="25" s="1"/>
  <c r="EB53" i="25"/>
  <c r="O172" i="25"/>
  <c r="ED53" i="25" s="1"/>
  <c r="N172" i="25"/>
  <c r="Q172" i="25"/>
  <c r="EF53" i="25" s="1"/>
  <c r="J172" i="25"/>
  <c r="P172" i="25"/>
  <c r="EE53" i="25" s="1"/>
  <c r="T172" i="25"/>
  <c r="EI53" i="25" s="1"/>
  <c r="N50" i="25"/>
  <c r="Q50" i="25"/>
  <c r="CJ51" i="25" s="1"/>
  <c r="P50" i="25"/>
  <c r="CI51" i="25" s="1"/>
  <c r="T50" i="25"/>
  <c r="CM51" i="25" s="1"/>
  <c r="J50" i="25"/>
  <c r="CF51" i="25"/>
  <c r="O50" i="25"/>
  <c r="CH51" i="25" s="1"/>
  <c r="DD39" i="25"/>
  <c r="N98" i="25"/>
  <c r="O98" i="25"/>
  <c r="DF39" i="25" s="1"/>
  <c r="Q98" i="25"/>
  <c r="DH39" i="25" s="1"/>
  <c r="J98" i="25"/>
  <c r="T98" i="25"/>
  <c r="DK39" i="25" s="1"/>
  <c r="P98" i="25"/>
  <c r="DG39" i="25" s="1"/>
  <c r="DP44" i="25"/>
  <c r="P133" i="25"/>
  <c r="DS44" i="25" s="1"/>
  <c r="T133" i="25"/>
  <c r="DW44" i="25" s="1"/>
  <c r="N133" i="25"/>
  <c r="Q133" i="25"/>
  <c r="DT44" i="25" s="1"/>
  <c r="O133" i="25"/>
  <c r="DR44" i="25" s="1"/>
  <c r="J133" i="25"/>
  <c r="P138" i="25"/>
  <c r="DS49" i="25" s="1"/>
  <c r="J138" i="25"/>
  <c r="N138" i="25"/>
  <c r="T138" i="25"/>
  <c r="DW49" i="25" s="1"/>
  <c r="DP49" i="25"/>
  <c r="Q138" i="25"/>
  <c r="DT49" i="25" s="1"/>
  <c r="O138" i="25"/>
  <c r="DR49" i="25" s="1"/>
  <c r="Q147" i="25"/>
  <c r="DT58" i="25" s="1"/>
  <c r="O147" i="25"/>
  <c r="DR58" i="25" s="1"/>
  <c r="T147" i="25"/>
  <c r="DW58" i="25" s="1"/>
  <c r="N147" i="25"/>
  <c r="J147" i="25"/>
  <c r="P147" i="25"/>
  <c r="DS58" i="25" s="1"/>
  <c r="DP58" i="25"/>
  <c r="O155" i="25"/>
  <c r="ED36" i="25" s="1"/>
  <c r="EB36" i="25"/>
  <c r="N155" i="25"/>
  <c r="Q155" i="25"/>
  <c r="EF36" i="25" s="1"/>
  <c r="J155" i="25"/>
  <c r="T155" i="25"/>
  <c r="EI36" i="25" s="1"/>
  <c r="P155" i="25"/>
  <c r="EE36" i="25" s="1"/>
  <c r="CF38" i="25"/>
  <c r="P37" i="25"/>
  <c r="CI38" i="25" s="1"/>
  <c r="Q37" i="25"/>
  <c r="CJ38" i="25" s="1"/>
  <c r="O37" i="25"/>
  <c r="CH38" i="25" s="1"/>
  <c r="T37" i="25"/>
  <c r="CM38" i="25" s="1"/>
  <c r="J37" i="25"/>
  <c r="N37" i="25"/>
  <c r="N75" i="25"/>
  <c r="T75" i="25"/>
  <c r="CY46" i="25" s="1"/>
  <c r="Q75" i="25"/>
  <c r="CV46" i="25" s="1"/>
  <c r="P75" i="25"/>
  <c r="CU46" i="25" s="1"/>
  <c r="CR46" i="25"/>
  <c r="J75" i="25"/>
  <c r="O75" i="25"/>
  <c r="CT46" i="25" s="1"/>
  <c r="N96" i="25"/>
  <c r="P96" i="25"/>
  <c r="DG37" i="25" s="1"/>
  <c r="O96" i="25"/>
  <c r="DF37" i="25" s="1"/>
  <c r="J96" i="25"/>
  <c r="T96" i="25"/>
  <c r="DK37" i="25" s="1"/>
  <c r="DD37" i="25"/>
  <c r="Q96" i="25"/>
  <c r="DH37" i="25" s="1"/>
  <c r="T111" i="25"/>
  <c r="DK52" i="25" s="1"/>
  <c r="J111" i="25"/>
  <c r="P111" i="25"/>
  <c r="DG52" i="25" s="1"/>
  <c r="DD52" i="25"/>
  <c r="O111" i="25"/>
  <c r="DF52" i="25" s="1"/>
  <c r="N111" i="25"/>
  <c r="Q111" i="25"/>
  <c r="DH52" i="25" s="1"/>
  <c r="DD59" i="25"/>
  <c r="O118" i="25"/>
  <c r="DF59" i="25" s="1"/>
  <c r="T118" i="25"/>
  <c r="DK59" i="25" s="1"/>
  <c r="J118" i="25"/>
  <c r="Q118" i="25"/>
  <c r="DH59" i="25" s="1"/>
  <c r="P118" i="25"/>
  <c r="DG59" i="25" s="1"/>
  <c r="N118" i="25"/>
  <c r="T128" i="25"/>
  <c r="DW39" i="25" s="1"/>
  <c r="P128" i="25"/>
  <c r="DS39" i="25" s="1"/>
  <c r="O128" i="25"/>
  <c r="DR39" i="25" s="1"/>
  <c r="DP39" i="25"/>
  <c r="Q128" i="25"/>
  <c r="DT39" i="25" s="1"/>
  <c r="J128" i="25"/>
  <c r="N128" i="25"/>
  <c r="J134" i="25"/>
  <c r="DP45" i="25"/>
  <c r="N134" i="25"/>
  <c r="Q134" i="25"/>
  <c r="DT45" i="25" s="1"/>
  <c r="P134" i="25"/>
  <c r="DS45" i="25" s="1"/>
  <c r="T134" i="25"/>
  <c r="DW45" i="25" s="1"/>
  <c r="O134" i="25"/>
  <c r="DR45" i="25" s="1"/>
  <c r="EB43" i="25"/>
  <c r="Q162" i="25"/>
  <c r="EF43" i="25" s="1"/>
  <c r="O162" i="25"/>
  <c r="ED43" i="25" s="1"/>
  <c r="P162" i="25"/>
  <c r="EE43" i="25" s="1"/>
  <c r="J162" i="25"/>
  <c r="N162" i="25"/>
  <c r="T162" i="25"/>
  <c r="EI43" i="25" s="1"/>
  <c r="EB55" i="25"/>
  <c r="N174" i="25"/>
  <c r="Q174" i="25"/>
  <c r="EF55" i="25" s="1"/>
  <c r="O174" i="25"/>
  <c r="ED55" i="25" s="1"/>
  <c r="P174" i="25"/>
  <c r="EE55" i="25" s="1"/>
  <c r="J174" i="25"/>
  <c r="T174" i="25"/>
  <c r="EI55" i="25" s="1"/>
  <c r="O35" i="25"/>
  <c r="CH36" i="25" s="1"/>
  <c r="Q49" i="25"/>
  <c r="CJ50" i="25" s="1"/>
  <c r="T49" i="25"/>
  <c r="CM50" i="25" s="1"/>
  <c r="O49" i="25"/>
  <c r="CH50" i="25" s="1"/>
  <c r="P49" i="25"/>
  <c r="CI50" i="25" s="1"/>
  <c r="CF50" i="25"/>
  <c r="J49" i="25"/>
  <c r="N49" i="25"/>
  <c r="CR38" i="25"/>
  <c r="P67" i="25"/>
  <c r="CU38" i="25" s="1"/>
  <c r="O67" i="25"/>
  <c r="CT38" i="25" s="1"/>
  <c r="Q67" i="25"/>
  <c r="CV38" i="25" s="1"/>
  <c r="N67" i="25"/>
  <c r="J67" i="25"/>
  <c r="T67" i="25"/>
  <c r="CY38" i="25" s="1"/>
  <c r="DD36" i="25"/>
  <c r="N95" i="25"/>
  <c r="Q95" i="25"/>
  <c r="DH36" i="25" s="1"/>
  <c r="P95" i="25"/>
  <c r="DG36" i="25" s="1"/>
  <c r="T95" i="25"/>
  <c r="DK36" i="25" s="1"/>
  <c r="O95" i="25"/>
  <c r="DF36" i="25" s="1"/>
  <c r="J95" i="25"/>
  <c r="J115" i="25"/>
  <c r="T115" i="25"/>
  <c r="DK56" i="25" s="1"/>
  <c r="DD56" i="25"/>
  <c r="Q115" i="25"/>
  <c r="DH56" i="25" s="1"/>
  <c r="P115" i="25"/>
  <c r="DG56" i="25" s="1"/>
  <c r="O115" i="25"/>
  <c r="DF56" i="25" s="1"/>
  <c r="N115" i="25"/>
  <c r="DP36" i="25"/>
  <c r="P125" i="25"/>
  <c r="DS36" i="25" s="1"/>
  <c r="T125" i="25"/>
  <c r="DW36" i="25" s="1"/>
  <c r="N125" i="25"/>
  <c r="J125" i="25"/>
  <c r="O125" i="25"/>
  <c r="DR36" i="25" s="1"/>
  <c r="Q125" i="25"/>
  <c r="DT36" i="25" s="1"/>
  <c r="T145" i="25"/>
  <c r="DW56" i="25" s="1"/>
  <c r="DP56" i="25"/>
  <c r="J145" i="25"/>
  <c r="O145" i="25"/>
  <c r="DR56" i="25" s="1"/>
  <c r="N145" i="25"/>
  <c r="Q145" i="25"/>
  <c r="DT56" i="25" s="1"/>
  <c r="P145" i="25"/>
  <c r="DS56" i="25" s="1"/>
  <c r="DP63" i="25"/>
  <c r="O152" i="25"/>
  <c r="DR63" i="25" s="1"/>
  <c r="Q152" i="25"/>
  <c r="DT63" i="25" s="1"/>
  <c r="T152" i="25"/>
  <c r="DW63" i="25" s="1"/>
  <c r="P152" i="25"/>
  <c r="DS63" i="25" s="1"/>
  <c r="N152" i="25"/>
  <c r="J152" i="25"/>
  <c r="O160" i="25"/>
  <c r="ED41" i="25" s="1"/>
  <c r="EB41" i="25"/>
  <c r="P160" i="25"/>
  <c r="EE41" i="25" s="1"/>
  <c r="J160" i="25"/>
  <c r="T160" i="25"/>
  <c r="EI41" i="25" s="1"/>
  <c r="Q160" i="25"/>
  <c r="EF41" i="25" s="1"/>
  <c r="N160" i="25"/>
  <c r="EB63" i="25"/>
  <c r="O182" i="25"/>
  <c r="ED63" i="25" s="1"/>
  <c r="J182" i="25"/>
  <c r="N182" i="25"/>
  <c r="T182" i="25"/>
  <c r="EI63" i="25" s="1"/>
  <c r="Q182" i="25"/>
  <c r="EF63" i="25" s="1"/>
  <c r="P182" i="25"/>
  <c r="EE63" i="25" s="1"/>
  <c r="N65" i="25"/>
  <c r="CR36" i="25"/>
  <c r="J65" i="25"/>
  <c r="P65" i="25"/>
  <c r="CU36" i="25" s="1"/>
  <c r="Q65" i="25"/>
  <c r="CV36" i="25" s="1"/>
  <c r="T65" i="25"/>
  <c r="CY36" i="25" s="1"/>
  <c r="O65" i="25"/>
  <c r="CT36" i="25" s="1"/>
  <c r="CR49" i="25"/>
  <c r="O78" i="25"/>
  <c r="CT49" i="25" s="1"/>
  <c r="N78" i="25"/>
  <c r="T78" i="25"/>
  <c r="CY49" i="25" s="1"/>
  <c r="J78" i="25"/>
  <c r="Q78" i="25"/>
  <c r="CV49" i="25" s="1"/>
  <c r="P78" i="25"/>
  <c r="CU49" i="25" s="1"/>
  <c r="CR54" i="25"/>
  <c r="T83" i="25"/>
  <c r="CY54" i="25" s="1"/>
  <c r="J83" i="25"/>
  <c r="N83" i="25"/>
  <c r="Q83" i="25"/>
  <c r="CV54" i="25" s="1"/>
  <c r="P83" i="25"/>
  <c r="CU54" i="25" s="1"/>
  <c r="O83" i="25"/>
  <c r="CT54" i="25" s="1"/>
  <c r="CR60" i="25"/>
  <c r="Q89" i="25"/>
  <c r="CV60" i="25" s="1"/>
  <c r="J89" i="25"/>
  <c r="P89" i="25"/>
  <c r="CU60" i="25" s="1"/>
  <c r="T89" i="25"/>
  <c r="CY60" i="25" s="1"/>
  <c r="N89" i="25"/>
  <c r="O89" i="25"/>
  <c r="CT60" i="25" s="1"/>
  <c r="DD48" i="25"/>
  <c r="N107" i="25"/>
  <c r="Q107" i="25"/>
  <c r="DH48" i="25" s="1"/>
  <c r="T107" i="25"/>
  <c r="DK48" i="25" s="1"/>
  <c r="O107" i="25"/>
  <c r="DF48" i="25" s="1"/>
  <c r="P107" i="25"/>
  <c r="DG48" i="25" s="1"/>
  <c r="J107" i="25"/>
  <c r="O159" i="25"/>
  <c r="ED40" i="25" s="1"/>
  <c r="J159" i="25"/>
  <c r="P159" i="25"/>
  <c r="EE40" i="25" s="1"/>
  <c r="T159" i="25"/>
  <c r="EI40" i="25" s="1"/>
  <c r="N159" i="25"/>
  <c r="Q159" i="25"/>
  <c r="EF40" i="25" s="1"/>
  <c r="EB40" i="25"/>
  <c r="O38" i="25"/>
  <c r="CH39" i="25" s="1"/>
  <c r="P38" i="25"/>
  <c r="CI39" i="25" s="1"/>
  <c r="Q38" i="25"/>
  <c r="CJ39" i="25" s="1"/>
  <c r="N38" i="25"/>
  <c r="T38" i="25"/>
  <c r="CM39" i="25" s="1"/>
  <c r="J38" i="25"/>
  <c r="CF39" i="25"/>
  <c r="CF47" i="25"/>
  <c r="T46" i="25"/>
  <c r="CM47" i="25" s="1"/>
  <c r="N46" i="25"/>
  <c r="O46" i="25"/>
  <c r="CH47" i="25" s="1"/>
  <c r="Q46" i="25"/>
  <c r="CJ47" i="25" s="1"/>
  <c r="J46" i="25"/>
  <c r="P46" i="25"/>
  <c r="CI47" i="25" s="1"/>
  <c r="CR47" i="25"/>
  <c r="T76" i="25"/>
  <c r="CY47" i="25" s="1"/>
  <c r="Q76" i="25"/>
  <c r="CV47" i="25" s="1"/>
  <c r="O76" i="25"/>
  <c r="CT47" i="25" s="1"/>
  <c r="P76" i="25"/>
  <c r="CU47" i="25" s="1"/>
  <c r="J76" i="25"/>
  <c r="N76" i="25"/>
  <c r="CR55" i="25"/>
  <c r="N84" i="25"/>
  <c r="Q84" i="25"/>
  <c r="CV55" i="25" s="1"/>
  <c r="P84" i="25"/>
  <c r="CU55" i="25" s="1"/>
  <c r="O84" i="25"/>
  <c r="CT55" i="25" s="1"/>
  <c r="T84" i="25"/>
  <c r="CY55" i="25" s="1"/>
  <c r="J84" i="25"/>
  <c r="CR62" i="25"/>
  <c r="J91" i="25"/>
  <c r="O91" i="25"/>
  <c r="CT62" i="25" s="1"/>
  <c r="P91" i="25"/>
  <c r="CU62" i="25" s="1"/>
  <c r="Q91" i="25"/>
  <c r="CV62" i="25" s="1"/>
  <c r="T91" i="25"/>
  <c r="CY62" i="25" s="1"/>
  <c r="N91" i="25"/>
  <c r="DD40" i="25"/>
  <c r="J99" i="25"/>
  <c r="O99" i="25"/>
  <c r="DF40" i="25" s="1"/>
  <c r="Q99" i="25"/>
  <c r="DH40" i="25" s="1"/>
  <c r="T99" i="25"/>
  <c r="DK40" i="25" s="1"/>
  <c r="P99" i="25"/>
  <c r="DG40" i="25" s="1"/>
  <c r="N99" i="25"/>
  <c r="DD46" i="25"/>
  <c r="O105" i="25"/>
  <c r="DF46" i="25" s="1"/>
  <c r="N105" i="25"/>
  <c r="J105" i="25"/>
  <c r="T105" i="25"/>
  <c r="DK46" i="25" s="1"/>
  <c r="P105" i="25"/>
  <c r="DG46" i="25" s="1"/>
  <c r="Q105" i="25"/>
  <c r="DH46" i="25" s="1"/>
  <c r="DD54" i="25"/>
  <c r="Q113" i="25"/>
  <c r="DH54" i="25" s="1"/>
  <c r="N113" i="25"/>
  <c r="T113" i="25"/>
  <c r="DK54" i="25" s="1"/>
  <c r="P113" i="25"/>
  <c r="DG54" i="25" s="1"/>
  <c r="J113" i="25"/>
  <c r="O113" i="25"/>
  <c r="DF54" i="25" s="1"/>
  <c r="P156" i="25"/>
  <c r="EE37" i="25" s="1"/>
  <c r="O156" i="25"/>
  <c r="ED37" i="25" s="1"/>
  <c r="EB37" i="25"/>
  <c r="T156" i="25"/>
  <c r="EI37" i="25" s="1"/>
  <c r="Q156" i="25"/>
  <c r="EF37" i="25" s="1"/>
  <c r="J156" i="25"/>
  <c r="N156" i="25"/>
  <c r="N166" i="25"/>
  <c r="O166" i="25"/>
  <c r="ED47" i="25" s="1"/>
  <c r="Q166" i="25"/>
  <c r="EF47" i="25" s="1"/>
  <c r="J166" i="25"/>
  <c r="EB47" i="25"/>
  <c r="T166" i="25"/>
  <c r="EI47" i="25" s="1"/>
  <c r="P166" i="25"/>
  <c r="EE47" i="25" s="1"/>
  <c r="T176" i="25"/>
  <c r="EI57" i="25" s="1"/>
  <c r="EB57" i="25"/>
  <c r="J176" i="25"/>
  <c r="O176" i="25"/>
  <c r="ED57" i="25" s="1"/>
  <c r="N176" i="25"/>
  <c r="Q176" i="25"/>
  <c r="EF57" i="25" s="1"/>
  <c r="P176" i="25"/>
  <c r="EE57" i="25" s="1"/>
  <c r="J47" i="25"/>
  <c r="O47" i="25"/>
  <c r="CH48" i="25" s="1"/>
  <c r="Q47" i="25"/>
  <c r="CJ48" i="25" s="1"/>
  <c r="CF48" i="25"/>
  <c r="N47" i="25"/>
  <c r="P47" i="25"/>
  <c r="CI48" i="25" s="1"/>
  <c r="T47" i="25"/>
  <c r="CM48" i="25" s="1"/>
  <c r="O60" i="25"/>
  <c r="CH61" i="25" s="1"/>
  <c r="J60" i="25"/>
  <c r="Q60" i="25"/>
  <c r="CJ61" i="25" s="1"/>
  <c r="N60" i="25"/>
  <c r="CF61" i="25"/>
  <c r="T60" i="25"/>
  <c r="CM61" i="25" s="1"/>
  <c r="P60" i="25"/>
  <c r="CI61" i="25" s="1"/>
  <c r="CR51" i="25"/>
  <c r="N80" i="25"/>
  <c r="P80" i="25"/>
  <c r="CU51" i="25" s="1"/>
  <c r="O80" i="25"/>
  <c r="CT51" i="25" s="1"/>
  <c r="T80" i="25"/>
  <c r="CY51" i="25" s="1"/>
  <c r="J80" i="25"/>
  <c r="Q80" i="25"/>
  <c r="CV51" i="25" s="1"/>
  <c r="N104" i="25"/>
  <c r="J104" i="25"/>
  <c r="P104" i="25"/>
  <c r="DG45" i="25" s="1"/>
  <c r="T104" i="25"/>
  <c r="DK45" i="25" s="1"/>
  <c r="Q104" i="25"/>
  <c r="DH45" i="25" s="1"/>
  <c r="O104" i="25"/>
  <c r="DF45" i="25" s="1"/>
  <c r="DD45" i="25"/>
  <c r="DD60" i="25"/>
  <c r="T119" i="25"/>
  <c r="DK60" i="25" s="1"/>
  <c r="P119" i="25"/>
  <c r="DG60" i="25" s="1"/>
  <c r="O119" i="25"/>
  <c r="DF60" i="25" s="1"/>
  <c r="N119" i="25"/>
  <c r="Q119" i="25"/>
  <c r="DH60" i="25" s="1"/>
  <c r="J119" i="25"/>
  <c r="DP40" i="25"/>
  <c r="J129" i="25"/>
  <c r="N129" i="25"/>
  <c r="Q129" i="25"/>
  <c r="DT40" i="25" s="1"/>
  <c r="T129" i="25"/>
  <c r="DW40" i="25" s="1"/>
  <c r="P129" i="25"/>
  <c r="DS40" i="25" s="1"/>
  <c r="O129" i="25"/>
  <c r="DR40" i="25" s="1"/>
  <c r="O135" i="25"/>
  <c r="DR46" i="25" s="1"/>
  <c r="P135" i="25"/>
  <c r="DS46" i="25" s="1"/>
  <c r="T135" i="25"/>
  <c r="DW46" i="25" s="1"/>
  <c r="N135" i="25"/>
  <c r="J135" i="25"/>
  <c r="Q135" i="25"/>
  <c r="DT46" i="25" s="1"/>
  <c r="DP46" i="25"/>
  <c r="DP54" i="25"/>
  <c r="J143" i="25"/>
  <c r="O143" i="25"/>
  <c r="DR54" i="25" s="1"/>
  <c r="T143" i="25"/>
  <c r="DW54" i="25" s="1"/>
  <c r="P143" i="25"/>
  <c r="DS54" i="25" s="1"/>
  <c r="Q143" i="25"/>
  <c r="DT54" i="25" s="1"/>
  <c r="N143" i="25"/>
  <c r="J154" i="25"/>
  <c r="P154" i="25"/>
  <c r="EE35" i="25" s="1"/>
  <c r="T154" i="25"/>
  <c r="EI35" i="25" s="1"/>
  <c r="Q154" i="25"/>
  <c r="EF35" i="25" s="1"/>
  <c r="N154" i="25"/>
  <c r="O154" i="25"/>
  <c r="ED35" i="25" s="1"/>
  <c r="EB35" i="25"/>
  <c r="EB44" i="25"/>
  <c r="P163" i="25"/>
  <c r="EE44" i="25" s="1"/>
  <c r="Q163" i="25"/>
  <c r="EF44" i="25" s="1"/>
  <c r="N163" i="25"/>
  <c r="O163" i="25"/>
  <c r="ED44" i="25" s="1"/>
  <c r="J163" i="25"/>
  <c r="T163" i="25"/>
  <c r="EI44" i="25" s="1"/>
  <c r="EB56" i="25"/>
  <c r="T175" i="25"/>
  <c r="EI56" i="25" s="1"/>
  <c r="N175" i="25"/>
  <c r="O175" i="25"/>
  <c r="ED56" i="25" s="1"/>
  <c r="J175" i="25"/>
  <c r="Q175" i="25"/>
  <c r="EF56" i="25" s="1"/>
  <c r="P175" i="25"/>
  <c r="EE56" i="25" s="1"/>
  <c r="EB62" i="25"/>
  <c r="O181" i="25"/>
  <c r="ED62" i="25" s="1"/>
  <c r="T181" i="25"/>
  <c r="EI62" i="25" s="1"/>
  <c r="Q181" i="25"/>
  <c r="EF62" i="25" s="1"/>
  <c r="J181" i="25"/>
  <c r="P181" i="25"/>
  <c r="EE62" i="25" s="1"/>
  <c r="N181" i="25"/>
  <c r="Q34" i="25"/>
  <c r="CJ35" i="25" s="1"/>
  <c r="Q35" i="25"/>
  <c r="T35" i="25" s="1"/>
  <c r="CM36" i="25" s="1"/>
  <c r="T34" i="25"/>
  <c r="CM35" i="25" s="1"/>
  <c r="T27" i="25"/>
  <c r="CI35" i="25"/>
  <c r="BD34" i="25"/>
  <c r="BC35" i="25"/>
  <c r="S35" i="25"/>
  <c r="CL36" i="25" s="1"/>
  <c r="CG36" i="25"/>
  <c r="BD35" i="25"/>
  <c r="S34" i="25"/>
  <c r="CL35" i="25" s="1"/>
  <c r="BC34" i="25"/>
  <c r="D11" i="6"/>
  <c r="C16" i="6" s="1"/>
  <c r="B7" i="14"/>
  <c r="F59" i="14" s="1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J67" i="4"/>
  <c r="J71" i="4"/>
  <c r="J75" i="4"/>
  <c r="J79" i="4"/>
  <c r="J83" i="4"/>
  <c r="J87" i="4"/>
  <c r="J91" i="4"/>
  <c r="J95" i="4"/>
  <c r="J99" i="4"/>
  <c r="J103" i="4"/>
  <c r="J107" i="4"/>
  <c r="J111" i="4"/>
  <c r="J115" i="4"/>
  <c r="J119" i="4"/>
  <c r="J123" i="4"/>
  <c r="J127" i="4"/>
  <c r="J131" i="4"/>
  <c r="J135" i="4"/>
  <c r="J139" i="4"/>
  <c r="J143" i="4"/>
  <c r="J147" i="4"/>
  <c r="J151" i="4"/>
  <c r="J155" i="4"/>
  <c r="J159" i="4"/>
  <c r="J163" i="4"/>
  <c r="J167" i="4"/>
  <c r="J171" i="4"/>
  <c r="J175" i="4"/>
  <c r="J179" i="4"/>
  <c r="J183" i="4"/>
  <c r="J66" i="4"/>
  <c r="J70" i="4"/>
  <c r="J74" i="4"/>
  <c r="J78" i="4"/>
  <c r="J82" i="4"/>
  <c r="J86" i="4"/>
  <c r="J90" i="4"/>
  <c r="J94" i="4"/>
  <c r="J98" i="4"/>
  <c r="J102" i="4"/>
  <c r="J106" i="4"/>
  <c r="J110" i="4"/>
  <c r="J114" i="4"/>
  <c r="J118" i="4"/>
  <c r="J122" i="4"/>
  <c r="J126" i="4"/>
  <c r="J130" i="4"/>
  <c r="J134" i="4"/>
  <c r="J138" i="4"/>
  <c r="J142" i="4"/>
  <c r="J146" i="4"/>
  <c r="J150" i="4"/>
  <c r="J154" i="4"/>
  <c r="J158" i="4"/>
  <c r="J162" i="4"/>
  <c r="J166" i="4"/>
  <c r="J170" i="4"/>
  <c r="J174" i="4"/>
  <c r="J178" i="4"/>
  <c r="J182" i="4"/>
  <c r="J65" i="4"/>
  <c r="J69" i="4"/>
  <c r="J73" i="4"/>
  <c r="J77" i="4"/>
  <c r="J81" i="4"/>
  <c r="J85" i="4"/>
  <c r="J89" i="4"/>
  <c r="J93" i="4"/>
  <c r="J97" i="4"/>
  <c r="J101" i="4"/>
  <c r="J105" i="4"/>
  <c r="J109" i="4"/>
  <c r="J113" i="4"/>
  <c r="J117" i="4"/>
  <c r="J121" i="4"/>
  <c r="J125" i="4"/>
  <c r="J129" i="4"/>
  <c r="J133" i="4"/>
  <c r="J137" i="4"/>
  <c r="J141" i="4"/>
  <c r="J145" i="4"/>
  <c r="J149" i="4"/>
  <c r="J153" i="4"/>
  <c r="J157" i="4"/>
  <c r="J161" i="4"/>
  <c r="J165" i="4"/>
  <c r="J169" i="4"/>
  <c r="J173" i="4"/>
  <c r="J177" i="4"/>
  <c r="J181" i="4"/>
  <c r="J64" i="4"/>
  <c r="J68" i="4"/>
  <c r="J72" i="4"/>
  <c r="J76" i="4"/>
  <c r="J80" i="4"/>
  <c r="J84" i="4"/>
  <c r="J88" i="4"/>
  <c r="J92" i="4"/>
  <c r="J96" i="4"/>
  <c r="J100" i="4"/>
  <c r="J104" i="4"/>
  <c r="J108" i="4"/>
  <c r="J112" i="4"/>
  <c r="J116" i="4"/>
  <c r="J120" i="4"/>
  <c r="J124" i="4"/>
  <c r="J128" i="4"/>
  <c r="J132" i="4"/>
  <c r="J136" i="4"/>
  <c r="J140" i="4"/>
  <c r="J144" i="4"/>
  <c r="J148" i="4"/>
  <c r="J152" i="4"/>
  <c r="J156" i="4"/>
  <c r="J160" i="4"/>
  <c r="J164" i="4"/>
  <c r="J168" i="4"/>
  <c r="J172" i="4"/>
  <c r="J176" i="4"/>
  <c r="J180" i="4"/>
  <c r="V2" i="1"/>
  <c r="C35" i="3"/>
  <c r="C2" i="14" s="1"/>
  <c r="B33" i="14"/>
  <c r="B13" i="14"/>
  <c r="B15" i="14"/>
  <c r="B35" i="14"/>
  <c r="C74" i="30" l="1"/>
  <c r="C107" i="30"/>
  <c r="C75" i="30"/>
  <c r="C168" i="30"/>
  <c r="C136" i="30"/>
  <c r="C104" i="30"/>
  <c r="C72" i="30"/>
  <c r="C161" i="30"/>
  <c r="C129" i="30"/>
  <c r="C97" i="30"/>
  <c r="C65" i="30"/>
  <c r="C174" i="30"/>
  <c r="C142" i="30"/>
  <c r="C86" i="30"/>
  <c r="C143" i="30"/>
  <c r="C79" i="30"/>
  <c r="C182" i="30"/>
  <c r="C102" i="30"/>
  <c r="C151" i="30"/>
  <c r="C87" i="30"/>
  <c r="C180" i="30"/>
  <c r="C148" i="30"/>
  <c r="C116" i="30"/>
  <c r="C84" i="30"/>
  <c r="C173" i="30"/>
  <c r="C141" i="30"/>
  <c r="C109" i="30"/>
  <c r="C77" i="30"/>
  <c r="C146" i="30"/>
  <c r="C82" i="30"/>
  <c r="C131" i="30"/>
  <c r="C154" i="30"/>
  <c r="C90" i="30"/>
  <c r="C139" i="30"/>
  <c r="C152" i="30"/>
  <c r="C120" i="30"/>
  <c r="C88" i="30"/>
  <c r="C177" i="30"/>
  <c r="C145" i="30"/>
  <c r="C113" i="30"/>
  <c r="C81" i="30"/>
  <c r="C166" i="30"/>
  <c r="C118" i="30"/>
  <c r="C175" i="30"/>
  <c r="C111" i="30"/>
  <c r="C115" i="30"/>
  <c r="C126" i="30"/>
  <c r="C183" i="30"/>
  <c r="C119" i="30"/>
  <c r="C123" i="30"/>
  <c r="C164" i="30"/>
  <c r="C132" i="30"/>
  <c r="C100" i="30"/>
  <c r="C68" i="30"/>
  <c r="C157" i="30"/>
  <c r="C125" i="30"/>
  <c r="C93" i="30"/>
  <c r="C170" i="30"/>
  <c r="C114" i="30"/>
  <c r="C171" i="30"/>
  <c r="C67" i="30"/>
  <c r="C122" i="30"/>
  <c r="C179" i="30"/>
  <c r="C176" i="30"/>
  <c r="C144" i="30"/>
  <c r="C112" i="30"/>
  <c r="C80" i="30"/>
  <c r="C169" i="30"/>
  <c r="C137" i="30"/>
  <c r="C105" i="30"/>
  <c r="C73" i="30"/>
  <c r="C158" i="30"/>
  <c r="C94" i="30"/>
  <c r="C159" i="30"/>
  <c r="C95" i="30"/>
  <c r="C91" i="30"/>
  <c r="C110" i="30"/>
  <c r="C167" i="30"/>
  <c r="C103" i="30"/>
  <c r="C83" i="30"/>
  <c r="C156" i="30"/>
  <c r="C124" i="30"/>
  <c r="C92" i="30"/>
  <c r="C181" i="30"/>
  <c r="C149" i="30"/>
  <c r="C117" i="30"/>
  <c r="C85" i="30"/>
  <c r="C162" i="30"/>
  <c r="C98" i="30"/>
  <c r="C155" i="30"/>
  <c r="C178" i="30"/>
  <c r="C106" i="30"/>
  <c r="C163" i="30"/>
  <c r="C160" i="30"/>
  <c r="C128" i="30"/>
  <c r="C96" i="30"/>
  <c r="C64" i="30"/>
  <c r="C153" i="30"/>
  <c r="C121" i="30"/>
  <c r="C89" i="30"/>
  <c r="C134" i="30"/>
  <c r="C70" i="30"/>
  <c r="C127" i="30"/>
  <c r="C147" i="30"/>
  <c r="C150" i="30"/>
  <c r="C78" i="30"/>
  <c r="C135" i="30"/>
  <c r="CG35" i="25"/>
  <c r="V35" i="25"/>
  <c r="BE35" i="25"/>
  <c r="EC56" i="25"/>
  <c r="V175" i="25"/>
  <c r="EC35" i="25"/>
  <c r="V154" i="25"/>
  <c r="V119" i="25"/>
  <c r="DE60" i="25"/>
  <c r="CG48" i="25"/>
  <c r="V47" i="25"/>
  <c r="V166" i="25"/>
  <c r="EC47" i="25"/>
  <c r="DE54" i="25"/>
  <c r="V113" i="25"/>
  <c r="CG39" i="25"/>
  <c r="V38" i="25"/>
  <c r="CS36" i="25"/>
  <c r="V65" i="25"/>
  <c r="V182" i="25"/>
  <c r="EC63" i="25"/>
  <c r="V160" i="25"/>
  <c r="EC41" i="25"/>
  <c r="DQ63" i="25"/>
  <c r="V152" i="25"/>
  <c r="V145" i="25"/>
  <c r="DQ56" i="25"/>
  <c r="DQ36" i="25"/>
  <c r="V125" i="25"/>
  <c r="V115" i="25"/>
  <c r="DE56" i="25"/>
  <c r="DE36" i="25"/>
  <c r="V95" i="25"/>
  <c r="CS38" i="25"/>
  <c r="V67" i="25"/>
  <c r="DQ45" i="25"/>
  <c r="V134" i="25"/>
  <c r="CG56" i="25"/>
  <c r="V55" i="25"/>
  <c r="DQ41" i="25"/>
  <c r="V130" i="25"/>
  <c r="CG46" i="25"/>
  <c r="V45" i="25"/>
  <c r="EC52" i="25"/>
  <c r="V171" i="25"/>
  <c r="CS58" i="25"/>
  <c r="V87" i="25"/>
  <c r="DE38" i="25"/>
  <c r="V97" i="25"/>
  <c r="CG42" i="25"/>
  <c r="V41" i="25"/>
  <c r="CG37" i="25"/>
  <c r="V36" i="25"/>
  <c r="CG62" i="25"/>
  <c r="V61" i="25"/>
  <c r="CG41" i="25"/>
  <c r="V40" i="25"/>
  <c r="V177" i="25"/>
  <c r="EC58" i="25"/>
  <c r="DQ61" i="25"/>
  <c r="V150" i="25"/>
  <c r="V86" i="25"/>
  <c r="CS57" i="25"/>
  <c r="CG63" i="25"/>
  <c r="V62" i="25"/>
  <c r="V48" i="25"/>
  <c r="CG49" i="25"/>
  <c r="V116" i="25"/>
  <c r="DE57" i="25"/>
  <c r="V85" i="25"/>
  <c r="CS56" i="25"/>
  <c r="V77" i="25"/>
  <c r="CS48" i="25"/>
  <c r="CG59" i="25"/>
  <c r="V58" i="25"/>
  <c r="V39" i="25"/>
  <c r="CG40" i="25"/>
  <c r="V90" i="25"/>
  <c r="CS61" i="25"/>
  <c r="V69" i="25"/>
  <c r="CS40" i="25"/>
  <c r="V161" i="25"/>
  <c r="EC42" i="25"/>
  <c r="CS43" i="25"/>
  <c r="V72" i="25"/>
  <c r="V181" i="25"/>
  <c r="EC62" i="25"/>
  <c r="DQ54" i="25"/>
  <c r="V143" i="25"/>
  <c r="CS51" i="25"/>
  <c r="V80" i="25"/>
  <c r="EC57" i="25"/>
  <c r="V176" i="25"/>
  <c r="EC37" i="25"/>
  <c r="V156" i="25"/>
  <c r="CS62" i="25"/>
  <c r="V91" i="25"/>
  <c r="CS55" i="25"/>
  <c r="V84" i="25"/>
  <c r="EC40" i="25"/>
  <c r="V159" i="25"/>
  <c r="CG50" i="25"/>
  <c r="V49" i="25"/>
  <c r="CS46" i="25"/>
  <c r="V75" i="25"/>
  <c r="EC36" i="25"/>
  <c r="V155" i="25"/>
  <c r="V133" i="25"/>
  <c r="DQ44" i="25"/>
  <c r="CS42" i="25"/>
  <c r="V71" i="25"/>
  <c r="CG64" i="25"/>
  <c r="V63" i="25"/>
  <c r="CG54" i="25"/>
  <c r="V53" i="25"/>
  <c r="DQ50" i="25"/>
  <c r="V139" i="25"/>
  <c r="CS35" i="25"/>
  <c r="V64" i="25"/>
  <c r="CG45" i="25"/>
  <c r="V44" i="25"/>
  <c r="DE64" i="25"/>
  <c r="V123" i="25"/>
  <c r="V165" i="25"/>
  <c r="EC46" i="25"/>
  <c r="V100" i="25"/>
  <c r="DE41" i="25"/>
  <c r="CG52" i="25"/>
  <c r="V51" i="25"/>
  <c r="V178" i="25"/>
  <c r="EC59" i="25"/>
  <c r="DE53" i="25"/>
  <c r="V112" i="25"/>
  <c r="CG58" i="25"/>
  <c r="V57" i="25"/>
  <c r="EC51" i="25"/>
  <c r="V170" i="25"/>
  <c r="EC54" i="25"/>
  <c r="V173" i="25"/>
  <c r="EC48" i="25"/>
  <c r="V167" i="25"/>
  <c r="EC38" i="25"/>
  <c r="V157" i="25"/>
  <c r="V142" i="25"/>
  <c r="DQ53" i="25"/>
  <c r="DE49" i="25"/>
  <c r="V108" i="25"/>
  <c r="EC45" i="25"/>
  <c r="V164" i="25"/>
  <c r="V120" i="25"/>
  <c r="DE61" i="25"/>
  <c r="V153" i="25"/>
  <c r="DQ64" i="25"/>
  <c r="CS63" i="25"/>
  <c r="V92" i="25"/>
  <c r="CG57" i="25"/>
  <c r="V56" i="25"/>
  <c r="CG43" i="25"/>
  <c r="V42" i="25"/>
  <c r="EC44" i="25"/>
  <c r="V163" i="25"/>
  <c r="CG61" i="25"/>
  <c r="V60" i="25"/>
  <c r="DE40" i="25"/>
  <c r="V99" i="25"/>
  <c r="CG47" i="25"/>
  <c r="V46" i="25"/>
  <c r="CS60" i="25"/>
  <c r="V89" i="25"/>
  <c r="V162" i="25"/>
  <c r="EC43" i="25"/>
  <c r="DE59" i="25"/>
  <c r="V118" i="25"/>
  <c r="V111" i="25"/>
  <c r="DE52" i="25"/>
  <c r="V96" i="25"/>
  <c r="DE37" i="25"/>
  <c r="V37" i="25"/>
  <c r="CG38" i="25"/>
  <c r="DE39" i="25"/>
  <c r="V98" i="25"/>
  <c r="V50" i="25"/>
  <c r="CG51" i="25"/>
  <c r="V158" i="25"/>
  <c r="EC39" i="25"/>
  <c r="DE47" i="25"/>
  <c r="V106" i="25"/>
  <c r="CS59" i="25"/>
  <c r="V88" i="25"/>
  <c r="EC60" i="25"/>
  <c r="V179" i="25"/>
  <c r="V124" i="25"/>
  <c r="DQ35" i="25"/>
  <c r="DE55" i="25"/>
  <c r="V114" i="25"/>
  <c r="DE35" i="25"/>
  <c r="V94" i="25"/>
  <c r="CS37" i="25"/>
  <c r="V66" i="25"/>
  <c r="EC61" i="25"/>
  <c r="V180" i="25"/>
  <c r="V169" i="25"/>
  <c r="EC50" i="25"/>
  <c r="DE58" i="25"/>
  <c r="V117" i="25"/>
  <c r="CS45" i="25"/>
  <c r="V74" i="25"/>
  <c r="V127" i="25"/>
  <c r="DQ38" i="25"/>
  <c r="DE62" i="25"/>
  <c r="V121" i="25"/>
  <c r="DQ59" i="25"/>
  <c r="V148" i="25"/>
  <c r="DQ47" i="25"/>
  <c r="V136" i="25"/>
  <c r="V54" i="25"/>
  <c r="CG55" i="25"/>
  <c r="DQ62" i="25"/>
  <c r="V151" i="25"/>
  <c r="DE63" i="25"/>
  <c r="V122" i="25"/>
  <c r="DE43" i="25"/>
  <c r="V102" i="25"/>
  <c r="V73" i="25"/>
  <c r="CS44" i="25"/>
  <c r="EC49" i="25"/>
  <c r="V168" i="25"/>
  <c r="V146" i="25"/>
  <c r="DQ57" i="25"/>
  <c r="DQ48" i="25"/>
  <c r="V137" i="25"/>
  <c r="DQ37" i="25"/>
  <c r="V126" i="25"/>
  <c r="CG60" i="25"/>
  <c r="V59" i="25"/>
  <c r="DQ51" i="25"/>
  <c r="V140" i="25"/>
  <c r="DE50" i="25"/>
  <c r="V109" i="25"/>
  <c r="CS39" i="25"/>
  <c r="V68" i="25"/>
  <c r="DQ46" i="25"/>
  <c r="V135" i="25"/>
  <c r="DQ40" i="25"/>
  <c r="V129" i="25"/>
  <c r="V104" i="25"/>
  <c r="DE45" i="25"/>
  <c r="DE46" i="25"/>
  <c r="V105" i="25"/>
  <c r="V76" i="25"/>
  <c r="CS47" i="25"/>
  <c r="DE48" i="25"/>
  <c r="V107" i="25"/>
  <c r="CS54" i="25"/>
  <c r="V83" i="25"/>
  <c r="CS49" i="25"/>
  <c r="V78" i="25"/>
  <c r="EC55" i="25"/>
  <c r="V174" i="25"/>
  <c r="DQ39" i="25"/>
  <c r="V128" i="25"/>
  <c r="DQ58" i="25"/>
  <c r="V147" i="25"/>
  <c r="V138" i="25"/>
  <c r="DQ49" i="25"/>
  <c r="EC53" i="25"/>
  <c r="V172" i="25"/>
  <c r="V141" i="25"/>
  <c r="DQ52" i="25"/>
  <c r="DE42" i="25"/>
  <c r="V101" i="25"/>
  <c r="V82" i="25"/>
  <c r="CS53" i="25"/>
  <c r="V149" i="25"/>
  <c r="DQ60" i="25"/>
  <c r="DQ55" i="25"/>
  <c r="V144" i="25"/>
  <c r="DQ42" i="25"/>
  <c r="V131" i="25"/>
  <c r="DE51" i="25"/>
  <c r="V110" i="25"/>
  <c r="DQ43" i="25"/>
  <c r="V132" i="25"/>
  <c r="V103" i="25"/>
  <c r="DE44" i="25"/>
  <c r="CS50" i="25"/>
  <c r="V79" i="25"/>
  <c r="V81" i="25"/>
  <c r="CS52" i="25"/>
  <c r="CS41" i="25"/>
  <c r="V70" i="25"/>
  <c r="CS64" i="25"/>
  <c r="V93" i="25"/>
  <c r="V52" i="25"/>
  <c r="CG53" i="25"/>
  <c r="V43" i="25"/>
  <c r="CG44" i="25"/>
  <c r="EC64" i="25"/>
  <c r="V183" i="25"/>
  <c r="CJ36" i="25"/>
  <c r="BE34" i="25"/>
  <c r="G59" i="14"/>
  <c r="J35" i="14"/>
  <c r="B36" i="14"/>
  <c r="B37" i="14"/>
  <c r="B34" i="14"/>
  <c r="B14" i="14"/>
  <c r="B16" i="14"/>
  <c r="B17" i="14"/>
  <c r="B9" i="14"/>
  <c r="B10" i="14"/>
  <c r="T178" i="4"/>
  <c r="T162" i="4"/>
  <c r="T146" i="4"/>
  <c r="T130" i="4"/>
  <c r="T114" i="4"/>
  <c r="T98" i="4"/>
  <c r="T82" i="4"/>
  <c r="T66" i="4"/>
  <c r="T170" i="4"/>
  <c r="T154" i="4"/>
  <c r="T138" i="4"/>
  <c r="T122" i="4"/>
  <c r="T106" i="4"/>
  <c r="T90" i="4"/>
  <c r="T74" i="4"/>
  <c r="T182" i="4"/>
  <c r="T180" i="4"/>
  <c r="T176" i="4"/>
  <c r="T172" i="4"/>
  <c r="T168" i="4"/>
  <c r="T164" i="4"/>
  <c r="T160" i="4"/>
  <c r="T156" i="4"/>
  <c r="T152" i="4"/>
  <c r="T148" i="4"/>
  <c r="T144" i="4"/>
  <c r="T140" i="4"/>
  <c r="T136" i="4"/>
  <c r="T132" i="4"/>
  <c r="T128" i="4"/>
  <c r="T124" i="4"/>
  <c r="T120" i="4"/>
  <c r="T116" i="4"/>
  <c r="T110" i="4"/>
  <c r="T102" i="4"/>
  <c r="T94" i="4"/>
  <c r="T86" i="4"/>
  <c r="T78" i="4"/>
  <c r="T70" i="4"/>
  <c r="T183" i="4"/>
  <c r="T179" i="4"/>
  <c r="T175" i="4"/>
  <c r="T171" i="4"/>
  <c r="T167" i="4"/>
  <c r="T163" i="4"/>
  <c r="T159" i="4"/>
  <c r="T155" i="4"/>
  <c r="T151" i="4"/>
  <c r="T147" i="4"/>
  <c r="T143" i="4"/>
  <c r="T139" i="4"/>
  <c r="T135" i="4"/>
  <c r="T131" i="4"/>
  <c r="T127" i="4"/>
  <c r="T123" i="4"/>
  <c r="T119" i="4"/>
  <c r="T115" i="4"/>
  <c r="T107" i="4"/>
  <c r="T99" i="4"/>
  <c r="T91" i="4"/>
  <c r="T83" i="4"/>
  <c r="T75" i="4"/>
  <c r="T67" i="4"/>
  <c r="T108" i="4"/>
  <c r="T100" i="4"/>
  <c r="T92" i="4"/>
  <c r="T84" i="4"/>
  <c r="T76" i="4"/>
  <c r="T68" i="4"/>
  <c r="T113" i="4"/>
  <c r="T105" i="4"/>
  <c r="T97" i="4"/>
  <c r="T89" i="4"/>
  <c r="T81" i="4"/>
  <c r="T73" i="4"/>
  <c r="T65" i="4"/>
  <c r="T174" i="4"/>
  <c r="T166" i="4"/>
  <c r="T158" i="4"/>
  <c r="T150" i="4"/>
  <c r="T142" i="4"/>
  <c r="T134" i="4"/>
  <c r="T126" i="4"/>
  <c r="T118" i="4"/>
  <c r="T181" i="4"/>
  <c r="T177" i="4"/>
  <c r="T173" i="4"/>
  <c r="T169" i="4"/>
  <c r="T165" i="4"/>
  <c r="T161" i="4"/>
  <c r="T157" i="4"/>
  <c r="T153" i="4"/>
  <c r="T149" i="4"/>
  <c r="T145" i="4"/>
  <c r="T141" i="4"/>
  <c r="T137" i="4"/>
  <c r="T133" i="4"/>
  <c r="T129" i="4"/>
  <c r="T125" i="4"/>
  <c r="T121" i="4"/>
  <c r="T117" i="4"/>
  <c r="T111" i="4"/>
  <c r="T103" i="4"/>
  <c r="T95" i="4"/>
  <c r="T87" i="4"/>
  <c r="T79" i="4"/>
  <c r="T71" i="4"/>
  <c r="T112" i="4"/>
  <c r="T104" i="4"/>
  <c r="T96" i="4"/>
  <c r="T88" i="4"/>
  <c r="T80" i="4"/>
  <c r="T72" i="4"/>
  <c r="T64" i="4"/>
  <c r="T109" i="4"/>
  <c r="T101" i="4"/>
  <c r="T93" i="4"/>
  <c r="T85" i="4"/>
  <c r="T77" i="4"/>
  <c r="T69" i="4"/>
  <c r="C41" i="3"/>
  <c r="C45" i="3"/>
  <c r="V4" i="1" s="1"/>
  <c r="V5" i="1" s="1"/>
  <c r="C46" i="3"/>
  <c r="C61" i="3"/>
  <c r="C60" i="3"/>
  <c r="C54" i="3"/>
  <c r="V3" i="1" s="1"/>
  <c r="C52" i="3"/>
  <c r="C50" i="3"/>
  <c r="C48" i="3"/>
  <c r="C70" i="3" s="1"/>
  <c r="D16" i="6" s="1"/>
  <c r="E16" i="6" s="1"/>
  <c r="C55" i="3"/>
  <c r="C53" i="3"/>
  <c r="C51" i="3"/>
  <c r="C49" i="3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46" i="1"/>
  <c r="D13" i="1"/>
  <c r="B13" i="1"/>
  <c r="C13" i="1"/>
  <c r="A13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DO14" i="2"/>
  <c r="DN18" i="2"/>
  <c r="DO18" i="2"/>
  <c r="DP18" i="2"/>
  <c r="DN19" i="2"/>
  <c r="DO19" i="2"/>
  <c r="DP19" i="2"/>
  <c r="DN20" i="2"/>
  <c r="DO20" i="2"/>
  <c r="DP20" i="2"/>
  <c r="DN21" i="2"/>
  <c r="DO21" i="2"/>
  <c r="DP21" i="2"/>
  <c r="DN22" i="2"/>
  <c r="DO22" i="2"/>
  <c r="DP22" i="2"/>
  <c r="DN23" i="2"/>
  <c r="DO23" i="2"/>
  <c r="DP23" i="2"/>
  <c r="DN24" i="2"/>
  <c r="DO24" i="2"/>
  <c r="DP24" i="2"/>
  <c r="DN25" i="2"/>
  <c r="DO25" i="2"/>
  <c r="DP25" i="2"/>
  <c r="DN26" i="2"/>
  <c r="DO26" i="2"/>
  <c r="DP26" i="2"/>
  <c r="DN27" i="2"/>
  <c r="DO27" i="2"/>
  <c r="DP27" i="2"/>
  <c r="DN28" i="2"/>
  <c r="DO28" i="2"/>
  <c r="DP28" i="2"/>
  <c r="DN29" i="2"/>
  <c r="DO29" i="2"/>
  <c r="DP29" i="2"/>
  <c r="DN30" i="2"/>
  <c r="DO30" i="2"/>
  <c r="DP30" i="2"/>
  <c r="DN31" i="2"/>
  <c r="DO31" i="2"/>
  <c r="DP31" i="2"/>
  <c r="DN32" i="2"/>
  <c r="DO32" i="2"/>
  <c r="DP32" i="2"/>
  <c r="DN33" i="2"/>
  <c r="DO33" i="2"/>
  <c r="DP33" i="2"/>
  <c r="DN34" i="2"/>
  <c r="DO34" i="2"/>
  <c r="DP34" i="2"/>
  <c r="DN35" i="2"/>
  <c r="DO35" i="2"/>
  <c r="DP35" i="2"/>
  <c r="DN36" i="2"/>
  <c r="DO36" i="2"/>
  <c r="DP36" i="2"/>
  <c r="DN37" i="2"/>
  <c r="DO37" i="2"/>
  <c r="DP37" i="2"/>
  <c r="DN38" i="2"/>
  <c r="DO38" i="2"/>
  <c r="DP38" i="2"/>
  <c r="DN39" i="2"/>
  <c r="DO39" i="2"/>
  <c r="DP39" i="2"/>
  <c r="DN40" i="2"/>
  <c r="DO40" i="2"/>
  <c r="DP40" i="2"/>
  <c r="DN41" i="2"/>
  <c r="DO41" i="2"/>
  <c r="DP41" i="2"/>
  <c r="DN42" i="2"/>
  <c r="DO42" i="2"/>
  <c r="DP42" i="2"/>
  <c r="DN43" i="2"/>
  <c r="DO43" i="2"/>
  <c r="DP43" i="2"/>
  <c r="DN44" i="2"/>
  <c r="DO44" i="2"/>
  <c r="DP44" i="2"/>
  <c r="DN45" i="2"/>
  <c r="DO45" i="2"/>
  <c r="DP45" i="2"/>
  <c r="DN46" i="2"/>
  <c r="DO46" i="2"/>
  <c r="DP46" i="2"/>
  <c r="DN47" i="2"/>
  <c r="DO47" i="2"/>
  <c r="DP47" i="2"/>
  <c r="DN48" i="2"/>
  <c r="DO48" i="2"/>
  <c r="DP48" i="2"/>
  <c r="DN49" i="2"/>
  <c r="DO49" i="2"/>
  <c r="DP49" i="2"/>
  <c r="DN50" i="2"/>
  <c r="DO50" i="2"/>
  <c r="DP50" i="2"/>
  <c r="DN51" i="2"/>
  <c r="DO51" i="2"/>
  <c r="DP51" i="2"/>
  <c r="DN52" i="2"/>
  <c r="DO52" i="2"/>
  <c r="DP52" i="2"/>
  <c r="DN53" i="2"/>
  <c r="DO53" i="2"/>
  <c r="DP53" i="2"/>
  <c r="DN54" i="2"/>
  <c r="DO54" i="2"/>
  <c r="DP54" i="2"/>
  <c r="DN55" i="2"/>
  <c r="DO55" i="2"/>
  <c r="DP55" i="2"/>
  <c r="DN56" i="2"/>
  <c r="DO56" i="2"/>
  <c r="DP56" i="2"/>
  <c r="DN57" i="2"/>
  <c r="DO57" i="2"/>
  <c r="DP57" i="2"/>
  <c r="DN58" i="2"/>
  <c r="DO58" i="2"/>
  <c r="DP58" i="2"/>
  <c r="DN59" i="2"/>
  <c r="DO59" i="2"/>
  <c r="DP59" i="2"/>
  <c r="DN60" i="2"/>
  <c r="DO60" i="2"/>
  <c r="DP60" i="2"/>
  <c r="DN61" i="2"/>
  <c r="DO61" i="2"/>
  <c r="DP61" i="2"/>
  <c r="DN62" i="2"/>
  <c r="DO62" i="2"/>
  <c r="DP62" i="2"/>
  <c r="DN63" i="2"/>
  <c r="DO63" i="2"/>
  <c r="DP63" i="2"/>
  <c r="DN64" i="2"/>
  <c r="DO64" i="2"/>
  <c r="DP64" i="2"/>
  <c r="DN65" i="2"/>
  <c r="DO65" i="2"/>
  <c r="DP65" i="2"/>
  <c r="DN66" i="2"/>
  <c r="DO66" i="2"/>
  <c r="DP66" i="2"/>
  <c r="DN67" i="2"/>
  <c r="DO67" i="2"/>
  <c r="DP67" i="2"/>
  <c r="DN68" i="2"/>
  <c r="DO68" i="2"/>
  <c r="DP68" i="2"/>
  <c r="DN69" i="2"/>
  <c r="DO69" i="2"/>
  <c r="DP69" i="2"/>
  <c r="DN70" i="2"/>
  <c r="DO70" i="2"/>
  <c r="DP70" i="2"/>
  <c r="DN71" i="2"/>
  <c r="DO71" i="2"/>
  <c r="DP71" i="2"/>
  <c r="DN72" i="2"/>
  <c r="DO72" i="2"/>
  <c r="DP72" i="2"/>
  <c r="DN73" i="2"/>
  <c r="DO73" i="2"/>
  <c r="DP73" i="2"/>
  <c r="DN74" i="2"/>
  <c r="DO74" i="2"/>
  <c r="DP74" i="2"/>
  <c r="DN75" i="2"/>
  <c r="DO75" i="2"/>
  <c r="DP75" i="2"/>
  <c r="DN76" i="2"/>
  <c r="DO76" i="2"/>
  <c r="DP76" i="2"/>
  <c r="DN77" i="2"/>
  <c r="DO77" i="2"/>
  <c r="DP77" i="2"/>
  <c r="DN78" i="2"/>
  <c r="DO78" i="2"/>
  <c r="DP78" i="2"/>
  <c r="DN79" i="2"/>
  <c r="DO79" i="2"/>
  <c r="DP79" i="2"/>
  <c r="DN80" i="2"/>
  <c r="DO80" i="2"/>
  <c r="DP80" i="2"/>
  <c r="DN81" i="2"/>
  <c r="DO81" i="2"/>
  <c r="DP81" i="2"/>
  <c r="DN82" i="2"/>
  <c r="DO82" i="2"/>
  <c r="DP82" i="2"/>
  <c r="DN83" i="2"/>
  <c r="DO83" i="2"/>
  <c r="DP83" i="2"/>
  <c r="DN84" i="2"/>
  <c r="DO84" i="2"/>
  <c r="DP84" i="2"/>
  <c r="DN85" i="2"/>
  <c r="DO85" i="2"/>
  <c r="DP85" i="2"/>
  <c r="DN86" i="2"/>
  <c r="DO86" i="2"/>
  <c r="DP86" i="2"/>
  <c r="DN87" i="2"/>
  <c r="DO87" i="2"/>
  <c r="DP87" i="2"/>
  <c r="DN88" i="2"/>
  <c r="DO88" i="2"/>
  <c r="DP88" i="2"/>
  <c r="DN89" i="2"/>
  <c r="DO89" i="2"/>
  <c r="DP89" i="2"/>
  <c r="DN90" i="2"/>
  <c r="DO90" i="2"/>
  <c r="DP90" i="2"/>
  <c r="DN91" i="2"/>
  <c r="DO91" i="2"/>
  <c r="DP91" i="2"/>
  <c r="DN92" i="2"/>
  <c r="DO92" i="2"/>
  <c r="DP92" i="2"/>
  <c r="DN93" i="2"/>
  <c r="DO93" i="2"/>
  <c r="DP93" i="2"/>
  <c r="DN94" i="2"/>
  <c r="DO94" i="2"/>
  <c r="DP94" i="2"/>
  <c r="DN95" i="2"/>
  <c r="DO95" i="2"/>
  <c r="DP95" i="2"/>
  <c r="DN96" i="2"/>
  <c r="DO96" i="2"/>
  <c r="DP96" i="2"/>
  <c r="DN97" i="2"/>
  <c r="DO97" i="2"/>
  <c r="DP97" i="2"/>
  <c r="DN98" i="2"/>
  <c r="DO98" i="2"/>
  <c r="DP98" i="2"/>
  <c r="DN99" i="2"/>
  <c r="DO99" i="2"/>
  <c r="DP99" i="2"/>
  <c r="DN100" i="2"/>
  <c r="DO100" i="2"/>
  <c r="DP100" i="2"/>
  <c r="DN101" i="2"/>
  <c r="DO101" i="2"/>
  <c r="DP101" i="2"/>
  <c r="DN102" i="2"/>
  <c r="DO102" i="2"/>
  <c r="DP102" i="2"/>
  <c r="DN103" i="2"/>
  <c r="DO103" i="2"/>
  <c r="DP103" i="2"/>
  <c r="DN104" i="2"/>
  <c r="DO104" i="2"/>
  <c r="DP104" i="2"/>
  <c r="DN105" i="2"/>
  <c r="DO105" i="2"/>
  <c r="DP105" i="2"/>
  <c r="DN106" i="2"/>
  <c r="DO106" i="2"/>
  <c r="DP106" i="2"/>
  <c r="DN107" i="2"/>
  <c r="DO107" i="2"/>
  <c r="DP107" i="2"/>
  <c r="DN108" i="2"/>
  <c r="DO108" i="2"/>
  <c r="DP108" i="2"/>
  <c r="DN109" i="2"/>
  <c r="DO109" i="2"/>
  <c r="DP109" i="2"/>
  <c r="DN110" i="2"/>
  <c r="DO110" i="2"/>
  <c r="DP110" i="2"/>
  <c r="DN111" i="2"/>
  <c r="DO111" i="2"/>
  <c r="DP111" i="2"/>
  <c r="DN112" i="2"/>
  <c r="DO112" i="2"/>
  <c r="DP112" i="2"/>
  <c r="DN113" i="2"/>
  <c r="DO113" i="2"/>
  <c r="DP113" i="2"/>
  <c r="DN114" i="2"/>
  <c r="DO114" i="2"/>
  <c r="DP114" i="2"/>
  <c r="DN115" i="2"/>
  <c r="DO115" i="2"/>
  <c r="DP115" i="2"/>
  <c r="DN116" i="2"/>
  <c r="DO116" i="2"/>
  <c r="DP116" i="2"/>
  <c r="DO17" i="2"/>
  <c r="DP17" i="2"/>
  <c r="EB34" i="2"/>
  <c r="EB35" i="2"/>
  <c r="EB37" i="2"/>
  <c r="EB38" i="2"/>
  <c r="EB39" i="2"/>
  <c r="EB40" i="2"/>
  <c r="EB41" i="2"/>
  <c r="EB42" i="2"/>
  <c r="EB43" i="2"/>
  <c r="EB44" i="2"/>
  <c r="EB45" i="2"/>
  <c r="EB46" i="2"/>
  <c r="EB47" i="2"/>
  <c r="EB48" i="2"/>
  <c r="EB49" i="2"/>
  <c r="EB50" i="2"/>
  <c r="EB51" i="2"/>
  <c r="EB52" i="2"/>
  <c r="EB53" i="2"/>
  <c r="EB54" i="2"/>
  <c r="EB55" i="2"/>
  <c r="EB56" i="2"/>
  <c r="EB57" i="2"/>
  <c r="EB58" i="2"/>
  <c r="EB59" i="2"/>
  <c r="EB60" i="2"/>
  <c r="EB61" i="2"/>
  <c r="EB62" i="2"/>
  <c r="EB63" i="2"/>
  <c r="EB64" i="2"/>
  <c r="EB65" i="2"/>
  <c r="EB66" i="2"/>
  <c r="EB67" i="2"/>
  <c r="EB68" i="2"/>
  <c r="EB69" i="2"/>
  <c r="EB70" i="2"/>
  <c r="EB71" i="2"/>
  <c r="EB72" i="2"/>
  <c r="EB73" i="2"/>
  <c r="EB74" i="2"/>
  <c r="EB75" i="2"/>
  <c r="EB76" i="2"/>
  <c r="EB77" i="2"/>
  <c r="EB78" i="2"/>
  <c r="EB79" i="2"/>
  <c r="EB80" i="2"/>
  <c r="EB81" i="2"/>
  <c r="EB82" i="2"/>
  <c r="EB83" i="2"/>
  <c r="EB84" i="2"/>
  <c r="EB85" i="2"/>
  <c r="EB86" i="2"/>
  <c r="EB87" i="2"/>
  <c r="EB88" i="2"/>
  <c r="EB89" i="2"/>
  <c r="EB90" i="2"/>
  <c r="EB91" i="2"/>
  <c r="EB92" i="2"/>
  <c r="EB93" i="2"/>
  <c r="EB94" i="2"/>
  <c r="EB95" i="2"/>
  <c r="EB96" i="2"/>
  <c r="EB97" i="2"/>
  <c r="EB98" i="2"/>
  <c r="EB99" i="2"/>
  <c r="EB100" i="2"/>
  <c r="EB101" i="2"/>
  <c r="EB102" i="2"/>
  <c r="EB103" i="2"/>
  <c r="EB104" i="2"/>
  <c r="EB105" i="2"/>
  <c r="EB106" i="2"/>
  <c r="EB107" i="2"/>
  <c r="EB108" i="2"/>
  <c r="EB109" i="2"/>
  <c r="EB110" i="2"/>
  <c r="EB111" i="2"/>
  <c r="EB112" i="2"/>
  <c r="EB113" i="2"/>
  <c r="EB114" i="2"/>
  <c r="EB115" i="2"/>
  <c r="EB116" i="2"/>
  <c r="B39" i="14"/>
  <c r="B19" i="14"/>
  <c r="BA56" i="25" l="1"/>
  <c r="BA62" i="25"/>
  <c r="BA50" i="25"/>
  <c r="BA36" i="25"/>
  <c r="BA54" i="25"/>
  <c r="BA49" i="25"/>
  <c r="BA34" i="25"/>
  <c r="BA59" i="25"/>
  <c r="BA35" i="25"/>
  <c r="BA57" i="25"/>
  <c r="BA53" i="25"/>
  <c r="BA55" i="25"/>
  <c r="BA52" i="25"/>
  <c r="BA61" i="25"/>
  <c r="BA60" i="25"/>
  <c r="BA46" i="25"/>
  <c r="BA40" i="25"/>
  <c r="BA41" i="25"/>
  <c r="BA45" i="25"/>
  <c r="BA47" i="25"/>
  <c r="BA43" i="25"/>
  <c r="BA42" i="25"/>
  <c r="BA48" i="25"/>
  <c r="BA63" i="25"/>
  <c r="BA58" i="25"/>
  <c r="BA39" i="25"/>
  <c r="BA38" i="25"/>
  <c r="BA37" i="25"/>
  <c r="BA44" i="25"/>
  <c r="BA51" i="25"/>
  <c r="BS50" i="25"/>
  <c r="BY40" i="25"/>
  <c r="BT44" i="25"/>
  <c r="BY42" i="25"/>
  <c r="BL33" i="25" a="1"/>
  <c r="BS36" i="25"/>
  <c r="BY46" i="25"/>
  <c r="BY44" i="25"/>
  <c r="BS60" i="25"/>
  <c r="BT63" i="25"/>
  <c r="BY41" i="25"/>
  <c r="BY37" i="25"/>
  <c r="BT61" i="25"/>
  <c r="BT47" i="25"/>
  <c r="BS39" i="25"/>
  <c r="BZ46" i="25"/>
  <c r="BT58" i="25"/>
  <c r="BS42" i="25"/>
  <c r="BT52" i="25"/>
  <c r="BS53" i="25"/>
  <c r="BS56" i="25"/>
  <c r="BZ35" i="25"/>
  <c r="BZ41" i="25"/>
  <c r="BT59" i="25"/>
  <c r="BT34" i="25"/>
  <c r="BT46" i="25"/>
  <c r="BT38" i="25"/>
  <c r="BT42" i="25"/>
  <c r="BS34" i="25"/>
  <c r="BZ34" i="25"/>
  <c r="BS49" i="25"/>
  <c r="BY38" i="25"/>
  <c r="BT55" i="25"/>
  <c r="BY34" i="25"/>
  <c r="BS40" i="25"/>
  <c r="BZ44" i="25"/>
  <c r="BS59" i="25"/>
  <c r="BS44" i="25"/>
  <c r="BZ42" i="25"/>
  <c r="BS54" i="25"/>
  <c r="BY43" i="25"/>
  <c r="BS47" i="25"/>
  <c r="BZ45" i="25"/>
  <c r="BZ37" i="25"/>
  <c r="BT51" i="25"/>
  <c r="BS35" i="25"/>
  <c r="BZ38" i="25"/>
  <c r="BZ39" i="25"/>
  <c r="BS37" i="25"/>
  <c r="BT36" i="25"/>
  <c r="BT50" i="25"/>
  <c r="BS45" i="25"/>
  <c r="BS58" i="25"/>
  <c r="BU58" i="25" s="1"/>
  <c r="BY35" i="25"/>
  <c r="CA35" i="25" s="1"/>
  <c r="BS43" i="25"/>
  <c r="BY39" i="25"/>
  <c r="CA39" i="25" s="1"/>
  <c r="BS63" i="25"/>
  <c r="BY48" i="25"/>
  <c r="BS46" i="25"/>
  <c r="BZ40" i="25"/>
  <c r="BY47" i="25"/>
  <c r="BS48" i="25"/>
  <c r="BS62" i="25"/>
  <c r="BT60" i="25"/>
  <c r="BY45" i="25"/>
  <c r="BZ36" i="25"/>
  <c r="BT49" i="25"/>
  <c r="BT37" i="25"/>
  <c r="BT48" i="25"/>
  <c r="BS55" i="25"/>
  <c r="BT56" i="25"/>
  <c r="BS38" i="25"/>
  <c r="BT57" i="25"/>
  <c r="BZ48" i="25"/>
  <c r="BS52" i="25"/>
  <c r="BU52" i="25" s="1"/>
  <c r="BT43" i="25"/>
  <c r="BT40" i="25"/>
  <c r="BT41" i="25"/>
  <c r="BS61" i="25"/>
  <c r="BY36" i="25"/>
  <c r="BT62" i="25"/>
  <c r="BT35" i="25"/>
  <c r="BZ43" i="25"/>
  <c r="BZ47" i="25"/>
  <c r="BT39" i="25"/>
  <c r="BT53" i="25"/>
  <c r="BS41" i="25"/>
  <c r="BT45" i="25"/>
  <c r="BS51" i="25"/>
  <c r="BU51" i="25" s="1"/>
  <c r="BS57" i="25"/>
  <c r="BT54" i="25"/>
  <c r="B11" i="14"/>
  <c r="C17" i="6"/>
  <c r="EC114" i="2"/>
  <c r="EC110" i="2"/>
  <c r="EC108" i="2"/>
  <c r="EC104" i="2"/>
  <c r="EC100" i="2"/>
  <c r="EC96" i="2"/>
  <c r="EC92" i="2"/>
  <c r="EC90" i="2"/>
  <c r="EC86" i="2"/>
  <c r="EC84" i="2"/>
  <c r="EC115" i="2"/>
  <c r="EC113" i="2"/>
  <c r="EC111" i="2"/>
  <c r="EC109" i="2"/>
  <c r="EC107" i="2"/>
  <c r="EC105" i="2"/>
  <c r="EC103" i="2"/>
  <c r="EC101" i="2"/>
  <c r="EC99" i="2"/>
  <c r="EC97" i="2"/>
  <c r="EC95" i="2"/>
  <c r="EC93" i="2"/>
  <c r="EC91" i="2"/>
  <c r="EC89" i="2"/>
  <c r="EC87" i="2"/>
  <c r="EC85" i="2"/>
  <c r="EC83" i="2"/>
  <c r="EC81" i="2"/>
  <c r="EC79" i="2"/>
  <c r="EC77" i="2"/>
  <c r="EC75" i="2"/>
  <c r="EC73" i="2"/>
  <c r="EC71" i="2"/>
  <c r="EC69" i="2"/>
  <c r="EC67" i="2"/>
  <c r="EC65" i="2"/>
  <c r="EC63" i="2"/>
  <c r="EC61" i="2"/>
  <c r="EC59" i="2"/>
  <c r="EC57" i="2"/>
  <c r="EC55" i="2"/>
  <c r="EC53" i="2"/>
  <c r="EC51" i="2"/>
  <c r="EC49" i="2"/>
  <c r="EC47" i="2"/>
  <c r="EC45" i="2"/>
  <c r="EC43" i="2"/>
  <c r="EC41" i="2"/>
  <c r="EC39" i="2"/>
  <c r="EC37" i="2"/>
  <c r="EC34" i="2"/>
  <c r="EC116" i="2"/>
  <c r="EC112" i="2"/>
  <c r="EC106" i="2"/>
  <c r="EC102" i="2"/>
  <c r="EC98" i="2"/>
  <c r="EC94" i="2"/>
  <c r="EC88" i="2"/>
  <c r="EC82" i="2"/>
  <c r="EC80" i="2"/>
  <c r="EC78" i="2"/>
  <c r="EC76" i="2"/>
  <c r="EC74" i="2"/>
  <c r="EC72" i="2"/>
  <c r="EC70" i="2"/>
  <c r="EC68" i="2"/>
  <c r="EC66" i="2"/>
  <c r="EC64" i="2"/>
  <c r="EC62" i="2"/>
  <c r="EC60" i="2"/>
  <c r="EC58" i="2"/>
  <c r="EC56" i="2"/>
  <c r="EC54" i="2"/>
  <c r="EC52" i="2"/>
  <c r="EC50" i="2"/>
  <c r="EC48" i="2"/>
  <c r="EC46" i="2"/>
  <c r="EC44" i="2"/>
  <c r="EC42" i="2"/>
  <c r="EC40" i="2"/>
  <c r="EC38" i="2"/>
  <c r="EC35" i="2"/>
  <c r="V6" i="1"/>
  <c r="C72" i="3"/>
  <c r="C43" i="3" s="1"/>
  <c r="D43" i="3" s="1"/>
  <c r="M18" i="1"/>
  <c r="Q18" i="1"/>
  <c r="M19" i="1"/>
  <c r="P19" i="1"/>
  <c r="L20" i="1"/>
  <c r="L21" i="1"/>
  <c r="Q21" i="1"/>
  <c r="M22" i="1"/>
  <c r="Q22" i="1"/>
  <c r="M23" i="1"/>
  <c r="P23" i="1"/>
  <c r="L24" i="1"/>
  <c r="L25" i="1"/>
  <c r="Q25" i="1"/>
  <c r="M26" i="1"/>
  <c r="Q26" i="1"/>
  <c r="M27" i="1"/>
  <c r="P27" i="1"/>
  <c r="L28" i="1"/>
  <c r="L29" i="1"/>
  <c r="Q29" i="1"/>
  <c r="M30" i="1"/>
  <c r="Q30" i="1"/>
  <c r="M31" i="1"/>
  <c r="P31" i="1"/>
  <c r="L32" i="1"/>
  <c r="L33" i="1"/>
  <c r="Q33" i="1"/>
  <c r="M34" i="1"/>
  <c r="Q34" i="1"/>
  <c r="M35" i="1"/>
  <c r="P35" i="1"/>
  <c r="L36" i="1"/>
  <c r="L37" i="1"/>
  <c r="Q37" i="1"/>
  <c r="M38" i="1"/>
  <c r="Q38" i="1"/>
  <c r="M39" i="1"/>
  <c r="P39" i="1"/>
  <c r="L40" i="1"/>
  <c r="L41" i="1"/>
  <c r="Q41" i="1"/>
  <c r="M42" i="1"/>
  <c r="Q42" i="1"/>
  <c r="M43" i="1"/>
  <c r="P43" i="1"/>
  <c r="L44" i="1"/>
  <c r="L45" i="1"/>
  <c r="Q45" i="1"/>
  <c r="M46" i="1"/>
  <c r="Q46" i="1"/>
  <c r="M47" i="1"/>
  <c r="P47" i="1"/>
  <c r="L48" i="1"/>
  <c r="L49" i="1"/>
  <c r="Q49" i="1"/>
  <c r="M50" i="1"/>
  <c r="Q50" i="1"/>
  <c r="M51" i="1"/>
  <c r="P51" i="1"/>
  <c r="L52" i="1"/>
  <c r="L53" i="1"/>
  <c r="Q53" i="1"/>
  <c r="M54" i="1"/>
  <c r="Q54" i="1"/>
  <c r="M55" i="1"/>
  <c r="P55" i="1"/>
  <c r="L56" i="1"/>
  <c r="L57" i="1"/>
  <c r="Q57" i="1"/>
  <c r="M58" i="1"/>
  <c r="Q58" i="1"/>
  <c r="M59" i="1"/>
  <c r="P59" i="1"/>
  <c r="L60" i="1"/>
  <c r="L61" i="1"/>
  <c r="Q61" i="1"/>
  <c r="M62" i="1"/>
  <c r="Q62" i="1"/>
  <c r="M63" i="1"/>
  <c r="P63" i="1"/>
  <c r="L64" i="1"/>
  <c r="L65" i="1"/>
  <c r="Q65" i="1"/>
  <c r="M66" i="1"/>
  <c r="Q66" i="1"/>
  <c r="M67" i="1"/>
  <c r="P67" i="1"/>
  <c r="L68" i="1"/>
  <c r="L69" i="1"/>
  <c r="Q69" i="1"/>
  <c r="M70" i="1"/>
  <c r="Q70" i="1"/>
  <c r="M71" i="1"/>
  <c r="P71" i="1"/>
  <c r="L72" i="1"/>
  <c r="L73" i="1"/>
  <c r="Q73" i="1"/>
  <c r="M74" i="1"/>
  <c r="Q74" i="1"/>
  <c r="M75" i="1"/>
  <c r="P75" i="1"/>
  <c r="L76" i="1"/>
  <c r="L77" i="1"/>
  <c r="Q77" i="1"/>
  <c r="M78" i="1"/>
  <c r="Q78" i="1"/>
  <c r="M79" i="1"/>
  <c r="P79" i="1"/>
  <c r="L80" i="1"/>
  <c r="L81" i="1"/>
  <c r="Q81" i="1"/>
  <c r="M82" i="1"/>
  <c r="Q82" i="1"/>
  <c r="M83" i="1"/>
  <c r="P83" i="1"/>
  <c r="L84" i="1"/>
  <c r="L85" i="1"/>
  <c r="Q85" i="1"/>
  <c r="M86" i="1"/>
  <c r="Q86" i="1"/>
  <c r="M87" i="1"/>
  <c r="P87" i="1"/>
  <c r="L88" i="1"/>
  <c r="L89" i="1"/>
  <c r="Q89" i="1"/>
  <c r="M90" i="1"/>
  <c r="Q90" i="1"/>
  <c r="M91" i="1"/>
  <c r="P91" i="1"/>
  <c r="L92" i="1"/>
  <c r="L93" i="1"/>
  <c r="Q93" i="1"/>
  <c r="M94" i="1"/>
  <c r="Q94" i="1"/>
  <c r="M95" i="1"/>
  <c r="P95" i="1"/>
  <c r="L96" i="1"/>
  <c r="L97" i="1"/>
  <c r="Q97" i="1"/>
  <c r="M98" i="1"/>
  <c r="L99" i="1"/>
  <c r="Q99" i="1"/>
  <c r="M100" i="1"/>
  <c r="Q100" i="1"/>
  <c r="M101" i="1"/>
  <c r="P101" i="1"/>
  <c r="L102" i="1"/>
  <c r="L103" i="1"/>
  <c r="Q103" i="1"/>
  <c r="M104" i="1"/>
  <c r="Q104" i="1"/>
  <c r="M105" i="1"/>
  <c r="P105" i="1"/>
  <c r="L106" i="1"/>
  <c r="L107" i="1"/>
  <c r="Q107" i="1"/>
  <c r="M108" i="1"/>
  <c r="Q108" i="1"/>
  <c r="M109" i="1"/>
  <c r="P109" i="1"/>
  <c r="L110" i="1"/>
  <c r="L111" i="1"/>
  <c r="Q111" i="1"/>
  <c r="M112" i="1"/>
  <c r="Q112" i="1"/>
  <c r="M113" i="1"/>
  <c r="P113" i="1"/>
  <c r="L114" i="1"/>
  <c r="L18" i="1"/>
  <c r="L19" i="1"/>
  <c r="Q19" i="1"/>
  <c r="M20" i="1"/>
  <c r="Q20" i="1"/>
  <c r="M21" i="1"/>
  <c r="P21" i="1"/>
  <c r="L22" i="1"/>
  <c r="L23" i="1"/>
  <c r="Q23" i="1"/>
  <c r="M24" i="1"/>
  <c r="Q24" i="1"/>
  <c r="M25" i="1"/>
  <c r="P25" i="1"/>
  <c r="L26" i="1"/>
  <c r="L27" i="1"/>
  <c r="Q27" i="1"/>
  <c r="M28" i="1"/>
  <c r="Q28" i="1"/>
  <c r="M29" i="1"/>
  <c r="P29" i="1"/>
  <c r="L30" i="1"/>
  <c r="L31" i="1"/>
  <c r="Q31" i="1"/>
  <c r="M32" i="1"/>
  <c r="Q32" i="1"/>
  <c r="M33" i="1"/>
  <c r="P33" i="1"/>
  <c r="L34" i="1"/>
  <c r="L35" i="1"/>
  <c r="Q35" i="1"/>
  <c r="M36" i="1"/>
  <c r="Q36" i="1"/>
  <c r="M37" i="1"/>
  <c r="P37" i="1"/>
  <c r="L38" i="1"/>
  <c r="L39" i="1"/>
  <c r="Q39" i="1"/>
  <c r="M40" i="1"/>
  <c r="Q40" i="1"/>
  <c r="M41" i="1"/>
  <c r="P41" i="1"/>
  <c r="L42" i="1"/>
  <c r="L43" i="1"/>
  <c r="Q43" i="1"/>
  <c r="M44" i="1"/>
  <c r="Q44" i="1"/>
  <c r="M45" i="1"/>
  <c r="P45" i="1"/>
  <c r="L46" i="1"/>
  <c r="L47" i="1"/>
  <c r="Q47" i="1"/>
  <c r="M48" i="1"/>
  <c r="Q48" i="1"/>
  <c r="M49" i="1"/>
  <c r="P49" i="1"/>
  <c r="L50" i="1"/>
  <c r="L51" i="1"/>
  <c r="Q51" i="1"/>
  <c r="M52" i="1"/>
  <c r="Q52" i="1"/>
  <c r="M53" i="1"/>
  <c r="P53" i="1"/>
  <c r="L54" i="1"/>
  <c r="L55" i="1"/>
  <c r="Q55" i="1"/>
  <c r="M56" i="1"/>
  <c r="Q56" i="1"/>
  <c r="M57" i="1"/>
  <c r="P57" i="1"/>
  <c r="L58" i="1"/>
  <c r="L59" i="1"/>
  <c r="Q59" i="1"/>
  <c r="M60" i="1"/>
  <c r="Q60" i="1"/>
  <c r="M61" i="1"/>
  <c r="P61" i="1"/>
  <c r="L62" i="1"/>
  <c r="L63" i="1"/>
  <c r="Q63" i="1"/>
  <c r="M64" i="1"/>
  <c r="Q64" i="1"/>
  <c r="M65" i="1"/>
  <c r="P65" i="1"/>
  <c r="L66" i="1"/>
  <c r="L67" i="1"/>
  <c r="Q67" i="1"/>
  <c r="M68" i="1"/>
  <c r="Q68" i="1"/>
  <c r="M69" i="1"/>
  <c r="P69" i="1"/>
  <c r="L70" i="1"/>
  <c r="L71" i="1"/>
  <c r="Q71" i="1"/>
  <c r="M72" i="1"/>
  <c r="Q72" i="1"/>
  <c r="M73" i="1"/>
  <c r="P73" i="1"/>
  <c r="L74" i="1"/>
  <c r="L75" i="1"/>
  <c r="Q75" i="1"/>
  <c r="M76" i="1"/>
  <c r="Q76" i="1"/>
  <c r="M77" i="1"/>
  <c r="P77" i="1"/>
  <c r="L78" i="1"/>
  <c r="L79" i="1"/>
  <c r="Q79" i="1"/>
  <c r="M80" i="1"/>
  <c r="Q80" i="1"/>
  <c r="M81" i="1"/>
  <c r="P81" i="1"/>
  <c r="L82" i="1"/>
  <c r="L83" i="1"/>
  <c r="Q83" i="1"/>
  <c r="M84" i="1"/>
  <c r="Q84" i="1"/>
  <c r="M85" i="1"/>
  <c r="P85" i="1"/>
  <c r="L86" i="1"/>
  <c r="L87" i="1"/>
  <c r="Q87" i="1"/>
  <c r="M88" i="1"/>
  <c r="Q88" i="1"/>
  <c r="M89" i="1"/>
  <c r="P89" i="1"/>
  <c r="L90" i="1"/>
  <c r="L91" i="1"/>
  <c r="Q91" i="1"/>
  <c r="M92" i="1"/>
  <c r="Q92" i="1"/>
  <c r="M93" i="1"/>
  <c r="P93" i="1"/>
  <c r="L94" i="1"/>
  <c r="L95" i="1"/>
  <c r="Q95" i="1"/>
  <c r="M96" i="1"/>
  <c r="Q96" i="1"/>
  <c r="M97" i="1"/>
  <c r="P97" i="1"/>
  <c r="L98" i="1"/>
  <c r="M99" i="1"/>
  <c r="P99" i="1"/>
  <c r="L100" i="1"/>
  <c r="L101" i="1"/>
  <c r="Q101" i="1"/>
  <c r="M102" i="1"/>
  <c r="Q102" i="1"/>
  <c r="M103" i="1"/>
  <c r="P103" i="1"/>
  <c r="L104" i="1"/>
  <c r="L105" i="1"/>
  <c r="Q105" i="1"/>
  <c r="M106" i="1"/>
  <c r="Q106" i="1"/>
  <c r="M107" i="1"/>
  <c r="P107" i="1"/>
  <c r="L108" i="1"/>
  <c r="L109" i="1"/>
  <c r="Q109" i="1"/>
  <c r="M110" i="1"/>
  <c r="Q110" i="1"/>
  <c r="M111" i="1"/>
  <c r="P111" i="1"/>
  <c r="L112" i="1"/>
  <c r="L113" i="1"/>
  <c r="Q113" i="1"/>
  <c r="M114" i="1"/>
  <c r="Q114" i="1"/>
  <c r="P108" i="1"/>
  <c r="P100" i="1"/>
  <c r="P94" i="1"/>
  <c r="P86" i="1"/>
  <c r="P78" i="1"/>
  <c r="P70" i="1"/>
  <c r="P62" i="1"/>
  <c r="P54" i="1"/>
  <c r="P46" i="1"/>
  <c r="P38" i="1"/>
  <c r="P30" i="1"/>
  <c r="P22" i="1"/>
  <c r="P114" i="1"/>
  <c r="P106" i="1"/>
  <c r="P96" i="1"/>
  <c r="P88" i="1"/>
  <c r="P80" i="1"/>
  <c r="P72" i="1"/>
  <c r="P64" i="1"/>
  <c r="P56" i="1"/>
  <c r="P48" i="1"/>
  <c r="P40" i="1"/>
  <c r="P32" i="1"/>
  <c r="P24" i="1"/>
  <c r="Q98" i="1"/>
  <c r="P112" i="1"/>
  <c r="P104" i="1"/>
  <c r="P98" i="1"/>
  <c r="P90" i="1"/>
  <c r="P82" i="1"/>
  <c r="P74" i="1"/>
  <c r="P66" i="1"/>
  <c r="P58" i="1"/>
  <c r="P50" i="1"/>
  <c r="P42" i="1"/>
  <c r="P34" i="1"/>
  <c r="P26" i="1"/>
  <c r="P18" i="1"/>
  <c r="P110" i="1"/>
  <c r="P102" i="1"/>
  <c r="P92" i="1"/>
  <c r="P84" i="1"/>
  <c r="P76" i="1"/>
  <c r="P68" i="1"/>
  <c r="P60" i="1"/>
  <c r="P52" i="1"/>
  <c r="P44" i="1"/>
  <c r="P36" i="1"/>
  <c r="P28" i="1"/>
  <c r="P20" i="1"/>
  <c r="DQ115" i="2"/>
  <c r="DQ113" i="2"/>
  <c r="DQ111" i="2"/>
  <c r="DQ109" i="2"/>
  <c r="DQ107" i="2"/>
  <c r="DQ105" i="2"/>
  <c r="DQ103" i="2"/>
  <c r="DQ101" i="2"/>
  <c r="DQ99" i="2"/>
  <c r="DQ97" i="2"/>
  <c r="DQ95" i="2"/>
  <c r="DQ93" i="2"/>
  <c r="DQ91" i="2"/>
  <c r="DQ89" i="2"/>
  <c r="DQ87" i="2"/>
  <c r="DQ85" i="2"/>
  <c r="DQ83" i="2"/>
  <c r="DQ81" i="2"/>
  <c r="DQ79" i="2"/>
  <c r="DQ77" i="2"/>
  <c r="DQ75" i="2"/>
  <c r="DQ73" i="2"/>
  <c r="DQ71" i="2"/>
  <c r="DQ69" i="2"/>
  <c r="DQ67" i="2"/>
  <c r="DQ65" i="2"/>
  <c r="DQ63" i="2"/>
  <c r="DQ61" i="2"/>
  <c r="DQ59" i="2"/>
  <c r="DQ57" i="2"/>
  <c r="DQ55" i="2"/>
  <c r="DQ53" i="2"/>
  <c r="DQ51" i="2"/>
  <c r="DQ49" i="2"/>
  <c r="DQ47" i="2"/>
  <c r="DQ45" i="2"/>
  <c r="DQ43" i="2"/>
  <c r="DQ41" i="2"/>
  <c r="DQ39" i="2"/>
  <c r="DQ37" i="2"/>
  <c r="DQ35" i="2"/>
  <c r="DQ33" i="2"/>
  <c r="DQ31" i="2"/>
  <c r="DQ29" i="2"/>
  <c r="Q17" i="1"/>
  <c r="Q15" i="1"/>
  <c r="M17" i="1"/>
  <c r="M15" i="1"/>
  <c r="Q16" i="1"/>
  <c r="M16" i="1"/>
  <c r="AA15" i="1"/>
  <c r="AB16" i="1"/>
  <c r="AB18" i="1"/>
  <c r="AB20" i="1"/>
  <c r="AB22" i="1"/>
  <c r="AB24" i="1"/>
  <c r="AB26" i="1"/>
  <c r="AB28" i="1"/>
  <c r="AB30" i="1"/>
  <c r="AB32" i="1"/>
  <c r="AB34" i="1"/>
  <c r="AB36" i="1"/>
  <c r="AB38" i="1"/>
  <c r="AB40" i="1"/>
  <c r="AB42" i="1"/>
  <c r="AB44" i="1"/>
  <c r="AB46" i="1"/>
  <c r="AB48" i="1"/>
  <c r="AB50" i="1"/>
  <c r="AB52" i="1"/>
  <c r="AB54" i="1"/>
  <c r="AB56" i="1"/>
  <c r="AB58" i="1"/>
  <c r="AB60" i="1"/>
  <c r="AB62" i="1"/>
  <c r="AB64" i="1"/>
  <c r="AB66" i="1"/>
  <c r="AB68" i="1"/>
  <c r="AB70" i="1"/>
  <c r="AB72" i="1"/>
  <c r="AB74" i="1"/>
  <c r="AB76" i="1"/>
  <c r="AB78" i="1"/>
  <c r="AB80" i="1"/>
  <c r="AB82" i="1"/>
  <c r="AB84" i="1"/>
  <c r="AB86" i="1"/>
  <c r="AB88" i="1"/>
  <c r="AB90" i="1"/>
  <c r="AB92" i="1"/>
  <c r="AB94" i="1"/>
  <c r="AB96" i="1"/>
  <c r="AB98" i="1"/>
  <c r="AB100" i="1"/>
  <c r="AB102" i="1"/>
  <c r="AB104" i="1"/>
  <c r="AB106" i="1"/>
  <c r="AB108" i="1"/>
  <c r="AB110" i="1"/>
  <c r="AB112" i="1"/>
  <c r="AB114" i="1"/>
  <c r="AA16" i="1"/>
  <c r="AA19" i="1"/>
  <c r="AA21" i="1"/>
  <c r="AA23" i="1"/>
  <c r="AA25" i="1"/>
  <c r="AA27" i="1"/>
  <c r="AA29" i="1"/>
  <c r="AA31" i="1"/>
  <c r="AA33" i="1"/>
  <c r="AA35" i="1"/>
  <c r="AA37" i="1"/>
  <c r="AA39" i="1"/>
  <c r="AA41" i="1"/>
  <c r="AA43" i="1"/>
  <c r="AA45" i="1"/>
  <c r="AA47" i="1"/>
  <c r="AA49" i="1"/>
  <c r="AA51" i="1"/>
  <c r="AA53" i="1"/>
  <c r="AA55" i="1"/>
  <c r="AA57" i="1"/>
  <c r="AA59" i="1"/>
  <c r="AA61" i="1"/>
  <c r="AA63" i="1"/>
  <c r="AA65" i="1"/>
  <c r="AA67" i="1"/>
  <c r="AA69" i="1"/>
  <c r="AA71" i="1"/>
  <c r="AA73" i="1"/>
  <c r="AA75" i="1"/>
  <c r="AA77" i="1"/>
  <c r="AA79" i="1"/>
  <c r="AA81" i="1"/>
  <c r="AA83" i="1"/>
  <c r="AA85" i="1"/>
  <c r="AA87" i="1"/>
  <c r="AA89" i="1"/>
  <c r="AA91" i="1"/>
  <c r="AA93" i="1"/>
  <c r="AA95" i="1"/>
  <c r="AA97" i="1"/>
  <c r="AA99" i="1"/>
  <c r="AA101" i="1"/>
  <c r="AA103" i="1"/>
  <c r="AA105" i="1"/>
  <c r="AA107" i="1"/>
  <c r="AA109" i="1"/>
  <c r="AA111" i="1"/>
  <c r="AA113" i="1"/>
  <c r="P17" i="1"/>
  <c r="P15" i="1"/>
  <c r="L17" i="1"/>
  <c r="AA18" i="1"/>
  <c r="AB17" i="1"/>
  <c r="AB19" i="1"/>
  <c r="AB21" i="1"/>
  <c r="AB23" i="1"/>
  <c r="AB25" i="1"/>
  <c r="AB27" i="1"/>
  <c r="AB29" i="1"/>
  <c r="AB31" i="1"/>
  <c r="AB33" i="1"/>
  <c r="AB35" i="1"/>
  <c r="AB37" i="1"/>
  <c r="AB39" i="1"/>
  <c r="AB41" i="1"/>
  <c r="AB43" i="1"/>
  <c r="AB45" i="1"/>
  <c r="AB47" i="1"/>
  <c r="AB49" i="1"/>
  <c r="AB51" i="1"/>
  <c r="AB53" i="1"/>
  <c r="AB55" i="1"/>
  <c r="AB57" i="1"/>
  <c r="AB59" i="1"/>
  <c r="AB61" i="1"/>
  <c r="AB63" i="1"/>
  <c r="AB65" i="1"/>
  <c r="AB67" i="1"/>
  <c r="AB69" i="1"/>
  <c r="AB71" i="1"/>
  <c r="AB73" i="1"/>
  <c r="AB75" i="1"/>
  <c r="AB77" i="1"/>
  <c r="AB79" i="1"/>
  <c r="AB81" i="1"/>
  <c r="AB83" i="1"/>
  <c r="AB85" i="1"/>
  <c r="AB87" i="1"/>
  <c r="AB89" i="1"/>
  <c r="AB91" i="1"/>
  <c r="AB93" i="1"/>
  <c r="AB95" i="1"/>
  <c r="AB97" i="1"/>
  <c r="AB99" i="1"/>
  <c r="AB101" i="1"/>
  <c r="AB103" i="1"/>
  <c r="AB105" i="1"/>
  <c r="AB107" i="1"/>
  <c r="AB109" i="1"/>
  <c r="AB111" i="1"/>
  <c r="AB113" i="1"/>
  <c r="AB15" i="1"/>
  <c r="AA17" i="1"/>
  <c r="AA20" i="1"/>
  <c r="AA22" i="1"/>
  <c r="AA24" i="1"/>
  <c r="AA26" i="1"/>
  <c r="AC26" i="1" s="1"/>
  <c r="AA28" i="1"/>
  <c r="AC28" i="1" s="1"/>
  <c r="AA30" i="1"/>
  <c r="AC30" i="1" s="1"/>
  <c r="AA32" i="1"/>
  <c r="AC32" i="1" s="1"/>
  <c r="AA34" i="1"/>
  <c r="AC34" i="1" s="1"/>
  <c r="AA36" i="1"/>
  <c r="AC36" i="1" s="1"/>
  <c r="AA38" i="1"/>
  <c r="AC38" i="1" s="1"/>
  <c r="AA40" i="1"/>
  <c r="AC40" i="1" s="1"/>
  <c r="AA42" i="1"/>
  <c r="AC42" i="1" s="1"/>
  <c r="AA44" i="1"/>
  <c r="AC44" i="1" s="1"/>
  <c r="AA46" i="1"/>
  <c r="AC46" i="1" s="1"/>
  <c r="AA48" i="1"/>
  <c r="AC48" i="1" s="1"/>
  <c r="AA50" i="1"/>
  <c r="AC50" i="1" s="1"/>
  <c r="AA52" i="1"/>
  <c r="AC52" i="1" s="1"/>
  <c r="AA54" i="1"/>
  <c r="AC54" i="1" s="1"/>
  <c r="AA56" i="1"/>
  <c r="AC56" i="1" s="1"/>
  <c r="AA58" i="1"/>
  <c r="AC58" i="1" s="1"/>
  <c r="AA60" i="1"/>
  <c r="AC60" i="1" s="1"/>
  <c r="AA62" i="1"/>
  <c r="AC62" i="1" s="1"/>
  <c r="AA64" i="1"/>
  <c r="AC64" i="1" s="1"/>
  <c r="AA66" i="1"/>
  <c r="AC66" i="1" s="1"/>
  <c r="AA68" i="1"/>
  <c r="AC68" i="1" s="1"/>
  <c r="AA70" i="1"/>
  <c r="AC70" i="1" s="1"/>
  <c r="AA72" i="1"/>
  <c r="AC72" i="1" s="1"/>
  <c r="AA74" i="1"/>
  <c r="AC74" i="1" s="1"/>
  <c r="AA76" i="1"/>
  <c r="AC76" i="1" s="1"/>
  <c r="AA78" i="1"/>
  <c r="AC78" i="1" s="1"/>
  <c r="AA80" i="1"/>
  <c r="AC80" i="1" s="1"/>
  <c r="AA82" i="1"/>
  <c r="AC82" i="1" s="1"/>
  <c r="AA84" i="1"/>
  <c r="AC84" i="1" s="1"/>
  <c r="AA86" i="1"/>
  <c r="AC86" i="1" s="1"/>
  <c r="AA88" i="1"/>
  <c r="AC88" i="1" s="1"/>
  <c r="AA90" i="1"/>
  <c r="AC90" i="1" s="1"/>
  <c r="AA92" i="1"/>
  <c r="AC92" i="1" s="1"/>
  <c r="AA94" i="1"/>
  <c r="AC94" i="1" s="1"/>
  <c r="AA96" i="1"/>
  <c r="AC96" i="1" s="1"/>
  <c r="AA98" i="1"/>
  <c r="AC98" i="1" s="1"/>
  <c r="AA100" i="1"/>
  <c r="AC100" i="1" s="1"/>
  <c r="AA102" i="1"/>
  <c r="AC102" i="1" s="1"/>
  <c r="AA104" i="1"/>
  <c r="AC104" i="1" s="1"/>
  <c r="AA106" i="1"/>
  <c r="AC106" i="1" s="1"/>
  <c r="AA108" i="1"/>
  <c r="AC108" i="1" s="1"/>
  <c r="AA110" i="1"/>
  <c r="AC110" i="1" s="1"/>
  <c r="AA112" i="1"/>
  <c r="AC112" i="1" s="1"/>
  <c r="AA114" i="1"/>
  <c r="AC114" i="1" s="1"/>
  <c r="P16" i="1"/>
  <c r="L16" i="1"/>
  <c r="L15" i="1"/>
  <c r="DQ27" i="2"/>
  <c r="DQ25" i="2"/>
  <c r="DQ23" i="2"/>
  <c r="DQ21" i="2"/>
  <c r="DQ19" i="2"/>
  <c r="DQ17" i="2"/>
  <c r="DQ116" i="2"/>
  <c r="DQ114" i="2"/>
  <c r="DQ112" i="2"/>
  <c r="DQ110" i="2"/>
  <c r="DQ108" i="2"/>
  <c r="DQ106" i="2"/>
  <c r="DQ104" i="2"/>
  <c r="DQ102" i="2"/>
  <c r="DQ100" i="2"/>
  <c r="DQ98" i="2"/>
  <c r="DQ96" i="2"/>
  <c r="DQ94" i="2"/>
  <c r="DQ92" i="2"/>
  <c r="DQ90" i="2"/>
  <c r="DQ88" i="2"/>
  <c r="DQ86" i="2"/>
  <c r="DQ84" i="2"/>
  <c r="DQ82" i="2"/>
  <c r="DQ80" i="2"/>
  <c r="DQ78" i="2"/>
  <c r="DQ76" i="2"/>
  <c r="DQ74" i="2"/>
  <c r="DQ72" i="2"/>
  <c r="DQ70" i="2"/>
  <c r="DQ68" i="2"/>
  <c r="DQ66" i="2"/>
  <c r="DQ64" i="2"/>
  <c r="DQ62" i="2"/>
  <c r="DQ60" i="2"/>
  <c r="DQ58" i="2"/>
  <c r="DQ56" i="2"/>
  <c r="DQ54" i="2"/>
  <c r="DQ52" i="2"/>
  <c r="DQ50" i="2"/>
  <c r="DQ48" i="2"/>
  <c r="DQ46" i="2"/>
  <c r="DQ44" i="2"/>
  <c r="DQ42" i="2"/>
  <c r="DQ40" i="2"/>
  <c r="DQ38" i="2"/>
  <c r="DQ36" i="2"/>
  <c r="DQ34" i="2"/>
  <c r="DQ32" i="2"/>
  <c r="DQ30" i="2"/>
  <c r="DQ28" i="2"/>
  <c r="DQ26" i="2"/>
  <c r="DQ24" i="2"/>
  <c r="DQ22" i="2"/>
  <c r="DQ20" i="2"/>
  <c r="DQ18" i="2"/>
  <c r="DP14" i="2"/>
  <c r="I1" i="2" s="1"/>
  <c r="T15" i="1" l="1"/>
  <c r="T97" i="27"/>
  <c r="BU47" i="25"/>
  <c r="BU59" i="25"/>
  <c r="CA34" i="25"/>
  <c r="BU46" i="25"/>
  <c r="BU37" i="25"/>
  <c r="BA33" i="25"/>
  <c r="BU34" i="25"/>
  <c r="BU61" i="25"/>
  <c r="BU55" i="25"/>
  <c r="BU63" i="25"/>
  <c r="BU41" i="25"/>
  <c r="CA36" i="25"/>
  <c r="BU62" i="25"/>
  <c r="BU43" i="25"/>
  <c r="BU40" i="25"/>
  <c r="BU39" i="25"/>
  <c r="CA46" i="25"/>
  <c r="CA47" i="25"/>
  <c r="CA41" i="25"/>
  <c r="BU57" i="25"/>
  <c r="BU48" i="25"/>
  <c r="CA48" i="25"/>
  <c r="BU35" i="25"/>
  <c r="BU44" i="25"/>
  <c r="BU42" i="25"/>
  <c r="BU36" i="25"/>
  <c r="CA40" i="25"/>
  <c r="CA45" i="25"/>
  <c r="CA43" i="25"/>
  <c r="BU56" i="25"/>
  <c r="BU60" i="25"/>
  <c r="BL115" i="25"/>
  <c r="BL99" i="25"/>
  <c r="BL83" i="25"/>
  <c r="BL67" i="25"/>
  <c r="BL51" i="25"/>
  <c r="BL35" i="25"/>
  <c r="BL102" i="25"/>
  <c r="BL86" i="25"/>
  <c r="BL70" i="25"/>
  <c r="BL54" i="25"/>
  <c r="BL38" i="25"/>
  <c r="BL105" i="25"/>
  <c r="BL89" i="25"/>
  <c r="BL73" i="25"/>
  <c r="BL57" i="25"/>
  <c r="BL41" i="25"/>
  <c r="BL108" i="25"/>
  <c r="BL92" i="25"/>
  <c r="BL76" i="25"/>
  <c r="BL60" i="25"/>
  <c r="BL44" i="25"/>
  <c r="BL111" i="25"/>
  <c r="BL95" i="25"/>
  <c r="BL79" i="25"/>
  <c r="BL63" i="25"/>
  <c r="BL47" i="25"/>
  <c r="BL114" i="25"/>
  <c r="BL98" i="25"/>
  <c r="BL82" i="25"/>
  <c r="BL66" i="25"/>
  <c r="BL50" i="25"/>
  <c r="BL34" i="25"/>
  <c r="BL101" i="25"/>
  <c r="BL85" i="25"/>
  <c r="BL69" i="25"/>
  <c r="BL53" i="25"/>
  <c r="BL37" i="25"/>
  <c r="BL104" i="25"/>
  <c r="BL88" i="25"/>
  <c r="BL72" i="25"/>
  <c r="BL56" i="25"/>
  <c r="BL40" i="25"/>
  <c r="BL107" i="25"/>
  <c r="BL91" i="25"/>
  <c r="BL75" i="25"/>
  <c r="BL59" i="25"/>
  <c r="BL43" i="25"/>
  <c r="BL110" i="25"/>
  <c r="BL94" i="25"/>
  <c r="BL78" i="25"/>
  <c r="BL62" i="25"/>
  <c r="BL46" i="25"/>
  <c r="BL113" i="25"/>
  <c r="BL97" i="25"/>
  <c r="BL81" i="25"/>
  <c r="BL65" i="25"/>
  <c r="BL49" i="25"/>
  <c r="BL33" i="25"/>
  <c r="BL100" i="25"/>
  <c r="BL84" i="25"/>
  <c r="BL68" i="25"/>
  <c r="BL52" i="25"/>
  <c r="BL36" i="25"/>
  <c r="BL103" i="25"/>
  <c r="BL87" i="25"/>
  <c r="BL71" i="25"/>
  <c r="BL55" i="25"/>
  <c r="BL39" i="25"/>
  <c r="BL106" i="25"/>
  <c r="BL90" i="25"/>
  <c r="BL74" i="25"/>
  <c r="BL58" i="25"/>
  <c r="BL42" i="25"/>
  <c r="BL109" i="25"/>
  <c r="BL93" i="25"/>
  <c r="BL77" i="25"/>
  <c r="BL61" i="25"/>
  <c r="BL45" i="25"/>
  <c r="BL112" i="25"/>
  <c r="BL96" i="25"/>
  <c r="BL80" i="25"/>
  <c r="BL64" i="25"/>
  <c r="BL48" i="25"/>
  <c r="BU50" i="25"/>
  <c r="BU49" i="25"/>
  <c r="BU38" i="25"/>
  <c r="BU45" i="25"/>
  <c r="BU54" i="25"/>
  <c r="CA38" i="25"/>
  <c r="BU53" i="25"/>
  <c r="CA37" i="25"/>
  <c r="CA44" i="25"/>
  <c r="CA42" i="25"/>
  <c r="B18" i="14"/>
  <c r="B38" i="14"/>
  <c r="AC24" i="1"/>
  <c r="AC22" i="1"/>
  <c r="S98" i="1"/>
  <c r="V98" i="1" s="1"/>
  <c r="AC16" i="1"/>
  <c r="AC17" i="1"/>
  <c r="AC20" i="1"/>
  <c r="S109" i="1"/>
  <c r="V109" i="1" s="1"/>
  <c r="S101" i="1"/>
  <c r="U101" i="1" s="1"/>
  <c r="S95" i="1"/>
  <c r="U95" i="1" s="1"/>
  <c r="S87" i="1"/>
  <c r="V87" i="1" s="1"/>
  <c r="S79" i="1"/>
  <c r="U79" i="1" s="1"/>
  <c r="S71" i="1"/>
  <c r="U71" i="1" s="1"/>
  <c r="S63" i="1"/>
  <c r="U63" i="1" s="1"/>
  <c r="S55" i="1"/>
  <c r="V55" i="1" s="1"/>
  <c r="S47" i="1"/>
  <c r="U47" i="1" s="1"/>
  <c r="S39" i="1"/>
  <c r="U39" i="1" s="1"/>
  <c r="D17" i="6"/>
  <c r="E17" i="6" s="1"/>
  <c r="AC18" i="1"/>
  <c r="AC111" i="1"/>
  <c r="AC107" i="1"/>
  <c r="AC103" i="1"/>
  <c r="AC99" i="1"/>
  <c r="AC95" i="1"/>
  <c r="AC91" i="1"/>
  <c r="AC87" i="1"/>
  <c r="AC83" i="1"/>
  <c r="AC79" i="1"/>
  <c r="AC75" i="1"/>
  <c r="AC71" i="1"/>
  <c r="AC67" i="1"/>
  <c r="AC63" i="1"/>
  <c r="AC59" i="1"/>
  <c r="AC55" i="1"/>
  <c r="AC51" i="1"/>
  <c r="AC47" i="1"/>
  <c r="AC43" i="1"/>
  <c r="AC39" i="1"/>
  <c r="AC35" i="1"/>
  <c r="AC31" i="1"/>
  <c r="AC27" i="1"/>
  <c r="AC23" i="1"/>
  <c r="AC19" i="1"/>
  <c r="AC15" i="1"/>
  <c r="AC113" i="1"/>
  <c r="AC109" i="1"/>
  <c r="AC105" i="1"/>
  <c r="AC101" i="1"/>
  <c r="AC97" i="1"/>
  <c r="AC93" i="1"/>
  <c r="AC89" i="1"/>
  <c r="AC85" i="1"/>
  <c r="AC81" i="1"/>
  <c r="AC77" i="1"/>
  <c r="AC73" i="1"/>
  <c r="AC69" i="1"/>
  <c r="AC65" i="1"/>
  <c r="AC61" i="1"/>
  <c r="AC57" i="1"/>
  <c r="AC53" i="1"/>
  <c r="AC49" i="1"/>
  <c r="AC45" i="1"/>
  <c r="AC41" i="1"/>
  <c r="AC37" i="1"/>
  <c r="AC33" i="1"/>
  <c r="AC29" i="1"/>
  <c r="AC25" i="1"/>
  <c r="AC21" i="1"/>
  <c r="S31" i="1"/>
  <c r="V31" i="1" s="1"/>
  <c r="S23" i="1"/>
  <c r="V23" i="1" s="1"/>
  <c r="S113" i="1"/>
  <c r="U113" i="1" s="1"/>
  <c r="S105" i="1"/>
  <c r="U105" i="1" s="1"/>
  <c r="S91" i="1"/>
  <c r="U91" i="1" s="1"/>
  <c r="S83" i="1"/>
  <c r="V83" i="1" s="1"/>
  <c r="S75" i="1"/>
  <c r="V75" i="1" s="1"/>
  <c r="S67" i="1"/>
  <c r="V67" i="1" s="1"/>
  <c r="S59" i="1"/>
  <c r="U59" i="1" s="1"/>
  <c r="S51" i="1"/>
  <c r="V51" i="1" s="1"/>
  <c r="S43" i="1"/>
  <c r="U43" i="1" s="1"/>
  <c r="S35" i="1"/>
  <c r="V35" i="1" s="1"/>
  <c r="S27" i="1"/>
  <c r="V27" i="1" s="1"/>
  <c r="S19" i="1"/>
  <c r="V19" i="1" s="1"/>
  <c r="T17" i="1"/>
  <c r="S110" i="1"/>
  <c r="V110" i="1" s="1"/>
  <c r="S102" i="1"/>
  <c r="U102" i="1" s="1"/>
  <c r="S96" i="1"/>
  <c r="U96" i="1" s="1"/>
  <c r="S88" i="1"/>
  <c r="U88" i="1" s="1"/>
  <c r="S80" i="1"/>
  <c r="V80" i="1" s="1"/>
  <c r="S72" i="1"/>
  <c r="U72" i="1" s="1"/>
  <c r="S64" i="1"/>
  <c r="V64" i="1" s="1"/>
  <c r="S56" i="1"/>
  <c r="U56" i="1" s="1"/>
  <c r="S48" i="1"/>
  <c r="V48" i="1" s="1"/>
  <c r="S40" i="1"/>
  <c r="U40" i="1" s="1"/>
  <c r="S32" i="1"/>
  <c r="V32" i="1" s="1"/>
  <c r="S24" i="1"/>
  <c r="U24" i="1" s="1"/>
  <c r="S26" i="1"/>
  <c r="V26" i="1" s="1"/>
  <c r="EB28" i="2" s="1"/>
  <c r="S18" i="1"/>
  <c r="U18" i="1" s="1"/>
  <c r="S108" i="1"/>
  <c r="U108" i="1" s="1"/>
  <c r="S100" i="1"/>
  <c r="V100" i="1" s="1"/>
  <c r="S94" i="1"/>
  <c r="U94" i="1" s="1"/>
  <c r="S86" i="1"/>
  <c r="V86" i="1" s="1"/>
  <c r="S78" i="1"/>
  <c r="U78" i="1" s="1"/>
  <c r="S70" i="1"/>
  <c r="V70" i="1" s="1"/>
  <c r="S62" i="1"/>
  <c r="U62" i="1" s="1"/>
  <c r="S54" i="1"/>
  <c r="V54" i="1" s="1"/>
  <c r="S46" i="1"/>
  <c r="V46" i="1" s="1"/>
  <c r="S38" i="1"/>
  <c r="V38" i="1" s="1"/>
  <c r="S30" i="1"/>
  <c r="V30" i="1" s="1"/>
  <c r="T114" i="1"/>
  <c r="Z114" i="1"/>
  <c r="T107" i="1"/>
  <c r="Z107" i="1"/>
  <c r="T106" i="1"/>
  <c r="Z106" i="1"/>
  <c r="T99" i="1"/>
  <c r="Z99" i="1"/>
  <c r="Z93" i="1"/>
  <c r="T93" i="1"/>
  <c r="T92" i="1"/>
  <c r="Z92" i="1"/>
  <c r="Z85" i="1"/>
  <c r="T85" i="1"/>
  <c r="T84" i="1"/>
  <c r="Z84" i="1"/>
  <c r="Z77" i="1"/>
  <c r="T77" i="1"/>
  <c r="T76" i="1"/>
  <c r="Z76" i="1"/>
  <c r="Z69" i="1"/>
  <c r="T69" i="1"/>
  <c r="T68" i="1"/>
  <c r="Z68" i="1"/>
  <c r="Z61" i="1"/>
  <c r="T61" i="1"/>
  <c r="T60" i="1"/>
  <c r="Z60" i="1"/>
  <c r="Z53" i="1"/>
  <c r="T53" i="1"/>
  <c r="T52" i="1"/>
  <c r="Z52" i="1"/>
  <c r="Z45" i="1"/>
  <c r="T45" i="1"/>
  <c r="T44" i="1"/>
  <c r="Z44" i="1"/>
  <c r="Z37" i="1"/>
  <c r="T37" i="1"/>
  <c r="T36" i="1"/>
  <c r="Z36" i="1"/>
  <c r="Z29" i="1"/>
  <c r="T29" i="1"/>
  <c r="T28" i="1"/>
  <c r="Z28" i="1"/>
  <c r="Z21" i="1"/>
  <c r="T21" i="1"/>
  <c r="T20" i="1"/>
  <c r="Z20" i="1"/>
  <c r="Z113" i="1"/>
  <c r="T113" i="1"/>
  <c r="T112" i="1"/>
  <c r="Z112" i="1"/>
  <c r="T105" i="1"/>
  <c r="Z105" i="1"/>
  <c r="Z104" i="1"/>
  <c r="T104" i="1"/>
  <c r="T98" i="1"/>
  <c r="Z98" i="1"/>
  <c r="T91" i="1"/>
  <c r="Z91" i="1"/>
  <c r="T90" i="1"/>
  <c r="Z90" i="1"/>
  <c r="T83" i="1"/>
  <c r="Z83" i="1"/>
  <c r="T82" i="1"/>
  <c r="Z82" i="1"/>
  <c r="T75" i="1"/>
  <c r="Z75" i="1"/>
  <c r="T74" i="1"/>
  <c r="Z74" i="1"/>
  <c r="T67" i="1"/>
  <c r="Z67" i="1"/>
  <c r="T66" i="1"/>
  <c r="Z66" i="1"/>
  <c r="T59" i="1"/>
  <c r="Z59" i="1"/>
  <c r="T58" i="1"/>
  <c r="Z58" i="1"/>
  <c r="T51" i="1"/>
  <c r="Z51" i="1"/>
  <c r="T50" i="1"/>
  <c r="Z50" i="1"/>
  <c r="T43" i="1"/>
  <c r="Z43" i="1"/>
  <c r="T42" i="1"/>
  <c r="Z42" i="1"/>
  <c r="T35" i="1"/>
  <c r="Z35" i="1"/>
  <c r="T34" i="1"/>
  <c r="Z34" i="1"/>
  <c r="T27" i="1"/>
  <c r="Z27" i="1"/>
  <c r="T26" i="1"/>
  <c r="Z26" i="1"/>
  <c r="T19" i="1"/>
  <c r="Z19" i="1"/>
  <c r="T18" i="1"/>
  <c r="Z18" i="1"/>
  <c r="S107" i="1"/>
  <c r="S99" i="1"/>
  <c r="S93" i="1"/>
  <c r="S85" i="1"/>
  <c r="S77" i="1"/>
  <c r="S69" i="1"/>
  <c r="S61" i="1"/>
  <c r="S53" i="1"/>
  <c r="S45" i="1"/>
  <c r="S37" i="1"/>
  <c r="S29" i="1"/>
  <c r="S22" i="1"/>
  <c r="S21" i="1"/>
  <c r="Z111" i="1"/>
  <c r="T111" i="1"/>
  <c r="T110" i="1"/>
  <c r="Z110" i="1"/>
  <c r="T103" i="1"/>
  <c r="Z103" i="1"/>
  <c r="T102" i="1"/>
  <c r="Z102" i="1"/>
  <c r="Z97" i="1"/>
  <c r="T97" i="1"/>
  <c r="T96" i="1"/>
  <c r="Z96" i="1"/>
  <c r="Z89" i="1"/>
  <c r="T89" i="1"/>
  <c r="T88" i="1"/>
  <c r="Z88" i="1"/>
  <c r="Z81" i="1"/>
  <c r="T81" i="1"/>
  <c r="T80" i="1"/>
  <c r="Z80" i="1"/>
  <c r="Z73" i="1"/>
  <c r="T73" i="1"/>
  <c r="T72" i="1"/>
  <c r="Z72" i="1"/>
  <c r="Z65" i="1"/>
  <c r="T65" i="1"/>
  <c r="T64" i="1"/>
  <c r="Z64" i="1"/>
  <c r="Z57" i="1"/>
  <c r="T57" i="1"/>
  <c r="T56" i="1"/>
  <c r="Z56" i="1"/>
  <c r="Z49" i="1"/>
  <c r="T49" i="1"/>
  <c r="T48" i="1"/>
  <c r="Z48" i="1"/>
  <c r="Z41" i="1"/>
  <c r="T41" i="1"/>
  <c r="T40" i="1"/>
  <c r="Z40" i="1"/>
  <c r="Z33" i="1"/>
  <c r="T33" i="1"/>
  <c r="T32" i="1"/>
  <c r="Z32" i="1"/>
  <c r="Z25" i="1"/>
  <c r="T25" i="1"/>
  <c r="T24" i="1"/>
  <c r="Z24" i="1"/>
  <c r="T109" i="1"/>
  <c r="Z109" i="1"/>
  <c r="Z108" i="1"/>
  <c r="T108" i="1"/>
  <c r="T101" i="1"/>
  <c r="Z101" i="1"/>
  <c r="Z100" i="1"/>
  <c r="T100" i="1"/>
  <c r="T95" i="1"/>
  <c r="Z95" i="1"/>
  <c r="T94" i="1"/>
  <c r="Z94" i="1"/>
  <c r="T87" i="1"/>
  <c r="Z87" i="1"/>
  <c r="T86" i="1"/>
  <c r="Z86" i="1"/>
  <c r="T79" i="1"/>
  <c r="Z79" i="1"/>
  <c r="T78" i="1"/>
  <c r="Z78" i="1"/>
  <c r="T71" i="1"/>
  <c r="Z71" i="1"/>
  <c r="T70" i="1"/>
  <c r="Z70" i="1"/>
  <c r="T63" i="1"/>
  <c r="Z63" i="1"/>
  <c r="T62" i="1"/>
  <c r="Z62" i="1"/>
  <c r="T55" i="1"/>
  <c r="Z55" i="1"/>
  <c r="T54" i="1"/>
  <c r="Z54" i="1"/>
  <c r="T47" i="1"/>
  <c r="Z47" i="1"/>
  <c r="T46" i="1"/>
  <c r="Z46" i="1"/>
  <c r="T39" i="1"/>
  <c r="Z39" i="1"/>
  <c r="T38" i="1"/>
  <c r="Z38" i="1"/>
  <c r="T31" i="1"/>
  <c r="Z31" i="1"/>
  <c r="T30" i="1"/>
  <c r="Z30" i="1"/>
  <c r="T23" i="1"/>
  <c r="Z23" i="1"/>
  <c r="T22" i="1"/>
  <c r="Z22" i="1"/>
  <c r="T16" i="1"/>
  <c r="S114" i="1"/>
  <c r="S106" i="1"/>
  <c r="S92" i="1"/>
  <c r="S84" i="1"/>
  <c r="S76" i="1"/>
  <c r="S68" i="1"/>
  <c r="S60" i="1"/>
  <c r="S52" i="1"/>
  <c r="S44" i="1"/>
  <c r="S36" i="1"/>
  <c r="S28" i="1"/>
  <c r="S20" i="1"/>
  <c r="S112" i="1"/>
  <c r="S111" i="1"/>
  <c r="S104" i="1"/>
  <c r="S103" i="1"/>
  <c r="S97" i="1"/>
  <c r="S90" i="1"/>
  <c r="S89" i="1"/>
  <c r="S82" i="1"/>
  <c r="S81" i="1"/>
  <c r="S74" i="1"/>
  <c r="S73" i="1"/>
  <c r="S66" i="1"/>
  <c r="S65" i="1"/>
  <c r="S58" i="1"/>
  <c r="S57" i="1"/>
  <c r="S50" i="1"/>
  <c r="S49" i="1"/>
  <c r="S42" i="1"/>
  <c r="S41" i="1"/>
  <c r="S34" i="1"/>
  <c r="S33" i="1"/>
  <c r="S25" i="1"/>
  <c r="S16" i="1"/>
  <c r="S15" i="1"/>
  <c r="U15" i="1" s="1"/>
  <c r="S17" i="1"/>
  <c r="Z16" i="1"/>
  <c r="Z17" i="1"/>
  <c r="Z15" i="1"/>
  <c r="DV34" i="2"/>
  <c r="DV35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53" i="2"/>
  <c r="DV54" i="2"/>
  <c r="DV55" i="2"/>
  <c r="DV56" i="2"/>
  <c r="DV57" i="2"/>
  <c r="DV58" i="2"/>
  <c r="DV59" i="2"/>
  <c r="DV60" i="2"/>
  <c r="DV61" i="2"/>
  <c r="DV62" i="2"/>
  <c r="DV63" i="2"/>
  <c r="DV64" i="2"/>
  <c r="DV65" i="2"/>
  <c r="DV66" i="2"/>
  <c r="DV67" i="2"/>
  <c r="DV68" i="2"/>
  <c r="DV69" i="2"/>
  <c r="DV70" i="2"/>
  <c r="DV71" i="2"/>
  <c r="DV72" i="2"/>
  <c r="DV73" i="2"/>
  <c r="DV74" i="2"/>
  <c r="DV75" i="2"/>
  <c r="DV76" i="2"/>
  <c r="DV77" i="2"/>
  <c r="DV78" i="2"/>
  <c r="DV79" i="2"/>
  <c r="DV80" i="2"/>
  <c r="DV81" i="2"/>
  <c r="DV82" i="2"/>
  <c r="DV83" i="2"/>
  <c r="DV84" i="2"/>
  <c r="DV85" i="2"/>
  <c r="DV86" i="2"/>
  <c r="DV87" i="2"/>
  <c r="DV88" i="2"/>
  <c r="DV89" i="2"/>
  <c r="DV90" i="2"/>
  <c r="DV91" i="2"/>
  <c r="DV92" i="2"/>
  <c r="DV93" i="2"/>
  <c r="DV94" i="2"/>
  <c r="DV95" i="2"/>
  <c r="DV96" i="2"/>
  <c r="DV97" i="2"/>
  <c r="DV98" i="2"/>
  <c r="DV99" i="2"/>
  <c r="DV100" i="2"/>
  <c r="DV101" i="2"/>
  <c r="DV102" i="2"/>
  <c r="DV103" i="2"/>
  <c r="DV104" i="2"/>
  <c r="DV105" i="2"/>
  <c r="DV106" i="2"/>
  <c r="DV107" i="2"/>
  <c r="DV108" i="2"/>
  <c r="DV109" i="2"/>
  <c r="DV110" i="2"/>
  <c r="DV111" i="2"/>
  <c r="DV112" i="2"/>
  <c r="DV113" i="2"/>
  <c r="DV114" i="2"/>
  <c r="DV115" i="2"/>
  <c r="DV116" i="2"/>
  <c r="DZ117" i="2"/>
  <c r="DK43" i="2"/>
  <c r="J35" i="27" s="1"/>
  <c r="DK44" i="2"/>
  <c r="J36" i="27" s="1"/>
  <c r="DK45" i="2"/>
  <c r="J37" i="27" s="1"/>
  <c r="DK46" i="2"/>
  <c r="J38" i="27" s="1"/>
  <c r="DK47" i="2"/>
  <c r="J39" i="27" s="1"/>
  <c r="DK48" i="2"/>
  <c r="J40" i="27" s="1"/>
  <c r="DK49" i="2"/>
  <c r="J41" i="27" s="1"/>
  <c r="DK50" i="2"/>
  <c r="J42" i="27" s="1"/>
  <c r="DK51" i="2"/>
  <c r="J43" i="27" s="1"/>
  <c r="DK52" i="2"/>
  <c r="J44" i="27" s="1"/>
  <c r="DK53" i="2"/>
  <c r="J45" i="27" s="1"/>
  <c r="DK54" i="2"/>
  <c r="J46" i="27" s="1"/>
  <c r="DK55" i="2"/>
  <c r="J47" i="27" s="1"/>
  <c r="DK56" i="2"/>
  <c r="J48" i="27" s="1"/>
  <c r="DK57" i="2"/>
  <c r="J58" i="27" s="1"/>
  <c r="DK58" i="2"/>
  <c r="J59" i="27" s="1"/>
  <c r="DK59" i="2"/>
  <c r="J60" i="27" s="1"/>
  <c r="DK60" i="2"/>
  <c r="J61" i="27" s="1"/>
  <c r="DK61" i="2"/>
  <c r="J62" i="27" s="1"/>
  <c r="DK62" i="2"/>
  <c r="J63" i="27" s="1"/>
  <c r="DK63" i="2"/>
  <c r="J64" i="27" s="1"/>
  <c r="DK64" i="2"/>
  <c r="J65" i="27" s="1"/>
  <c r="DK65" i="2"/>
  <c r="J66" i="27" s="1"/>
  <c r="DK66" i="2"/>
  <c r="J67" i="27" s="1"/>
  <c r="DK67" i="2"/>
  <c r="J68" i="27" s="1"/>
  <c r="DK68" i="2"/>
  <c r="J69" i="27" s="1"/>
  <c r="DK69" i="2"/>
  <c r="J70" i="27" s="1"/>
  <c r="DK70" i="2"/>
  <c r="J71" i="27" s="1"/>
  <c r="DK71" i="2"/>
  <c r="J72" i="27" s="1"/>
  <c r="DK72" i="2"/>
  <c r="J73" i="27" s="1"/>
  <c r="DK73" i="2"/>
  <c r="J74" i="27" s="1"/>
  <c r="DK74" i="2"/>
  <c r="J75" i="27" s="1"/>
  <c r="DK75" i="2"/>
  <c r="J76" i="27" s="1"/>
  <c r="DK76" i="2"/>
  <c r="J77" i="27" s="1"/>
  <c r="DK77" i="2"/>
  <c r="J78" i="27" s="1"/>
  <c r="DK78" i="2"/>
  <c r="J79" i="27" s="1"/>
  <c r="DK79" i="2"/>
  <c r="J80" i="27" s="1"/>
  <c r="DK80" i="2"/>
  <c r="J81" i="27" s="1"/>
  <c r="DK81" i="2"/>
  <c r="J82" i="27" s="1"/>
  <c r="DK82" i="2"/>
  <c r="J83" i="27" s="1"/>
  <c r="DK83" i="2"/>
  <c r="J84" i="27" s="1"/>
  <c r="DK84" i="2"/>
  <c r="J85" i="27" s="1"/>
  <c r="DK85" i="2"/>
  <c r="J86" i="27" s="1"/>
  <c r="DK86" i="2"/>
  <c r="J87" i="27" s="1"/>
  <c r="DK87" i="2"/>
  <c r="J88" i="27" s="1"/>
  <c r="DK88" i="2"/>
  <c r="J89" i="27" s="1"/>
  <c r="DK89" i="2"/>
  <c r="J90" i="27" s="1"/>
  <c r="DK90" i="2"/>
  <c r="J91" i="27" s="1"/>
  <c r="DK91" i="2"/>
  <c r="J92" i="27" s="1"/>
  <c r="DK92" i="2"/>
  <c r="J93" i="27" s="1"/>
  <c r="DK93" i="2"/>
  <c r="J94" i="27" s="1"/>
  <c r="DK94" i="2"/>
  <c r="J95" i="27" s="1"/>
  <c r="DK95" i="2"/>
  <c r="J96" i="27" s="1"/>
  <c r="DK96" i="2"/>
  <c r="J97" i="27" s="1"/>
  <c r="DK97" i="2"/>
  <c r="J107" i="27" s="1"/>
  <c r="DK98" i="2"/>
  <c r="J108" i="27" s="1"/>
  <c r="DK99" i="2"/>
  <c r="J109" i="27" s="1"/>
  <c r="DK100" i="2"/>
  <c r="J110" i="27" s="1"/>
  <c r="DK101" i="2"/>
  <c r="J111" i="27" s="1"/>
  <c r="DK102" i="2"/>
  <c r="J112" i="27" s="1"/>
  <c r="DK103" i="2"/>
  <c r="J113" i="27" s="1"/>
  <c r="DK104" i="2"/>
  <c r="J114" i="27" s="1"/>
  <c r="DK105" i="2"/>
  <c r="J115" i="27" s="1"/>
  <c r="DK106" i="2"/>
  <c r="J116" i="27" s="1"/>
  <c r="DK107" i="2"/>
  <c r="J117" i="27" s="1"/>
  <c r="DK108" i="2"/>
  <c r="J118" i="27" s="1"/>
  <c r="DK109" i="2"/>
  <c r="J119" i="27" s="1"/>
  <c r="DK110" i="2"/>
  <c r="J120" i="27" s="1"/>
  <c r="DK111" i="2"/>
  <c r="J121" i="27" s="1"/>
  <c r="DK112" i="2"/>
  <c r="J122" i="27" s="1"/>
  <c r="DK113" i="2"/>
  <c r="J123" i="27" s="1"/>
  <c r="DK114" i="2"/>
  <c r="J124" i="27" s="1"/>
  <c r="DK115" i="2"/>
  <c r="J125" i="27" s="1"/>
  <c r="DK116" i="2"/>
  <c r="J126" i="27" s="1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M18" i="2"/>
  <c r="N18" i="2" s="1"/>
  <c r="M19" i="2"/>
  <c r="N19" i="2" s="1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7" i="2"/>
  <c r="N17" i="2" s="1"/>
  <c r="R98" i="27" l="1"/>
  <c r="R127" i="27"/>
  <c r="R49" i="27"/>
  <c r="N124" i="27"/>
  <c r="N120" i="27"/>
  <c r="N116" i="27"/>
  <c r="N112" i="27"/>
  <c r="N108" i="27"/>
  <c r="N123" i="27"/>
  <c r="N119" i="27"/>
  <c r="N115" i="27"/>
  <c r="N111" i="27"/>
  <c r="N107" i="27"/>
  <c r="N126" i="27"/>
  <c r="N122" i="27"/>
  <c r="N118" i="27"/>
  <c r="N114" i="27"/>
  <c r="N110" i="27"/>
  <c r="N125" i="27"/>
  <c r="N121" i="27"/>
  <c r="N117" i="27"/>
  <c r="N113" i="27"/>
  <c r="N109" i="27"/>
  <c r="N97" i="27"/>
  <c r="N93" i="27"/>
  <c r="N89" i="27"/>
  <c r="N85" i="27"/>
  <c r="N81" i="27"/>
  <c r="N77" i="27"/>
  <c r="N73" i="27"/>
  <c r="N69" i="27"/>
  <c r="N65" i="27"/>
  <c r="N61" i="27"/>
  <c r="N48" i="27"/>
  <c r="N44" i="27"/>
  <c r="N40" i="27"/>
  <c r="N36" i="27"/>
  <c r="N32" i="27"/>
  <c r="N27" i="27"/>
  <c r="N96" i="27"/>
  <c r="N92" i="27"/>
  <c r="N88" i="27"/>
  <c r="N84" i="27"/>
  <c r="N80" i="27"/>
  <c r="N76" i="27"/>
  <c r="N72" i="27"/>
  <c r="N68" i="27"/>
  <c r="N64" i="27"/>
  <c r="N60" i="27"/>
  <c r="N47" i="27"/>
  <c r="N43" i="27"/>
  <c r="N39" i="27"/>
  <c r="N35" i="27"/>
  <c r="N31" i="27"/>
  <c r="N26" i="27"/>
  <c r="N95" i="27"/>
  <c r="N91" i="27"/>
  <c r="N87" i="27"/>
  <c r="N83" i="27"/>
  <c r="N79" i="27"/>
  <c r="N75" i="27"/>
  <c r="N71" i="27"/>
  <c r="N67" i="27"/>
  <c r="N63" i="27"/>
  <c r="N59" i="27"/>
  <c r="N46" i="27"/>
  <c r="N42" i="27"/>
  <c r="N38" i="27"/>
  <c r="N34" i="27"/>
  <c r="N30" i="27"/>
  <c r="N94" i="27"/>
  <c r="N90" i="27"/>
  <c r="N86" i="27"/>
  <c r="N82" i="27"/>
  <c r="N78" i="27"/>
  <c r="N74" i="27"/>
  <c r="N70" i="27"/>
  <c r="N66" i="27"/>
  <c r="N62" i="27"/>
  <c r="N58" i="27"/>
  <c r="N45" i="27"/>
  <c r="N41" i="27"/>
  <c r="N37" i="27"/>
  <c r="N33" i="27"/>
  <c r="N29" i="27"/>
  <c r="CA33" i="25"/>
  <c r="BU33" i="25"/>
  <c r="DZ16" i="2"/>
  <c r="F17" i="25"/>
  <c r="B40" i="14"/>
  <c r="B20" i="14"/>
  <c r="U98" i="1"/>
  <c r="V71" i="1"/>
  <c r="V63" i="1"/>
  <c r="V39" i="1"/>
  <c r="V95" i="1"/>
  <c r="V47" i="1"/>
  <c r="V79" i="1"/>
  <c r="U55" i="1"/>
  <c r="U87" i="1"/>
  <c r="V101" i="1"/>
  <c r="U109" i="1"/>
  <c r="U83" i="1"/>
  <c r="U67" i="1"/>
  <c r="V105" i="1"/>
  <c r="V59" i="1"/>
  <c r="U75" i="1"/>
  <c r="V91" i="1"/>
  <c r="V113" i="1"/>
  <c r="C18" i="6"/>
  <c r="D18" i="6" s="1"/>
  <c r="C19" i="6" s="1"/>
  <c r="DU110" i="2"/>
  <c r="M120" i="27" s="1"/>
  <c r="DU84" i="2"/>
  <c r="M85" i="27" s="1"/>
  <c r="DU109" i="2"/>
  <c r="M119" i="27" s="1"/>
  <c r="DU101" i="2"/>
  <c r="M111" i="27" s="1"/>
  <c r="DU93" i="2"/>
  <c r="M94" i="27" s="1"/>
  <c r="DU85" i="2"/>
  <c r="M86" i="27" s="1"/>
  <c r="DU77" i="2"/>
  <c r="M78" i="27" s="1"/>
  <c r="DU69" i="2"/>
  <c r="M70" i="27" s="1"/>
  <c r="DU61" i="2"/>
  <c r="M62" i="27" s="1"/>
  <c r="DU53" i="2"/>
  <c r="M45" i="27" s="1"/>
  <c r="DU45" i="2"/>
  <c r="M37" i="27" s="1"/>
  <c r="DU37" i="2"/>
  <c r="M29" i="27" s="1"/>
  <c r="DU106" i="2"/>
  <c r="M116" i="27" s="1"/>
  <c r="DU88" i="2"/>
  <c r="M89" i="27" s="1"/>
  <c r="DU76" i="2"/>
  <c r="M77" i="27" s="1"/>
  <c r="DU68" i="2"/>
  <c r="M69" i="27" s="1"/>
  <c r="DU60" i="2"/>
  <c r="M61" i="27" s="1"/>
  <c r="DU52" i="2"/>
  <c r="M44" i="27" s="1"/>
  <c r="DU44" i="2"/>
  <c r="M36" i="27" s="1"/>
  <c r="DU114" i="2"/>
  <c r="M124" i="27" s="1"/>
  <c r="DU100" i="2"/>
  <c r="M110" i="27" s="1"/>
  <c r="DU86" i="2"/>
  <c r="M87" i="27" s="1"/>
  <c r="DU111" i="2"/>
  <c r="M121" i="27" s="1"/>
  <c r="DU103" i="2"/>
  <c r="M113" i="27" s="1"/>
  <c r="DU95" i="2"/>
  <c r="M96" i="27" s="1"/>
  <c r="DU87" i="2"/>
  <c r="M88" i="27" s="1"/>
  <c r="DU79" i="2"/>
  <c r="M80" i="27" s="1"/>
  <c r="DU71" i="2"/>
  <c r="M72" i="27" s="1"/>
  <c r="DU63" i="2"/>
  <c r="M64" i="27" s="1"/>
  <c r="DU55" i="2"/>
  <c r="M47" i="27" s="1"/>
  <c r="DU47" i="2"/>
  <c r="M39" i="27" s="1"/>
  <c r="DU39" i="2"/>
  <c r="M31" i="27" s="1"/>
  <c r="DU112" i="2"/>
  <c r="M122" i="27" s="1"/>
  <c r="DU94" i="2"/>
  <c r="M95" i="27" s="1"/>
  <c r="DU78" i="2"/>
  <c r="M79" i="27" s="1"/>
  <c r="DU70" i="2"/>
  <c r="M71" i="27" s="1"/>
  <c r="DU62" i="2"/>
  <c r="M63" i="27" s="1"/>
  <c r="DU54" i="2"/>
  <c r="M46" i="27" s="1"/>
  <c r="DU46" i="2"/>
  <c r="M38" i="27" s="1"/>
  <c r="DU38" i="2"/>
  <c r="M30" i="27" s="1"/>
  <c r="DU104" i="2"/>
  <c r="M114" i="27" s="1"/>
  <c r="DU90" i="2"/>
  <c r="M91" i="27" s="1"/>
  <c r="DU113" i="2"/>
  <c r="M123" i="27" s="1"/>
  <c r="DU105" i="2"/>
  <c r="M115" i="27" s="1"/>
  <c r="DU97" i="2"/>
  <c r="M107" i="27" s="1"/>
  <c r="DU89" i="2"/>
  <c r="M90" i="27" s="1"/>
  <c r="DU81" i="2"/>
  <c r="M82" i="27" s="1"/>
  <c r="DU73" i="2"/>
  <c r="M74" i="27" s="1"/>
  <c r="DU65" i="2"/>
  <c r="M66" i="27" s="1"/>
  <c r="DU57" i="2"/>
  <c r="M58" i="27" s="1"/>
  <c r="DU49" i="2"/>
  <c r="M41" i="27" s="1"/>
  <c r="DU41" i="2"/>
  <c r="M33" i="27" s="1"/>
  <c r="DU116" i="2"/>
  <c r="M126" i="27" s="1"/>
  <c r="DU98" i="2"/>
  <c r="M108" i="27" s="1"/>
  <c r="DU80" i="2"/>
  <c r="M81" i="27" s="1"/>
  <c r="DU72" i="2"/>
  <c r="M73" i="27" s="1"/>
  <c r="DU64" i="2"/>
  <c r="M65" i="27" s="1"/>
  <c r="DU56" i="2"/>
  <c r="M48" i="27" s="1"/>
  <c r="DU48" i="2"/>
  <c r="M40" i="27" s="1"/>
  <c r="DU40" i="2"/>
  <c r="M32" i="27" s="1"/>
  <c r="DU108" i="2"/>
  <c r="M118" i="27" s="1"/>
  <c r="DU92" i="2"/>
  <c r="M93" i="27" s="1"/>
  <c r="DU115" i="2"/>
  <c r="M125" i="27" s="1"/>
  <c r="DU107" i="2"/>
  <c r="M117" i="27" s="1"/>
  <c r="DU99" i="2"/>
  <c r="M109" i="27" s="1"/>
  <c r="DU91" i="2"/>
  <c r="M92" i="27" s="1"/>
  <c r="DU83" i="2"/>
  <c r="M84" i="27" s="1"/>
  <c r="DU75" i="2"/>
  <c r="M76" i="27" s="1"/>
  <c r="DU67" i="2"/>
  <c r="M68" i="27" s="1"/>
  <c r="DU59" i="2"/>
  <c r="M60" i="27" s="1"/>
  <c r="DU51" i="2"/>
  <c r="M43" i="27" s="1"/>
  <c r="DU43" i="2"/>
  <c r="M35" i="27" s="1"/>
  <c r="DU102" i="2"/>
  <c r="M112" i="27" s="1"/>
  <c r="DU82" i="2"/>
  <c r="M83" i="27" s="1"/>
  <c r="DU74" i="2"/>
  <c r="M75" i="27" s="1"/>
  <c r="DU66" i="2"/>
  <c r="M67" i="27" s="1"/>
  <c r="DU58" i="2"/>
  <c r="M59" i="27" s="1"/>
  <c r="DU50" i="2"/>
  <c r="M42" i="27" s="1"/>
  <c r="DU42" i="2"/>
  <c r="M34" i="27" s="1"/>
  <c r="DT104" i="2"/>
  <c r="DT90" i="2"/>
  <c r="DT113" i="2"/>
  <c r="DT105" i="2"/>
  <c r="DT97" i="2"/>
  <c r="DT89" i="2"/>
  <c r="DT81" i="2"/>
  <c r="DT73" i="2"/>
  <c r="DT65" i="2"/>
  <c r="DT57" i="2"/>
  <c r="DT49" i="2"/>
  <c r="DT41" i="2"/>
  <c r="DT116" i="2"/>
  <c r="DT98" i="2"/>
  <c r="DT80" i="2"/>
  <c r="DT72" i="2"/>
  <c r="DT64" i="2"/>
  <c r="DT56" i="2"/>
  <c r="DT48" i="2"/>
  <c r="DT40" i="2"/>
  <c r="DT114" i="2"/>
  <c r="DT100" i="2"/>
  <c r="DT86" i="2"/>
  <c r="DT111" i="2"/>
  <c r="DT103" i="2"/>
  <c r="DT95" i="2"/>
  <c r="DT87" i="2"/>
  <c r="DT79" i="2"/>
  <c r="DT71" i="2"/>
  <c r="DT63" i="2"/>
  <c r="DT55" i="2"/>
  <c r="DT47" i="2"/>
  <c r="DT39" i="2"/>
  <c r="DT112" i="2"/>
  <c r="DT94" i="2"/>
  <c r="DT78" i="2"/>
  <c r="DT70" i="2"/>
  <c r="DT62" i="2"/>
  <c r="DT54" i="2"/>
  <c r="DT46" i="2"/>
  <c r="DT38" i="2"/>
  <c r="DT110" i="2"/>
  <c r="DT96" i="2"/>
  <c r="DT84" i="2"/>
  <c r="DT109" i="2"/>
  <c r="DT101" i="2"/>
  <c r="DT93" i="2"/>
  <c r="DT85" i="2"/>
  <c r="DT77" i="2"/>
  <c r="DT69" i="2"/>
  <c r="DT61" i="2"/>
  <c r="DT53" i="2"/>
  <c r="DT45" i="2"/>
  <c r="DT37" i="2"/>
  <c r="DT106" i="2"/>
  <c r="DT88" i="2"/>
  <c r="DT76" i="2"/>
  <c r="DT68" i="2"/>
  <c r="DT60" i="2"/>
  <c r="DT52" i="2"/>
  <c r="DT44" i="2"/>
  <c r="DT35" i="2"/>
  <c r="DT108" i="2"/>
  <c r="DT92" i="2"/>
  <c r="DT115" i="2"/>
  <c r="DT107" i="2"/>
  <c r="DT99" i="2"/>
  <c r="DT91" i="2"/>
  <c r="DT83" i="2"/>
  <c r="DT75" i="2"/>
  <c r="DT67" i="2"/>
  <c r="DT59" i="2"/>
  <c r="DT51" i="2"/>
  <c r="DT43" i="2"/>
  <c r="DT34" i="2"/>
  <c r="DT102" i="2"/>
  <c r="DT82" i="2"/>
  <c r="DT74" i="2"/>
  <c r="DT66" i="2"/>
  <c r="DT58" i="2"/>
  <c r="DT50" i="2"/>
  <c r="DT42" i="2"/>
  <c r="U27" i="1"/>
  <c r="V43" i="1"/>
  <c r="DL113" i="2"/>
  <c r="DL111" i="2"/>
  <c r="DL107" i="2"/>
  <c r="DL103" i="2"/>
  <c r="DL99" i="2"/>
  <c r="DL97" i="2"/>
  <c r="DL93" i="2"/>
  <c r="DL91" i="2"/>
  <c r="DL87" i="2"/>
  <c r="DL83" i="2"/>
  <c r="DL81" i="2"/>
  <c r="DL77" i="2"/>
  <c r="DL73" i="2"/>
  <c r="DL71" i="2"/>
  <c r="DL67" i="2"/>
  <c r="DL65" i="2"/>
  <c r="DL61" i="2"/>
  <c r="DL57" i="2"/>
  <c r="DL55" i="2"/>
  <c r="DL51" i="2"/>
  <c r="DL49" i="2"/>
  <c r="DL47" i="2"/>
  <c r="DL43" i="2"/>
  <c r="DL116" i="2"/>
  <c r="DL114" i="2"/>
  <c r="DL112" i="2"/>
  <c r="DL110" i="2"/>
  <c r="DL108" i="2"/>
  <c r="DL106" i="2"/>
  <c r="DL104" i="2"/>
  <c r="DL102" i="2"/>
  <c r="DL100" i="2"/>
  <c r="DL98" i="2"/>
  <c r="DL96" i="2"/>
  <c r="DL94" i="2"/>
  <c r="DL92" i="2"/>
  <c r="DL90" i="2"/>
  <c r="DL88" i="2"/>
  <c r="DL86" i="2"/>
  <c r="DL84" i="2"/>
  <c r="DL82" i="2"/>
  <c r="DL80" i="2"/>
  <c r="DL78" i="2"/>
  <c r="DL76" i="2"/>
  <c r="DL74" i="2"/>
  <c r="DL72" i="2"/>
  <c r="DL70" i="2"/>
  <c r="DL68" i="2"/>
  <c r="DL66" i="2"/>
  <c r="DL64" i="2"/>
  <c r="DL62" i="2"/>
  <c r="DL60" i="2"/>
  <c r="DL58" i="2"/>
  <c r="DL56" i="2"/>
  <c r="DL54" i="2"/>
  <c r="DL52" i="2"/>
  <c r="DL50" i="2"/>
  <c r="DL48" i="2"/>
  <c r="DL46" i="2"/>
  <c r="DL44" i="2"/>
  <c r="EC28" i="2"/>
  <c r="DL115" i="2"/>
  <c r="DL109" i="2"/>
  <c r="DL105" i="2"/>
  <c r="DL101" i="2"/>
  <c r="DL95" i="2"/>
  <c r="DL89" i="2"/>
  <c r="DL85" i="2"/>
  <c r="DL79" i="2"/>
  <c r="DL75" i="2"/>
  <c r="DL69" i="2"/>
  <c r="DL63" i="2"/>
  <c r="DL59" i="2"/>
  <c r="DL53" i="2"/>
  <c r="DL45" i="2"/>
  <c r="U35" i="1"/>
  <c r="U31" i="1"/>
  <c r="V78" i="1"/>
  <c r="U48" i="1"/>
  <c r="U23" i="1"/>
  <c r="U51" i="1"/>
  <c r="U26" i="1"/>
  <c r="U46" i="1"/>
  <c r="V108" i="1"/>
  <c r="U80" i="1"/>
  <c r="U30" i="1"/>
  <c r="V62" i="1"/>
  <c r="V94" i="1"/>
  <c r="U32" i="1"/>
  <c r="U64" i="1"/>
  <c r="V96" i="1"/>
  <c r="V18" i="1"/>
  <c r="U54" i="1"/>
  <c r="V24" i="1"/>
  <c r="U110" i="1"/>
  <c r="U86" i="1"/>
  <c r="V56" i="1"/>
  <c r="V102" i="1"/>
  <c r="U19" i="1"/>
  <c r="U38" i="1"/>
  <c r="U70" i="1"/>
  <c r="U100" i="1"/>
  <c r="V40" i="1"/>
  <c r="V72" i="1"/>
  <c r="V88" i="1"/>
  <c r="V33" i="1"/>
  <c r="U33" i="1"/>
  <c r="V41" i="1"/>
  <c r="U41" i="1"/>
  <c r="V49" i="1"/>
  <c r="U49" i="1"/>
  <c r="V57" i="1"/>
  <c r="U57" i="1"/>
  <c r="V65" i="1"/>
  <c r="U65" i="1"/>
  <c r="V73" i="1"/>
  <c r="U73" i="1"/>
  <c r="V81" i="1"/>
  <c r="U81" i="1"/>
  <c r="V89" i="1"/>
  <c r="U89" i="1"/>
  <c r="V97" i="1"/>
  <c r="U97" i="1"/>
  <c r="V104" i="1"/>
  <c r="U104" i="1"/>
  <c r="V112" i="1"/>
  <c r="U112" i="1"/>
  <c r="V28" i="1"/>
  <c r="U28" i="1"/>
  <c r="V44" i="1"/>
  <c r="U44" i="1"/>
  <c r="V60" i="1"/>
  <c r="U60" i="1"/>
  <c r="V76" i="1"/>
  <c r="U76" i="1"/>
  <c r="V92" i="1"/>
  <c r="U92" i="1"/>
  <c r="V114" i="1"/>
  <c r="U114" i="1"/>
  <c r="W100" i="1"/>
  <c r="X100" i="1"/>
  <c r="W108" i="1"/>
  <c r="X108" i="1"/>
  <c r="W25" i="1"/>
  <c r="X25" i="1"/>
  <c r="W33" i="1"/>
  <c r="X33" i="1"/>
  <c r="W41" i="1"/>
  <c r="X41" i="1"/>
  <c r="W49" i="1"/>
  <c r="X49" i="1"/>
  <c r="W57" i="1"/>
  <c r="X57" i="1"/>
  <c r="W65" i="1"/>
  <c r="X65" i="1"/>
  <c r="W73" i="1"/>
  <c r="X73" i="1"/>
  <c r="W81" i="1"/>
  <c r="X81" i="1"/>
  <c r="W89" i="1"/>
  <c r="X89" i="1"/>
  <c r="W97" i="1"/>
  <c r="X97" i="1"/>
  <c r="W111" i="1"/>
  <c r="X111" i="1"/>
  <c r="V21" i="1"/>
  <c r="U21" i="1"/>
  <c r="V29" i="1"/>
  <c r="EB30" i="2" s="1"/>
  <c r="U29" i="1"/>
  <c r="V45" i="1"/>
  <c r="U45" i="1"/>
  <c r="V61" i="1"/>
  <c r="U61" i="1"/>
  <c r="V77" i="1"/>
  <c r="U77" i="1"/>
  <c r="V93" i="1"/>
  <c r="U93" i="1"/>
  <c r="V107" i="1"/>
  <c r="U107" i="1"/>
  <c r="X18" i="1"/>
  <c r="W18" i="1"/>
  <c r="W19" i="1"/>
  <c r="X19" i="1"/>
  <c r="W26" i="1"/>
  <c r="X26" i="1"/>
  <c r="W27" i="1"/>
  <c r="X27" i="1"/>
  <c r="W34" i="1"/>
  <c r="X34" i="1"/>
  <c r="W35" i="1"/>
  <c r="X35" i="1"/>
  <c r="W42" i="1"/>
  <c r="X42" i="1"/>
  <c r="W43" i="1"/>
  <c r="X43" i="1"/>
  <c r="W50" i="1"/>
  <c r="X50" i="1"/>
  <c r="W51" i="1"/>
  <c r="X51" i="1"/>
  <c r="W58" i="1"/>
  <c r="X58" i="1"/>
  <c r="W59" i="1"/>
  <c r="X59" i="1"/>
  <c r="W66" i="1"/>
  <c r="X66" i="1"/>
  <c r="W67" i="1"/>
  <c r="X67" i="1"/>
  <c r="W74" i="1"/>
  <c r="X74" i="1"/>
  <c r="W75" i="1"/>
  <c r="X75" i="1"/>
  <c r="W82" i="1"/>
  <c r="X82" i="1"/>
  <c r="W83" i="1"/>
  <c r="X83" i="1"/>
  <c r="W90" i="1"/>
  <c r="X90" i="1"/>
  <c r="W91" i="1"/>
  <c r="X91" i="1"/>
  <c r="W98" i="1"/>
  <c r="X98" i="1"/>
  <c r="W105" i="1"/>
  <c r="X105" i="1"/>
  <c r="X112" i="1"/>
  <c r="W112" i="1"/>
  <c r="X20" i="1"/>
  <c r="W20" i="1"/>
  <c r="X28" i="1"/>
  <c r="W28" i="1"/>
  <c r="X36" i="1"/>
  <c r="W36" i="1"/>
  <c r="X44" i="1"/>
  <c r="W44" i="1"/>
  <c r="X52" i="1"/>
  <c r="W52" i="1"/>
  <c r="X60" i="1"/>
  <c r="W60" i="1"/>
  <c r="X68" i="1"/>
  <c r="W68" i="1"/>
  <c r="X76" i="1"/>
  <c r="W76" i="1"/>
  <c r="X84" i="1"/>
  <c r="W84" i="1"/>
  <c r="X92" i="1"/>
  <c r="W92" i="1"/>
  <c r="W99" i="1"/>
  <c r="X99" i="1"/>
  <c r="X106" i="1"/>
  <c r="W106" i="1"/>
  <c r="W107" i="1"/>
  <c r="X107" i="1"/>
  <c r="X114" i="1"/>
  <c r="W114" i="1"/>
  <c r="V25" i="1"/>
  <c r="U25" i="1"/>
  <c r="V34" i="1"/>
  <c r="U34" i="1"/>
  <c r="V42" i="1"/>
  <c r="U42" i="1"/>
  <c r="V50" i="1"/>
  <c r="U50" i="1"/>
  <c r="V58" i="1"/>
  <c r="U58" i="1"/>
  <c r="V66" i="1"/>
  <c r="U66" i="1"/>
  <c r="V74" i="1"/>
  <c r="U74" i="1"/>
  <c r="V82" i="1"/>
  <c r="U82" i="1"/>
  <c r="V90" i="1"/>
  <c r="U90" i="1"/>
  <c r="U103" i="1"/>
  <c r="V103" i="1"/>
  <c r="U111" i="1"/>
  <c r="V111" i="1"/>
  <c r="V20" i="1"/>
  <c r="U20" i="1"/>
  <c r="V36" i="1"/>
  <c r="U36" i="1"/>
  <c r="V52" i="1"/>
  <c r="U52" i="1"/>
  <c r="V68" i="1"/>
  <c r="U68" i="1"/>
  <c r="V84" i="1"/>
  <c r="U84" i="1"/>
  <c r="V106" i="1"/>
  <c r="U106" i="1"/>
  <c r="W22" i="1"/>
  <c r="X22" i="1"/>
  <c r="W23" i="1"/>
  <c r="X23" i="1"/>
  <c r="W30" i="1"/>
  <c r="X30" i="1"/>
  <c r="W31" i="1"/>
  <c r="X31" i="1"/>
  <c r="W38" i="1"/>
  <c r="X38" i="1"/>
  <c r="W39" i="1"/>
  <c r="X39" i="1"/>
  <c r="W46" i="1"/>
  <c r="X46" i="1"/>
  <c r="W47" i="1"/>
  <c r="X47" i="1"/>
  <c r="W54" i="1"/>
  <c r="X54" i="1"/>
  <c r="W55" i="1"/>
  <c r="X55" i="1"/>
  <c r="W62" i="1"/>
  <c r="X62" i="1"/>
  <c r="W63" i="1"/>
  <c r="X63" i="1"/>
  <c r="W70" i="1"/>
  <c r="X70" i="1"/>
  <c r="W71" i="1"/>
  <c r="X71" i="1"/>
  <c r="W78" i="1"/>
  <c r="X78" i="1"/>
  <c r="W79" i="1"/>
  <c r="X79" i="1"/>
  <c r="W86" i="1"/>
  <c r="X86" i="1"/>
  <c r="W87" i="1"/>
  <c r="X87" i="1"/>
  <c r="W94" i="1"/>
  <c r="X94" i="1"/>
  <c r="W95" i="1"/>
  <c r="X95" i="1"/>
  <c r="W101" i="1"/>
  <c r="X101" i="1"/>
  <c r="W109" i="1"/>
  <c r="X109" i="1"/>
  <c r="X24" i="1"/>
  <c r="W24" i="1"/>
  <c r="X32" i="1"/>
  <c r="W32" i="1"/>
  <c r="X40" i="1"/>
  <c r="W40" i="1"/>
  <c r="X48" i="1"/>
  <c r="W48" i="1"/>
  <c r="X56" i="1"/>
  <c r="W56" i="1"/>
  <c r="X64" i="1"/>
  <c r="W64" i="1"/>
  <c r="X72" i="1"/>
  <c r="W72" i="1"/>
  <c r="X80" i="1"/>
  <c r="W80" i="1"/>
  <c r="X88" i="1"/>
  <c r="W88" i="1"/>
  <c r="X96" i="1"/>
  <c r="W96" i="1"/>
  <c r="X102" i="1"/>
  <c r="W102" i="1"/>
  <c r="W103" i="1"/>
  <c r="X103" i="1"/>
  <c r="X110" i="1"/>
  <c r="W110" i="1"/>
  <c r="V22" i="1"/>
  <c r="U22" i="1"/>
  <c r="V37" i="1"/>
  <c r="U37" i="1"/>
  <c r="V53" i="1"/>
  <c r="U53" i="1"/>
  <c r="V69" i="1"/>
  <c r="U69" i="1"/>
  <c r="V85" i="1"/>
  <c r="U85" i="1"/>
  <c r="V99" i="1"/>
  <c r="U99" i="1"/>
  <c r="W104" i="1"/>
  <c r="X104" i="1"/>
  <c r="W113" i="1"/>
  <c r="X113" i="1"/>
  <c r="W21" i="1"/>
  <c r="X21" i="1"/>
  <c r="W29" i="1"/>
  <c r="X29" i="1"/>
  <c r="W37" i="1"/>
  <c r="X37" i="1"/>
  <c r="W45" i="1"/>
  <c r="X45" i="1"/>
  <c r="W53" i="1"/>
  <c r="X53" i="1"/>
  <c r="W61" i="1"/>
  <c r="X61" i="1"/>
  <c r="W69" i="1"/>
  <c r="X69" i="1"/>
  <c r="W77" i="1"/>
  <c r="X77" i="1"/>
  <c r="W85" i="1"/>
  <c r="X85" i="1"/>
  <c r="W93" i="1"/>
  <c r="X93" i="1"/>
  <c r="O18" i="2"/>
  <c r="N117" i="2"/>
  <c r="K108" i="27" l="1"/>
  <c r="K112" i="27"/>
  <c r="K116" i="27"/>
  <c r="K120" i="27"/>
  <c r="K124" i="27"/>
  <c r="K109" i="27"/>
  <c r="K117" i="27"/>
  <c r="K123" i="27"/>
  <c r="K111" i="27"/>
  <c r="K119" i="27"/>
  <c r="K110" i="27"/>
  <c r="K114" i="27"/>
  <c r="K118" i="27"/>
  <c r="K122" i="27"/>
  <c r="K126" i="27"/>
  <c r="K107" i="27"/>
  <c r="K113" i="27"/>
  <c r="K121" i="27"/>
  <c r="K115" i="27"/>
  <c r="K125" i="27"/>
  <c r="K60" i="27"/>
  <c r="K70" i="27"/>
  <c r="K80" i="27"/>
  <c r="K90" i="27"/>
  <c r="K61" i="27"/>
  <c r="K65" i="27"/>
  <c r="K69" i="27"/>
  <c r="K73" i="27"/>
  <c r="K77" i="27"/>
  <c r="K81" i="27"/>
  <c r="K85" i="27"/>
  <c r="K89" i="27"/>
  <c r="K93" i="27"/>
  <c r="K97" i="27"/>
  <c r="K58" i="27"/>
  <c r="K66" i="27"/>
  <c r="K72" i="27"/>
  <c r="K78" i="27"/>
  <c r="K84" i="27"/>
  <c r="K92" i="27"/>
  <c r="K64" i="27"/>
  <c r="K76" i="27"/>
  <c r="K86" i="27"/>
  <c r="K96" i="27"/>
  <c r="K59" i="27"/>
  <c r="K63" i="27"/>
  <c r="K67" i="27"/>
  <c r="K71" i="27"/>
  <c r="K75" i="27"/>
  <c r="K79" i="27"/>
  <c r="K83" i="27"/>
  <c r="K87" i="27"/>
  <c r="K91" i="27"/>
  <c r="K95" i="27"/>
  <c r="K62" i="27"/>
  <c r="K68" i="27"/>
  <c r="K74" i="27"/>
  <c r="K82" i="27"/>
  <c r="K88" i="27"/>
  <c r="K94" i="27"/>
  <c r="K36" i="27"/>
  <c r="K40" i="27"/>
  <c r="K44" i="27"/>
  <c r="K48" i="27"/>
  <c r="K39" i="27"/>
  <c r="K43" i="27"/>
  <c r="K37" i="27"/>
  <c r="K45" i="27"/>
  <c r="K38" i="27"/>
  <c r="K42" i="27"/>
  <c r="K46" i="27"/>
  <c r="K35" i="27"/>
  <c r="K41" i="27"/>
  <c r="K47" i="27"/>
  <c r="DV28" i="2"/>
  <c r="EB29" i="2"/>
  <c r="EB31" i="2"/>
  <c r="DR115" i="2"/>
  <c r="DM116" i="2"/>
  <c r="DM59" i="2"/>
  <c r="DM75" i="2"/>
  <c r="DR63" i="2"/>
  <c r="DS109" i="2"/>
  <c r="DR91" i="2"/>
  <c r="DR113" i="2"/>
  <c r="DR74" i="2"/>
  <c r="DR61" i="2"/>
  <c r="DM67" i="2"/>
  <c r="DM87" i="2"/>
  <c r="DS96" i="2"/>
  <c r="DU96" i="2" s="1"/>
  <c r="M97" i="27" s="1"/>
  <c r="DS45" i="2"/>
  <c r="DS85" i="2"/>
  <c r="DS89" i="2"/>
  <c r="DM95" i="2"/>
  <c r="DS53" i="2"/>
  <c r="DR79" i="2"/>
  <c r="DS101" i="2"/>
  <c r="DM52" i="2"/>
  <c r="DR43" i="2"/>
  <c r="DM47" i="2"/>
  <c r="DR71" i="2"/>
  <c r="DM77" i="2"/>
  <c r="DS93" i="2"/>
  <c r="DM97" i="2"/>
  <c r="DS64" i="2"/>
  <c r="DM84" i="2"/>
  <c r="DR106" i="2"/>
  <c r="DR59" i="2"/>
  <c r="DM63" i="2"/>
  <c r="DS69" i="2"/>
  <c r="DR75" i="2"/>
  <c r="DM79" i="2"/>
  <c r="DR95" i="2"/>
  <c r="DS105" i="2"/>
  <c r="DR51" i="2"/>
  <c r="DM55" i="2"/>
  <c r="DS65" i="2"/>
  <c r="DS73" i="2"/>
  <c r="DR83" i="2"/>
  <c r="DR87" i="2"/>
  <c r="DM91" i="2"/>
  <c r="DR97" i="2"/>
  <c r="DS99" i="2"/>
  <c r="DS103" i="2"/>
  <c r="DS107" i="2"/>
  <c r="DS111" i="2"/>
  <c r="DM113" i="2"/>
  <c r="DS48" i="2"/>
  <c r="DR58" i="2"/>
  <c r="DM68" i="2"/>
  <c r="DS80" i="2"/>
  <c r="DR90" i="2"/>
  <c r="DM100" i="2"/>
  <c r="DS112" i="2"/>
  <c r="DM43" i="2"/>
  <c r="DR47" i="2"/>
  <c r="DS49" i="2"/>
  <c r="DM51" i="2"/>
  <c r="DR55" i="2"/>
  <c r="DS57" i="2"/>
  <c r="DM61" i="2"/>
  <c r="DR67" i="2"/>
  <c r="DM71" i="2"/>
  <c r="DR77" i="2"/>
  <c r="DS81" i="2"/>
  <c r="DM83" i="2"/>
  <c r="DM44" i="2"/>
  <c r="DR50" i="2"/>
  <c r="DS56" i="2"/>
  <c r="DM60" i="2"/>
  <c r="DR66" i="2"/>
  <c r="DS72" i="2"/>
  <c r="DM76" i="2"/>
  <c r="DR82" i="2"/>
  <c r="DS88" i="2"/>
  <c r="DM92" i="2"/>
  <c r="DR98" i="2"/>
  <c r="DS104" i="2"/>
  <c r="DM108" i="2"/>
  <c r="DR114" i="2"/>
  <c r="E18" i="6"/>
  <c r="D19" i="6"/>
  <c r="C20" i="6" s="1"/>
  <c r="DT28" i="2"/>
  <c r="DM115" i="2"/>
  <c r="DS43" i="2"/>
  <c r="DS47" i="2"/>
  <c r="DR49" i="2"/>
  <c r="DM49" i="2"/>
  <c r="DS51" i="2"/>
  <c r="DS55" i="2"/>
  <c r="DR57" i="2"/>
  <c r="DM57" i="2"/>
  <c r="DS61" i="2"/>
  <c r="DR65" i="2"/>
  <c r="DM65" i="2"/>
  <c r="DS67" i="2"/>
  <c r="DS71" i="2"/>
  <c r="DR73" i="2"/>
  <c r="DM73" i="2"/>
  <c r="DS77" i="2"/>
  <c r="DR81" i="2"/>
  <c r="DM81" i="2"/>
  <c r="DS83" i="2"/>
  <c r="DS87" i="2"/>
  <c r="DS91" i="2"/>
  <c r="DR93" i="2"/>
  <c r="DM93" i="2"/>
  <c r="DS97" i="2"/>
  <c r="DR99" i="2"/>
  <c r="DM99" i="2"/>
  <c r="DR103" i="2"/>
  <c r="DM103" i="2"/>
  <c r="DR107" i="2"/>
  <c r="DM107" i="2"/>
  <c r="DR111" i="2"/>
  <c r="DM111" i="2"/>
  <c r="DS113" i="2"/>
  <c r="DS44" i="2"/>
  <c r="DR46" i="2"/>
  <c r="DM48" i="2"/>
  <c r="DS52" i="2"/>
  <c r="DR54" i="2"/>
  <c r="DM56" i="2"/>
  <c r="DS60" i="2"/>
  <c r="DR62" i="2"/>
  <c r="DM64" i="2"/>
  <c r="DS68" i="2"/>
  <c r="DR70" i="2"/>
  <c r="DM72" i="2"/>
  <c r="DS76" i="2"/>
  <c r="DR78" i="2"/>
  <c r="DM80" i="2"/>
  <c r="DS84" i="2"/>
  <c r="DR86" i="2"/>
  <c r="DM88" i="2"/>
  <c r="DS92" i="2"/>
  <c r="DR94" i="2"/>
  <c r="DM96" i="2"/>
  <c r="DS100" i="2"/>
  <c r="DR102" i="2"/>
  <c r="DM104" i="2"/>
  <c r="DS108" i="2"/>
  <c r="DR110" i="2"/>
  <c r="DM112" i="2"/>
  <c r="DS116" i="2"/>
  <c r="DR44" i="2"/>
  <c r="DS46" i="2"/>
  <c r="DM46" i="2"/>
  <c r="DR48" i="2"/>
  <c r="DS50" i="2"/>
  <c r="DM50" i="2"/>
  <c r="DR52" i="2"/>
  <c r="DS54" i="2"/>
  <c r="DM54" i="2"/>
  <c r="DR56" i="2"/>
  <c r="DS58" i="2"/>
  <c r="DM58" i="2"/>
  <c r="DR60" i="2"/>
  <c r="DS62" i="2"/>
  <c r="DM62" i="2"/>
  <c r="DR64" i="2"/>
  <c r="DS66" i="2"/>
  <c r="DM66" i="2"/>
  <c r="DR68" i="2"/>
  <c r="DS70" i="2"/>
  <c r="DM70" i="2"/>
  <c r="DR72" i="2"/>
  <c r="DS74" i="2"/>
  <c r="DM74" i="2"/>
  <c r="DR76" i="2"/>
  <c r="DS78" i="2"/>
  <c r="DM78" i="2"/>
  <c r="DR80" i="2"/>
  <c r="DS82" i="2"/>
  <c r="DM82" i="2"/>
  <c r="DR84" i="2"/>
  <c r="DS86" i="2"/>
  <c r="DM86" i="2"/>
  <c r="DR88" i="2"/>
  <c r="DS90" i="2"/>
  <c r="DM90" i="2"/>
  <c r="DR92" i="2"/>
  <c r="DS94" i="2"/>
  <c r="DM94" i="2"/>
  <c r="DR96" i="2"/>
  <c r="DS98" i="2"/>
  <c r="DM98" i="2"/>
  <c r="DR100" i="2"/>
  <c r="DS102" i="2"/>
  <c r="DM102" i="2"/>
  <c r="DR104" i="2"/>
  <c r="DS106" i="2"/>
  <c r="DM106" i="2"/>
  <c r="DR108" i="2"/>
  <c r="DS110" i="2"/>
  <c r="DM110" i="2"/>
  <c r="DR112" i="2"/>
  <c r="DS114" i="2"/>
  <c r="DM114" i="2"/>
  <c r="DR116" i="2"/>
  <c r="DR45" i="2"/>
  <c r="DM45" i="2"/>
  <c r="DR53" i="2"/>
  <c r="DM53" i="2"/>
  <c r="DS59" i="2"/>
  <c r="DS63" i="2"/>
  <c r="DR69" i="2"/>
  <c r="DM69" i="2"/>
  <c r="DS75" i="2"/>
  <c r="DS79" i="2"/>
  <c r="DR85" i="2"/>
  <c r="DM85" i="2"/>
  <c r="DR89" i="2"/>
  <c r="DM89" i="2"/>
  <c r="DS95" i="2"/>
  <c r="DR101" i="2"/>
  <c r="DM101" i="2"/>
  <c r="DR105" i="2"/>
  <c r="DM105" i="2"/>
  <c r="DR109" i="2"/>
  <c r="DM109" i="2"/>
  <c r="DS115" i="2"/>
  <c r="DV29" i="2"/>
  <c r="DV30" i="2"/>
  <c r="DV31" i="2"/>
  <c r="EC30" i="2"/>
  <c r="DV32" i="2"/>
  <c r="EB32" i="2"/>
  <c r="EB36" i="2"/>
  <c r="DV36" i="2"/>
  <c r="DW45" i="2"/>
  <c r="C30" i="5"/>
  <c r="DW49" i="2"/>
  <c r="C34" i="5"/>
  <c r="DW53" i="2"/>
  <c r="C38" i="5"/>
  <c r="DW57" i="2"/>
  <c r="C42" i="5"/>
  <c r="DW65" i="2"/>
  <c r="C50" i="5"/>
  <c r="DW69" i="2"/>
  <c r="C54" i="5"/>
  <c r="DW73" i="2"/>
  <c r="C58" i="5"/>
  <c r="DW81" i="2"/>
  <c r="C66" i="5"/>
  <c r="DW85" i="2"/>
  <c r="C70" i="5"/>
  <c r="DW89" i="2"/>
  <c r="C74" i="5"/>
  <c r="DW93" i="2"/>
  <c r="C78" i="5"/>
  <c r="DW101" i="2"/>
  <c r="C86" i="5"/>
  <c r="DW105" i="2"/>
  <c r="C90" i="5"/>
  <c r="DW109" i="2"/>
  <c r="C94" i="5"/>
  <c r="DW99" i="2"/>
  <c r="C84" i="5"/>
  <c r="DW103" i="2"/>
  <c r="C88" i="5"/>
  <c r="DW107" i="2"/>
  <c r="C92" i="5"/>
  <c r="DW111" i="2"/>
  <c r="C96" i="5"/>
  <c r="DW48" i="2"/>
  <c r="C33" i="5"/>
  <c r="DW56" i="2"/>
  <c r="C41" i="5"/>
  <c r="DW64" i="2"/>
  <c r="C49" i="5"/>
  <c r="DW72" i="2"/>
  <c r="C57" i="5"/>
  <c r="DW80" i="2"/>
  <c r="C65" i="5"/>
  <c r="DW88" i="2"/>
  <c r="C73" i="5"/>
  <c r="DW104" i="2"/>
  <c r="C89" i="5"/>
  <c r="DW112" i="2"/>
  <c r="C97" i="5"/>
  <c r="O19" i="2"/>
  <c r="P19" i="2" s="1"/>
  <c r="P20" i="2" s="1"/>
  <c r="Q20" i="2" s="1"/>
  <c r="C81" i="5" l="1"/>
  <c r="DW96" i="2"/>
  <c r="ED112" i="2"/>
  <c r="O122" i="27"/>
  <c r="L112" i="27"/>
  <c r="L117" i="27"/>
  <c r="L109" i="27"/>
  <c r="ED104" i="2"/>
  <c r="O114" i="27"/>
  <c r="ED111" i="2"/>
  <c r="O121" i="27"/>
  <c r="ED109" i="2"/>
  <c r="O119" i="27"/>
  <c r="ED101" i="2"/>
  <c r="O111" i="27"/>
  <c r="L119" i="27"/>
  <c r="L111" i="27"/>
  <c r="L116" i="27"/>
  <c r="L114" i="27"/>
  <c r="L110" i="27"/>
  <c r="ED103" i="2"/>
  <c r="O113" i="27"/>
  <c r="L120" i="27"/>
  <c r="L122" i="27"/>
  <c r="L121" i="27"/>
  <c r="L113" i="27"/>
  <c r="L125" i="27"/>
  <c r="L107" i="27"/>
  <c r="ED107" i="2"/>
  <c r="O117" i="27"/>
  <c r="ED99" i="2"/>
  <c r="O109" i="27"/>
  <c r="ED105" i="2"/>
  <c r="O115" i="27"/>
  <c r="L115" i="27"/>
  <c r="L124" i="27"/>
  <c r="L108" i="27"/>
  <c r="L118" i="27"/>
  <c r="L123" i="27"/>
  <c r="L126" i="27"/>
  <c r="N22" i="27"/>
  <c r="L70" i="27"/>
  <c r="O97" i="27"/>
  <c r="ED64" i="2"/>
  <c r="O65" i="27"/>
  <c r="ED85" i="2"/>
  <c r="O86" i="27"/>
  <c r="ED65" i="2"/>
  <c r="O66" i="27"/>
  <c r="N24" i="27"/>
  <c r="N21" i="27"/>
  <c r="L67" i="27"/>
  <c r="L89" i="27"/>
  <c r="N28" i="27"/>
  <c r="L90" i="27"/>
  <c r="L87" i="27"/>
  <c r="L71" i="27"/>
  <c r="L97" i="27"/>
  <c r="L65" i="27"/>
  <c r="L82" i="27"/>
  <c r="L61" i="27"/>
  <c r="L84" i="27"/>
  <c r="L69" i="27"/>
  <c r="L85" i="27"/>
  <c r="L78" i="27"/>
  <c r="L96" i="27"/>
  <c r="ED80" i="2"/>
  <c r="O81" i="27"/>
  <c r="ED73" i="2"/>
  <c r="O74" i="27"/>
  <c r="ED88" i="2"/>
  <c r="O89" i="27"/>
  <c r="ED72" i="2"/>
  <c r="O73" i="27"/>
  <c r="ED89" i="2"/>
  <c r="O90" i="27"/>
  <c r="ED81" i="2"/>
  <c r="O82" i="27"/>
  <c r="ED69" i="2"/>
  <c r="O70" i="27"/>
  <c r="ED57" i="2"/>
  <c r="O58" i="27"/>
  <c r="N23" i="27"/>
  <c r="L91" i="27"/>
  <c r="L75" i="27"/>
  <c r="L59" i="27"/>
  <c r="L73" i="27"/>
  <c r="L77" i="27"/>
  <c r="L62" i="27"/>
  <c r="L92" i="27"/>
  <c r="L64" i="27"/>
  <c r="L88" i="27"/>
  <c r="L76" i="27"/>
  <c r="L86" i="27"/>
  <c r="L95" i="27"/>
  <c r="L79" i="27"/>
  <c r="L63" i="27"/>
  <c r="L81" i="27"/>
  <c r="L58" i="27"/>
  <c r="L93" i="27"/>
  <c r="L80" i="27"/>
  <c r="L68" i="27"/>
  <c r="L60" i="27"/>
  <c r="ED93" i="2"/>
  <c r="O94" i="27"/>
  <c r="L83" i="27"/>
  <c r="L94" i="27"/>
  <c r="L74" i="27"/>
  <c r="L66" i="27"/>
  <c r="L72" i="27"/>
  <c r="N20" i="27"/>
  <c r="ED53" i="2"/>
  <c r="O45" i="27"/>
  <c r="ED56" i="2"/>
  <c r="O48" i="27"/>
  <c r="ED49" i="2"/>
  <c r="O41" i="27"/>
  <c r="ED48" i="2"/>
  <c r="O40" i="27"/>
  <c r="ED45" i="2"/>
  <c r="O37" i="27"/>
  <c r="L37" i="27"/>
  <c r="L46" i="27"/>
  <c r="L43" i="27"/>
  <c r="L44" i="27"/>
  <c r="L45" i="27"/>
  <c r="L38" i="27"/>
  <c r="L40" i="27"/>
  <c r="L41" i="27"/>
  <c r="L47" i="27"/>
  <c r="L39" i="27"/>
  <c r="L42" i="27"/>
  <c r="L48" i="27"/>
  <c r="L36" i="27"/>
  <c r="L35" i="27"/>
  <c r="EI104" i="2"/>
  <c r="EM104" i="2" s="1"/>
  <c r="EH104" i="2"/>
  <c r="EL104" i="2" s="1"/>
  <c r="EH88" i="2"/>
  <c r="EL88" i="2" s="1"/>
  <c r="EI88" i="2"/>
  <c r="EM88" i="2" s="1"/>
  <c r="EI72" i="2"/>
  <c r="EM72" i="2" s="1"/>
  <c r="EH72" i="2"/>
  <c r="EL72" i="2" s="1"/>
  <c r="EH56" i="2"/>
  <c r="EL56" i="2" s="1"/>
  <c r="EI56" i="2"/>
  <c r="EM56" i="2" s="1"/>
  <c r="EI111" i="2"/>
  <c r="EM111" i="2" s="1"/>
  <c r="EH111" i="2"/>
  <c r="EH103" i="2"/>
  <c r="EL103" i="2" s="1"/>
  <c r="EI103" i="2"/>
  <c r="EM103" i="2" s="1"/>
  <c r="EH109" i="2"/>
  <c r="EL109" i="2" s="1"/>
  <c r="EI109" i="2"/>
  <c r="EM109" i="2" s="1"/>
  <c r="EH101" i="2"/>
  <c r="EI101" i="2"/>
  <c r="EM101" i="2" s="1"/>
  <c r="EH89" i="2"/>
  <c r="EL89" i="2" s="1"/>
  <c r="EI89" i="2"/>
  <c r="EM89" i="2" s="1"/>
  <c r="EH81" i="2"/>
  <c r="EL81" i="2" s="1"/>
  <c r="EI81" i="2"/>
  <c r="EM81" i="2" s="1"/>
  <c r="EI69" i="2"/>
  <c r="EM69" i="2" s="1"/>
  <c r="EH69" i="2"/>
  <c r="EL69" i="2" s="1"/>
  <c r="EH57" i="2"/>
  <c r="EL57" i="2" s="1"/>
  <c r="EI57" i="2"/>
  <c r="EM57" i="2" s="1"/>
  <c r="EH49" i="2"/>
  <c r="EL49" i="2" s="1"/>
  <c r="EI49" i="2"/>
  <c r="EM49" i="2" s="1"/>
  <c r="EI112" i="2"/>
  <c r="EH112" i="2"/>
  <c r="EL112" i="2" s="1"/>
  <c r="EI96" i="2"/>
  <c r="EM96" i="2" s="1"/>
  <c r="DY96" i="2" s="1"/>
  <c r="Q97" i="27" s="1"/>
  <c r="EH96" i="2"/>
  <c r="EL96" i="2" s="1"/>
  <c r="DX96" i="2" s="1"/>
  <c r="P97" i="27" s="1"/>
  <c r="EI80" i="2"/>
  <c r="EM80" i="2" s="1"/>
  <c r="EH80" i="2"/>
  <c r="EL80" i="2" s="1"/>
  <c r="EI64" i="2"/>
  <c r="EM64" i="2" s="1"/>
  <c r="EH64" i="2"/>
  <c r="EL64" i="2" s="1"/>
  <c r="EI48" i="2"/>
  <c r="EH48" i="2"/>
  <c r="EL48" i="2" s="1"/>
  <c r="EH107" i="2"/>
  <c r="EL107" i="2" s="1"/>
  <c r="EI107" i="2"/>
  <c r="EM107" i="2" s="1"/>
  <c r="EI99" i="2"/>
  <c r="EM99" i="2" s="1"/>
  <c r="EH99" i="2"/>
  <c r="EL99" i="2" s="1"/>
  <c r="EH105" i="2"/>
  <c r="EL105" i="2" s="1"/>
  <c r="EI105" i="2"/>
  <c r="EM105" i="2" s="1"/>
  <c r="EH93" i="2"/>
  <c r="EL93" i="2" s="1"/>
  <c r="EI93" i="2"/>
  <c r="EM93" i="2" s="1"/>
  <c r="EI85" i="2"/>
  <c r="EM85" i="2" s="1"/>
  <c r="EH85" i="2"/>
  <c r="EL85" i="2" s="1"/>
  <c r="EI73" i="2"/>
  <c r="EM73" i="2" s="1"/>
  <c r="EH73" i="2"/>
  <c r="EL73" i="2" s="1"/>
  <c r="EI65" i="2"/>
  <c r="EM65" i="2" s="1"/>
  <c r="EH65" i="2"/>
  <c r="EL65" i="2" s="1"/>
  <c r="EI53" i="2"/>
  <c r="EM53" i="2" s="1"/>
  <c r="EH53" i="2"/>
  <c r="EL53" i="2" s="1"/>
  <c r="EH45" i="2"/>
  <c r="EL45" i="2" s="1"/>
  <c r="EI45" i="2"/>
  <c r="EM45" i="2" s="1"/>
  <c r="EC29" i="2"/>
  <c r="DT29" i="2" s="1"/>
  <c r="EC31" i="2"/>
  <c r="EM112" i="2"/>
  <c r="EM48" i="2"/>
  <c r="EL101" i="2"/>
  <c r="EL111" i="2"/>
  <c r="D20" i="6"/>
  <c r="C21" i="6" s="1"/>
  <c r="E19" i="6"/>
  <c r="DT30" i="2"/>
  <c r="C93" i="5"/>
  <c r="C29" i="5"/>
  <c r="C72" i="5"/>
  <c r="C52" i="5"/>
  <c r="DW61" i="2"/>
  <c r="C28" i="5"/>
  <c r="C85" i="5"/>
  <c r="C69" i="5"/>
  <c r="C53" i="5"/>
  <c r="DW52" i="2"/>
  <c r="DW95" i="2"/>
  <c r="DW91" i="2"/>
  <c r="C68" i="5"/>
  <c r="DW71" i="2"/>
  <c r="DW86" i="2"/>
  <c r="DW54" i="2"/>
  <c r="DW113" i="2"/>
  <c r="C36" i="5"/>
  <c r="DW116" i="2"/>
  <c r="C101" i="5"/>
  <c r="DW110" i="2"/>
  <c r="DW102" i="2"/>
  <c r="C79" i="5"/>
  <c r="C71" i="5"/>
  <c r="DW78" i="2"/>
  <c r="DW70" i="2"/>
  <c r="C47" i="5"/>
  <c r="C39" i="5"/>
  <c r="DW46" i="2"/>
  <c r="DW92" i="2"/>
  <c r="DW114" i="2"/>
  <c r="DW90" i="2"/>
  <c r="DW74" i="2"/>
  <c r="DW58" i="2"/>
  <c r="C77" i="5"/>
  <c r="C45" i="5"/>
  <c r="C100" i="5"/>
  <c r="C64" i="5"/>
  <c r="C48" i="5"/>
  <c r="DW55" i="2"/>
  <c r="DW47" i="2"/>
  <c r="DW106" i="2"/>
  <c r="C75" i="5"/>
  <c r="C67" i="5"/>
  <c r="C59" i="5"/>
  <c r="C51" i="5"/>
  <c r="C43" i="5"/>
  <c r="C35" i="5"/>
  <c r="C82" i="5"/>
  <c r="C62" i="5"/>
  <c r="C99" i="5"/>
  <c r="C91" i="5"/>
  <c r="C83" i="5"/>
  <c r="C80" i="5"/>
  <c r="DW75" i="2"/>
  <c r="C44" i="5"/>
  <c r="DW115" i="2"/>
  <c r="DW79" i="2"/>
  <c r="DW63" i="2"/>
  <c r="EC36" i="2"/>
  <c r="D30" i="5"/>
  <c r="D54" i="5"/>
  <c r="D38" i="5"/>
  <c r="EC32" i="2"/>
  <c r="O20" i="2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P21" i="2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Q21" i="2"/>
  <c r="R21" i="2" s="1"/>
  <c r="ED106" i="2" l="1"/>
  <c r="O116" i="27"/>
  <c r="ED102" i="2"/>
  <c r="O112" i="27"/>
  <c r="ED115" i="2"/>
  <c r="O125" i="27"/>
  <c r="ED110" i="2"/>
  <c r="O120" i="27"/>
  <c r="ED113" i="2"/>
  <c r="O123" i="27"/>
  <c r="ED114" i="2"/>
  <c r="O124" i="27"/>
  <c r="ED116" i="2"/>
  <c r="O126" i="27"/>
  <c r="ED96" i="2"/>
  <c r="U97" i="27" s="1"/>
  <c r="ED63" i="2"/>
  <c r="O64" i="27"/>
  <c r="ED75" i="2"/>
  <c r="O76" i="27"/>
  <c r="ED86" i="2"/>
  <c r="O87" i="27"/>
  <c r="ED95" i="2"/>
  <c r="O96" i="27"/>
  <c r="ED61" i="2"/>
  <c r="O62" i="27"/>
  <c r="ED79" i="2"/>
  <c r="O80" i="27"/>
  <c r="ED58" i="2"/>
  <c r="O59" i="27"/>
  <c r="ED92" i="2"/>
  <c r="O93" i="27"/>
  <c r="ED70" i="2"/>
  <c r="O71" i="27"/>
  <c r="ED71" i="2"/>
  <c r="O72" i="27"/>
  <c r="ED74" i="2"/>
  <c r="O75" i="27"/>
  <c r="ED78" i="2"/>
  <c r="O79" i="27"/>
  <c r="ED90" i="2"/>
  <c r="O91" i="27"/>
  <c r="ED91" i="2"/>
  <c r="O92" i="27"/>
  <c r="ED47" i="2"/>
  <c r="O39" i="27"/>
  <c r="ED46" i="2"/>
  <c r="O38" i="27"/>
  <c r="ED55" i="2"/>
  <c r="O47" i="27"/>
  <c r="ED54" i="2"/>
  <c r="O46" i="27"/>
  <c r="ED52" i="2"/>
  <c r="O44" i="27"/>
  <c r="EI115" i="2"/>
  <c r="EM115" i="2" s="1"/>
  <c r="EH115" i="2"/>
  <c r="EL115" i="2" s="1"/>
  <c r="EI74" i="2"/>
  <c r="EM74" i="2" s="1"/>
  <c r="EH74" i="2"/>
  <c r="EL74" i="2" s="1"/>
  <c r="EH78" i="2"/>
  <c r="EL78" i="2" s="1"/>
  <c r="EI78" i="2"/>
  <c r="EH55" i="2"/>
  <c r="EL55" i="2" s="1"/>
  <c r="EI55" i="2"/>
  <c r="EM55" i="2" s="1"/>
  <c r="EI90" i="2"/>
  <c r="EM90" i="2" s="1"/>
  <c r="EH90" i="2"/>
  <c r="EL90" i="2" s="1"/>
  <c r="EI54" i="2"/>
  <c r="EH54" i="2"/>
  <c r="EL54" i="2" s="1"/>
  <c r="EH91" i="2"/>
  <c r="EL91" i="2" s="1"/>
  <c r="EI91" i="2"/>
  <c r="EM91" i="2" s="1"/>
  <c r="EI47" i="2"/>
  <c r="EM47" i="2" s="1"/>
  <c r="EH47" i="2"/>
  <c r="EL47" i="2" s="1"/>
  <c r="EH113" i="2"/>
  <c r="EL113" i="2" s="1"/>
  <c r="EI113" i="2"/>
  <c r="EM113" i="2" s="1"/>
  <c r="EH63" i="2"/>
  <c r="EI63" i="2"/>
  <c r="EI116" i="2"/>
  <c r="EH116" i="2"/>
  <c r="EL116" i="2" s="1"/>
  <c r="EI61" i="2"/>
  <c r="EM61" i="2" s="1"/>
  <c r="EH61" i="2"/>
  <c r="EL61" i="2" s="1"/>
  <c r="EH46" i="2"/>
  <c r="EL46" i="2" s="1"/>
  <c r="EI46" i="2"/>
  <c r="EM46" i="2" s="1"/>
  <c r="EH110" i="2"/>
  <c r="EL110" i="2" s="1"/>
  <c r="EI110" i="2"/>
  <c r="EM110" i="2" s="1"/>
  <c r="EH75" i="2"/>
  <c r="EL75" i="2" s="1"/>
  <c r="EI75" i="2"/>
  <c r="EM75" i="2" s="1"/>
  <c r="EH114" i="2"/>
  <c r="EL114" i="2" s="1"/>
  <c r="EI114" i="2"/>
  <c r="EM114" i="2" s="1"/>
  <c r="EI86" i="2"/>
  <c r="EM86" i="2" s="1"/>
  <c r="EH86" i="2"/>
  <c r="EH95" i="2"/>
  <c r="EL95" i="2" s="1"/>
  <c r="EI95" i="2"/>
  <c r="EM95" i="2" s="1"/>
  <c r="EI79" i="2"/>
  <c r="EM79" i="2" s="1"/>
  <c r="EH79" i="2"/>
  <c r="EL79" i="2" s="1"/>
  <c r="EI106" i="2"/>
  <c r="EM106" i="2" s="1"/>
  <c r="EH106" i="2"/>
  <c r="EL106" i="2" s="1"/>
  <c r="EI58" i="2"/>
  <c r="EM58" i="2" s="1"/>
  <c r="EH58" i="2"/>
  <c r="EL58" i="2" s="1"/>
  <c r="EH92" i="2"/>
  <c r="EL92" i="2" s="1"/>
  <c r="EI92" i="2"/>
  <c r="EM92" i="2" s="1"/>
  <c r="EI70" i="2"/>
  <c r="EM70" i="2" s="1"/>
  <c r="EH70" i="2"/>
  <c r="EL70" i="2" s="1"/>
  <c r="EI102" i="2"/>
  <c r="EM102" i="2" s="1"/>
  <c r="EH102" i="2"/>
  <c r="EL102" i="2" s="1"/>
  <c r="EH71" i="2"/>
  <c r="EL71" i="2" s="1"/>
  <c r="EI71" i="2"/>
  <c r="EM71" i="2" s="1"/>
  <c r="EI52" i="2"/>
  <c r="EM52" i="2" s="1"/>
  <c r="EH52" i="2"/>
  <c r="EL52" i="2" s="1"/>
  <c r="DT31" i="2"/>
  <c r="EM63" i="2"/>
  <c r="EL63" i="2"/>
  <c r="EM78" i="2"/>
  <c r="EM116" i="2"/>
  <c r="EL86" i="2"/>
  <c r="EM54" i="2"/>
  <c r="D21" i="6"/>
  <c r="C22" i="6" s="1"/>
  <c r="E20" i="6"/>
  <c r="D101" i="5"/>
  <c r="D100" i="5"/>
  <c r="E60" i="5"/>
  <c r="DT36" i="2"/>
  <c r="DT32" i="2"/>
  <c r="D75" i="5"/>
  <c r="C61" i="5"/>
  <c r="DW76" i="2"/>
  <c r="C31" i="5"/>
  <c r="C63" i="5"/>
  <c r="C95" i="5"/>
  <c r="C60" i="5"/>
  <c r="DW43" i="2"/>
  <c r="DW51" i="2"/>
  <c r="C46" i="5"/>
  <c r="C56" i="5"/>
  <c r="DW83" i="2"/>
  <c r="C76" i="5"/>
  <c r="C98" i="5"/>
  <c r="C37" i="5"/>
  <c r="DW68" i="2"/>
  <c r="DW84" i="2"/>
  <c r="DW100" i="2"/>
  <c r="DW62" i="2"/>
  <c r="C55" i="5"/>
  <c r="DW94" i="2"/>
  <c r="C87" i="5"/>
  <c r="DW59" i="2"/>
  <c r="C32" i="5"/>
  <c r="C40" i="5"/>
  <c r="DW67" i="2"/>
  <c r="DW77" i="2"/>
  <c r="DW87" i="2"/>
  <c r="DW97" i="2"/>
  <c r="DW44" i="2"/>
  <c r="DW60" i="2"/>
  <c r="DW108" i="2"/>
  <c r="DW50" i="2"/>
  <c r="DW66" i="2"/>
  <c r="DW82" i="2"/>
  <c r="DW98" i="2"/>
  <c r="E64" i="5"/>
  <c r="D59" i="5"/>
  <c r="E40" i="5"/>
  <c r="D64" i="5"/>
  <c r="D91" i="5"/>
  <c r="D57" i="5"/>
  <c r="D89" i="5"/>
  <c r="D74" i="5"/>
  <c r="D90" i="5"/>
  <c r="D86" i="5"/>
  <c r="D78" i="5"/>
  <c r="D71" i="5"/>
  <c r="D87" i="5"/>
  <c r="D58" i="5"/>
  <c r="D34" i="5"/>
  <c r="D50" i="5"/>
  <c r="E92" i="5"/>
  <c r="E100" i="5"/>
  <c r="E33" i="5"/>
  <c r="E49" i="5"/>
  <c r="E57" i="5"/>
  <c r="E65" i="5"/>
  <c r="E73" i="5"/>
  <c r="E81" i="5"/>
  <c r="E89" i="5"/>
  <c r="E97" i="5"/>
  <c r="E101" i="5"/>
  <c r="E30" i="5"/>
  <c r="E34" i="5"/>
  <c r="E38" i="5"/>
  <c r="E42" i="5"/>
  <c r="E46" i="5"/>
  <c r="E50" i="5"/>
  <c r="E54" i="5"/>
  <c r="E58" i="5"/>
  <c r="E66" i="5"/>
  <c r="E70" i="5"/>
  <c r="E74" i="5"/>
  <c r="E78" i="5"/>
  <c r="E86" i="5"/>
  <c r="E90" i="5"/>
  <c r="E94" i="5"/>
  <c r="E98" i="5"/>
  <c r="E31" i="5"/>
  <c r="E39" i="5"/>
  <c r="E43" i="5"/>
  <c r="E55" i="5"/>
  <c r="E59" i="5"/>
  <c r="E63" i="5"/>
  <c r="E71" i="5"/>
  <c r="E75" i="5"/>
  <c r="E87" i="5"/>
  <c r="E91" i="5"/>
  <c r="E95" i="5"/>
  <c r="E99" i="5"/>
  <c r="E32" i="5"/>
  <c r="E48" i="5"/>
  <c r="E56" i="5"/>
  <c r="E76" i="5"/>
  <c r="E80" i="5"/>
  <c r="E84" i="5"/>
  <c r="E88" i="5"/>
  <c r="E96" i="5"/>
  <c r="E37" i="5"/>
  <c r="E41" i="5"/>
  <c r="E77" i="5"/>
  <c r="D32" i="5"/>
  <c r="D56" i="5"/>
  <c r="D88" i="5"/>
  <c r="D77" i="5"/>
  <c r="D40" i="5"/>
  <c r="D76" i="5"/>
  <c r="D33" i="5"/>
  <c r="D65" i="5"/>
  <c r="D97" i="5"/>
  <c r="D84" i="5"/>
  <c r="D73" i="5"/>
  <c r="D48" i="5"/>
  <c r="D80" i="5"/>
  <c r="D96" i="5"/>
  <c r="D37" i="5"/>
  <c r="D60" i="5"/>
  <c r="D92" i="5"/>
  <c r="D49" i="5"/>
  <c r="D81" i="5"/>
  <c r="D41" i="5"/>
  <c r="D66" i="5"/>
  <c r="D98" i="5"/>
  <c r="D43" i="5"/>
  <c r="D70" i="5"/>
  <c r="D31" i="5"/>
  <c r="D63" i="5"/>
  <c r="D95" i="5"/>
  <c r="D39" i="5"/>
  <c r="D94" i="5"/>
  <c r="D55" i="5"/>
  <c r="D42" i="5"/>
  <c r="O117" i="2"/>
  <c r="Q22" i="2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P117" i="2"/>
  <c r="R22" i="2"/>
  <c r="S22" i="2" s="1"/>
  <c r="ED98" i="2" l="1"/>
  <c r="O108" i="27"/>
  <c r="ED108" i="2"/>
  <c r="O118" i="27"/>
  <c r="ED100" i="2"/>
  <c r="O110" i="27"/>
  <c r="ED97" i="2"/>
  <c r="O107" i="27"/>
  <c r="ED82" i="2"/>
  <c r="O83" i="27"/>
  <c r="ED60" i="2"/>
  <c r="O61" i="27"/>
  <c r="ED77" i="2"/>
  <c r="O78" i="27"/>
  <c r="ED59" i="2"/>
  <c r="O60" i="27"/>
  <c r="ED94" i="2"/>
  <c r="O95" i="27"/>
  <c r="ED62" i="2"/>
  <c r="O63" i="27"/>
  <c r="ED84" i="2"/>
  <c r="O85" i="27"/>
  <c r="ED76" i="2"/>
  <c r="O77" i="27"/>
  <c r="ED66" i="2"/>
  <c r="O67" i="27"/>
  <c r="ED87" i="2"/>
  <c r="O88" i="27"/>
  <c r="ED67" i="2"/>
  <c r="O68" i="27"/>
  <c r="ED68" i="2"/>
  <c r="O69" i="27"/>
  <c r="ED83" i="2"/>
  <c r="O84" i="27"/>
  <c r="ED50" i="2"/>
  <c r="O42" i="27"/>
  <c r="ED51" i="2"/>
  <c r="O43" i="27"/>
  <c r="ED44" i="2"/>
  <c r="O36" i="27"/>
  <c r="ED43" i="2"/>
  <c r="O35" i="27"/>
  <c r="EH50" i="2"/>
  <c r="EL50" i="2" s="1"/>
  <c r="EI50" i="2"/>
  <c r="EM50" i="2" s="1"/>
  <c r="EH97" i="2"/>
  <c r="EL97" i="2" s="1"/>
  <c r="EI97" i="2"/>
  <c r="EM97" i="2" s="1"/>
  <c r="EH59" i="2"/>
  <c r="EL59" i="2" s="1"/>
  <c r="EI59" i="2"/>
  <c r="EM59" i="2" s="1"/>
  <c r="EH62" i="2"/>
  <c r="EL62" i="2" s="1"/>
  <c r="EI62" i="2"/>
  <c r="EM62" i="2" s="1"/>
  <c r="EI51" i="2"/>
  <c r="EM51" i="2" s="1"/>
  <c r="EH51" i="2"/>
  <c r="EL51" i="2" s="1"/>
  <c r="EH82" i="2"/>
  <c r="EL82" i="2" s="1"/>
  <c r="EI82" i="2"/>
  <c r="EM82" i="2" s="1"/>
  <c r="EH60" i="2"/>
  <c r="EL60" i="2" s="1"/>
  <c r="EI60" i="2"/>
  <c r="EM60" i="2" s="1"/>
  <c r="EH77" i="2"/>
  <c r="EL77" i="2" s="1"/>
  <c r="EI77" i="2"/>
  <c r="EM77" i="2" s="1"/>
  <c r="EI94" i="2"/>
  <c r="EM94" i="2" s="1"/>
  <c r="EH94" i="2"/>
  <c r="EL94" i="2" s="1"/>
  <c r="EI84" i="2"/>
  <c r="EM84" i="2" s="1"/>
  <c r="EH84" i="2"/>
  <c r="EL84" i="2" s="1"/>
  <c r="EH76" i="2"/>
  <c r="EL76" i="2" s="1"/>
  <c r="EI76" i="2"/>
  <c r="EM76" i="2" s="1"/>
  <c r="EH98" i="2"/>
  <c r="EI98" i="2"/>
  <c r="EM98" i="2" s="1"/>
  <c r="EH108" i="2"/>
  <c r="EL108" i="2" s="1"/>
  <c r="EI108" i="2"/>
  <c r="EM108" i="2" s="1"/>
  <c r="EH87" i="2"/>
  <c r="EL87" i="2" s="1"/>
  <c r="EI87" i="2"/>
  <c r="EM87" i="2" s="1"/>
  <c r="EI68" i="2"/>
  <c r="EM68" i="2" s="1"/>
  <c r="EH68" i="2"/>
  <c r="EL68" i="2" s="1"/>
  <c r="EH66" i="2"/>
  <c r="EL66" i="2" s="1"/>
  <c r="EI66" i="2"/>
  <c r="EM66" i="2" s="1"/>
  <c r="EH44" i="2"/>
  <c r="EL44" i="2" s="1"/>
  <c r="EI44" i="2"/>
  <c r="EM44" i="2" s="1"/>
  <c r="EI67" i="2"/>
  <c r="EM67" i="2" s="1"/>
  <c r="EH67" i="2"/>
  <c r="EL67" i="2" s="1"/>
  <c r="EI100" i="2"/>
  <c r="EM100" i="2" s="1"/>
  <c r="EH100" i="2"/>
  <c r="EL100" i="2" s="1"/>
  <c r="EI83" i="2"/>
  <c r="EM83" i="2" s="1"/>
  <c r="EH83" i="2"/>
  <c r="EL83" i="2" s="1"/>
  <c r="EH43" i="2"/>
  <c r="EL43" i="2" s="1"/>
  <c r="EI43" i="2"/>
  <c r="EM43" i="2" s="1"/>
  <c r="EL98" i="2"/>
  <c r="D22" i="6"/>
  <c r="C23" i="6" s="1"/>
  <c r="E21" i="6"/>
  <c r="D46" i="5"/>
  <c r="D99" i="5"/>
  <c r="Q117" i="2"/>
  <c r="R23" i="2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S23" i="2"/>
  <c r="T23" i="2" s="1"/>
  <c r="D23" i="6" l="1"/>
  <c r="C24" i="6" s="1"/>
  <c r="E22" i="6"/>
  <c r="E61" i="5"/>
  <c r="D61" i="5"/>
  <c r="D68" i="5"/>
  <c r="E53" i="5"/>
  <c r="E69" i="5"/>
  <c r="D47" i="5"/>
  <c r="E79" i="5"/>
  <c r="D44" i="5"/>
  <c r="E52" i="5"/>
  <c r="E62" i="5"/>
  <c r="D72" i="5"/>
  <c r="D82" i="5"/>
  <c r="D29" i="5"/>
  <c r="E45" i="5"/>
  <c r="D93" i="5"/>
  <c r="E35" i="5"/>
  <c r="D51" i="5"/>
  <c r="D67" i="5"/>
  <c r="E83" i="5"/>
  <c r="E28" i="5"/>
  <c r="D69" i="5"/>
  <c r="D28" i="5"/>
  <c r="D36" i="5"/>
  <c r="E36" i="5"/>
  <c r="E68" i="5"/>
  <c r="D53" i="5"/>
  <c r="D85" i="5"/>
  <c r="E85" i="5"/>
  <c r="E47" i="5"/>
  <c r="D79" i="5"/>
  <c r="E44" i="5"/>
  <c r="D52" i="5"/>
  <c r="D62" i="5"/>
  <c r="E72" i="5"/>
  <c r="E82" i="5"/>
  <c r="E29" i="5"/>
  <c r="D45" i="5"/>
  <c r="E93" i="5"/>
  <c r="D35" i="5"/>
  <c r="E51" i="5"/>
  <c r="E67" i="5"/>
  <c r="D83" i="5"/>
  <c r="S24" i="2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R117" i="2"/>
  <c r="T24" i="2"/>
  <c r="U24" i="2" s="1"/>
  <c r="D24" i="6" l="1"/>
  <c r="C25" i="6" s="1"/>
  <c r="E23" i="6"/>
  <c r="S117" i="2"/>
  <c r="T25" i="2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U25" i="2"/>
  <c r="V25" i="2" s="1"/>
  <c r="U26" i="2" l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D25" i="6"/>
  <c r="C26" i="6" s="1"/>
  <c r="E24" i="6"/>
  <c r="T117" i="2"/>
  <c r="V26" i="2"/>
  <c r="W26" i="2" s="1"/>
  <c r="U117" i="2" l="1"/>
  <c r="D26" i="6"/>
  <c r="C27" i="6" s="1"/>
  <c r="E25" i="6"/>
  <c r="V27" i="2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V50" i="2" s="1"/>
  <c r="V51" i="2" s="1"/>
  <c r="V52" i="2" s="1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V67" i="2" s="1"/>
  <c r="V68" i="2" s="1"/>
  <c r="V69" i="2" s="1"/>
  <c r="V70" i="2" s="1"/>
  <c r="V71" i="2" s="1"/>
  <c r="V72" i="2" s="1"/>
  <c r="V73" i="2" s="1"/>
  <c r="V74" i="2" s="1"/>
  <c r="V75" i="2" s="1"/>
  <c r="V76" i="2" s="1"/>
  <c r="V77" i="2" s="1"/>
  <c r="V78" i="2" s="1"/>
  <c r="V79" i="2" s="1"/>
  <c r="V80" i="2" s="1"/>
  <c r="V81" i="2" s="1"/>
  <c r="V82" i="2" s="1"/>
  <c r="V83" i="2" s="1"/>
  <c r="V84" i="2" s="1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V98" i="2" s="1"/>
  <c r="V99" i="2" s="1"/>
  <c r="V100" i="2" s="1"/>
  <c r="V101" i="2" s="1"/>
  <c r="V102" i="2" s="1"/>
  <c r="V103" i="2" s="1"/>
  <c r="V104" i="2" s="1"/>
  <c r="V105" i="2" s="1"/>
  <c r="V106" i="2" s="1"/>
  <c r="V107" i="2" s="1"/>
  <c r="V108" i="2" s="1"/>
  <c r="V109" i="2" s="1"/>
  <c r="V110" i="2" s="1"/>
  <c r="V111" i="2" s="1"/>
  <c r="V112" i="2" s="1"/>
  <c r="V113" i="2" s="1"/>
  <c r="V114" i="2" s="1"/>
  <c r="V115" i="2" s="1"/>
  <c r="V116" i="2" s="1"/>
  <c r="W27" i="2"/>
  <c r="X27" i="2" s="1"/>
  <c r="D27" i="6" l="1"/>
  <c r="C28" i="6" s="1"/>
  <c r="E26" i="6"/>
  <c r="W28" i="2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V117" i="2"/>
  <c r="X28" i="2"/>
  <c r="Y28" i="2" s="1"/>
  <c r="D28" i="6" l="1"/>
  <c r="C29" i="6" s="1"/>
  <c r="E27" i="6"/>
  <c r="W117" i="2"/>
  <c r="X29" i="2"/>
  <c r="X30" i="2" s="1"/>
  <c r="X31" i="2" s="1"/>
  <c r="X32" i="2" s="1"/>
  <c r="X33" i="2" s="1"/>
  <c r="X34" i="2" s="1"/>
  <c r="X35" i="2" s="1"/>
  <c r="X36" i="2" s="1"/>
  <c r="X37" i="2" s="1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X50" i="2" s="1"/>
  <c r="X51" i="2" s="1"/>
  <c r="X52" i="2" s="1"/>
  <c r="X53" i="2" s="1"/>
  <c r="X54" i="2" s="1"/>
  <c r="X55" i="2" s="1"/>
  <c r="X56" i="2" s="1"/>
  <c r="X57" i="2" s="1"/>
  <c r="X58" i="2" s="1"/>
  <c r="X59" i="2" s="1"/>
  <c r="X60" i="2" s="1"/>
  <c r="X61" i="2" s="1"/>
  <c r="X62" i="2" s="1"/>
  <c r="X63" i="2" s="1"/>
  <c r="X64" i="2" s="1"/>
  <c r="X65" i="2" s="1"/>
  <c r="X66" i="2" s="1"/>
  <c r="X67" i="2" s="1"/>
  <c r="X68" i="2" s="1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X99" i="2" s="1"/>
  <c r="X100" i="2" s="1"/>
  <c r="X101" i="2" s="1"/>
  <c r="X102" i="2" s="1"/>
  <c r="X103" i="2" s="1"/>
  <c r="X104" i="2" s="1"/>
  <c r="X105" i="2" s="1"/>
  <c r="X106" i="2" s="1"/>
  <c r="X107" i="2" s="1"/>
  <c r="X108" i="2" s="1"/>
  <c r="X109" i="2" s="1"/>
  <c r="X110" i="2" s="1"/>
  <c r="X111" i="2" s="1"/>
  <c r="X112" i="2" s="1"/>
  <c r="X113" i="2" s="1"/>
  <c r="X114" i="2" s="1"/>
  <c r="X115" i="2" s="1"/>
  <c r="X116" i="2" s="1"/>
  <c r="Y29" i="2"/>
  <c r="Z29" i="2" s="1"/>
  <c r="Y30" i="2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D29" i="6" l="1"/>
  <c r="C30" i="6" s="1"/>
  <c r="E28" i="6"/>
  <c r="X117" i="2"/>
  <c r="Y117" i="2"/>
  <c r="Z30" i="2"/>
  <c r="AA30" i="2" s="1"/>
  <c r="D30" i="6" l="1"/>
  <c r="C31" i="6" s="1"/>
  <c r="E29" i="6"/>
  <c r="Z31" i="2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AA31" i="2"/>
  <c r="AB31" i="2" s="1"/>
  <c r="D31" i="6" l="1"/>
  <c r="C32" i="6" s="1"/>
  <c r="E30" i="6"/>
  <c r="AA32" i="2"/>
  <c r="AA33" i="2" s="1"/>
  <c r="AA34" i="2" s="1"/>
  <c r="AA35" i="2" s="1"/>
  <c r="AA36" i="2" s="1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AA50" i="2" s="1"/>
  <c r="AA51" i="2" s="1"/>
  <c r="AA52" i="2" s="1"/>
  <c r="AA53" i="2" s="1"/>
  <c r="AA54" i="2" s="1"/>
  <c r="AA55" i="2" s="1"/>
  <c r="AA56" i="2" s="1"/>
  <c r="AA57" i="2" s="1"/>
  <c r="AA58" i="2" s="1"/>
  <c r="AA59" i="2" s="1"/>
  <c r="AA60" i="2" s="1"/>
  <c r="AA61" i="2" s="1"/>
  <c r="AA62" i="2" s="1"/>
  <c r="AA63" i="2" s="1"/>
  <c r="AA64" i="2" s="1"/>
  <c r="AA65" i="2" s="1"/>
  <c r="AA66" i="2" s="1"/>
  <c r="AA67" i="2" s="1"/>
  <c r="AA68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AA99" i="2" s="1"/>
  <c r="AA100" i="2" s="1"/>
  <c r="AA101" i="2" s="1"/>
  <c r="AA102" i="2" s="1"/>
  <c r="AA103" i="2" s="1"/>
  <c r="AA104" i="2" s="1"/>
  <c r="AA105" i="2" s="1"/>
  <c r="AA106" i="2" s="1"/>
  <c r="AA107" i="2" s="1"/>
  <c r="AA108" i="2" s="1"/>
  <c r="AA109" i="2" s="1"/>
  <c r="AA110" i="2" s="1"/>
  <c r="AA111" i="2" s="1"/>
  <c r="AA112" i="2" s="1"/>
  <c r="AA113" i="2" s="1"/>
  <c r="AA114" i="2" s="1"/>
  <c r="AA115" i="2" s="1"/>
  <c r="AA116" i="2" s="1"/>
  <c r="Z117" i="2"/>
  <c r="AB32" i="2"/>
  <c r="AC32" i="2" s="1"/>
  <c r="D32" i="6" l="1"/>
  <c r="C33" i="6" s="1"/>
  <c r="E31" i="6"/>
  <c r="AA117" i="2"/>
  <c r="AB33" i="2"/>
  <c r="AB34" i="2" s="1"/>
  <c r="AB35" i="2" s="1"/>
  <c r="AB36" i="2" s="1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B50" i="2" s="1"/>
  <c r="AB51" i="2" s="1"/>
  <c r="AB52" i="2" s="1"/>
  <c r="AB53" i="2" s="1"/>
  <c r="AB54" i="2" s="1"/>
  <c r="AB55" i="2" s="1"/>
  <c r="AB56" i="2" s="1"/>
  <c r="AB57" i="2" s="1"/>
  <c r="AB58" i="2" s="1"/>
  <c r="AB59" i="2" s="1"/>
  <c r="AB60" i="2" s="1"/>
  <c r="AB61" i="2" s="1"/>
  <c r="AB62" i="2" s="1"/>
  <c r="AB63" i="2" s="1"/>
  <c r="AB64" i="2" s="1"/>
  <c r="AB65" i="2" s="1"/>
  <c r="AB66" i="2" s="1"/>
  <c r="AB67" i="2" s="1"/>
  <c r="AB68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B96" i="2" s="1"/>
  <c r="AB97" i="2" s="1"/>
  <c r="AB98" i="2" s="1"/>
  <c r="AB99" i="2" s="1"/>
  <c r="AB100" i="2" s="1"/>
  <c r="AB101" i="2" s="1"/>
  <c r="AB102" i="2" s="1"/>
  <c r="AB103" i="2" s="1"/>
  <c r="AB104" i="2" s="1"/>
  <c r="AB105" i="2" s="1"/>
  <c r="AB106" i="2" s="1"/>
  <c r="AB107" i="2" s="1"/>
  <c r="AB108" i="2" s="1"/>
  <c r="AB109" i="2" s="1"/>
  <c r="AB110" i="2" s="1"/>
  <c r="AB111" i="2" s="1"/>
  <c r="AB112" i="2" s="1"/>
  <c r="AB113" i="2" s="1"/>
  <c r="AB114" i="2" s="1"/>
  <c r="AB115" i="2" s="1"/>
  <c r="AB116" i="2" s="1"/>
  <c r="AC33" i="2"/>
  <c r="AD33" i="2" s="1"/>
  <c r="AC34" i="2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D33" i="6" l="1"/>
  <c r="C34" i="6" s="1"/>
  <c r="E32" i="6"/>
  <c r="AB117" i="2"/>
  <c r="AC117" i="2"/>
  <c r="AD34" i="2"/>
  <c r="AE34" i="2" s="1"/>
  <c r="D34" i="6" l="1"/>
  <c r="C35" i="6" s="1"/>
  <c r="E33" i="6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AD59" i="2" s="1"/>
  <c r="AD60" i="2" s="1"/>
  <c r="AD61" i="2" s="1"/>
  <c r="AD62" i="2" s="1"/>
  <c r="AD63" i="2" s="1"/>
  <c r="AD64" i="2" s="1"/>
  <c r="AD65" i="2" s="1"/>
  <c r="AD66" i="2" s="1"/>
  <c r="AD67" i="2" s="1"/>
  <c r="AD68" i="2" s="1"/>
  <c r="AD69" i="2" s="1"/>
  <c r="AD70" i="2" s="1"/>
  <c r="AD71" i="2" s="1"/>
  <c r="AD72" i="2" s="1"/>
  <c r="AD73" i="2" s="1"/>
  <c r="AD74" i="2" s="1"/>
  <c r="AD75" i="2" s="1"/>
  <c r="AD76" i="2" s="1"/>
  <c r="AD77" i="2" s="1"/>
  <c r="AD78" i="2" s="1"/>
  <c r="AD79" i="2" s="1"/>
  <c r="AD80" i="2" s="1"/>
  <c r="AD81" i="2" s="1"/>
  <c r="AD82" i="2" s="1"/>
  <c r="AD83" i="2" s="1"/>
  <c r="AD84" i="2" s="1"/>
  <c r="AD85" i="2" s="1"/>
  <c r="AD86" i="2" s="1"/>
  <c r="AD87" i="2" s="1"/>
  <c r="AD88" i="2" s="1"/>
  <c r="AD89" i="2" s="1"/>
  <c r="AD90" i="2" s="1"/>
  <c r="AD91" i="2" s="1"/>
  <c r="AD92" i="2" s="1"/>
  <c r="AD93" i="2" s="1"/>
  <c r="AD94" i="2" s="1"/>
  <c r="AD95" i="2" s="1"/>
  <c r="AD96" i="2" s="1"/>
  <c r="AD97" i="2" s="1"/>
  <c r="AD98" i="2" s="1"/>
  <c r="AD99" i="2" s="1"/>
  <c r="AD100" i="2" s="1"/>
  <c r="AD101" i="2" s="1"/>
  <c r="AD102" i="2" s="1"/>
  <c r="AD103" i="2" s="1"/>
  <c r="AD104" i="2" s="1"/>
  <c r="AD105" i="2" s="1"/>
  <c r="AD106" i="2" s="1"/>
  <c r="AD107" i="2" s="1"/>
  <c r="AD108" i="2" s="1"/>
  <c r="AD109" i="2" s="1"/>
  <c r="AD110" i="2" s="1"/>
  <c r="AD111" i="2" s="1"/>
  <c r="AD112" i="2" s="1"/>
  <c r="AD113" i="2" s="1"/>
  <c r="AD114" i="2" s="1"/>
  <c r="AD115" i="2" s="1"/>
  <c r="AD116" i="2" s="1"/>
  <c r="AE35" i="2"/>
  <c r="AF35" i="2" s="1"/>
  <c r="D35" i="6" l="1"/>
  <c r="C36" i="6" s="1"/>
  <c r="E34" i="6"/>
  <c r="AE36" i="2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AE59" i="2" s="1"/>
  <c r="AE60" i="2" s="1"/>
  <c r="AE61" i="2" s="1"/>
  <c r="AE62" i="2" s="1"/>
  <c r="AE63" i="2" s="1"/>
  <c r="AE64" i="2" s="1"/>
  <c r="AE65" i="2" s="1"/>
  <c r="AE66" i="2" s="1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04" i="2" s="1"/>
  <c r="AE105" i="2" s="1"/>
  <c r="AE106" i="2" s="1"/>
  <c r="AE107" i="2" s="1"/>
  <c r="AE108" i="2" s="1"/>
  <c r="AE109" i="2" s="1"/>
  <c r="AE110" i="2" s="1"/>
  <c r="AE111" i="2" s="1"/>
  <c r="AE112" i="2" s="1"/>
  <c r="AE113" i="2" s="1"/>
  <c r="AE114" i="2" s="1"/>
  <c r="AE115" i="2" s="1"/>
  <c r="AE116" i="2" s="1"/>
  <c r="AD117" i="2"/>
  <c r="AF36" i="2"/>
  <c r="AG36" i="2" s="1"/>
  <c r="D36" i="6" l="1"/>
  <c r="C37" i="6" s="1"/>
  <c r="E35" i="6"/>
  <c r="AE117" i="2"/>
  <c r="AF37" i="2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G37" i="2"/>
  <c r="AH37" i="2" s="1"/>
  <c r="D37" i="6" l="1"/>
  <c r="C38" i="6" s="1"/>
  <c r="E36" i="6"/>
  <c r="AG38" i="2"/>
  <c r="AG39" i="2" s="1"/>
  <c r="AG40" i="2" s="1"/>
  <c r="AG41" i="2" s="1"/>
  <c r="AG42" i="2" s="1"/>
  <c r="AG43" i="2" s="1"/>
  <c r="AG44" i="2" s="1"/>
  <c r="AG45" i="2" s="1"/>
  <c r="AG46" i="2" s="1"/>
  <c r="AG47" i="2" s="1"/>
  <c r="AG48" i="2" s="1"/>
  <c r="AG49" i="2" s="1"/>
  <c r="AG50" i="2" s="1"/>
  <c r="AG51" i="2" s="1"/>
  <c r="AG52" i="2" s="1"/>
  <c r="AG53" i="2" s="1"/>
  <c r="AG54" i="2" s="1"/>
  <c r="AG55" i="2" s="1"/>
  <c r="AG56" i="2" s="1"/>
  <c r="AG57" i="2" s="1"/>
  <c r="AG58" i="2" s="1"/>
  <c r="AG59" i="2" s="1"/>
  <c r="AG60" i="2" s="1"/>
  <c r="AG61" i="2" s="1"/>
  <c r="AG62" i="2" s="1"/>
  <c r="AG63" i="2" s="1"/>
  <c r="AG64" i="2" s="1"/>
  <c r="AG65" i="2" s="1"/>
  <c r="AG66" i="2" s="1"/>
  <c r="AG67" i="2" s="1"/>
  <c r="AG68" i="2" s="1"/>
  <c r="AG69" i="2" s="1"/>
  <c r="AG70" i="2" s="1"/>
  <c r="AG71" i="2" s="1"/>
  <c r="AG72" i="2" s="1"/>
  <c r="AG73" i="2" s="1"/>
  <c r="AG74" i="2" s="1"/>
  <c r="AG75" i="2" s="1"/>
  <c r="AG76" i="2" s="1"/>
  <c r="AG77" i="2" s="1"/>
  <c r="AG78" i="2" s="1"/>
  <c r="AG79" i="2" s="1"/>
  <c r="AG80" i="2" s="1"/>
  <c r="AG81" i="2" s="1"/>
  <c r="AG82" i="2" s="1"/>
  <c r="AG83" i="2" s="1"/>
  <c r="AG84" i="2" s="1"/>
  <c r="AG85" i="2" s="1"/>
  <c r="AG86" i="2" s="1"/>
  <c r="AG87" i="2" s="1"/>
  <c r="AG88" i="2" s="1"/>
  <c r="AG89" i="2" s="1"/>
  <c r="AG90" i="2" s="1"/>
  <c r="AG91" i="2" s="1"/>
  <c r="AG92" i="2" s="1"/>
  <c r="AG93" i="2" s="1"/>
  <c r="AG94" i="2" s="1"/>
  <c r="AG95" i="2" s="1"/>
  <c r="AG96" i="2" s="1"/>
  <c r="AG97" i="2" s="1"/>
  <c r="AG98" i="2" s="1"/>
  <c r="AG99" i="2" s="1"/>
  <c r="AG100" i="2" s="1"/>
  <c r="AG101" i="2" s="1"/>
  <c r="AG102" i="2" s="1"/>
  <c r="AG103" i="2" s="1"/>
  <c r="AG104" i="2" s="1"/>
  <c r="AG105" i="2" s="1"/>
  <c r="AG106" i="2" s="1"/>
  <c r="AG107" i="2" s="1"/>
  <c r="AG108" i="2" s="1"/>
  <c r="AG109" i="2" s="1"/>
  <c r="AG110" i="2" s="1"/>
  <c r="AG111" i="2" s="1"/>
  <c r="AG112" i="2" s="1"/>
  <c r="AG113" i="2" s="1"/>
  <c r="AG114" i="2" s="1"/>
  <c r="AG115" i="2" s="1"/>
  <c r="AG116" i="2" s="1"/>
  <c r="AF117" i="2"/>
  <c r="AH38" i="2"/>
  <c r="AI38" i="2" s="1"/>
  <c r="E37" i="6" l="1"/>
  <c r="D38" i="6"/>
  <c r="C39" i="6" s="1"/>
  <c r="AG117" i="2"/>
  <c r="AH39" i="2"/>
  <c r="AH40" i="2" s="1"/>
  <c r="AH41" i="2" s="1"/>
  <c r="AH42" i="2" s="1"/>
  <c r="AH43" i="2" s="1"/>
  <c r="AH44" i="2" s="1"/>
  <c r="AH45" i="2" s="1"/>
  <c r="AH46" i="2" s="1"/>
  <c r="AH47" i="2" s="1"/>
  <c r="AH48" i="2" s="1"/>
  <c r="AH49" i="2" s="1"/>
  <c r="AH50" i="2" s="1"/>
  <c r="AH51" i="2" s="1"/>
  <c r="AH52" i="2" s="1"/>
  <c r="AH53" i="2" s="1"/>
  <c r="AH54" i="2" s="1"/>
  <c r="AH55" i="2" s="1"/>
  <c r="AH56" i="2" s="1"/>
  <c r="AH57" i="2" s="1"/>
  <c r="AH58" i="2" s="1"/>
  <c r="AH59" i="2" s="1"/>
  <c r="AH60" i="2" s="1"/>
  <c r="AH61" i="2" s="1"/>
  <c r="AH62" i="2" s="1"/>
  <c r="AH63" i="2" s="1"/>
  <c r="AH64" i="2" s="1"/>
  <c r="AH65" i="2" s="1"/>
  <c r="AH66" i="2" s="1"/>
  <c r="AH67" i="2" s="1"/>
  <c r="AH68" i="2" s="1"/>
  <c r="AH69" i="2" s="1"/>
  <c r="AH70" i="2" s="1"/>
  <c r="AH71" i="2" s="1"/>
  <c r="AH72" i="2" s="1"/>
  <c r="AH73" i="2" s="1"/>
  <c r="AH74" i="2" s="1"/>
  <c r="AH75" i="2" s="1"/>
  <c r="AH76" i="2" s="1"/>
  <c r="AH77" i="2" s="1"/>
  <c r="AH78" i="2" s="1"/>
  <c r="AH79" i="2" s="1"/>
  <c r="AH80" i="2" s="1"/>
  <c r="AH81" i="2" s="1"/>
  <c r="AH82" i="2" s="1"/>
  <c r="AH83" i="2" s="1"/>
  <c r="AH84" i="2" s="1"/>
  <c r="AH85" i="2" s="1"/>
  <c r="AH86" i="2" s="1"/>
  <c r="AH87" i="2" s="1"/>
  <c r="AH88" i="2" s="1"/>
  <c r="AH89" i="2" s="1"/>
  <c r="AH90" i="2" s="1"/>
  <c r="AH91" i="2" s="1"/>
  <c r="AH92" i="2" s="1"/>
  <c r="AH93" i="2" s="1"/>
  <c r="AH94" i="2" s="1"/>
  <c r="AH95" i="2" s="1"/>
  <c r="AH96" i="2" s="1"/>
  <c r="AH97" i="2" s="1"/>
  <c r="AH98" i="2" s="1"/>
  <c r="AH99" i="2" s="1"/>
  <c r="AH100" i="2" s="1"/>
  <c r="AH101" i="2" s="1"/>
  <c r="AH102" i="2" s="1"/>
  <c r="AH103" i="2" s="1"/>
  <c r="AH104" i="2" s="1"/>
  <c r="AH105" i="2" s="1"/>
  <c r="AH106" i="2" s="1"/>
  <c r="AH107" i="2" s="1"/>
  <c r="AH108" i="2" s="1"/>
  <c r="AH109" i="2" s="1"/>
  <c r="AH110" i="2" s="1"/>
  <c r="AH111" i="2" s="1"/>
  <c r="AH112" i="2" s="1"/>
  <c r="AH113" i="2" s="1"/>
  <c r="AH114" i="2" s="1"/>
  <c r="AH115" i="2" s="1"/>
  <c r="AH116" i="2" s="1"/>
  <c r="AI39" i="2"/>
  <c r="AJ39" i="2" s="1"/>
  <c r="E38" i="6" l="1"/>
  <c r="D39" i="6"/>
  <c r="C40" i="6" s="1"/>
  <c r="AI40" i="2"/>
  <c r="AI41" i="2" s="1"/>
  <c r="AI42" i="2" s="1"/>
  <c r="AI43" i="2" s="1"/>
  <c r="AI44" i="2" s="1"/>
  <c r="AI45" i="2" s="1"/>
  <c r="AI46" i="2" s="1"/>
  <c r="AI47" i="2" s="1"/>
  <c r="AI48" i="2" s="1"/>
  <c r="AI49" i="2" s="1"/>
  <c r="AI50" i="2" s="1"/>
  <c r="AI51" i="2" s="1"/>
  <c r="AI52" i="2" s="1"/>
  <c r="AI53" i="2" s="1"/>
  <c r="AI54" i="2" s="1"/>
  <c r="AI55" i="2" s="1"/>
  <c r="AI56" i="2" s="1"/>
  <c r="AI57" i="2" s="1"/>
  <c r="AI58" i="2" s="1"/>
  <c r="AI59" i="2" s="1"/>
  <c r="AI60" i="2" s="1"/>
  <c r="AI61" i="2" s="1"/>
  <c r="AI62" i="2" s="1"/>
  <c r="AI63" i="2" s="1"/>
  <c r="AI64" i="2" s="1"/>
  <c r="AI65" i="2" s="1"/>
  <c r="AI66" i="2" s="1"/>
  <c r="AI67" i="2" s="1"/>
  <c r="AI68" i="2" s="1"/>
  <c r="AI69" i="2" s="1"/>
  <c r="AI70" i="2" s="1"/>
  <c r="AI71" i="2" s="1"/>
  <c r="AI72" i="2" s="1"/>
  <c r="AI73" i="2" s="1"/>
  <c r="AI74" i="2" s="1"/>
  <c r="AI75" i="2" s="1"/>
  <c r="AI76" i="2" s="1"/>
  <c r="AI77" i="2" s="1"/>
  <c r="AI78" i="2" s="1"/>
  <c r="AI79" i="2" s="1"/>
  <c r="AI80" i="2" s="1"/>
  <c r="AI81" i="2" s="1"/>
  <c r="AI82" i="2" s="1"/>
  <c r="AI83" i="2" s="1"/>
  <c r="AI84" i="2" s="1"/>
  <c r="AI85" i="2" s="1"/>
  <c r="AI86" i="2" s="1"/>
  <c r="AI87" i="2" s="1"/>
  <c r="AI88" i="2" s="1"/>
  <c r="AI89" i="2" s="1"/>
  <c r="AI90" i="2" s="1"/>
  <c r="AI91" i="2" s="1"/>
  <c r="AI92" i="2" s="1"/>
  <c r="AI93" i="2" s="1"/>
  <c r="AI94" i="2" s="1"/>
  <c r="AI95" i="2" s="1"/>
  <c r="AI96" i="2" s="1"/>
  <c r="AI97" i="2" s="1"/>
  <c r="AI98" i="2" s="1"/>
  <c r="AI99" i="2" s="1"/>
  <c r="AI100" i="2" s="1"/>
  <c r="AI101" i="2" s="1"/>
  <c r="AI102" i="2" s="1"/>
  <c r="AI103" i="2" s="1"/>
  <c r="AI104" i="2" s="1"/>
  <c r="AI105" i="2" s="1"/>
  <c r="AI106" i="2" s="1"/>
  <c r="AI107" i="2" s="1"/>
  <c r="AI108" i="2" s="1"/>
  <c r="AI109" i="2" s="1"/>
  <c r="AI110" i="2" s="1"/>
  <c r="AI111" i="2" s="1"/>
  <c r="AI112" i="2" s="1"/>
  <c r="AI113" i="2" s="1"/>
  <c r="AI114" i="2" s="1"/>
  <c r="AI115" i="2" s="1"/>
  <c r="AI116" i="2" s="1"/>
  <c r="AH117" i="2"/>
  <c r="AJ40" i="2"/>
  <c r="AK40" i="2" s="1"/>
  <c r="E39" i="6" l="1"/>
  <c r="D40" i="6"/>
  <c r="C41" i="6" s="1"/>
  <c r="AI117" i="2"/>
  <c r="AJ41" i="2"/>
  <c r="AJ42" i="2" s="1"/>
  <c r="AJ43" i="2" s="1"/>
  <c r="AJ44" i="2" s="1"/>
  <c r="AJ45" i="2" s="1"/>
  <c r="AJ46" i="2" s="1"/>
  <c r="AJ47" i="2" s="1"/>
  <c r="AJ48" i="2" s="1"/>
  <c r="AJ49" i="2" s="1"/>
  <c r="AJ50" i="2" s="1"/>
  <c r="AJ51" i="2" s="1"/>
  <c r="AJ52" i="2" s="1"/>
  <c r="AJ53" i="2" s="1"/>
  <c r="AJ54" i="2" s="1"/>
  <c r="AJ55" i="2" s="1"/>
  <c r="AJ56" i="2" s="1"/>
  <c r="AJ57" i="2" s="1"/>
  <c r="AJ58" i="2" s="1"/>
  <c r="AJ59" i="2" s="1"/>
  <c r="AJ60" i="2" s="1"/>
  <c r="AJ61" i="2" s="1"/>
  <c r="AJ62" i="2" s="1"/>
  <c r="AJ63" i="2" s="1"/>
  <c r="AJ64" i="2" s="1"/>
  <c r="AJ65" i="2" s="1"/>
  <c r="AJ66" i="2" s="1"/>
  <c r="AJ67" i="2" s="1"/>
  <c r="AJ68" i="2" s="1"/>
  <c r="AJ69" i="2" s="1"/>
  <c r="AJ70" i="2" s="1"/>
  <c r="AJ71" i="2" s="1"/>
  <c r="AJ72" i="2" s="1"/>
  <c r="AJ73" i="2" s="1"/>
  <c r="AJ74" i="2" s="1"/>
  <c r="AJ75" i="2" s="1"/>
  <c r="AJ76" i="2" s="1"/>
  <c r="AJ77" i="2" s="1"/>
  <c r="AJ78" i="2" s="1"/>
  <c r="AJ79" i="2" s="1"/>
  <c r="AJ80" i="2" s="1"/>
  <c r="AJ81" i="2" s="1"/>
  <c r="AJ82" i="2" s="1"/>
  <c r="AJ83" i="2" s="1"/>
  <c r="AJ84" i="2" s="1"/>
  <c r="AJ85" i="2" s="1"/>
  <c r="AJ86" i="2" s="1"/>
  <c r="AJ87" i="2" s="1"/>
  <c r="AJ88" i="2" s="1"/>
  <c r="AJ89" i="2" s="1"/>
  <c r="AJ90" i="2" s="1"/>
  <c r="AJ91" i="2" s="1"/>
  <c r="AJ92" i="2" s="1"/>
  <c r="AJ93" i="2" s="1"/>
  <c r="AJ94" i="2" s="1"/>
  <c r="AJ95" i="2" s="1"/>
  <c r="AJ96" i="2" s="1"/>
  <c r="AJ97" i="2" s="1"/>
  <c r="AJ98" i="2" s="1"/>
  <c r="AJ99" i="2" s="1"/>
  <c r="AJ100" i="2" s="1"/>
  <c r="AJ101" i="2" s="1"/>
  <c r="AJ102" i="2" s="1"/>
  <c r="AJ103" i="2" s="1"/>
  <c r="AJ104" i="2" s="1"/>
  <c r="AJ105" i="2" s="1"/>
  <c r="AJ106" i="2" s="1"/>
  <c r="AJ107" i="2" s="1"/>
  <c r="AJ108" i="2" s="1"/>
  <c r="AJ109" i="2" s="1"/>
  <c r="AJ110" i="2" s="1"/>
  <c r="AJ111" i="2" s="1"/>
  <c r="AJ112" i="2" s="1"/>
  <c r="AJ113" i="2" s="1"/>
  <c r="AJ114" i="2" s="1"/>
  <c r="AJ115" i="2" s="1"/>
  <c r="AJ116" i="2" s="1"/>
  <c r="AK41" i="2"/>
  <c r="AL41" i="2" s="1"/>
  <c r="E40" i="6" l="1"/>
  <c r="D41" i="6"/>
  <c r="C42" i="6" s="1"/>
  <c r="AK42" i="2"/>
  <c r="AK43" i="2" s="1"/>
  <c r="AK44" i="2" s="1"/>
  <c r="AK45" i="2" s="1"/>
  <c r="AK46" i="2" s="1"/>
  <c r="AK47" i="2" s="1"/>
  <c r="AK48" i="2" s="1"/>
  <c r="AK49" i="2" s="1"/>
  <c r="AK50" i="2" s="1"/>
  <c r="AK51" i="2" s="1"/>
  <c r="AK52" i="2" s="1"/>
  <c r="AK53" i="2" s="1"/>
  <c r="AK54" i="2" s="1"/>
  <c r="AK55" i="2" s="1"/>
  <c r="AK56" i="2" s="1"/>
  <c r="AK57" i="2" s="1"/>
  <c r="AK58" i="2" s="1"/>
  <c r="AK59" i="2" s="1"/>
  <c r="AK60" i="2" s="1"/>
  <c r="AK61" i="2" s="1"/>
  <c r="AK62" i="2" s="1"/>
  <c r="AK63" i="2" s="1"/>
  <c r="AK64" i="2" s="1"/>
  <c r="AK65" i="2" s="1"/>
  <c r="AK66" i="2" s="1"/>
  <c r="AK67" i="2" s="1"/>
  <c r="AK68" i="2" s="1"/>
  <c r="AK69" i="2" s="1"/>
  <c r="AK70" i="2" s="1"/>
  <c r="AK71" i="2" s="1"/>
  <c r="AK72" i="2" s="1"/>
  <c r="AK73" i="2" s="1"/>
  <c r="AK74" i="2" s="1"/>
  <c r="AK75" i="2" s="1"/>
  <c r="AK76" i="2" s="1"/>
  <c r="AK77" i="2" s="1"/>
  <c r="AK78" i="2" s="1"/>
  <c r="AK79" i="2" s="1"/>
  <c r="AK80" i="2" s="1"/>
  <c r="AK81" i="2" s="1"/>
  <c r="AK82" i="2" s="1"/>
  <c r="AK83" i="2" s="1"/>
  <c r="AK84" i="2" s="1"/>
  <c r="AK85" i="2" s="1"/>
  <c r="AK86" i="2" s="1"/>
  <c r="AK87" i="2" s="1"/>
  <c r="AK88" i="2" s="1"/>
  <c r="AK89" i="2" s="1"/>
  <c r="AK90" i="2" s="1"/>
  <c r="AK91" i="2" s="1"/>
  <c r="AK92" i="2" s="1"/>
  <c r="AK93" i="2" s="1"/>
  <c r="AK94" i="2" s="1"/>
  <c r="AK95" i="2" s="1"/>
  <c r="AK96" i="2" s="1"/>
  <c r="AK97" i="2" s="1"/>
  <c r="AK98" i="2" s="1"/>
  <c r="AK99" i="2" s="1"/>
  <c r="AK100" i="2" s="1"/>
  <c r="AK101" i="2" s="1"/>
  <c r="AK102" i="2" s="1"/>
  <c r="AK103" i="2" s="1"/>
  <c r="AK104" i="2" s="1"/>
  <c r="AK105" i="2" s="1"/>
  <c r="AK106" i="2" s="1"/>
  <c r="AK107" i="2" s="1"/>
  <c r="AK108" i="2" s="1"/>
  <c r="AK109" i="2" s="1"/>
  <c r="AK110" i="2" s="1"/>
  <c r="AK111" i="2" s="1"/>
  <c r="AK112" i="2" s="1"/>
  <c r="AK113" i="2" s="1"/>
  <c r="AK114" i="2" s="1"/>
  <c r="AK115" i="2" s="1"/>
  <c r="AK116" i="2" s="1"/>
  <c r="AJ117" i="2"/>
  <c r="AL43" i="2"/>
  <c r="AL44" i="2" s="1"/>
  <c r="AL45" i="2" s="1"/>
  <c r="AL46" i="2" s="1"/>
  <c r="AL47" i="2" s="1"/>
  <c r="AL48" i="2" s="1"/>
  <c r="AL49" i="2" s="1"/>
  <c r="AL50" i="2" s="1"/>
  <c r="AL51" i="2" s="1"/>
  <c r="AL52" i="2" s="1"/>
  <c r="AL53" i="2" s="1"/>
  <c r="AL54" i="2" s="1"/>
  <c r="AL55" i="2" s="1"/>
  <c r="AL56" i="2" s="1"/>
  <c r="AL57" i="2" s="1"/>
  <c r="AL58" i="2" s="1"/>
  <c r="AL59" i="2" s="1"/>
  <c r="AL60" i="2" s="1"/>
  <c r="AL61" i="2" s="1"/>
  <c r="AL62" i="2" s="1"/>
  <c r="AL63" i="2" s="1"/>
  <c r="AL64" i="2" s="1"/>
  <c r="AL65" i="2" s="1"/>
  <c r="AL66" i="2" s="1"/>
  <c r="AL67" i="2" s="1"/>
  <c r="AL68" i="2" s="1"/>
  <c r="AL69" i="2" s="1"/>
  <c r="AL70" i="2" s="1"/>
  <c r="AL71" i="2" s="1"/>
  <c r="AL72" i="2" s="1"/>
  <c r="AL73" i="2" s="1"/>
  <c r="AL74" i="2" s="1"/>
  <c r="AL75" i="2" s="1"/>
  <c r="AL76" i="2" s="1"/>
  <c r="AL77" i="2" s="1"/>
  <c r="AL78" i="2" s="1"/>
  <c r="AL79" i="2" s="1"/>
  <c r="AL80" i="2" s="1"/>
  <c r="AL81" i="2" s="1"/>
  <c r="AL82" i="2" s="1"/>
  <c r="AL83" i="2" s="1"/>
  <c r="AL84" i="2" s="1"/>
  <c r="AL85" i="2" s="1"/>
  <c r="AL86" i="2" s="1"/>
  <c r="AL87" i="2" s="1"/>
  <c r="AL88" i="2" s="1"/>
  <c r="AL89" i="2" s="1"/>
  <c r="AL90" i="2" s="1"/>
  <c r="AL91" i="2" s="1"/>
  <c r="AL92" i="2" s="1"/>
  <c r="AL93" i="2" s="1"/>
  <c r="AL94" i="2" s="1"/>
  <c r="AL95" i="2" s="1"/>
  <c r="AL96" i="2" s="1"/>
  <c r="AL97" i="2" s="1"/>
  <c r="AL98" i="2" s="1"/>
  <c r="AL99" i="2" s="1"/>
  <c r="AL100" i="2" s="1"/>
  <c r="AL101" i="2" s="1"/>
  <c r="AL102" i="2" s="1"/>
  <c r="AL103" i="2" s="1"/>
  <c r="AL104" i="2" s="1"/>
  <c r="AL105" i="2" s="1"/>
  <c r="AL106" i="2" s="1"/>
  <c r="AL107" i="2" s="1"/>
  <c r="AL108" i="2" s="1"/>
  <c r="AL109" i="2" s="1"/>
  <c r="AL110" i="2" s="1"/>
  <c r="AL111" i="2" s="1"/>
  <c r="AL112" i="2" s="1"/>
  <c r="AL113" i="2" s="1"/>
  <c r="AL114" i="2" s="1"/>
  <c r="AL115" i="2" s="1"/>
  <c r="AL116" i="2" s="1"/>
  <c r="AL42" i="2"/>
  <c r="AM42" i="2" s="1"/>
  <c r="E41" i="6" l="1"/>
  <c r="D42" i="6"/>
  <c r="C43" i="6" s="1"/>
  <c r="AK117" i="2"/>
  <c r="AL117" i="2"/>
  <c r="AM43" i="2"/>
  <c r="AN43" i="2" s="1"/>
  <c r="AM44" i="2"/>
  <c r="AM45" i="2" s="1"/>
  <c r="AM46" i="2" s="1"/>
  <c r="AM47" i="2" s="1"/>
  <c r="AM48" i="2" s="1"/>
  <c r="AM49" i="2" s="1"/>
  <c r="AM50" i="2" s="1"/>
  <c r="AM51" i="2" s="1"/>
  <c r="AM52" i="2" s="1"/>
  <c r="AM53" i="2" s="1"/>
  <c r="AM54" i="2" s="1"/>
  <c r="AM55" i="2" s="1"/>
  <c r="AM56" i="2" s="1"/>
  <c r="AM57" i="2" s="1"/>
  <c r="AM58" i="2" s="1"/>
  <c r="AM59" i="2" s="1"/>
  <c r="AM60" i="2" s="1"/>
  <c r="AM61" i="2" s="1"/>
  <c r="AM62" i="2" s="1"/>
  <c r="AM63" i="2" s="1"/>
  <c r="AM64" i="2" s="1"/>
  <c r="AM65" i="2" s="1"/>
  <c r="AM66" i="2" s="1"/>
  <c r="AM67" i="2" s="1"/>
  <c r="AM68" i="2" s="1"/>
  <c r="AM69" i="2" s="1"/>
  <c r="AM70" i="2" s="1"/>
  <c r="AM71" i="2" s="1"/>
  <c r="AM72" i="2" s="1"/>
  <c r="AM73" i="2" s="1"/>
  <c r="AM74" i="2" s="1"/>
  <c r="AM75" i="2" s="1"/>
  <c r="AM76" i="2" s="1"/>
  <c r="AM77" i="2" s="1"/>
  <c r="AM78" i="2" s="1"/>
  <c r="AM79" i="2" s="1"/>
  <c r="AM80" i="2" s="1"/>
  <c r="AM81" i="2" s="1"/>
  <c r="AM82" i="2" s="1"/>
  <c r="AM83" i="2" s="1"/>
  <c r="AM84" i="2" s="1"/>
  <c r="AM85" i="2" s="1"/>
  <c r="AM86" i="2" s="1"/>
  <c r="AM87" i="2" s="1"/>
  <c r="AM88" i="2" s="1"/>
  <c r="AM89" i="2" s="1"/>
  <c r="AM90" i="2" s="1"/>
  <c r="AM91" i="2" s="1"/>
  <c r="AM92" i="2" s="1"/>
  <c r="AM93" i="2" s="1"/>
  <c r="AM94" i="2" s="1"/>
  <c r="AM95" i="2" s="1"/>
  <c r="AM96" i="2" s="1"/>
  <c r="AM97" i="2" s="1"/>
  <c r="AM98" i="2" s="1"/>
  <c r="AM99" i="2" s="1"/>
  <c r="AM100" i="2" s="1"/>
  <c r="AM101" i="2" s="1"/>
  <c r="AM102" i="2" s="1"/>
  <c r="AM103" i="2" s="1"/>
  <c r="AM104" i="2" s="1"/>
  <c r="AM105" i="2" s="1"/>
  <c r="AM106" i="2" s="1"/>
  <c r="AM107" i="2" s="1"/>
  <c r="AM108" i="2" s="1"/>
  <c r="AM109" i="2" s="1"/>
  <c r="AM110" i="2" s="1"/>
  <c r="AM111" i="2" s="1"/>
  <c r="AM112" i="2" s="1"/>
  <c r="AM113" i="2" s="1"/>
  <c r="AM114" i="2" s="1"/>
  <c r="AM115" i="2" s="1"/>
  <c r="AM116" i="2" s="1"/>
  <c r="E42" i="6" l="1"/>
  <c r="D43" i="6"/>
  <c r="C44" i="6" s="1"/>
  <c r="AN104" i="2"/>
  <c r="AN105" i="2"/>
  <c r="AN106" i="2"/>
  <c r="AN107" i="2"/>
  <c r="AN108" i="2"/>
  <c r="AN109" i="2"/>
  <c r="AN110" i="2"/>
  <c r="AN111" i="2"/>
  <c r="AN112" i="2"/>
  <c r="AN113" i="2"/>
  <c r="AN114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115" i="2"/>
  <c r="AN116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M117" i="2"/>
  <c r="AN56" i="2"/>
  <c r="AN53" i="2"/>
  <c r="AN52" i="2"/>
  <c r="AN49" i="2"/>
  <c r="AN48" i="2"/>
  <c r="AN45" i="2"/>
  <c r="AN44" i="2"/>
  <c r="AO44" i="2" s="1"/>
  <c r="AN55" i="2"/>
  <c r="AN54" i="2"/>
  <c r="AN51" i="2"/>
  <c r="AN50" i="2"/>
  <c r="AN47" i="2"/>
  <c r="AN46" i="2"/>
  <c r="D44" i="6" l="1"/>
  <c r="E44" i="6" s="1"/>
  <c r="D12" i="6" s="1"/>
  <c r="E43" i="6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N117" i="2"/>
  <c r="AO55" i="2"/>
  <c r="AO54" i="2"/>
  <c r="AO51" i="2"/>
  <c r="AO50" i="2"/>
  <c r="AO47" i="2"/>
  <c r="AO46" i="2"/>
  <c r="AO56" i="2"/>
  <c r="AO53" i="2"/>
  <c r="AO52" i="2"/>
  <c r="AO49" i="2"/>
  <c r="AO48" i="2"/>
  <c r="AO45" i="2"/>
  <c r="AP45" i="2" s="1"/>
  <c r="AP104" i="2" l="1"/>
  <c r="AP105" i="2"/>
  <c r="AP106" i="2"/>
  <c r="AP107" i="2"/>
  <c r="AP108" i="2"/>
  <c r="AP109" i="2"/>
  <c r="AP110" i="2"/>
  <c r="AP111" i="2"/>
  <c r="AP112" i="2"/>
  <c r="AP113" i="2"/>
  <c r="AP114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115" i="2"/>
  <c r="AP116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O117" i="2"/>
  <c r="AP56" i="2"/>
  <c r="AP53" i="2"/>
  <c r="AP52" i="2"/>
  <c r="AP49" i="2"/>
  <c r="AP48" i="2"/>
  <c r="AP55" i="2"/>
  <c r="AP54" i="2"/>
  <c r="AP51" i="2"/>
  <c r="AP50" i="2"/>
  <c r="AP47" i="2"/>
  <c r="AP46" i="2"/>
  <c r="AQ46" i="2" s="1"/>
  <c r="AQ104" i="2" l="1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P117" i="2"/>
  <c r="AQ55" i="2"/>
  <c r="AQ54" i="2"/>
  <c r="AQ51" i="2"/>
  <c r="AQ50" i="2"/>
  <c r="AQ47" i="2"/>
  <c r="AR47" i="2" s="1"/>
  <c r="AQ56" i="2"/>
  <c r="AQ53" i="2"/>
  <c r="AQ52" i="2"/>
  <c r="AQ49" i="2"/>
  <c r="AQ48" i="2"/>
  <c r="AR104" i="2" l="1"/>
  <c r="AR105" i="2"/>
  <c r="AR106" i="2"/>
  <c r="AR107" i="2"/>
  <c r="AR108" i="2"/>
  <c r="AR109" i="2"/>
  <c r="AR110" i="2"/>
  <c r="AR111" i="2"/>
  <c r="AR112" i="2"/>
  <c r="AR113" i="2"/>
  <c r="AR114" i="2"/>
  <c r="AR57" i="2"/>
  <c r="AR58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115" i="2"/>
  <c r="AR116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03" i="2"/>
  <c r="AQ117" i="2"/>
  <c r="AR56" i="2"/>
  <c r="AR53" i="2"/>
  <c r="AR52" i="2"/>
  <c r="AR49" i="2"/>
  <c r="AR48" i="2"/>
  <c r="AS48" i="2" s="1"/>
  <c r="AR55" i="2"/>
  <c r="AR54" i="2"/>
  <c r="AR51" i="2"/>
  <c r="AR50" i="2"/>
  <c r="AS104" i="2" l="1"/>
  <c r="AS105" i="2"/>
  <c r="AS106" i="2"/>
  <c r="AS107" i="2"/>
  <c r="AS108" i="2"/>
  <c r="AS109" i="2"/>
  <c r="AS110" i="2"/>
  <c r="AS111" i="2"/>
  <c r="AS112" i="2"/>
  <c r="AS113" i="2"/>
  <c r="AS114" i="2"/>
  <c r="AS115" i="2"/>
  <c r="AS11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03" i="2"/>
  <c r="AR117" i="2"/>
  <c r="AS55" i="2"/>
  <c r="AS54" i="2"/>
  <c r="AS51" i="2"/>
  <c r="AS50" i="2"/>
  <c r="AS56" i="2"/>
  <c r="AS53" i="2"/>
  <c r="AS52" i="2"/>
  <c r="AS49" i="2"/>
  <c r="AT49" i="2" s="1"/>
  <c r="AT104" i="2" l="1"/>
  <c r="AT105" i="2"/>
  <c r="AT106" i="2"/>
  <c r="AT107" i="2"/>
  <c r="AT108" i="2"/>
  <c r="AT109" i="2"/>
  <c r="AT110" i="2"/>
  <c r="AT111" i="2"/>
  <c r="AT112" i="2"/>
  <c r="AT113" i="2"/>
  <c r="AT114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115" i="2"/>
  <c r="AT116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T103" i="2"/>
  <c r="AS117" i="2"/>
  <c r="AT56" i="2"/>
  <c r="AT53" i="2"/>
  <c r="AT52" i="2"/>
  <c r="AT55" i="2"/>
  <c r="AT54" i="2"/>
  <c r="AT51" i="2"/>
  <c r="AT50" i="2"/>
  <c r="AU50" i="2" s="1"/>
  <c r="AU104" i="2" l="1"/>
  <c r="AU105" i="2"/>
  <c r="AU106" i="2"/>
  <c r="AU107" i="2"/>
  <c r="AU108" i="2"/>
  <c r="AU109" i="2"/>
  <c r="AU110" i="2"/>
  <c r="AU111" i="2"/>
  <c r="AU112" i="2"/>
  <c r="AU113" i="2"/>
  <c r="AU114" i="2"/>
  <c r="AU115" i="2"/>
  <c r="AU11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U103" i="2"/>
  <c r="AT117" i="2"/>
  <c r="AU55" i="2"/>
  <c r="AU54" i="2"/>
  <c r="AU51" i="2"/>
  <c r="AV51" i="2" s="1"/>
  <c r="AU56" i="2"/>
  <c r="AU53" i="2"/>
  <c r="AU52" i="2"/>
  <c r="AV104" i="2" l="1"/>
  <c r="AV105" i="2"/>
  <c r="AV106" i="2"/>
  <c r="AV107" i="2"/>
  <c r="AV108" i="2"/>
  <c r="AV109" i="2"/>
  <c r="AV110" i="2"/>
  <c r="AV111" i="2"/>
  <c r="AV112" i="2"/>
  <c r="AV113" i="2"/>
  <c r="AV114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115" i="2"/>
  <c r="AV116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V103" i="2"/>
  <c r="AV81" i="2"/>
  <c r="AU117" i="2"/>
  <c r="AV56" i="2"/>
  <c r="AV53" i="2"/>
  <c r="AV52" i="2"/>
  <c r="AW52" i="2" s="1"/>
  <c r="AV55" i="2"/>
  <c r="AV54" i="2"/>
  <c r="AW104" i="2" l="1"/>
  <c r="AW105" i="2"/>
  <c r="AW106" i="2"/>
  <c r="AW107" i="2"/>
  <c r="AW108" i="2"/>
  <c r="AW109" i="2"/>
  <c r="AW110" i="2"/>
  <c r="AW111" i="2"/>
  <c r="AW112" i="2"/>
  <c r="AW113" i="2"/>
  <c r="AW114" i="2"/>
  <c r="AW115" i="2"/>
  <c r="AW116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W103" i="2"/>
  <c r="AV117" i="2"/>
  <c r="AW55" i="2"/>
  <c r="AW54" i="2"/>
  <c r="AW56" i="2"/>
  <c r="AW53" i="2"/>
  <c r="AX53" i="2" s="1"/>
  <c r="AX104" i="2" l="1"/>
  <c r="AX105" i="2"/>
  <c r="AX106" i="2"/>
  <c r="AX107" i="2"/>
  <c r="AX108" i="2"/>
  <c r="AX109" i="2"/>
  <c r="AX110" i="2"/>
  <c r="AX111" i="2"/>
  <c r="AX112" i="2"/>
  <c r="AX113" i="2"/>
  <c r="AX114" i="2"/>
  <c r="AX57" i="2"/>
  <c r="AX58" i="2"/>
  <c r="AX59" i="2"/>
  <c r="AX60" i="2"/>
  <c r="AX61" i="2"/>
  <c r="AX62" i="2"/>
  <c r="AX63" i="2"/>
  <c r="AX64" i="2"/>
  <c r="AX65" i="2"/>
  <c r="AX66" i="2"/>
  <c r="AX67" i="2"/>
  <c r="AX68" i="2"/>
  <c r="AX69" i="2"/>
  <c r="AX70" i="2"/>
  <c r="AX71" i="2"/>
  <c r="AX72" i="2"/>
  <c r="AX73" i="2"/>
  <c r="AX74" i="2"/>
  <c r="AX75" i="2"/>
  <c r="AX76" i="2"/>
  <c r="AX77" i="2"/>
  <c r="AX78" i="2"/>
  <c r="AX79" i="2"/>
  <c r="AX80" i="2"/>
  <c r="AX115" i="2"/>
  <c r="AX116" i="2"/>
  <c r="AX81" i="2"/>
  <c r="AX82" i="2"/>
  <c r="AX83" i="2"/>
  <c r="AX84" i="2"/>
  <c r="AX85" i="2"/>
  <c r="AX86" i="2"/>
  <c r="AX87" i="2"/>
  <c r="AX88" i="2"/>
  <c r="AX89" i="2"/>
  <c r="AX90" i="2"/>
  <c r="AX91" i="2"/>
  <c r="AX92" i="2"/>
  <c r="AX93" i="2"/>
  <c r="AX94" i="2"/>
  <c r="AX95" i="2"/>
  <c r="AX96" i="2"/>
  <c r="AX97" i="2"/>
  <c r="AX98" i="2"/>
  <c r="AX99" i="2"/>
  <c r="AX100" i="2"/>
  <c r="AX101" i="2"/>
  <c r="AX102" i="2"/>
  <c r="AX103" i="2"/>
  <c r="AW117" i="2"/>
  <c r="AX56" i="2"/>
  <c r="AX55" i="2"/>
  <c r="AX54" i="2"/>
  <c r="AY54" i="2" s="1"/>
  <c r="AY104" i="2" l="1"/>
  <c r="AY105" i="2"/>
  <c r="AY106" i="2"/>
  <c r="AY107" i="2"/>
  <c r="AY108" i="2"/>
  <c r="AY109" i="2"/>
  <c r="AY110" i="2"/>
  <c r="AY111" i="2"/>
  <c r="AY112" i="2"/>
  <c r="AY113" i="2"/>
  <c r="AY114" i="2"/>
  <c r="AY115" i="2"/>
  <c r="AY11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AY82" i="2"/>
  <c r="AY83" i="2"/>
  <c r="AY84" i="2"/>
  <c r="AY85" i="2"/>
  <c r="AY86" i="2"/>
  <c r="AY87" i="2"/>
  <c r="AY88" i="2"/>
  <c r="AY89" i="2"/>
  <c r="AY90" i="2"/>
  <c r="AY91" i="2"/>
  <c r="AY92" i="2"/>
  <c r="AY93" i="2"/>
  <c r="AY94" i="2"/>
  <c r="AY95" i="2"/>
  <c r="AY96" i="2"/>
  <c r="AY97" i="2"/>
  <c r="AY98" i="2"/>
  <c r="AY99" i="2"/>
  <c r="AY100" i="2"/>
  <c r="AY101" i="2"/>
  <c r="AY102" i="2"/>
  <c r="AY103" i="2"/>
  <c r="AX117" i="2"/>
  <c r="AY55" i="2"/>
  <c r="AZ55" i="2" s="1"/>
  <c r="AY56" i="2"/>
  <c r="AZ56" i="2" l="1"/>
  <c r="BA56" i="2" s="1"/>
  <c r="AZ116" i="2"/>
  <c r="AZ104" i="2"/>
  <c r="AZ105" i="2"/>
  <c r="AZ106" i="2"/>
  <c r="AZ107" i="2"/>
  <c r="AZ108" i="2"/>
  <c r="AZ109" i="2"/>
  <c r="AZ110" i="2"/>
  <c r="AZ111" i="2"/>
  <c r="AZ112" i="2"/>
  <c r="AZ113" i="2"/>
  <c r="AZ57" i="2"/>
  <c r="AZ58" i="2"/>
  <c r="AZ59" i="2"/>
  <c r="AZ60" i="2"/>
  <c r="AZ61" i="2"/>
  <c r="AZ62" i="2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114" i="2"/>
  <c r="AZ115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AZ99" i="2"/>
  <c r="AZ100" i="2"/>
  <c r="AZ101" i="2"/>
  <c r="AZ102" i="2"/>
  <c r="AZ103" i="2"/>
  <c r="AY117" i="2"/>
  <c r="BA63" i="2" l="1"/>
  <c r="BA65" i="2"/>
  <c r="BA67" i="2"/>
  <c r="BA69" i="2"/>
  <c r="BA71" i="2"/>
  <c r="BA73" i="2"/>
  <c r="BA75" i="2"/>
  <c r="BA77" i="2"/>
  <c r="BA79" i="2"/>
  <c r="BA81" i="2"/>
  <c r="BA83" i="2"/>
  <c r="BA85" i="2"/>
  <c r="BA87" i="2"/>
  <c r="BA89" i="2"/>
  <c r="BA91" i="2"/>
  <c r="BA93" i="2"/>
  <c r="BA95" i="2"/>
  <c r="BA97" i="2"/>
  <c r="BA99" i="2"/>
  <c r="BA101" i="2"/>
  <c r="BA103" i="2"/>
  <c r="BA105" i="2"/>
  <c r="BA107" i="2"/>
  <c r="BA109" i="2"/>
  <c r="BA111" i="2"/>
  <c r="BA113" i="2"/>
  <c r="BA115" i="2"/>
  <c r="BA58" i="2"/>
  <c r="BA60" i="2"/>
  <c r="BA62" i="2"/>
  <c r="BA64" i="2"/>
  <c r="BA66" i="2"/>
  <c r="BA68" i="2"/>
  <c r="BA70" i="2"/>
  <c r="BA72" i="2"/>
  <c r="BA74" i="2"/>
  <c r="BA76" i="2"/>
  <c r="BA78" i="2"/>
  <c r="BA80" i="2"/>
  <c r="BA82" i="2"/>
  <c r="BA84" i="2"/>
  <c r="BA86" i="2"/>
  <c r="BA88" i="2"/>
  <c r="BA90" i="2"/>
  <c r="BA92" i="2"/>
  <c r="BA94" i="2"/>
  <c r="BA96" i="2"/>
  <c r="BA98" i="2"/>
  <c r="BA100" i="2"/>
  <c r="BA102" i="2"/>
  <c r="BA104" i="2"/>
  <c r="BA106" i="2"/>
  <c r="BA108" i="2"/>
  <c r="BA110" i="2"/>
  <c r="BA112" i="2"/>
  <c r="BA114" i="2"/>
  <c r="BA116" i="2"/>
  <c r="BA59" i="2"/>
  <c r="BA61" i="2"/>
  <c r="BA57" i="2"/>
  <c r="BB57" i="2" s="1"/>
  <c r="AZ117" i="2"/>
  <c r="BB59" i="2" l="1"/>
  <c r="BB61" i="2"/>
  <c r="BB63" i="2"/>
  <c r="BB65" i="2"/>
  <c r="BB67" i="2"/>
  <c r="BB69" i="2"/>
  <c r="BB71" i="2"/>
  <c r="BB73" i="2"/>
  <c r="BB75" i="2"/>
  <c r="BB77" i="2"/>
  <c r="BB79" i="2"/>
  <c r="BB81" i="2"/>
  <c r="BB83" i="2"/>
  <c r="BB85" i="2"/>
  <c r="BB87" i="2"/>
  <c r="BB89" i="2"/>
  <c r="BB91" i="2"/>
  <c r="BB93" i="2"/>
  <c r="BB95" i="2"/>
  <c r="BB97" i="2"/>
  <c r="BB99" i="2"/>
  <c r="BB101" i="2"/>
  <c r="BB103" i="2"/>
  <c r="BB105" i="2"/>
  <c r="BB107" i="2"/>
  <c r="BB109" i="2"/>
  <c r="BB111" i="2"/>
  <c r="BB113" i="2"/>
  <c r="BB115" i="2"/>
  <c r="BB58" i="2"/>
  <c r="BC58" i="2" s="1"/>
  <c r="BB60" i="2"/>
  <c r="BB62" i="2"/>
  <c r="BB64" i="2"/>
  <c r="BB66" i="2"/>
  <c r="BB68" i="2"/>
  <c r="BB70" i="2"/>
  <c r="BB72" i="2"/>
  <c r="BB74" i="2"/>
  <c r="BB76" i="2"/>
  <c r="BB78" i="2"/>
  <c r="BB80" i="2"/>
  <c r="BB82" i="2"/>
  <c r="BB84" i="2"/>
  <c r="BB86" i="2"/>
  <c r="BB88" i="2"/>
  <c r="BB90" i="2"/>
  <c r="BB92" i="2"/>
  <c r="BB94" i="2"/>
  <c r="BB96" i="2"/>
  <c r="BB98" i="2"/>
  <c r="BB100" i="2"/>
  <c r="BB102" i="2"/>
  <c r="BB104" i="2"/>
  <c r="BB106" i="2"/>
  <c r="BB108" i="2"/>
  <c r="BB110" i="2"/>
  <c r="BB112" i="2"/>
  <c r="BB114" i="2"/>
  <c r="BB116" i="2"/>
  <c r="BA117" i="2"/>
  <c r="BB117" i="2" l="1"/>
  <c r="U17" i="1"/>
  <c r="X16" i="1"/>
  <c r="X17" i="1"/>
  <c r="V17" i="1"/>
  <c r="X15" i="1"/>
  <c r="W15" i="1"/>
  <c r="V15" i="1"/>
  <c r="V16" i="1"/>
  <c r="U16" i="1"/>
  <c r="BC60" i="2"/>
  <c r="BC62" i="2"/>
  <c r="BC64" i="2"/>
  <c r="BC66" i="2"/>
  <c r="BC68" i="2"/>
  <c r="BC70" i="2"/>
  <c r="BC72" i="2"/>
  <c r="BC74" i="2"/>
  <c r="BC76" i="2"/>
  <c r="BC78" i="2"/>
  <c r="BC80" i="2"/>
  <c r="BC82" i="2"/>
  <c r="BC84" i="2"/>
  <c r="BC86" i="2"/>
  <c r="BC88" i="2"/>
  <c r="BC90" i="2"/>
  <c r="BC92" i="2"/>
  <c r="BC94" i="2"/>
  <c r="BC96" i="2"/>
  <c r="BC98" i="2"/>
  <c r="BC100" i="2"/>
  <c r="BC102" i="2"/>
  <c r="BC104" i="2"/>
  <c r="BC106" i="2"/>
  <c r="BC108" i="2"/>
  <c r="BC110" i="2"/>
  <c r="BC112" i="2"/>
  <c r="BC114" i="2"/>
  <c r="BC116" i="2"/>
  <c r="BC61" i="2"/>
  <c r="BC63" i="2"/>
  <c r="BC65" i="2"/>
  <c r="BC67" i="2"/>
  <c r="BC69" i="2"/>
  <c r="BC71" i="2"/>
  <c r="BC73" i="2"/>
  <c r="BC75" i="2"/>
  <c r="BC77" i="2"/>
  <c r="BC79" i="2"/>
  <c r="BC81" i="2"/>
  <c r="BC83" i="2"/>
  <c r="BC85" i="2"/>
  <c r="BC87" i="2"/>
  <c r="BC89" i="2"/>
  <c r="BC91" i="2"/>
  <c r="BC93" i="2"/>
  <c r="BC95" i="2"/>
  <c r="BC97" i="2"/>
  <c r="BC99" i="2"/>
  <c r="BC101" i="2"/>
  <c r="BC103" i="2"/>
  <c r="BC105" i="2"/>
  <c r="BC107" i="2"/>
  <c r="BC109" i="2"/>
  <c r="BC111" i="2"/>
  <c r="BC113" i="2"/>
  <c r="BC115" i="2"/>
  <c r="BC59" i="2"/>
  <c r="BD59" i="2" s="1"/>
  <c r="EB33" i="2" l="1"/>
  <c r="W17" i="1"/>
  <c r="W16" i="1"/>
  <c r="BD61" i="2"/>
  <c r="BD63" i="2"/>
  <c r="BD65" i="2"/>
  <c r="BD67" i="2"/>
  <c r="BD69" i="2"/>
  <c r="BD71" i="2"/>
  <c r="BD73" i="2"/>
  <c r="BD75" i="2"/>
  <c r="BD77" i="2"/>
  <c r="BD79" i="2"/>
  <c r="BD81" i="2"/>
  <c r="BD83" i="2"/>
  <c r="BD85" i="2"/>
  <c r="BD87" i="2"/>
  <c r="BD89" i="2"/>
  <c r="BD91" i="2"/>
  <c r="BD93" i="2"/>
  <c r="BD95" i="2"/>
  <c r="BD97" i="2"/>
  <c r="BD99" i="2"/>
  <c r="BD101" i="2"/>
  <c r="BD103" i="2"/>
  <c r="BD105" i="2"/>
  <c r="BD107" i="2"/>
  <c r="BD109" i="2"/>
  <c r="BD111" i="2"/>
  <c r="BD113" i="2"/>
  <c r="BD115" i="2"/>
  <c r="BD62" i="2"/>
  <c r="BD64" i="2"/>
  <c r="BD66" i="2"/>
  <c r="BD68" i="2"/>
  <c r="BD70" i="2"/>
  <c r="BD72" i="2"/>
  <c r="BD74" i="2"/>
  <c r="BD76" i="2"/>
  <c r="BD78" i="2"/>
  <c r="BD80" i="2"/>
  <c r="BD82" i="2"/>
  <c r="BD84" i="2"/>
  <c r="BD86" i="2"/>
  <c r="BD88" i="2"/>
  <c r="BD90" i="2"/>
  <c r="BD92" i="2"/>
  <c r="BD94" i="2"/>
  <c r="BD96" i="2"/>
  <c r="BD98" i="2"/>
  <c r="BD100" i="2"/>
  <c r="BD102" i="2"/>
  <c r="BD104" i="2"/>
  <c r="BD106" i="2"/>
  <c r="BD108" i="2"/>
  <c r="BD110" i="2"/>
  <c r="BD112" i="2"/>
  <c r="BD114" i="2"/>
  <c r="BD116" i="2"/>
  <c r="BD60" i="2"/>
  <c r="BE60" i="2" s="1"/>
  <c r="BC117" i="2"/>
  <c r="EC2" i="2"/>
  <c r="DV2" i="2"/>
  <c r="EC33" i="2" l="1"/>
  <c r="DV33" i="2"/>
  <c r="BD117" i="2"/>
  <c r="BE63" i="2"/>
  <c r="BE65" i="2"/>
  <c r="BE67" i="2"/>
  <c r="BE69" i="2"/>
  <c r="BE71" i="2"/>
  <c r="BE73" i="2"/>
  <c r="BE75" i="2"/>
  <c r="BE77" i="2"/>
  <c r="BE79" i="2"/>
  <c r="BE62" i="2"/>
  <c r="BE64" i="2"/>
  <c r="BE66" i="2"/>
  <c r="BE68" i="2"/>
  <c r="BE70" i="2"/>
  <c r="BE72" i="2"/>
  <c r="BE74" i="2"/>
  <c r="BE76" i="2"/>
  <c r="BE78" i="2"/>
  <c r="BE81" i="2"/>
  <c r="BE83" i="2"/>
  <c r="BE85" i="2"/>
  <c r="BE87" i="2"/>
  <c r="BE89" i="2"/>
  <c r="BE91" i="2"/>
  <c r="BE93" i="2"/>
  <c r="BE95" i="2"/>
  <c r="BE97" i="2"/>
  <c r="BE99" i="2"/>
  <c r="BE101" i="2"/>
  <c r="BE103" i="2"/>
  <c r="BE105" i="2"/>
  <c r="BE107" i="2"/>
  <c r="BE109" i="2"/>
  <c r="BE111" i="2"/>
  <c r="BE113" i="2"/>
  <c r="BE115" i="2"/>
  <c r="BE61" i="2"/>
  <c r="BF61" i="2" s="1"/>
  <c r="BE80" i="2"/>
  <c r="BE82" i="2"/>
  <c r="BE84" i="2"/>
  <c r="BE86" i="2"/>
  <c r="BE88" i="2"/>
  <c r="BE90" i="2"/>
  <c r="BE92" i="2"/>
  <c r="BE94" i="2"/>
  <c r="BE96" i="2"/>
  <c r="BE98" i="2"/>
  <c r="BE100" i="2"/>
  <c r="BE102" i="2"/>
  <c r="BE104" i="2"/>
  <c r="BE106" i="2"/>
  <c r="BE108" i="2"/>
  <c r="BE110" i="2"/>
  <c r="BE112" i="2"/>
  <c r="BE114" i="2"/>
  <c r="BE116" i="2"/>
  <c r="X13" i="1"/>
  <c r="W13" i="1"/>
  <c r="V13" i="1"/>
  <c r="U13" i="1"/>
  <c r="N25" i="27" l="1"/>
  <c r="DT33" i="2"/>
  <c r="BE117" i="2"/>
  <c r="BF64" i="2"/>
  <c r="BF66" i="2"/>
  <c r="BF68" i="2"/>
  <c r="BF70" i="2"/>
  <c r="BF72" i="2"/>
  <c r="BF74" i="2"/>
  <c r="BF76" i="2"/>
  <c r="BF78" i="2"/>
  <c r="BF80" i="2"/>
  <c r="BF82" i="2"/>
  <c r="BF84" i="2"/>
  <c r="BF86" i="2"/>
  <c r="BF88" i="2"/>
  <c r="BF90" i="2"/>
  <c r="BF92" i="2"/>
  <c r="BF94" i="2"/>
  <c r="BF96" i="2"/>
  <c r="BF98" i="2"/>
  <c r="BF100" i="2"/>
  <c r="BF102" i="2"/>
  <c r="BF104" i="2"/>
  <c r="BF106" i="2"/>
  <c r="BF108" i="2"/>
  <c r="BF110" i="2"/>
  <c r="BF112" i="2"/>
  <c r="BF114" i="2"/>
  <c r="BF116" i="2"/>
  <c r="BF63" i="2"/>
  <c r="BF65" i="2"/>
  <c r="BF67" i="2"/>
  <c r="BF69" i="2"/>
  <c r="BF71" i="2"/>
  <c r="BF73" i="2"/>
  <c r="BF75" i="2"/>
  <c r="BF77" i="2"/>
  <c r="BF79" i="2"/>
  <c r="BF81" i="2"/>
  <c r="BF83" i="2"/>
  <c r="BF85" i="2"/>
  <c r="BF87" i="2"/>
  <c r="BF89" i="2"/>
  <c r="BF91" i="2"/>
  <c r="BF93" i="2"/>
  <c r="BF95" i="2"/>
  <c r="BF97" i="2"/>
  <c r="BF99" i="2"/>
  <c r="BF101" i="2"/>
  <c r="BF103" i="2"/>
  <c r="BF105" i="2"/>
  <c r="BF107" i="2"/>
  <c r="BF109" i="2"/>
  <c r="BF111" i="2"/>
  <c r="BF113" i="2"/>
  <c r="BF115" i="2"/>
  <c r="BF62" i="2"/>
  <c r="BG62" i="2" s="1"/>
  <c r="EB23" i="2"/>
  <c r="EB26" i="2"/>
  <c r="EB24" i="2"/>
  <c r="EB20" i="2"/>
  <c r="EC24" i="2" l="1"/>
  <c r="EC23" i="2"/>
  <c r="T15" i="27" s="1"/>
  <c r="EC20" i="2"/>
  <c r="T12" i="27" s="1"/>
  <c r="EC26" i="2"/>
  <c r="EB17" i="2"/>
  <c r="EB21" i="2"/>
  <c r="BF117" i="2"/>
  <c r="BG64" i="2"/>
  <c r="BG66" i="2"/>
  <c r="BG68" i="2"/>
  <c r="BG70" i="2"/>
  <c r="BG72" i="2"/>
  <c r="BG74" i="2"/>
  <c r="BG76" i="2"/>
  <c r="BG78" i="2"/>
  <c r="BG80" i="2"/>
  <c r="BG82" i="2"/>
  <c r="BG84" i="2"/>
  <c r="BG86" i="2"/>
  <c r="BG88" i="2"/>
  <c r="BG90" i="2"/>
  <c r="BG92" i="2"/>
  <c r="BG94" i="2"/>
  <c r="BG96" i="2"/>
  <c r="BG98" i="2"/>
  <c r="BG100" i="2"/>
  <c r="BG102" i="2"/>
  <c r="BG104" i="2"/>
  <c r="BG106" i="2"/>
  <c r="BG108" i="2"/>
  <c r="BG110" i="2"/>
  <c r="BG112" i="2"/>
  <c r="BG114" i="2"/>
  <c r="BG116" i="2"/>
  <c r="BG65" i="2"/>
  <c r="BG67" i="2"/>
  <c r="BG69" i="2"/>
  <c r="BG71" i="2"/>
  <c r="BG73" i="2"/>
  <c r="BG75" i="2"/>
  <c r="BG77" i="2"/>
  <c r="BG79" i="2"/>
  <c r="BG81" i="2"/>
  <c r="BG83" i="2"/>
  <c r="BG85" i="2"/>
  <c r="BG87" i="2"/>
  <c r="BG89" i="2"/>
  <c r="BG91" i="2"/>
  <c r="BG93" i="2"/>
  <c r="BG95" i="2"/>
  <c r="BG97" i="2"/>
  <c r="BG99" i="2"/>
  <c r="BG101" i="2"/>
  <c r="BG103" i="2"/>
  <c r="BG105" i="2"/>
  <c r="BG107" i="2"/>
  <c r="BG109" i="2"/>
  <c r="BG111" i="2"/>
  <c r="BG113" i="2"/>
  <c r="BG115" i="2"/>
  <c r="BG63" i="2"/>
  <c r="BH63" i="2" s="1"/>
  <c r="EB25" i="2"/>
  <c r="DV22" i="2"/>
  <c r="DV20" i="2"/>
  <c r="EB19" i="2"/>
  <c r="EB18" i="2"/>
  <c r="EB27" i="2"/>
  <c r="EB22" i="2"/>
  <c r="DV17" i="2"/>
  <c r="DV21" i="2"/>
  <c r="DV23" i="2"/>
  <c r="DV25" i="2"/>
  <c r="N13" i="27" l="1"/>
  <c r="N12" i="27"/>
  <c r="N17" i="27"/>
  <c r="N15" i="27"/>
  <c r="N14" i="27"/>
  <c r="N9" i="27"/>
  <c r="EC17" i="2"/>
  <c r="T9" i="27" s="1"/>
  <c r="DT20" i="2"/>
  <c r="DT23" i="2"/>
  <c r="EC27" i="2"/>
  <c r="EC19" i="2"/>
  <c r="T11" i="27" s="1"/>
  <c r="EC22" i="2"/>
  <c r="EC18" i="2"/>
  <c r="T10" i="27" s="1"/>
  <c r="EC25" i="2"/>
  <c r="EC21" i="2"/>
  <c r="T13" i="27" s="1"/>
  <c r="DV19" i="2"/>
  <c r="N11" i="27" s="1"/>
  <c r="DV27" i="2"/>
  <c r="DV18" i="2"/>
  <c r="DV24" i="2"/>
  <c r="BG117" i="2"/>
  <c r="BH65" i="2"/>
  <c r="BH67" i="2"/>
  <c r="BH69" i="2"/>
  <c r="BH71" i="2"/>
  <c r="BH73" i="2"/>
  <c r="BH75" i="2"/>
  <c r="BH77" i="2"/>
  <c r="BH79" i="2"/>
  <c r="BH81" i="2"/>
  <c r="BH83" i="2"/>
  <c r="BH85" i="2"/>
  <c r="BH87" i="2"/>
  <c r="BH89" i="2"/>
  <c r="BH91" i="2"/>
  <c r="BH93" i="2"/>
  <c r="BH95" i="2"/>
  <c r="BH97" i="2"/>
  <c r="BH99" i="2"/>
  <c r="BH101" i="2"/>
  <c r="BH103" i="2"/>
  <c r="BH105" i="2"/>
  <c r="BH107" i="2"/>
  <c r="BH109" i="2"/>
  <c r="BH111" i="2"/>
  <c r="BH113" i="2"/>
  <c r="BH115" i="2"/>
  <c r="BH66" i="2"/>
  <c r="BH68" i="2"/>
  <c r="BH70" i="2"/>
  <c r="BH72" i="2"/>
  <c r="BH74" i="2"/>
  <c r="BH76" i="2"/>
  <c r="BH78" i="2"/>
  <c r="BH80" i="2"/>
  <c r="BH82" i="2"/>
  <c r="BH84" i="2"/>
  <c r="BH86" i="2"/>
  <c r="BH88" i="2"/>
  <c r="BH90" i="2"/>
  <c r="BH92" i="2"/>
  <c r="BH94" i="2"/>
  <c r="BH96" i="2"/>
  <c r="BH98" i="2"/>
  <c r="BH100" i="2"/>
  <c r="BH102" i="2"/>
  <c r="BH104" i="2"/>
  <c r="BH106" i="2"/>
  <c r="BH108" i="2"/>
  <c r="BH110" i="2"/>
  <c r="BH112" i="2"/>
  <c r="BH114" i="2"/>
  <c r="BH116" i="2"/>
  <c r="BH64" i="2"/>
  <c r="BI64" i="2" s="1"/>
  <c r="DV26" i="2"/>
  <c r="N10" i="27" l="1"/>
  <c r="N19" i="27"/>
  <c r="N16" i="27"/>
  <c r="N18" i="27"/>
  <c r="EC117" i="2"/>
  <c r="DT21" i="2"/>
  <c r="DT17" i="2"/>
  <c r="DT25" i="2"/>
  <c r="DT22" i="2"/>
  <c r="DT18" i="2"/>
  <c r="DT27" i="2"/>
  <c r="DT26" i="2"/>
  <c r="DT19" i="2"/>
  <c r="DT24" i="2"/>
  <c r="DV117" i="2"/>
  <c r="BH117" i="2"/>
  <c r="BI67" i="2"/>
  <c r="BI69" i="2"/>
  <c r="BI71" i="2"/>
  <c r="BI73" i="2"/>
  <c r="BI75" i="2"/>
  <c r="BI77" i="2"/>
  <c r="BI79" i="2"/>
  <c r="BI81" i="2"/>
  <c r="BI83" i="2"/>
  <c r="BI85" i="2"/>
  <c r="BI87" i="2"/>
  <c r="BI89" i="2"/>
  <c r="BI91" i="2"/>
  <c r="BI93" i="2"/>
  <c r="BI95" i="2"/>
  <c r="BI97" i="2"/>
  <c r="BI99" i="2"/>
  <c r="BI101" i="2"/>
  <c r="BI103" i="2"/>
  <c r="BI105" i="2"/>
  <c r="BI107" i="2"/>
  <c r="BI109" i="2"/>
  <c r="BI111" i="2"/>
  <c r="BI113" i="2"/>
  <c r="BI115" i="2"/>
  <c r="BI66" i="2"/>
  <c r="BI68" i="2"/>
  <c r="BI70" i="2"/>
  <c r="BI72" i="2"/>
  <c r="BI74" i="2"/>
  <c r="BI76" i="2"/>
  <c r="BI78" i="2"/>
  <c r="BI80" i="2"/>
  <c r="BI82" i="2"/>
  <c r="BI84" i="2"/>
  <c r="BI86" i="2"/>
  <c r="BI88" i="2"/>
  <c r="BI90" i="2"/>
  <c r="BI92" i="2"/>
  <c r="BI94" i="2"/>
  <c r="BI96" i="2"/>
  <c r="BI98" i="2"/>
  <c r="BI100" i="2"/>
  <c r="BI102" i="2"/>
  <c r="BI104" i="2"/>
  <c r="BI106" i="2"/>
  <c r="BI108" i="2"/>
  <c r="BI110" i="2"/>
  <c r="BI112" i="2"/>
  <c r="BI114" i="2"/>
  <c r="BI116" i="2"/>
  <c r="BI65" i="2"/>
  <c r="BJ65" i="2" s="1"/>
  <c r="N98" i="27" l="1"/>
  <c r="N127" i="27"/>
  <c r="N49" i="27"/>
  <c r="T127" i="27"/>
  <c r="T98" i="27"/>
  <c r="T49" i="27"/>
  <c r="EC16" i="2"/>
  <c r="DV16" i="2"/>
  <c r="BI117" i="2"/>
  <c r="BJ68" i="2"/>
  <c r="BJ70" i="2"/>
  <c r="BJ72" i="2"/>
  <c r="BJ74" i="2"/>
  <c r="BJ76" i="2"/>
  <c r="BJ78" i="2"/>
  <c r="BJ80" i="2"/>
  <c r="BJ82" i="2"/>
  <c r="BJ84" i="2"/>
  <c r="BJ86" i="2"/>
  <c r="BJ88" i="2"/>
  <c r="BJ90" i="2"/>
  <c r="BJ92" i="2"/>
  <c r="BJ94" i="2"/>
  <c r="BJ96" i="2"/>
  <c r="BJ98" i="2"/>
  <c r="BJ100" i="2"/>
  <c r="BJ102" i="2"/>
  <c r="BJ104" i="2"/>
  <c r="BJ106" i="2"/>
  <c r="BJ108" i="2"/>
  <c r="BJ110" i="2"/>
  <c r="BJ112" i="2"/>
  <c r="BJ114" i="2"/>
  <c r="BJ116" i="2"/>
  <c r="BJ67" i="2"/>
  <c r="BJ69" i="2"/>
  <c r="BJ71" i="2"/>
  <c r="BJ73" i="2"/>
  <c r="BJ75" i="2"/>
  <c r="BJ77" i="2"/>
  <c r="BJ79" i="2"/>
  <c r="BJ81" i="2"/>
  <c r="BJ83" i="2"/>
  <c r="BJ85" i="2"/>
  <c r="BJ87" i="2"/>
  <c r="BJ89" i="2"/>
  <c r="BJ91" i="2"/>
  <c r="BJ93" i="2"/>
  <c r="BJ95" i="2"/>
  <c r="BJ97" i="2"/>
  <c r="BJ99" i="2"/>
  <c r="BJ101" i="2"/>
  <c r="BJ103" i="2"/>
  <c r="BJ105" i="2"/>
  <c r="BJ107" i="2"/>
  <c r="BJ109" i="2"/>
  <c r="BJ111" i="2"/>
  <c r="BJ113" i="2"/>
  <c r="BJ115" i="2"/>
  <c r="BJ66" i="2"/>
  <c r="BK66" i="2" s="1"/>
  <c r="BJ117" i="2" l="1"/>
  <c r="BK68" i="2"/>
  <c r="BK70" i="2"/>
  <c r="BK72" i="2"/>
  <c r="BK74" i="2"/>
  <c r="BK76" i="2"/>
  <c r="BK78" i="2"/>
  <c r="BK80" i="2"/>
  <c r="BK82" i="2"/>
  <c r="BK84" i="2"/>
  <c r="BK86" i="2"/>
  <c r="BK88" i="2"/>
  <c r="BK90" i="2"/>
  <c r="BK92" i="2"/>
  <c r="BK94" i="2"/>
  <c r="BK96" i="2"/>
  <c r="BK98" i="2"/>
  <c r="BK100" i="2"/>
  <c r="BK102" i="2"/>
  <c r="BK104" i="2"/>
  <c r="BK106" i="2"/>
  <c r="BK108" i="2"/>
  <c r="BK110" i="2"/>
  <c r="BK112" i="2"/>
  <c r="BK114" i="2"/>
  <c r="BK116" i="2"/>
  <c r="BK69" i="2"/>
  <c r="BK71" i="2"/>
  <c r="BK73" i="2"/>
  <c r="BK75" i="2"/>
  <c r="BK77" i="2"/>
  <c r="BK79" i="2"/>
  <c r="BK81" i="2"/>
  <c r="BK83" i="2"/>
  <c r="BK85" i="2"/>
  <c r="BK87" i="2"/>
  <c r="BK89" i="2"/>
  <c r="BK91" i="2"/>
  <c r="BK93" i="2"/>
  <c r="BK95" i="2"/>
  <c r="BK97" i="2"/>
  <c r="BK99" i="2"/>
  <c r="BK101" i="2"/>
  <c r="BK103" i="2"/>
  <c r="BK105" i="2"/>
  <c r="BK107" i="2"/>
  <c r="BK109" i="2"/>
  <c r="BK111" i="2"/>
  <c r="BK113" i="2"/>
  <c r="BK115" i="2"/>
  <c r="BK67" i="2"/>
  <c r="BL67" i="2" s="1"/>
  <c r="BK117" i="2" l="1"/>
  <c r="BL69" i="2"/>
  <c r="BL71" i="2"/>
  <c r="BL73" i="2"/>
  <c r="BL75" i="2"/>
  <c r="BL77" i="2"/>
  <c r="BL79" i="2"/>
  <c r="BL81" i="2"/>
  <c r="BL83" i="2"/>
  <c r="BL85" i="2"/>
  <c r="BL87" i="2"/>
  <c r="BL89" i="2"/>
  <c r="BL91" i="2"/>
  <c r="BL93" i="2"/>
  <c r="BL95" i="2"/>
  <c r="BL97" i="2"/>
  <c r="BL99" i="2"/>
  <c r="BL101" i="2"/>
  <c r="BL103" i="2"/>
  <c r="BL105" i="2"/>
  <c r="BL107" i="2"/>
  <c r="BL109" i="2"/>
  <c r="BL111" i="2"/>
  <c r="BL113" i="2"/>
  <c r="BL115" i="2"/>
  <c r="BL70" i="2"/>
  <c r="BL72" i="2"/>
  <c r="BL74" i="2"/>
  <c r="BL76" i="2"/>
  <c r="BL78" i="2"/>
  <c r="BL80" i="2"/>
  <c r="BL82" i="2"/>
  <c r="BL84" i="2"/>
  <c r="BL86" i="2"/>
  <c r="BL88" i="2"/>
  <c r="BL90" i="2"/>
  <c r="BL92" i="2"/>
  <c r="BL94" i="2"/>
  <c r="BL96" i="2"/>
  <c r="BL98" i="2"/>
  <c r="BL100" i="2"/>
  <c r="BL102" i="2"/>
  <c r="BL104" i="2"/>
  <c r="BL106" i="2"/>
  <c r="BL108" i="2"/>
  <c r="BL110" i="2"/>
  <c r="BL112" i="2"/>
  <c r="BL114" i="2"/>
  <c r="BL116" i="2"/>
  <c r="BL68" i="2"/>
  <c r="BM68" i="2" s="1"/>
  <c r="BL117" i="2" l="1"/>
  <c r="BM71" i="2"/>
  <c r="BM73" i="2"/>
  <c r="BM75" i="2"/>
  <c r="BM77" i="2"/>
  <c r="BM79" i="2"/>
  <c r="BM81" i="2"/>
  <c r="BM83" i="2"/>
  <c r="BM85" i="2"/>
  <c r="BM87" i="2"/>
  <c r="BM89" i="2"/>
  <c r="BM91" i="2"/>
  <c r="BM93" i="2"/>
  <c r="BM95" i="2"/>
  <c r="BM97" i="2"/>
  <c r="BM99" i="2"/>
  <c r="BM101" i="2"/>
  <c r="BM103" i="2"/>
  <c r="BM105" i="2"/>
  <c r="BM107" i="2"/>
  <c r="BM109" i="2"/>
  <c r="BM111" i="2"/>
  <c r="BM113" i="2"/>
  <c r="BM115" i="2"/>
  <c r="BM70" i="2"/>
  <c r="BM72" i="2"/>
  <c r="BM74" i="2"/>
  <c r="BM76" i="2"/>
  <c r="BM78" i="2"/>
  <c r="BM80" i="2"/>
  <c r="BM82" i="2"/>
  <c r="BM84" i="2"/>
  <c r="BM86" i="2"/>
  <c r="BM88" i="2"/>
  <c r="BM90" i="2"/>
  <c r="BM92" i="2"/>
  <c r="BM94" i="2"/>
  <c r="BM96" i="2"/>
  <c r="BM98" i="2"/>
  <c r="BM100" i="2"/>
  <c r="BM102" i="2"/>
  <c r="BM104" i="2"/>
  <c r="BM106" i="2"/>
  <c r="BM108" i="2"/>
  <c r="BM110" i="2"/>
  <c r="BM112" i="2"/>
  <c r="BM114" i="2"/>
  <c r="BM116" i="2"/>
  <c r="BM69" i="2"/>
  <c r="BN69" i="2" s="1"/>
  <c r="BM117" i="2" l="1"/>
  <c r="BN72" i="2"/>
  <c r="BN74" i="2"/>
  <c r="BN76" i="2"/>
  <c r="BN78" i="2"/>
  <c r="BN80" i="2"/>
  <c r="BN82" i="2"/>
  <c r="BN84" i="2"/>
  <c r="BN86" i="2"/>
  <c r="BN88" i="2"/>
  <c r="BN90" i="2"/>
  <c r="BN92" i="2"/>
  <c r="BN94" i="2"/>
  <c r="BN96" i="2"/>
  <c r="BN98" i="2"/>
  <c r="BN100" i="2"/>
  <c r="BN102" i="2"/>
  <c r="BN104" i="2"/>
  <c r="BN106" i="2"/>
  <c r="BN108" i="2"/>
  <c r="BN110" i="2"/>
  <c r="BN112" i="2"/>
  <c r="BN114" i="2"/>
  <c r="BN116" i="2"/>
  <c r="BN71" i="2"/>
  <c r="BN73" i="2"/>
  <c r="BN75" i="2"/>
  <c r="BN77" i="2"/>
  <c r="BN79" i="2"/>
  <c r="BN81" i="2"/>
  <c r="BN83" i="2"/>
  <c r="BN85" i="2"/>
  <c r="BN87" i="2"/>
  <c r="BN89" i="2"/>
  <c r="BN91" i="2"/>
  <c r="BN93" i="2"/>
  <c r="BN95" i="2"/>
  <c r="BN97" i="2"/>
  <c r="BN99" i="2"/>
  <c r="BN101" i="2"/>
  <c r="BN103" i="2"/>
  <c r="BN105" i="2"/>
  <c r="BN107" i="2"/>
  <c r="BN109" i="2"/>
  <c r="BN111" i="2"/>
  <c r="BN113" i="2"/>
  <c r="BN115" i="2"/>
  <c r="BN70" i="2"/>
  <c r="BO70" i="2" s="1"/>
  <c r="BN117" i="2" l="1"/>
  <c r="BO72" i="2"/>
  <c r="BO74" i="2"/>
  <c r="BO76" i="2"/>
  <c r="BO78" i="2"/>
  <c r="BO80" i="2"/>
  <c r="BO82" i="2"/>
  <c r="BO84" i="2"/>
  <c r="BO86" i="2"/>
  <c r="BO88" i="2"/>
  <c r="BO90" i="2"/>
  <c r="BO92" i="2"/>
  <c r="BO94" i="2"/>
  <c r="BO96" i="2"/>
  <c r="BO98" i="2"/>
  <c r="BO100" i="2"/>
  <c r="BO102" i="2"/>
  <c r="BO104" i="2"/>
  <c r="BO106" i="2"/>
  <c r="BO108" i="2"/>
  <c r="BO110" i="2"/>
  <c r="BO112" i="2"/>
  <c r="BO114" i="2"/>
  <c r="BO116" i="2"/>
  <c r="BO73" i="2"/>
  <c r="BO75" i="2"/>
  <c r="BO77" i="2"/>
  <c r="BO79" i="2"/>
  <c r="BO81" i="2"/>
  <c r="BO83" i="2"/>
  <c r="BO85" i="2"/>
  <c r="BO87" i="2"/>
  <c r="BO89" i="2"/>
  <c r="BO91" i="2"/>
  <c r="BO93" i="2"/>
  <c r="BO95" i="2"/>
  <c r="BO97" i="2"/>
  <c r="BO99" i="2"/>
  <c r="BO101" i="2"/>
  <c r="BO103" i="2"/>
  <c r="BO105" i="2"/>
  <c r="BO107" i="2"/>
  <c r="BO109" i="2"/>
  <c r="BO111" i="2"/>
  <c r="BO113" i="2"/>
  <c r="BO115" i="2"/>
  <c r="BO71" i="2"/>
  <c r="BP71" i="2" s="1"/>
  <c r="BP73" i="2" l="1"/>
  <c r="BP75" i="2"/>
  <c r="BP77" i="2"/>
  <c r="BP79" i="2"/>
  <c r="BP81" i="2"/>
  <c r="BP83" i="2"/>
  <c r="BP85" i="2"/>
  <c r="BP87" i="2"/>
  <c r="BP89" i="2"/>
  <c r="BP91" i="2"/>
  <c r="BP93" i="2"/>
  <c r="BP95" i="2"/>
  <c r="BP97" i="2"/>
  <c r="BP99" i="2"/>
  <c r="BP101" i="2"/>
  <c r="BP103" i="2"/>
  <c r="BP105" i="2"/>
  <c r="BP107" i="2"/>
  <c r="BP109" i="2"/>
  <c r="BP111" i="2"/>
  <c r="BP113" i="2"/>
  <c r="BP115" i="2"/>
  <c r="BP74" i="2"/>
  <c r="BP76" i="2"/>
  <c r="BP78" i="2"/>
  <c r="BP80" i="2"/>
  <c r="BP82" i="2"/>
  <c r="BP84" i="2"/>
  <c r="BP86" i="2"/>
  <c r="BP88" i="2"/>
  <c r="BP90" i="2"/>
  <c r="BP92" i="2"/>
  <c r="BP94" i="2"/>
  <c r="BP96" i="2"/>
  <c r="BP98" i="2"/>
  <c r="BP100" i="2"/>
  <c r="BP102" i="2"/>
  <c r="BP104" i="2"/>
  <c r="BP106" i="2"/>
  <c r="BP108" i="2"/>
  <c r="BP110" i="2"/>
  <c r="BP112" i="2"/>
  <c r="BP114" i="2"/>
  <c r="BP116" i="2"/>
  <c r="BP72" i="2"/>
  <c r="BQ72" i="2" s="1"/>
  <c r="BO117" i="2"/>
  <c r="BP117" i="2" l="1"/>
  <c r="BQ75" i="2"/>
  <c r="BQ77" i="2"/>
  <c r="BQ79" i="2"/>
  <c r="BQ81" i="2"/>
  <c r="BQ83" i="2"/>
  <c r="BQ85" i="2"/>
  <c r="BQ87" i="2"/>
  <c r="BQ89" i="2"/>
  <c r="BQ91" i="2"/>
  <c r="BQ93" i="2"/>
  <c r="BQ95" i="2"/>
  <c r="BQ97" i="2"/>
  <c r="BQ99" i="2"/>
  <c r="BQ101" i="2"/>
  <c r="BQ103" i="2"/>
  <c r="BQ105" i="2"/>
  <c r="BQ107" i="2"/>
  <c r="BQ109" i="2"/>
  <c r="BQ111" i="2"/>
  <c r="BQ113" i="2"/>
  <c r="BQ115" i="2"/>
  <c r="BQ74" i="2"/>
  <c r="BQ76" i="2"/>
  <c r="BQ78" i="2"/>
  <c r="BQ80" i="2"/>
  <c r="BQ82" i="2"/>
  <c r="BQ84" i="2"/>
  <c r="BQ86" i="2"/>
  <c r="BQ88" i="2"/>
  <c r="BQ90" i="2"/>
  <c r="BQ92" i="2"/>
  <c r="BQ94" i="2"/>
  <c r="BQ96" i="2"/>
  <c r="BQ98" i="2"/>
  <c r="BQ100" i="2"/>
  <c r="BQ102" i="2"/>
  <c r="BQ104" i="2"/>
  <c r="BQ106" i="2"/>
  <c r="BQ108" i="2"/>
  <c r="BQ110" i="2"/>
  <c r="BQ112" i="2"/>
  <c r="BQ114" i="2"/>
  <c r="BQ116" i="2"/>
  <c r="BQ73" i="2"/>
  <c r="BR73" i="2" s="1"/>
  <c r="BQ117" i="2" l="1"/>
  <c r="BR76" i="2"/>
  <c r="BR78" i="2"/>
  <c r="BR80" i="2"/>
  <c r="BR82" i="2"/>
  <c r="BR84" i="2"/>
  <c r="BR86" i="2"/>
  <c r="BR88" i="2"/>
  <c r="BR90" i="2"/>
  <c r="BR92" i="2"/>
  <c r="BR94" i="2"/>
  <c r="BR96" i="2"/>
  <c r="BR98" i="2"/>
  <c r="BR100" i="2"/>
  <c r="BR102" i="2"/>
  <c r="BR104" i="2"/>
  <c r="BR106" i="2"/>
  <c r="BR108" i="2"/>
  <c r="BR110" i="2"/>
  <c r="BR112" i="2"/>
  <c r="BR114" i="2"/>
  <c r="BR116" i="2"/>
  <c r="BR75" i="2"/>
  <c r="BR77" i="2"/>
  <c r="BR79" i="2"/>
  <c r="BR81" i="2"/>
  <c r="BR83" i="2"/>
  <c r="BR85" i="2"/>
  <c r="BR87" i="2"/>
  <c r="BR89" i="2"/>
  <c r="BR91" i="2"/>
  <c r="BR93" i="2"/>
  <c r="BR95" i="2"/>
  <c r="BR97" i="2"/>
  <c r="BR99" i="2"/>
  <c r="BR101" i="2"/>
  <c r="BR103" i="2"/>
  <c r="BR105" i="2"/>
  <c r="BR107" i="2"/>
  <c r="BR109" i="2"/>
  <c r="BR111" i="2"/>
  <c r="BR113" i="2"/>
  <c r="BR115" i="2"/>
  <c r="BR74" i="2"/>
  <c r="BS74" i="2" s="1"/>
  <c r="BR117" i="2" l="1"/>
  <c r="BS76" i="2"/>
  <c r="BS78" i="2"/>
  <c r="BS80" i="2"/>
  <c r="BS82" i="2"/>
  <c r="BS84" i="2"/>
  <c r="BS86" i="2"/>
  <c r="BS88" i="2"/>
  <c r="BS90" i="2"/>
  <c r="BS92" i="2"/>
  <c r="BS94" i="2"/>
  <c r="BS96" i="2"/>
  <c r="BS98" i="2"/>
  <c r="BS100" i="2"/>
  <c r="BS102" i="2"/>
  <c r="BS104" i="2"/>
  <c r="BS106" i="2"/>
  <c r="BS108" i="2"/>
  <c r="BS110" i="2"/>
  <c r="BS112" i="2"/>
  <c r="BS114" i="2"/>
  <c r="BS116" i="2"/>
  <c r="BS77" i="2"/>
  <c r="BS79" i="2"/>
  <c r="BS81" i="2"/>
  <c r="BS83" i="2"/>
  <c r="BS85" i="2"/>
  <c r="BS87" i="2"/>
  <c r="BS89" i="2"/>
  <c r="BS91" i="2"/>
  <c r="BS93" i="2"/>
  <c r="BS95" i="2"/>
  <c r="BS97" i="2"/>
  <c r="BS99" i="2"/>
  <c r="BS101" i="2"/>
  <c r="BS103" i="2"/>
  <c r="BS105" i="2"/>
  <c r="BS107" i="2"/>
  <c r="BS109" i="2"/>
  <c r="BS111" i="2"/>
  <c r="BS113" i="2"/>
  <c r="BS115" i="2"/>
  <c r="BS75" i="2"/>
  <c r="BT75" i="2" s="1"/>
  <c r="BS117" i="2" l="1"/>
  <c r="BT77" i="2"/>
  <c r="BT79" i="2"/>
  <c r="BT81" i="2"/>
  <c r="BT83" i="2"/>
  <c r="BT85" i="2"/>
  <c r="BT87" i="2"/>
  <c r="BT89" i="2"/>
  <c r="BT91" i="2"/>
  <c r="BT93" i="2"/>
  <c r="BT95" i="2"/>
  <c r="BT97" i="2"/>
  <c r="BT99" i="2"/>
  <c r="BT101" i="2"/>
  <c r="BT103" i="2"/>
  <c r="BT105" i="2"/>
  <c r="BT107" i="2"/>
  <c r="BT109" i="2"/>
  <c r="BT111" i="2"/>
  <c r="BT113" i="2"/>
  <c r="BT115" i="2"/>
  <c r="BT78" i="2"/>
  <c r="BT80" i="2"/>
  <c r="BT82" i="2"/>
  <c r="BT84" i="2"/>
  <c r="BT86" i="2"/>
  <c r="BT88" i="2"/>
  <c r="BT90" i="2"/>
  <c r="BT92" i="2"/>
  <c r="BT94" i="2"/>
  <c r="BT96" i="2"/>
  <c r="BT98" i="2"/>
  <c r="BT100" i="2"/>
  <c r="BT102" i="2"/>
  <c r="BT104" i="2"/>
  <c r="BT106" i="2"/>
  <c r="BT108" i="2"/>
  <c r="BT110" i="2"/>
  <c r="BT112" i="2"/>
  <c r="BT114" i="2"/>
  <c r="BT116" i="2"/>
  <c r="BT76" i="2"/>
  <c r="BU76" i="2" s="1"/>
  <c r="BT117" i="2" l="1"/>
  <c r="BU79" i="2"/>
  <c r="BU81" i="2"/>
  <c r="BU83" i="2"/>
  <c r="BU85" i="2"/>
  <c r="BU87" i="2"/>
  <c r="BU89" i="2"/>
  <c r="BU91" i="2"/>
  <c r="BU93" i="2"/>
  <c r="BU95" i="2"/>
  <c r="BU97" i="2"/>
  <c r="BU99" i="2"/>
  <c r="BU101" i="2"/>
  <c r="BU103" i="2"/>
  <c r="BU105" i="2"/>
  <c r="BU107" i="2"/>
  <c r="BU109" i="2"/>
  <c r="BU111" i="2"/>
  <c r="BU113" i="2"/>
  <c r="BU115" i="2"/>
  <c r="BU78" i="2"/>
  <c r="BU80" i="2"/>
  <c r="BU82" i="2"/>
  <c r="BU84" i="2"/>
  <c r="BU86" i="2"/>
  <c r="BU88" i="2"/>
  <c r="BU90" i="2"/>
  <c r="BU92" i="2"/>
  <c r="BU94" i="2"/>
  <c r="BU96" i="2"/>
  <c r="BU98" i="2"/>
  <c r="BU100" i="2"/>
  <c r="BU102" i="2"/>
  <c r="BU104" i="2"/>
  <c r="BU106" i="2"/>
  <c r="BU108" i="2"/>
  <c r="BU110" i="2"/>
  <c r="BU112" i="2"/>
  <c r="BU114" i="2"/>
  <c r="BU116" i="2"/>
  <c r="BU77" i="2"/>
  <c r="BV77" i="2" s="1"/>
  <c r="BU117" i="2" l="1"/>
  <c r="BV80" i="2"/>
  <c r="BV82" i="2"/>
  <c r="BV84" i="2"/>
  <c r="BV86" i="2"/>
  <c r="BV88" i="2"/>
  <c r="BV90" i="2"/>
  <c r="BV92" i="2"/>
  <c r="BV94" i="2"/>
  <c r="BV96" i="2"/>
  <c r="BV98" i="2"/>
  <c r="BV100" i="2"/>
  <c r="BV102" i="2"/>
  <c r="BV104" i="2"/>
  <c r="BV106" i="2"/>
  <c r="BV108" i="2"/>
  <c r="BV110" i="2"/>
  <c r="BV112" i="2"/>
  <c r="BV114" i="2"/>
  <c r="BV116" i="2"/>
  <c r="BV79" i="2"/>
  <c r="BV81" i="2"/>
  <c r="BV83" i="2"/>
  <c r="BV85" i="2"/>
  <c r="BV87" i="2"/>
  <c r="BV89" i="2"/>
  <c r="BV91" i="2"/>
  <c r="BV93" i="2"/>
  <c r="BV95" i="2"/>
  <c r="BV97" i="2"/>
  <c r="BV99" i="2"/>
  <c r="BV101" i="2"/>
  <c r="BV103" i="2"/>
  <c r="BV105" i="2"/>
  <c r="BV107" i="2"/>
  <c r="BV109" i="2"/>
  <c r="BV111" i="2"/>
  <c r="BV113" i="2"/>
  <c r="BV115" i="2"/>
  <c r="BV78" i="2"/>
  <c r="BW78" i="2" s="1"/>
  <c r="BV117" i="2" l="1"/>
  <c r="BW80" i="2"/>
  <c r="BW82" i="2"/>
  <c r="BW84" i="2"/>
  <c r="BW86" i="2"/>
  <c r="BW88" i="2"/>
  <c r="BW90" i="2"/>
  <c r="BW92" i="2"/>
  <c r="BW94" i="2"/>
  <c r="BW96" i="2"/>
  <c r="BW98" i="2"/>
  <c r="BW100" i="2"/>
  <c r="BW102" i="2"/>
  <c r="BW104" i="2"/>
  <c r="BW106" i="2"/>
  <c r="BW108" i="2"/>
  <c r="BW110" i="2"/>
  <c r="BW112" i="2"/>
  <c r="BW114" i="2"/>
  <c r="BW116" i="2"/>
  <c r="BW81" i="2"/>
  <c r="BW83" i="2"/>
  <c r="BW85" i="2"/>
  <c r="BW87" i="2"/>
  <c r="BW89" i="2"/>
  <c r="BW91" i="2"/>
  <c r="BW93" i="2"/>
  <c r="BW95" i="2"/>
  <c r="BW97" i="2"/>
  <c r="BW99" i="2"/>
  <c r="BW101" i="2"/>
  <c r="BW103" i="2"/>
  <c r="BW105" i="2"/>
  <c r="BW107" i="2"/>
  <c r="BW109" i="2"/>
  <c r="BW111" i="2"/>
  <c r="BW113" i="2"/>
  <c r="BW115" i="2"/>
  <c r="BW79" i="2"/>
  <c r="BX79" i="2" s="1"/>
  <c r="BW117" i="2" l="1"/>
  <c r="BX81" i="2"/>
  <c r="BX83" i="2"/>
  <c r="BX85" i="2"/>
  <c r="BX87" i="2"/>
  <c r="BX89" i="2"/>
  <c r="BX91" i="2"/>
  <c r="BX93" i="2"/>
  <c r="BX95" i="2"/>
  <c r="BX97" i="2"/>
  <c r="BX99" i="2"/>
  <c r="BX101" i="2"/>
  <c r="BX103" i="2"/>
  <c r="BX105" i="2"/>
  <c r="BX107" i="2"/>
  <c r="BX109" i="2"/>
  <c r="BX111" i="2"/>
  <c r="BX113" i="2"/>
  <c r="BX115" i="2"/>
  <c r="BX82" i="2"/>
  <c r="BX84" i="2"/>
  <c r="BX86" i="2"/>
  <c r="BX88" i="2"/>
  <c r="BX90" i="2"/>
  <c r="BX92" i="2"/>
  <c r="BX94" i="2"/>
  <c r="BX96" i="2"/>
  <c r="BX98" i="2"/>
  <c r="BX100" i="2"/>
  <c r="BX102" i="2"/>
  <c r="BX104" i="2"/>
  <c r="BX106" i="2"/>
  <c r="BX108" i="2"/>
  <c r="BX110" i="2"/>
  <c r="BX112" i="2"/>
  <c r="BX114" i="2"/>
  <c r="BX116" i="2"/>
  <c r="BX80" i="2"/>
  <c r="BY80" i="2" s="1"/>
  <c r="BX117" i="2" l="1"/>
  <c r="BY83" i="2"/>
  <c r="BY85" i="2"/>
  <c r="BY87" i="2"/>
  <c r="BY89" i="2"/>
  <c r="BY91" i="2"/>
  <c r="BY93" i="2"/>
  <c r="BY95" i="2"/>
  <c r="BY97" i="2"/>
  <c r="BY99" i="2"/>
  <c r="BY101" i="2"/>
  <c r="BY103" i="2"/>
  <c r="BY105" i="2"/>
  <c r="BY107" i="2"/>
  <c r="BY109" i="2"/>
  <c r="BY111" i="2"/>
  <c r="BY113" i="2"/>
  <c r="BY115" i="2"/>
  <c r="BY82" i="2"/>
  <c r="BY84" i="2"/>
  <c r="BY86" i="2"/>
  <c r="BY88" i="2"/>
  <c r="BY90" i="2"/>
  <c r="BY92" i="2"/>
  <c r="BY94" i="2"/>
  <c r="BY96" i="2"/>
  <c r="BY98" i="2"/>
  <c r="BY100" i="2"/>
  <c r="BY102" i="2"/>
  <c r="BY104" i="2"/>
  <c r="BY106" i="2"/>
  <c r="BY108" i="2"/>
  <c r="BY110" i="2"/>
  <c r="BY112" i="2"/>
  <c r="BY114" i="2"/>
  <c r="BY116" i="2"/>
  <c r="BY81" i="2"/>
  <c r="BZ81" i="2" s="1"/>
  <c r="BY117" i="2" l="1"/>
  <c r="BZ84" i="2"/>
  <c r="BZ86" i="2"/>
  <c r="BZ88" i="2"/>
  <c r="BZ90" i="2"/>
  <c r="BZ92" i="2"/>
  <c r="BZ94" i="2"/>
  <c r="BZ96" i="2"/>
  <c r="BZ98" i="2"/>
  <c r="BZ100" i="2"/>
  <c r="BZ102" i="2"/>
  <c r="BZ104" i="2"/>
  <c r="BZ106" i="2"/>
  <c r="BZ108" i="2"/>
  <c r="BZ110" i="2"/>
  <c r="BZ112" i="2"/>
  <c r="BZ114" i="2"/>
  <c r="BZ116" i="2"/>
  <c r="BZ83" i="2"/>
  <c r="BZ85" i="2"/>
  <c r="BZ87" i="2"/>
  <c r="BZ89" i="2"/>
  <c r="BZ91" i="2"/>
  <c r="BZ93" i="2"/>
  <c r="BZ95" i="2"/>
  <c r="BZ97" i="2"/>
  <c r="BZ99" i="2"/>
  <c r="BZ101" i="2"/>
  <c r="BZ103" i="2"/>
  <c r="BZ105" i="2"/>
  <c r="BZ107" i="2"/>
  <c r="BZ109" i="2"/>
  <c r="BZ111" i="2"/>
  <c r="BZ113" i="2"/>
  <c r="BZ115" i="2"/>
  <c r="BZ82" i="2"/>
  <c r="CA82" i="2" s="1"/>
  <c r="BZ117" i="2" l="1"/>
  <c r="CA84" i="2"/>
  <c r="CA86" i="2"/>
  <c r="CA88" i="2"/>
  <c r="CA90" i="2"/>
  <c r="CA92" i="2"/>
  <c r="CA94" i="2"/>
  <c r="CA96" i="2"/>
  <c r="CA98" i="2"/>
  <c r="CA100" i="2"/>
  <c r="CA102" i="2"/>
  <c r="CA104" i="2"/>
  <c r="CA106" i="2"/>
  <c r="CA108" i="2"/>
  <c r="CA110" i="2"/>
  <c r="CA112" i="2"/>
  <c r="CA114" i="2"/>
  <c r="CA116" i="2"/>
  <c r="CA85" i="2"/>
  <c r="CA87" i="2"/>
  <c r="CA89" i="2"/>
  <c r="CA91" i="2"/>
  <c r="CA93" i="2"/>
  <c r="CA95" i="2"/>
  <c r="CA97" i="2"/>
  <c r="CA99" i="2"/>
  <c r="CA101" i="2"/>
  <c r="CA103" i="2"/>
  <c r="CA105" i="2"/>
  <c r="CA107" i="2"/>
  <c r="CA109" i="2"/>
  <c r="CA111" i="2"/>
  <c r="CA113" i="2"/>
  <c r="CA115" i="2"/>
  <c r="CA83" i="2"/>
  <c r="CB83" i="2" s="1"/>
  <c r="CA117" i="2" l="1"/>
  <c r="CB86" i="2"/>
  <c r="CB88" i="2"/>
  <c r="CB90" i="2"/>
  <c r="CB92" i="2"/>
  <c r="CB94" i="2"/>
  <c r="CB96" i="2"/>
  <c r="CB98" i="2"/>
  <c r="CB100" i="2"/>
  <c r="CB102" i="2"/>
  <c r="CB104" i="2"/>
  <c r="CB106" i="2"/>
  <c r="CB108" i="2"/>
  <c r="CB110" i="2"/>
  <c r="CB112" i="2"/>
  <c r="CB114" i="2"/>
  <c r="CB116" i="2"/>
  <c r="CB85" i="2"/>
  <c r="CB87" i="2"/>
  <c r="CB89" i="2"/>
  <c r="CB91" i="2"/>
  <c r="CB93" i="2"/>
  <c r="CB95" i="2"/>
  <c r="CB97" i="2"/>
  <c r="CB99" i="2"/>
  <c r="CB101" i="2"/>
  <c r="CB103" i="2"/>
  <c r="CB105" i="2"/>
  <c r="CB107" i="2"/>
  <c r="CB109" i="2"/>
  <c r="CB111" i="2"/>
  <c r="CB113" i="2"/>
  <c r="CB115" i="2"/>
  <c r="CB84" i="2"/>
  <c r="CC84" i="2" s="1"/>
  <c r="CB117" i="2" l="1"/>
  <c r="CC86" i="2"/>
  <c r="CC88" i="2"/>
  <c r="CC90" i="2"/>
  <c r="CC92" i="2"/>
  <c r="CC94" i="2"/>
  <c r="CC96" i="2"/>
  <c r="CC98" i="2"/>
  <c r="CC100" i="2"/>
  <c r="CC102" i="2"/>
  <c r="CC104" i="2"/>
  <c r="CC106" i="2"/>
  <c r="CC108" i="2"/>
  <c r="CC110" i="2"/>
  <c r="CC112" i="2"/>
  <c r="CC114" i="2"/>
  <c r="CC116" i="2"/>
  <c r="CC87" i="2"/>
  <c r="CC89" i="2"/>
  <c r="CC91" i="2"/>
  <c r="CC93" i="2"/>
  <c r="CC95" i="2"/>
  <c r="CC97" i="2"/>
  <c r="CC99" i="2"/>
  <c r="CC101" i="2"/>
  <c r="CC103" i="2"/>
  <c r="CC105" i="2"/>
  <c r="CC107" i="2"/>
  <c r="CC109" i="2"/>
  <c r="CC111" i="2"/>
  <c r="CC113" i="2"/>
  <c r="CC115" i="2"/>
  <c r="CC85" i="2"/>
  <c r="CD85" i="2" s="1"/>
  <c r="CC117" i="2" l="1"/>
  <c r="CD87" i="2"/>
  <c r="CD89" i="2"/>
  <c r="CD91" i="2"/>
  <c r="CD93" i="2"/>
  <c r="CD95" i="2"/>
  <c r="CD97" i="2"/>
  <c r="CD99" i="2"/>
  <c r="CD101" i="2"/>
  <c r="CD103" i="2"/>
  <c r="CD105" i="2"/>
  <c r="CD107" i="2"/>
  <c r="CD109" i="2"/>
  <c r="CD111" i="2"/>
  <c r="CD113" i="2"/>
  <c r="CD115" i="2"/>
  <c r="CD88" i="2"/>
  <c r="CD90" i="2"/>
  <c r="CD92" i="2"/>
  <c r="CD94" i="2"/>
  <c r="CD96" i="2"/>
  <c r="CD98" i="2"/>
  <c r="CD100" i="2"/>
  <c r="CD102" i="2"/>
  <c r="CD104" i="2"/>
  <c r="CD106" i="2"/>
  <c r="CD108" i="2"/>
  <c r="CD110" i="2"/>
  <c r="CD112" i="2"/>
  <c r="CD114" i="2"/>
  <c r="CD116" i="2"/>
  <c r="CD86" i="2"/>
  <c r="CE86" i="2" s="1"/>
  <c r="CD117" i="2" l="1"/>
  <c r="CE89" i="2"/>
  <c r="CE91" i="2"/>
  <c r="CE93" i="2"/>
  <c r="CE95" i="2"/>
  <c r="CE97" i="2"/>
  <c r="CE99" i="2"/>
  <c r="CE101" i="2"/>
  <c r="CE103" i="2"/>
  <c r="CE105" i="2"/>
  <c r="CE107" i="2"/>
  <c r="CE109" i="2"/>
  <c r="CE111" i="2"/>
  <c r="CE113" i="2"/>
  <c r="CE115" i="2"/>
  <c r="CE88" i="2"/>
  <c r="CE90" i="2"/>
  <c r="CE92" i="2"/>
  <c r="CE94" i="2"/>
  <c r="CE96" i="2"/>
  <c r="CE98" i="2"/>
  <c r="CE100" i="2"/>
  <c r="CE102" i="2"/>
  <c r="CE104" i="2"/>
  <c r="CE106" i="2"/>
  <c r="CE108" i="2"/>
  <c r="CE110" i="2"/>
  <c r="CE112" i="2"/>
  <c r="CE114" i="2"/>
  <c r="CE116" i="2"/>
  <c r="CE87" i="2"/>
  <c r="CF87" i="2" s="1"/>
  <c r="CE117" i="2" l="1"/>
  <c r="CF90" i="2"/>
  <c r="CF92" i="2"/>
  <c r="CF94" i="2"/>
  <c r="CF96" i="2"/>
  <c r="CF98" i="2"/>
  <c r="CF100" i="2"/>
  <c r="CF102" i="2"/>
  <c r="CF104" i="2"/>
  <c r="CF106" i="2"/>
  <c r="CF108" i="2"/>
  <c r="CF110" i="2"/>
  <c r="CF112" i="2"/>
  <c r="CF114" i="2"/>
  <c r="CF116" i="2"/>
  <c r="CF89" i="2"/>
  <c r="CF91" i="2"/>
  <c r="CF93" i="2"/>
  <c r="CF95" i="2"/>
  <c r="CF97" i="2"/>
  <c r="CF99" i="2"/>
  <c r="CF101" i="2"/>
  <c r="CF103" i="2"/>
  <c r="CF105" i="2"/>
  <c r="CF107" i="2"/>
  <c r="CF109" i="2"/>
  <c r="CF111" i="2"/>
  <c r="CF113" i="2"/>
  <c r="CF115" i="2"/>
  <c r="CF88" i="2"/>
  <c r="CG88" i="2" s="1"/>
  <c r="CF117" i="2" l="1"/>
  <c r="CG90" i="2"/>
  <c r="CG92" i="2"/>
  <c r="CG94" i="2"/>
  <c r="CG96" i="2"/>
  <c r="CG98" i="2"/>
  <c r="CG100" i="2"/>
  <c r="CG102" i="2"/>
  <c r="CG104" i="2"/>
  <c r="CG106" i="2"/>
  <c r="CG108" i="2"/>
  <c r="CG110" i="2"/>
  <c r="CG112" i="2"/>
  <c r="CG114" i="2"/>
  <c r="CG116" i="2"/>
  <c r="CG91" i="2"/>
  <c r="CG93" i="2"/>
  <c r="CG95" i="2"/>
  <c r="CG97" i="2"/>
  <c r="CG99" i="2"/>
  <c r="CG101" i="2"/>
  <c r="CG103" i="2"/>
  <c r="CG105" i="2"/>
  <c r="CG107" i="2"/>
  <c r="CG109" i="2"/>
  <c r="CG111" i="2"/>
  <c r="CG113" i="2"/>
  <c r="CG115" i="2"/>
  <c r="CG89" i="2"/>
  <c r="CH89" i="2" s="1"/>
  <c r="CG117" i="2" l="1"/>
  <c r="CH91" i="2"/>
  <c r="CH93" i="2"/>
  <c r="CH95" i="2"/>
  <c r="CH97" i="2"/>
  <c r="CH99" i="2"/>
  <c r="CH101" i="2"/>
  <c r="CH103" i="2"/>
  <c r="CH105" i="2"/>
  <c r="CH107" i="2"/>
  <c r="CH109" i="2"/>
  <c r="CH111" i="2"/>
  <c r="CH113" i="2"/>
  <c r="CH115" i="2"/>
  <c r="CH92" i="2"/>
  <c r="CH94" i="2"/>
  <c r="CH96" i="2"/>
  <c r="CH98" i="2"/>
  <c r="CH100" i="2"/>
  <c r="CH102" i="2"/>
  <c r="CH104" i="2"/>
  <c r="CH106" i="2"/>
  <c r="CH108" i="2"/>
  <c r="CH110" i="2"/>
  <c r="CH112" i="2"/>
  <c r="CH114" i="2"/>
  <c r="CH116" i="2"/>
  <c r="CH90" i="2"/>
  <c r="CI90" i="2" s="1"/>
  <c r="CH117" i="2" l="1"/>
  <c r="CI92" i="2"/>
  <c r="CI94" i="2"/>
  <c r="CI96" i="2"/>
  <c r="CI98" i="2"/>
  <c r="CI100" i="2"/>
  <c r="CI102" i="2"/>
  <c r="CI104" i="2"/>
  <c r="CI106" i="2"/>
  <c r="CI108" i="2"/>
  <c r="CI110" i="2"/>
  <c r="CI112" i="2"/>
  <c r="CI114" i="2"/>
  <c r="CI116" i="2"/>
  <c r="CI93" i="2"/>
  <c r="CI95" i="2"/>
  <c r="CI97" i="2"/>
  <c r="CI99" i="2"/>
  <c r="CI101" i="2"/>
  <c r="CI103" i="2"/>
  <c r="CI105" i="2"/>
  <c r="CI107" i="2"/>
  <c r="CI109" i="2"/>
  <c r="CI111" i="2"/>
  <c r="CI113" i="2"/>
  <c r="CI115" i="2"/>
  <c r="CI91" i="2"/>
  <c r="CJ91" i="2" s="1"/>
  <c r="CI117" i="2" l="1"/>
  <c r="CJ93" i="2"/>
  <c r="CJ95" i="2"/>
  <c r="CJ97" i="2"/>
  <c r="CJ99" i="2"/>
  <c r="CJ101" i="2"/>
  <c r="CJ103" i="2"/>
  <c r="CJ105" i="2"/>
  <c r="CJ107" i="2"/>
  <c r="CJ109" i="2"/>
  <c r="CJ111" i="2"/>
  <c r="CJ113" i="2"/>
  <c r="CJ115" i="2"/>
  <c r="CJ94" i="2"/>
  <c r="CJ96" i="2"/>
  <c r="CJ98" i="2"/>
  <c r="CJ100" i="2"/>
  <c r="CJ102" i="2"/>
  <c r="CJ104" i="2"/>
  <c r="CJ106" i="2"/>
  <c r="CJ108" i="2"/>
  <c r="CJ110" i="2"/>
  <c r="CJ112" i="2"/>
  <c r="CJ114" i="2"/>
  <c r="CJ116" i="2"/>
  <c r="CJ92" i="2"/>
  <c r="CK92" i="2" s="1"/>
  <c r="CJ117" i="2" l="1"/>
  <c r="CK94" i="2"/>
  <c r="CK96" i="2"/>
  <c r="CK98" i="2"/>
  <c r="CK100" i="2"/>
  <c r="CK102" i="2"/>
  <c r="CK104" i="2"/>
  <c r="CK106" i="2"/>
  <c r="CK108" i="2"/>
  <c r="CK110" i="2"/>
  <c r="CK112" i="2"/>
  <c r="CK114" i="2"/>
  <c r="CK116" i="2"/>
  <c r="CK95" i="2"/>
  <c r="CK97" i="2"/>
  <c r="CK99" i="2"/>
  <c r="CK101" i="2"/>
  <c r="CK103" i="2"/>
  <c r="CK105" i="2"/>
  <c r="CK107" i="2"/>
  <c r="CK109" i="2"/>
  <c r="CK111" i="2"/>
  <c r="CK113" i="2"/>
  <c r="CK115" i="2"/>
  <c r="CK93" i="2"/>
  <c r="CL93" i="2" s="1"/>
  <c r="CK117" i="2" l="1"/>
  <c r="CL95" i="2"/>
  <c r="CL97" i="2"/>
  <c r="CL99" i="2"/>
  <c r="CL101" i="2"/>
  <c r="CL103" i="2"/>
  <c r="CL105" i="2"/>
  <c r="CL107" i="2"/>
  <c r="CL109" i="2"/>
  <c r="CL111" i="2"/>
  <c r="CL113" i="2"/>
  <c r="CL115" i="2"/>
  <c r="CL96" i="2"/>
  <c r="CL98" i="2"/>
  <c r="CL100" i="2"/>
  <c r="CL102" i="2"/>
  <c r="CL104" i="2"/>
  <c r="CL106" i="2"/>
  <c r="CL108" i="2"/>
  <c r="CL110" i="2"/>
  <c r="CL112" i="2"/>
  <c r="CL114" i="2"/>
  <c r="CL116" i="2"/>
  <c r="CL94" i="2"/>
  <c r="CM94" i="2" s="1"/>
  <c r="CL117" i="2" l="1"/>
  <c r="CM97" i="2"/>
  <c r="CM99" i="2"/>
  <c r="CM101" i="2"/>
  <c r="CM103" i="2"/>
  <c r="CM105" i="2"/>
  <c r="CM107" i="2"/>
  <c r="CM109" i="2"/>
  <c r="CM111" i="2"/>
  <c r="CM113" i="2"/>
  <c r="CM115" i="2"/>
  <c r="CM96" i="2"/>
  <c r="CM98" i="2"/>
  <c r="CM100" i="2"/>
  <c r="CM102" i="2"/>
  <c r="CM104" i="2"/>
  <c r="CM106" i="2"/>
  <c r="CM108" i="2"/>
  <c r="CM110" i="2"/>
  <c r="CM112" i="2"/>
  <c r="CM114" i="2"/>
  <c r="CM116" i="2"/>
  <c r="CM95" i="2"/>
  <c r="CN95" i="2" s="1"/>
  <c r="CM117" i="2" l="1"/>
  <c r="CN98" i="2"/>
  <c r="CN100" i="2"/>
  <c r="CN102" i="2"/>
  <c r="CN104" i="2"/>
  <c r="CN106" i="2"/>
  <c r="CN108" i="2"/>
  <c r="CN110" i="2"/>
  <c r="CN112" i="2"/>
  <c r="CN114" i="2"/>
  <c r="CN116" i="2"/>
  <c r="CN97" i="2"/>
  <c r="CN99" i="2"/>
  <c r="CN101" i="2"/>
  <c r="CN103" i="2"/>
  <c r="CN105" i="2"/>
  <c r="CN107" i="2"/>
  <c r="CN109" i="2"/>
  <c r="CN111" i="2"/>
  <c r="CN113" i="2"/>
  <c r="CN115" i="2"/>
  <c r="CN96" i="2"/>
  <c r="CO96" i="2" s="1"/>
  <c r="CN117" i="2" l="1"/>
  <c r="CO98" i="2"/>
  <c r="CO100" i="2"/>
  <c r="CO102" i="2"/>
  <c r="CO104" i="2"/>
  <c r="CO106" i="2"/>
  <c r="CO108" i="2"/>
  <c r="CO110" i="2"/>
  <c r="CO112" i="2"/>
  <c r="CO114" i="2"/>
  <c r="CO116" i="2"/>
  <c r="CO99" i="2"/>
  <c r="CO101" i="2"/>
  <c r="CO103" i="2"/>
  <c r="CO105" i="2"/>
  <c r="CO107" i="2"/>
  <c r="CO109" i="2"/>
  <c r="CO111" i="2"/>
  <c r="CO113" i="2"/>
  <c r="CO115" i="2"/>
  <c r="CO97" i="2"/>
  <c r="CP97" i="2" s="1"/>
  <c r="CO117" i="2" l="1"/>
  <c r="CP99" i="2"/>
  <c r="CP101" i="2"/>
  <c r="CP103" i="2"/>
  <c r="CP105" i="2"/>
  <c r="CP107" i="2"/>
  <c r="CP109" i="2"/>
  <c r="CP111" i="2"/>
  <c r="CP113" i="2"/>
  <c r="CP115" i="2"/>
  <c r="CP100" i="2"/>
  <c r="CP102" i="2"/>
  <c r="CP104" i="2"/>
  <c r="CP106" i="2"/>
  <c r="CP108" i="2"/>
  <c r="CP110" i="2"/>
  <c r="CP112" i="2"/>
  <c r="CP114" i="2"/>
  <c r="CP116" i="2"/>
  <c r="CP98" i="2"/>
  <c r="CQ98" i="2" s="1"/>
  <c r="CP117" i="2" l="1"/>
  <c r="CQ101" i="2"/>
  <c r="CQ103" i="2"/>
  <c r="CQ105" i="2"/>
  <c r="CQ107" i="2"/>
  <c r="CQ109" i="2"/>
  <c r="CQ111" i="2"/>
  <c r="CQ113" i="2"/>
  <c r="CQ115" i="2"/>
  <c r="CQ100" i="2"/>
  <c r="CQ102" i="2"/>
  <c r="CQ104" i="2"/>
  <c r="CQ106" i="2"/>
  <c r="CQ108" i="2"/>
  <c r="CQ110" i="2"/>
  <c r="CQ112" i="2"/>
  <c r="CQ114" i="2"/>
  <c r="CQ116" i="2"/>
  <c r="CQ99" i="2"/>
  <c r="CR99" i="2" s="1"/>
  <c r="CQ117" i="2" l="1"/>
  <c r="CR102" i="2"/>
  <c r="CR104" i="2"/>
  <c r="CR106" i="2"/>
  <c r="CR108" i="2"/>
  <c r="CR110" i="2"/>
  <c r="CR112" i="2"/>
  <c r="CR114" i="2"/>
  <c r="CR116" i="2"/>
  <c r="CR101" i="2"/>
  <c r="CR103" i="2"/>
  <c r="CR105" i="2"/>
  <c r="CR107" i="2"/>
  <c r="CR109" i="2"/>
  <c r="CR111" i="2"/>
  <c r="CR113" i="2"/>
  <c r="CR115" i="2"/>
  <c r="CR100" i="2"/>
  <c r="CS100" i="2" s="1"/>
  <c r="CR117" i="2" l="1"/>
  <c r="CS102" i="2"/>
  <c r="CS104" i="2"/>
  <c r="CS106" i="2"/>
  <c r="CS108" i="2"/>
  <c r="CS110" i="2"/>
  <c r="CS112" i="2"/>
  <c r="CS114" i="2"/>
  <c r="CS116" i="2"/>
  <c r="CS101" i="2"/>
  <c r="CT101" i="2" s="1"/>
  <c r="CS103" i="2"/>
  <c r="CS105" i="2"/>
  <c r="CS107" i="2"/>
  <c r="CS109" i="2"/>
  <c r="CS111" i="2"/>
  <c r="CS113" i="2"/>
  <c r="CS115" i="2"/>
  <c r="CS117" i="2" l="1"/>
  <c r="CT103" i="2"/>
  <c r="CT105" i="2"/>
  <c r="CT107" i="2"/>
  <c r="CT109" i="2"/>
  <c r="CT111" i="2"/>
  <c r="CT113" i="2"/>
  <c r="CT115" i="2"/>
  <c r="CT104" i="2"/>
  <c r="CT106" i="2"/>
  <c r="CT108" i="2"/>
  <c r="CT110" i="2"/>
  <c r="CT112" i="2"/>
  <c r="CT114" i="2"/>
  <c r="CT116" i="2"/>
  <c r="CT102" i="2"/>
  <c r="CU102" i="2" s="1"/>
  <c r="CT117" i="2" l="1"/>
  <c r="CU105" i="2"/>
  <c r="CU107" i="2"/>
  <c r="CU109" i="2"/>
  <c r="CU111" i="2"/>
  <c r="CU113" i="2"/>
  <c r="CU115" i="2"/>
  <c r="CU103" i="2"/>
  <c r="CV103" i="2" s="1"/>
  <c r="CU104" i="2"/>
  <c r="CU106" i="2"/>
  <c r="CU108" i="2"/>
  <c r="CU110" i="2"/>
  <c r="CU112" i="2"/>
  <c r="CU114" i="2"/>
  <c r="CU116" i="2"/>
  <c r="CU117" i="2" l="1"/>
  <c r="CV106" i="2"/>
  <c r="CV108" i="2"/>
  <c r="CV110" i="2"/>
  <c r="CV112" i="2"/>
  <c r="CV114" i="2"/>
  <c r="CV116" i="2"/>
  <c r="CV105" i="2"/>
  <c r="CV107" i="2"/>
  <c r="CV109" i="2"/>
  <c r="CV111" i="2"/>
  <c r="CV113" i="2"/>
  <c r="CV115" i="2"/>
  <c r="CV104" i="2"/>
  <c r="CW104" i="2" s="1"/>
  <c r="CV117" i="2" l="1"/>
  <c r="CW106" i="2"/>
  <c r="CW108" i="2"/>
  <c r="CW110" i="2"/>
  <c r="CW112" i="2"/>
  <c r="CW114" i="2"/>
  <c r="CW116" i="2"/>
  <c r="CW105" i="2"/>
  <c r="CX105" i="2" s="1"/>
  <c r="CW107" i="2"/>
  <c r="CW109" i="2"/>
  <c r="CW111" i="2"/>
  <c r="CW113" i="2"/>
  <c r="CW115" i="2"/>
  <c r="CW117" i="2" l="1"/>
  <c r="CX107" i="2"/>
  <c r="CX109" i="2"/>
  <c r="CX111" i="2"/>
  <c r="CX113" i="2"/>
  <c r="CX115" i="2"/>
  <c r="CX108" i="2"/>
  <c r="CX110" i="2"/>
  <c r="CX112" i="2"/>
  <c r="CX114" i="2"/>
  <c r="CX116" i="2"/>
  <c r="CX106" i="2"/>
  <c r="CY106" i="2" s="1"/>
  <c r="CX117" i="2" l="1"/>
  <c r="CY109" i="2"/>
  <c r="CY111" i="2"/>
  <c r="CY113" i="2"/>
  <c r="CY115" i="2"/>
  <c r="CY107" i="2"/>
  <c r="CZ107" i="2" s="1"/>
  <c r="CY108" i="2"/>
  <c r="CY110" i="2"/>
  <c r="CY112" i="2"/>
  <c r="CY114" i="2"/>
  <c r="CY116" i="2"/>
  <c r="CY117" i="2" l="1"/>
  <c r="CZ110" i="2"/>
  <c r="CZ112" i="2"/>
  <c r="CZ114" i="2"/>
  <c r="CZ116" i="2"/>
  <c r="CZ109" i="2"/>
  <c r="CZ111" i="2"/>
  <c r="CZ113" i="2"/>
  <c r="CZ115" i="2"/>
  <c r="CZ108" i="2"/>
  <c r="DA108" i="2" s="1"/>
  <c r="CZ117" i="2" l="1"/>
  <c r="DA110" i="2"/>
  <c r="DA112" i="2"/>
  <c r="DA114" i="2"/>
  <c r="DA116" i="2"/>
  <c r="DA109" i="2"/>
  <c r="DB109" i="2" s="1"/>
  <c r="DA111" i="2"/>
  <c r="DA113" i="2"/>
  <c r="DA115" i="2"/>
  <c r="DA117" i="2" l="1"/>
  <c r="DB111" i="2"/>
  <c r="DB113" i="2"/>
  <c r="DB115" i="2"/>
  <c r="DB112" i="2"/>
  <c r="DB114" i="2"/>
  <c r="DB116" i="2"/>
  <c r="DB110" i="2"/>
  <c r="DC110" i="2" s="1"/>
  <c r="DB117" i="2" l="1"/>
  <c r="DC113" i="2"/>
  <c r="DC115" i="2"/>
  <c r="DC111" i="2"/>
  <c r="DD111" i="2" s="1"/>
  <c r="DC112" i="2"/>
  <c r="DC114" i="2"/>
  <c r="DC116" i="2"/>
  <c r="DC117" i="2" l="1"/>
  <c r="DD114" i="2"/>
  <c r="DD116" i="2"/>
  <c r="DD113" i="2"/>
  <c r="DD115" i="2"/>
  <c r="DD112" i="2"/>
  <c r="DE112" i="2" s="1"/>
  <c r="DD117" i="2" l="1"/>
  <c r="DE114" i="2"/>
  <c r="DE116" i="2"/>
  <c r="DE113" i="2"/>
  <c r="DF113" i="2" s="1"/>
  <c r="DE115" i="2"/>
  <c r="DE117" i="2" l="1"/>
  <c r="DF115" i="2"/>
  <c r="DF116" i="2"/>
  <c r="DF114" i="2"/>
  <c r="DG114" i="2" s="1"/>
  <c r="DF117" i="2" l="1"/>
  <c r="DG116" i="2"/>
  <c r="DG115" i="2"/>
  <c r="DH115" i="2" s="1"/>
  <c r="DG117" i="2" l="1"/>
  <c r="DH116" i="2"/>
  <c r="DI116" i="2" s="1"/>
  <c r="DI117" i="2" s="1"/>
  <c r="DH117" i="2" l="1"/>
  <c r="DJ17" i="2" s="1" a="1"/>
  <c r="DJ115" i="2" s="1"/>
  <c r="DJ113" i="2" l="1"/>
  <c r="DJ49" i="2"/>
  <c r="DJ82" i="2"/>
  <c r="DJ18" i="2"/>
  <c r="DK18" i="2" s="1"/>
  <c r="J10" i="27" s="1"/>
  <c r="DJ56" i="2"/>
  <c r="DJ91" i="2"/>
  <c r="DJ27" i="2"/>
  <c r="DK27" i="2" s="1"/>
  <c r="J19" i="27" s="1"/>
  <c r="DJ61" i="2"/>
  <c r="DJ94" i="2"/>
  <c r="DJ30" i="2"/>
  <c r="DK30" i="2" s="1"/>
  <c r="J22" i="27" s="1"/>
  <c r="DJ68" i="2"/>
  <c r="DJ71" i="2"/>
  <c r="DJ73" i="2"/>
  <c r="DJ74" i="2"/>
  <c r="DJ80" i="2"/>
  <c r="DJ17" i="2"/>
  <c r="DK17" i="2" s="1"/>
  <c r="J9" i="27" s="1"/>
  <c r="DJ81" i="2"/>
  <c r="DJ114" i="2"/>
  <c r="DJ50" i="2"/>
  <c r="DJ88" i="2"/>
  <c r="DJ24" i="2"/>
  <c r="DK24" i="2" s="1"/>
  <c r="J16" i="27" s="1"/>
  <c r="DJ59" i="2"/>
  <c r="DJ93" i="2"/>
  <c r="DJ29" i="2"/>
  <c r="DK29" i="2" s="1"/>
  <c r="J21" i="27" s="1"/>
  <c r="DJ62" i="2"/>
  <c r="DJ100" i="2"/>
  <c r="DJ36" i="2"/>
  <c r="DK36" i="2" s="1"/>
  <c r="J28" i="27" s="1"/>
  <c r="DJ39" i="2"/>
  <c r="DK39" i="2" s="1"/>
  <c r="J31" i="27" s="1"/>
  <c r="DJ41" i="2"/>
  <c r="DK41" i="2" s="1"/>
  <c r="J33" i="27" s="1"/>
  <c r="DJ42" i="2"/>
  <c r="DK42" i="2" s="1"/>
  <c r="J34" i="27" s="1"/>
  <c r="DJ48" i="2"/>
  <c r="DJ19" i="2"/>
  <c r="DK19" i="2" s="1"/>
  <c r="J11" i="27" s="1"/>
  <c r="DJ103" i="2"/>
  <c r="DJ105" i="2"/>
  <c r="DJ106" i="2"/>
  <c r="DJ112" i="2"/>
  <c r="DJ83" i="2"/>
  <c r="DJ51" i="2"/>
  <c r="DJ85" i="2"/>
  <c r="DJ53" i="2"/>
  <c r="DJ21" i="2"/>
  <c r="DK21" i="2" s="1"/>
  <c r="J13" i="27" s="1"/>
  <c r="DJ86" i="2"/>
  <c r="DJ54" i="2"/>
  <c r="DJ22" i="2"/>
  <c r="DK22" i="2" s="1"/>
  <c r="J14" i="27" s="1"/>
  <c r="DJ92" i="2"/>
  <c r="DJ60" i="2"/>
  <c r="DJ28" i="2"/>
  <c r="DK28" i="2" s="1"/>
  <c r="J20" i="27" s="1"/>
  <c r="DJ95" i="2"/>
  <c r="DJ63" i="2"/>
  <c r="DJ31" i="2"/>
  <c r="DK31" i="2" s="1"/>
  <c r="J23" i="27" s="1"/>
  <c r="DJ97" i="2"/>
  <c r="DJ65" i="2"/>
  <c r="DJ33" i="2"/>
  <c r="DK33" i="2" s="1"/>
  <c r="J25" i="27" s="1"/>
  <c r="DJ98" i="2"/>
  <c r="DJ66" i="2"/>
  <c r="DJ34" i="2"/>
  <c r="DK34" i="2" s="1"/>
  <c r="J26" i="27" s="1"/>
  <c r="DJ104" i="2"/>
  <c r="DJ72" i="2"/>
  <c r="DJ40" i="2"/>
  <c r="DK40" i="2" s="1"/>
  <c r="J32" i="27" s="1"/>
  <c r="DJ107" i="2"/>
  <c r="DJ75" i="2"/>
  <c r="DJ43" i="2"/>
  <c r="DJ109" i="2"/>
  <c r="DJ77" i="2"/>
  <c r="DJ45" i="2"/>
  <c r="DJ110" i="2"/>
  <c r="DJ78" i="2"/>
  <c r="DJ46" i="2"/>
  <c r="DJ116" i="2"/>
  <c r="DJ84" i="2"/>
  <c r="DJ52" i="2"/>
  <c r="DJ20" i="2"/>
  <c r="DK20" i="2" s="1"/>
  <c r="J12" i="27" s="1"/>
  <c r="DJ87" i="2"/>
  <c r="DJ55" i="2"/>
  <c r="DJ23" i="2"/>
  <c r="DK23" i="2" s="1"/>
  <c r="J15" i="27" s="1"/>
  <c r="DJ89" i="2"/>
  <c r="DJ57" i="2"/>
  <c r="DJ25" i="2"/>
  <c r="DK25" i="2" s="1"/>
  <c r="J17" i="27" s="1"/>
  <c r="DJ90" i="2"/>
  <c r="DJ58" i="2"/>
  <c r="DJ26" i="2"/>
  <c r="DK26" i="2" s="1"/>
  <c r="J18" i="27" s="1"/>
  <c r="DJ96" i="2"/>
  <c r="DJ64" i="2"/>
  <c r="DJ32" i="2"/>
  <c r="DK32" i="2" s="1"/>
  <c r="J24" i="27" s="1"/>
  <c r="DJ99" i="2"/>
  <c r="DJ67" i="2"/>
  <c r="DJ35" i="2"/>
  <c r="DK35" i="2" s="1"/>
  <c r="J27" i="27" s="1"/>
  <c r="DJ101" i="2"/>
  <c r="DJ69" i="2"/>
  <c r="DJ37" i="2"/>
  <c r="DK37" i="2" s="1"/>
  <c r="J29" i="27" s="1"/>
  <c r="DJ102" i="2"/>
  <c r="DJ70" i="2"/>
  <c r="DJ38" i="2"/>
  <c r="DK38" i="2" s="1"/>
  <c r="J30" i="27" s="1"/>
  <c r="DJ108" i="2"/>
  <c r="DJ76" i="2"/>
  <c r="DJ44" i="2"/>
  <c r="DJ111" i="2"/>
  <c r="DJ79" i="2"/>
  <c r="DJ47" i="2"/>
  <c r="DL32" i="2" l="1"/>
  <c r="DL25" i="2"/>
  <c r="DL20" i="2"/>
  <c r="DL22" i="2"/>
  <c r="DL38" i="2"/>
  <c r="DL35" i="2"/>
  <c r="DL26" i="2"/>
  <c r="DL23" i="2"/>
  <c r="DL40" i="2"/>
  <c r="DL33" i="2"/>
  <c r="DL28" i="2"/>
  <c r="DL21" i="2"/>
  <c r="DL41" i="2"/>
  <c r="DL36" i="2"/>
  <c r="DL24" i="2"/>
  <c r="K16" i="27" s="1"/>
  <c r="DL27" i="2"/>
  <c r="DL37" i="2"/>
  <c r="DL34" i="2"/>
  <c r="DL31" i="2"/>
  <c r="DL19" i="2"/>
  <c r="DL42" i="2"/>
  <c r="DL39" i="2"/>
  <c r="DL29" i="2"/>
  <c r="DL17" i="2"/>
  <c r="DL30" i="2"/>
  <c r="DL18" i="2"/>
  <c r="K22" i="27" l="1"/>
  <c r="DS42" i="2"/>
  <c r="K34" i="27"/>
  <c r="DS37" i="2"/>
  <c r="K29" i="27"/>
  <c r="DR17" i="2"/>
  <c r="K9" i="27"/>
  <c r="DM39" i="2"/>
  <c r="L31" i="27" s="1"/>
  <c r="K31" i="27"/>
  <c r="DR34" i="2"/>
  <c r="K26" i="27"/>
  <c r="DS27" i="2"/>
  <c r="DU27" i="2" s="1"/>
  <c r="M19" i="27" s="1"/>
  <c r="K19" i="27"/>
  <c r="DS36" i="2"/>
  <c r="DU36" i="2" s="1"/>
  <c r="M28" i="27" s="1"/>
  <c r="K28" i="27"/>
  <c r="DR21" i="2"/>
  <c r="K13" i="27"/>
  <c r="K25" i="27"/>
  <c r="DS23" i="2"/>
  <c r="DU23" i="2" s="1"/>
  <c r="M15" i="27" s="1"/>
  <c r="K15" i="27"/>
  <c r="DR35" i="2"/>
  <c r="K27" i="27"/>
  <c r="DS22" i="2"/>
  <c r="DU22" i="2" s="1"/>
  <c r="M14" i="27" s="1"/>
  <c r="K14" i="27"/>
  <c r="DS25" i="2"/>
  <c r="DU25" i="2" s="1"/>
  <c r="M17" i="27" s="1"/>
  <c r="K17" i="27"/>
  <c r="DS18" i="2"/>
  <c r="DU18" i="2" s="1"/>
  <c r="M10" i="27" s="1"/>
  <c r="K10" i="27"/>
  <c r="DS19" i="2"/>
  <c r="DU19" i="2" s="1"/>
  <c r="M11" i="27" s="1"/>
  <c r="K11" i="27"/>
  <c r="DR29" i="2"/>
  <c r="K21" i="27"/>
  <c r="DR31" i="2"/>
  <c r="K23" i="27"/>
  <c r="DR41" i="2"/>
  <c r="K33" i="27"/>
  <c r="K20" i="27"/>
  <c r="DS40" i="2"/>
  <c r="K32" i="27"/>
  <c r="DR26" i="2"/>
  <c r="K18" i="27"/>
  <c r="DS38" i="2"/>
  <c r="K30" i="27"/>
  <c r="DS20" i="2"/>
  <c r="DU20" i="2" s="1"/>
  <c r="M12" i="27" s="1"/>
  <c r="K12" i="27"/>
  <c r="K24" i="27"/>
  <c r="DR32" i="2"/>
  <c r="DM25" i="2"/>
  <c r="DS34" i="2"/>
  <c r="DU34" i="2" s="1"/>
  <c r="M26" i="27" s="1"/>
  <c r="DR28" i="2"/>
  <c r="DR33" i="2"/>
  <c r="DM35" i="2"/>
  <c r="DR37" i="2"/>
  <c r="DS28" i="2"/>
  <c r="DU28" i="2" s="1"/>
  <c r="M20" i="27" s="1"/>
  <c r="DR39" i="2"/>
  <c r="DM40" i="2"/>
  <c r="DM41" i="2"/>
  <c r="DR38" i="2"/>
  <c r="DM42" i="2"/>
  <c r="DS32" i="2"/>
  <c r="DU32" i="2" s="1"/>
  <c r="M24" i="27" s="1"/>
  <c r="DS30" i="2"/>
  <c r="DU30" i="2" s="1"/>
  <c r="M22" i="27" s="1"/>
  <c r="DR30" i="2"/>
  <c r="DS33" i="2"/>
  <c r="DU33" i="2" s="1"/>
  <c r="M25" i="27" s="1"/>
  <c r="DM22" i="2"/>
  <c r="DM36" i="2"/>
  <c r="DR18" i="2"/>
  <c r="DS29" i="2"/>
  <c r="DU29" i="2" s="1"/>
  <c r="M21" i="27" s="1"/>
  <c r="DS39" i="2"/>
  <c r="DR42" i="2"/>
  <c r="DR19" i="2"/>
  <c r="DS31" i="2"/>
  <c r="DU31" i="2" s="1"/>
  <c r="M23" i="27" s="1"/>
  <c r="DM34" i="2"/>
  <c r="DM37" i="2"/>
  <c r="DR27" i="2"/>
  <c r="DS24" i="2"/>
  <c r="DU24" i="2" s="1"/>
  <c r="M16" i="27" s="1"/>
  <c r="DR24" i="2"/>
  <c r="DR36" i="2"/>
  <c r="DS41" i="2"/>
  <c r="DS21" i="2"/>
  <c r="DU21" i="2" s="1"/>
  <c r="M13" i="27" s="1"/>
  <c r="DR40" i="2"/>
  <c r="DR23" i="2"/>
  <c r="DS26" i="2"/>
  <c r="DU26" i="2" s="1"/>
  <c r="M18" i="27" s="1"/>
  <c r="DS35" i="2"/>
  <c r="DU35" i="2" s="1"/>
  <c r="M27" i="27" s="1"/>
  <c r="DM38" i="2"/>
  <c r="DR22" i="2"/>
  <c r="DR20" i="2"/>
  <c r="DR25" i="2"/>
  <c r="DM23" i="2"/>
  <c r="DM27" i="2"/>
  <c r="DW37" i="2"/>
  <c r="C22" i="5"/>
  <c r="DW38" i="2"/>
  <c r="C23" i="5"/>
  <c r="DW42" i="2"/>
  <c r="C27" i="5"/>
  <c r="DW36" i="2"/>
  <c r="O28" i="27" s="1"/>
  <c r="C21" i="5"/>
  <c r="C4" i="5"/>
  <c r="DW22" i="2"/>
  <c r="O14" i="27" s="1"/>
  <c r="C3" i="5"/>
  <c r="DW23" i="2"/>
  <c r="O15" i="27" s="1"/>
  <c r="C8" i="5"/>
  <c r="DW40" i="2"/>
  <c r="C25" i="5"/>
  <c r="DW19" i="2" l="1"/>
  <c r="O11" i="27" s="1"/>
  <c r="DW18" i="2"/>
  <c r="BD41" i="30"/>
  <c r="BG41" i="30"/>
  <c r="BF41" i="30"/>
  <c r="BG44" i="30"/>
  <c r="BF44" i="30"/>
  <c r="BD44" i="30"/>
  <c r="G42" i="29"/>
  <c r="I42" i="29" s="1"/>
  <c r="G43" i="29"/>
  <c r="I43" i="29" s="1"/>
  <c r="G39" i="29"/>
  <c r="I39" i="29" s="1"/>
  <c r="G37" i="29"/>
  <c r="I37" i="29" s="1"/>
  <c r="G38" i="29"/>
  <c r="I38" i="29" s="1"/>
  <c r="G43" i="4"/>
  <c r="I43" i="4" s="1"/>
  <c r="P43" i="4" s="1"/>
  <c r="G43" i="28"/>
  <c r="I43" i="28" s="1"/>
  <c r="G39" i="28"/>
  <c r="I39" i="28" s="1"/>
  <c r="G37" i="28"/>
  <c r="I37" i="28" s="1"/>
  <c r="G38" i="28"/>
  <c r="I38" i="28" s="1"/>
  <c r="C12" i="5"/>
  <c r="G49" i="4" s="1"/>
  <c r="I49" i="4" s="1"/>
  <c r="DW27" i="2"/>
  <c r="O19" i="27" s="1"/>
  <c r="DM20" i="2"/>
  <c r="L12" i="27" s="1"/>
  <c r="O10" i="27"/>
  <c r="EK18" i="2"/>
  <c r="C7" i="5"/>
  <c r="C10" i="5"/>
  <c r="G48" i="4" s="1"/>
  <c r="I48" i="4" s="1"/>
  <c r="ED38" i="2"/>
  <c r="O30" i="27"/>
  <c r="ED40" i="2"/>
  <c r="O32" i="27"/>
  <c r="ED42" i="2"/>
  <c r="O34" i="27"/>
  <c r="ED37" i="2"/>
  <c r="O29" i="27"/>
  <c r="DM19" i="2"/>
  <c r="DW25" i="2"/>
  <c r="O17" i="27" s="1"/>
  <c r="DM18" i="2"/>
  <c r="L10" i="27" s="1"/>
  <c r="DW20" i="2"/>
  <c r="O12" i="27" s="1"/>
  <c r="C5" i="5"/>
  <c r="L19" i="27"/>
  <c r="L33" i="27"/>
  <c r="L26" i="27"/>
  <c r="L14" i="27"/>
  <c r="L32" i="27"/>
  <c r="L27" i="27"/>
  <c r="L17" i="27"/>
  <c r="L15" i="27"/>
  <c r="L30" i="27"/>
  <c r="L28" i="27"/>
  <c r="L34" i="27"/>
  <c r="L29" i="27"/>
  <c r="EH23" i="2"/>
  <c r="EL23" i="2" s="1"/>
  <c r="DX23" i="2" s="1"/>
  <c r="P15" i="27" s="1"/>
  <c r="EI23" i="2"/>
  <c r="EM23" i="2" s="1"/>
  <c r="DY23" i="2" s="1"/>
  <c r="Q15" i="27" s="1"/>
  <c r="EI36" i="2"/>
  <c r="EM36" i="2" s="1"/>
  <c r="DY36" i="2" s="1"/>
  <c r="Q28" i="27" s="1"/>
  <c r="EH36" i="2"/>
  <c r="EL36" i="2" s="1"/>
  <c r="DX36" i="2" s="1"/>
  <c r="P28" i="27" s="1"/>
  <c r="EH40" i="2"/>
  <c r="EL40" i="2" s="1"/>
  <c r="EI40" i="2"/>
  <c r="EM40" i="2" s="1"/>
  <c r="EH18" i="2"/>
  <c r="EI18" i="2"/>
  <c r="EI19" i="2"/>
  <c r="EM19" i="2" s="1"/>
  <c r="DY19" i="2" s="1"/>
  <c r="Q11" i="27" s="1"/>
  <c r="EH19" i="2"/>
  <c r="EL19" i="2" s="1"/>
  <c r="DX19" i="2" s="1"/>
  <c r="P11" i="27" s="1"/>
  <c r="EI42" i="2"/>
  <c r="EH42" i="2"/>
  <c r="EL42" i="2" s="1"/>
  <c r="EH37" i="2"/>
  <c r="EL37" i="2" s="1"/>
  <c r="EI37" i="2"/>
  <c r="EM37" i="2" s="1"/>
  <c r="EI22" i="2"/>
  <c r="EM22" i="2" s="1"/>
  <c r="DY22" i="2" s="1"/>
  <c r="Q14" i="27" s="1"/>
  <c r="EH22" i="2"/>
  <c r="EL22" i="2" s="1"/>
  <c r="DX22" i="2" s="1"/>
  <c r="P14" i="27" s="1"/>
  <c r="EI38" i="2"/>
  <c r="EM38" i="2" s="1"/>
  <c r="EH38" i="2"/>
  <c r="EL38" i="2" s="1"/>
  <c r="G44" i="4"/>
  <c r="I44" i="4" s="1"/>
  <c r="G41" i="4"/>
  <c r="I41" i="4" s="1"/>
  <c r="EM42" i="2"/>
  <c r="DM29" i="2"/>
  <c r="DW30" i="2"/>
  <c r="O22" i="27" s="1"/>
  <c r="DS17" i="2"/>
  <c r="DU17" i="2" s="1"/>
  <c r="M9" i="27" s="1"/>
  <c r="DM33" i="2"/>
  <c r="C18" i="5"/>
  <c r="C15" i="5"/>
  <c r="G52" i="4" s="1"/>
  <c r="I52" i="4" s="1"/>
  <c r="C19" i="5"/>
  <c r="DW35" i="2"/>
  <c r="O27" i="27" s="1"/>
  <c r="C20" i="5"/>
  <c r="DW26" i="2"/>
  <c r="O18" i="27" s="1"/>
  <c r="DM26" i="2"/>
  <c r="C11" i="5"/>
  <c r="DW21" i="2"/>
  <c r="C6" i="5"/>
  <c r="DM21" i="2"/>
  <c r="DW41" i="2"/>
  <c r="C26" i="5"/>
  <c r="C14" i="5"/>
  <c r="DW29" i="2"/>
  <c r="O21" i="27" s="1"/>
  <c r="DW24" i="2"/>
  <c r="O16" i="27" s="1"/>
  <c r="C9" i="5"/>
  <c r="G45" i="4" s="1"/>
  <c r="I45" i="4" s="1"/>
  <c r="DM24" i="2"/>
  <c r="C16" i="5"/>
  <c r="DM31" i="2"/>
  <c r="DW31" i="2"/>
  <c r="O23" i="27" s="1"/>
  <c r="C24" i="5"/>
  <c r="DW39" i="2"/>
  <c r="G47" i="4"/>
  <c r="I47" i="4" s="1"/>
  <c r="D27" i="5"/>
  <c r="G56" i="4"/>
  <c r="I56" i="4" s="1"/>
  <c r="G55" i="4"/>
  <c r="I55" i="4" s="1"/>
  <c r="G58" i="4"/>
  <c r="I58" i="4" s="1"/>
  <c r="G37" i="4"/>
  <c r="I37" i="4" s="1"/>
  <c r="G36" i="4"/>
  <c r="I36" i="4" s="1"/>
  <c r="G39" i="4"/>
  <c r="I39" i="4" s="1"/>
  <c r="G38" i="4"/>
  <c r="I38" i="4" s="1"/>
  <c r="G60" i="4"/>
  <c r="I60" i="4" s="1"/>
  <c r="G61" i="4"/>
  <c r="I61" i="4" s="1"/>
  <c r="G62" i="4"/>
  <c r="I62" i="4" s="1"/>
  <c r="G63" i="4"/>
  <c r="I63" i="4" s="1"/>
  <c r="G59" i="4"/>
  <c r="I59" i="4" s="1"/>
  <c r="G40" i="4"/>
  <c r="I40" i="4" s="1"/>
  <c r="E22" i="5"/>
  <c r="EI27" i="2" l="1"/>
  <c r="EM27" i="2" s="1"/>
  <c r="DY27" i="2" s="1"/>
  <c r="Q19" i="27" s="1"/>
  <c r="EH27" i="2"/>
  <c r="EL27" i="2" s="1"/>
  <c r="DX27" i="2" s="1"/>
  <c r="P19" i="27" s="1"/>
  <c r="EI20" i="2"/>
  <c r="EM20" i="2" s="1"/>
  <c r="DY20" i="2" s="1"/>
  <c r="BH41" i="30"/>
  <c r="BK41" i="30"/>
  <c r="BE44" i="30"/>
  <c r="BF38" i="30"/>
  <c r="BD38" i="30"/>
  <c r="BG42" i="30"/>
  <c r="BF42" i="30"/>
  <c r="BD42" i="30"/>
  <c r="BD37" i="30"/>
  <c r="BG37" i="30"/>
  <c r="BF37" i="30"/>
  <c r="BF40" i="30"/>
  <c r="BD40" i="30"/>
  <c r="BD39" i="30"/>
  <c r="BF39" i="30"/>
  <c r="BE41" i="30"/>
  <c r="BD43" i="30"/>
  <c r="BG43" i="30"/>
  <c r="BF43" i="30"/>
  <c r="G42" i="4"/>
  <c r="I42" i="4" s="1"/>
  <c r="BH44" i="30"/>
  <c r="BF36" i="30"/>
  <c r="BD36" i="30"/>
  <c r="J43" i="4"/>
  <c r="O43" i="4"/>
  <c r="N43" i="4"/>
  <c r="C43" i="30" s="1"/>
  <c r="G41" i="28"/>
  <c r="I41" i="28" s="1"/>
  <c r="P41" i="28" s="1"/>
  <c r="G40" i="29"/>
  <c r="I40" i="29" s="1"/>
  <c r="O39" i="29"/>
  <c r="CH40" i="29" s="1"/>
  <c r="J39" i="29"/>
  <c r="CF40" i="29"/>
  <c r="N39" i="29"/>
  <c r="BC39" i="29" s="1"/>
  <c r="P39" i="29"/>
  <c r="G40" i="28"/>
  <c r="I40" i="28" s="1"/>
  <c r="CF39" i="29"/>
  <c r="N38" i="29"/>
  <c r="BC38" i="29" s="1"/>
  <c r="P38" i="29"/>
  <c r="O38" i="29"/>
  <c r="CH39" i="29" s="1"/>
  <c r="J38" i="29"/>
  <c r="O43" i="29"/>
  <c r="CH44" i="29" s="1"/>
  <c r="J43" i="29"/>
  <c r="CF44" i="29"/>
  <c r="N43" i="29"/>
  <c r="BC43" i="29" s="1"/>
  <c r="P43" i="29"/>
  <c r="G42" i="28"/>
  <c r="I42" i="28" s="1"/>
  <c r="N42" i="28" s="1"/>
  <c r="BC42" i="28" s="1"/>
  <c r="G41" i="29"/>
  <c r="I41" i="29" s="1"/>
  <c r="O37" i="29"/>
  <c r="CH38" i="29" s="1"/>
  <c r="J37" i="29"/>
  <c r="CF38" i="29"/>
  <c r="N37" i="29"/>
  <c r="BC37" i="29" s="1"/>
  <c r="P37" i="29"/>
  <c r="P42" i="29"/>
  <c r="N42" i="29"/>
  <c r="BC42" i="29" s="1"/>
  <c r="O42" i="29"/>
  <c r="CH43" i="29" s="1"/>
  <c r="CF43" i="29"/>
  <c r="J42" i="29"/>
  <c r="P37" i="28"/>
  <c r="J37" i="28"/>
  <c r="CF38" i="28"/>
  <c r="O37" i="28"/>
  <c r="CH38" i="28" s="1"/>
  <c r="N37" i="28"/>
  <c r="R37" i="28" s="1"/>
  <c r="EM18" i="2"/>
  <c r="DY18" i="2" s="1"/>
  <c r="Q10" i="27" s="1"/>
  <c r="EI25" i="2"/>
  <c r="EM25" i="2" s="1"/>
  <c r="DY25" i="2" s="1"/>
  <c r="E10" i="5" s="1"/>
  <c r="CF39" i="28"/>
  <c r="N38" i="28"/>
  <c r="P38" i="28"/>
  <c r="J38" i="28"/>
  <c r="O38" i="28"/>
  <c r="CH39" i="28" s="1"/>
  <c r="P39" i="28"/>
  <c r="J39" i="28"/>
  <c r="CF40" i="28"/>
  <c r="O39" i="28"/>
  <c r="CH40" i="28" s="1"/>
  <c r="N39" i="28"/>
  <c r="R39" i="28" s="1"/>
  <c r="CF44" i="28"/>
  <c r="N43" i="28"/>
  <c r="BC43" i="28" s="1"/>
  <c r="P43" i="28"/>
  <c r="O43" i="28"/>
  <c r="CH44" i="28" s="1"/>
  <c r="J43" i="28"/>
  <c r="P36" i="4"/>
  <c r="N36" i="4"/>
  <c r="Q63" i="4"/>
  <c r="P63" i="4"/>
  <c r="N63" i="4"/>
  <c r="P38" i="4"/>
  <c r="N38" i="4"/>
  <c r="Q58" i="4"/>
  <c r="P58" i="4"/>
  <c r="N58" i="4"/>
  <c r="Q47" i="4"/>
  <c r="P47" i="4"/>
  <c r="N47" i="4"/>
  <c r="Q44" i="4"/>
  <c r="P44" i="4"/>
  <c r="N44" i="4"/>
  <c r="Q49" i="4"/>
  <c r="P49" i="4"/>
  <c r="N49" i="4"/>
  <c r="Q62" i="4"/>
  <c r="P62" i="4"/>
  <c r="N62" i="4"/>
  <c r="P39" i="4"/>
  <c r="N39" i="4"/>
  <c r="Q55" i="4"/>
  <c r="P55" i="4"/>
  <c r="N55" i="4"/>
  <c r="Q52" i="4"/>
  <c r="P52" i="4"/>
  <c r="N52" i="4"/>
  <c r="P40" i="4"/>
  <c r="N40" i="4"/>
  <c r="Q56" i="4"/>
  <c r="P56" i="4"/>
  <c r="N56" i="4"/>
  <c r="Q48" i="4"/>
  <c r="P48" i="4"/>
  <c r="N48" i="4"/>
  <c r="Q61" i="4"/>
  <c r="P61" i="4"/>
  <c r="N61" i="4"/>
  <c r="Q45" i="4"/>
  <c r="P45" i="4"/>
  <c r="N45" i="4"/>
  <c r="Q59" i="4"/>
  <c r="P59" i="4"/>
  <c r="N59" i="4"/>
  <c r="Q60" i="4"/>
  <c r="P60" i="4"/>
  <c r="N60" i="4"/>
  <c r="P37" i="4"/>
  <c r="N37" i="4"/>
  <c r="P41" i="4"/>
  <c r="N41" i="4"/>
  <c r="J49" i="4"/>
  <c r="O49" i="4"/>
  <c r="O48" i="4"/>
  <c r="EL18" i="2"/>
  <c r="DX18" i="2" s="1"/>
  <c r="P10" i="27" s="1"/>
  <c r="EH25" i="2"/>
  <c r="EL25" i="2" s="1"/>
  <c r="DX25" i="2" s="1"/>
  <c r="P17" i="27" s="1"/>
  <c r="EH20" i="2"/>
  <c r="EL20" i="2" s="1"/>
  <c r="DX20" i="2" s="1"/>
  <c r="P12" i="27" s="1"/>
  <c r="O13" i="27"/>
  <c r="EK21" i="2"/>
  <c r="EJ21" i="2"/>
  <c r="J48" i="4"/>
  <c r="L11" i="27"/>
  <c r="ED39" i="2"/>
  <c r="O31" i="27"/>
  <c r="Q12" i="27"/>
  <c r="ED41" i="2"/>
  <c r="O33" i="27"/>
  <c r="ED22" i="2"/>
  <c r="L18" i="27"/>
  <c r="L16" i="27"/>
  <c r="L23" i="27"/>
  <c r="L21" i="27"/>
  <c r="L13" i="27"/>
  <c r="L25" i="27"/>
  <c r="ED27" i="2"/>
  <c r="ED36" i="2"/>
  <c r="ED19" i="2"/>
  <c r="U11" i="27" s="1"/>
  <c r="ED23" i="2"/>
  <c r="U15" i="27" s="1"/>
  <c r="EI31" i="2"/>
  <c r="EM31" i="2" s="1"/>
  <c r="DY31" i="2" s="1"/>
  <c r="Q23" i="27" s="1"/>
  <c r="EH31" i="2"/>
  <c r="EL31" i="2" s="1"/>
  <c r="DX31" i="2" s="1"/>
  <c r="P23" i="27" s="1"/>
  <c r="EI29" i="2"/>
  <c r="EM29" i="2" s="1"/>
  <c r="DY29" i="2" s="1"/>
  <c r="Q21" i="27" s="1"/>
  <c r="EH29" i="2"/>
  <c r="EL29" i="2" s="1"/>
  <c r="DX29" i="2" s="1"/>
  <c r="P21" i="27" s="1"/>
  <c r="EH41" i="2"/>
  <c r="EL41" i="2" s="1"/>
  <c r="EI41" i="2"/>
  <c r="EM41" i="2" s="1"/>
  <c r="EH21" i="2"/>
  <c r="EI21" i="2"/>
  <c r="EI26" i="2"/>
  <c r="EM26" i="2" s="1"/>
  <c r="DY26" i="2" s="1"/>
  <c r="Q18" i="27" s="1"/>
  <c r="EH26" i="2"/>
  <c r="EL26" i="2" s="1"/>
  <c r="DX26" i="2" s="1"/>
  <c r="P18" i="27" s="1"/>
  <c r="EI30" i="2"/>
  <c r="EM30" i="2" s="1"/>
  <c r="DY30" i="2" s="1"/>
  <c r="EH30" i="2"/>
  <c r="EL30" i="2" s="1"/>
  <c r="DX30" i="2" s="1"/>
  <c r="P22" i="27" s="1"/>
  <c r="EH39" i="2"/>
  <c r="EL39" i="2" s="1"/>
  <c r="EI39" i="2"/>
  <c r="EM39" i="2" s="1"/>
  <c r="EI24" i="2"/>
  <c r="EM24" i="2" s="1"/>
  <c r="DY24" i="2" s="1"/>
  <c r="Q16" i="27" s="1"/>
  <c r="EH24" i="2"/>
  <c r="EL24" i="2" s="1"/>
  <c r="DX24" i="2" s="1"/>
  <c r="P16" i="27" s="1"/>
  <c r="EI35" i="2"/>
  <c r="EM35" i="2" s="1"/>
  <c r="DY35" i="2" s="1"/>
  <c r="Q27" i="27" s="1"/>
  <c r="EH35" i="2"/>
  <c r="EL35" i="2" s="1"/>
  <c r="DX35" i="2" s="1"/>
  <c r="P27" i="27" s="1"/>
  <c r="O44" i="4"/>
  <c r="J44" i="4"/>
  <c r="G51" i="4"/>
  <c r="I51" i="4" s="1"/>
  <c r="G46" i="4"/>
  <c r="I46" i="4" s="1"/>
  <c r="O45" i="4"/>
  <c r="J45" i="4"/>
  <c r="T48" i="4"/>
  <c r="T44" i="4"/>
  <c r="O52" i="4"/>
  <c r="DW34" i="2"/>
  <c r="O26" i="27" s="1"/>
  <c r="DM30" i="2"/>
  <c r="DW33" i="2"/>
  <c r="O25" i="27" s="1"/>
  <c r="DM28" i="2"/>
  <c r="DW28" i="2"/>
  <c r="O20" i="27" s="1"/>
  <c r="C13" i="5"/>
  <c r="G50" i="4" s="1"/>
  <c r="I50" i="4" s="1"/>
  <c r="DM32" i="2"/>
  <c r="DW32" i="2"/>
  <c r="O24" i="27" s="1"/>
  <c r="C17" i="5"/>
  <c r="DU117" i="2"/>
  <c r="C2" i="5"/>
  <c r="DW17" i="2"/>
  <c r="O9" i="27" s="1"/>
  <c r="DM17" i="2"/>
  <c r="J52" i="4"/>
  <c r="D22" i="5"/>
  <c r="E23" i="5"/>
  <c r="E27" i="5"/>
  <c r="E4" i="5"/>
  <c r="D7" i="5"/>
  <c r="E3" i="5"/>
  <c r="D8" i="5"/>
  <c r="D25" i="5"/>
  <c r="E12" i="5"/>
  <c r="E21" i="5"/>
  <c r="E8" i="5"/>
  <c r="E25" i="5"/>
  <c r="O41" i="4"/>
  <c r="O63" i="4"/>
  <c r="O61" i="4"/>
  <c r="O38" i="4"/>
  <c r="O36" i="4"/>
  <c r="O58" i="4"/>
  <c r="O47" i="4"/>
  <c r="O40" i="4"/>
  <c r="O59" i="4"/>
  <c r="O62" i="4"/>
  <c r="O60" i="4"/>
  <c r="O39" i="4"/>
  <c r="O37" i="4"/>
  <c r="O55" i="4"/>
  <c r="O56" i="4"/>
  <c r="J47" i="4"/>
  <c r="J62" i="4"/>
  <c r="J60" i="4"/>
  <c r="J55" i="4"/>
  <c r="J56" i="4"/>
  <c r="J59" i="4"/>
  <c r="J63" i="4"/>
  <c r="J61" i="4"/>
  <c r="J58" i="4"/>
  <c r="J37" i="4"/>
  <c r="J40" i="4"/>
  <c r="J39" i="4"/>
  <c r="J41" i="4"/>
  <c r="J38" i="4"/>
  <c r="J36" i="4"/>
  <c r="E7" i="5"/>
  <c r="D4" i="5"/>
  <c r="D23" i="5"/>
  <c r="D21" i="5"/>
  <c r="D12" i="5"/>
  <c r="E5" i="5"/>
  <c r="CI38" i="29" l="1"/>
  <c r="BD37" i="29"/>
  <c r="CI39" i="29"/>
  <c r="BD38" i="29"/>
  <c r="BE38" i="29" s="1"/>
  <c r="CI40" i="29"/>
  <c r="BD39" i="29"/>
  <c r="BE39" i="29"/>
  <c r="CI44" i="29"/>
  <c r="BD43" i="29"/>
  <c r="BE43" i="29"/>
  <c r="CI43" i="29"/>
  <c r="BD42" i="29"/>
  <c r="BE42" i="29" s="1"/>
  <c r="BE37" i="29"/>
  <c r="N41" i="28"/>
  <c r="BC41" i="28" s="1"/>
  <c r="BE41" i="28" s="1"/>
  <c r="CI44" i="28"/>
  <c r="BD43" i="28"/>
  <c r="BE43" i="28"/>
  <c r="CI42" i="28"/>
  <c r="BD41" i="28"/>
  <c r="CF43" i="28"/>
  <c r="D3" i="5"/>
  <c r="J42" i="28"/>
  <c r="C41" i="30"/>
  <c r="C60" i="30"/>
  <c r="C48" i="30"/>
  <c r="C52" i="30"/>
  <c r="C62" i="30"/>
  <c r="C58" i="30"/>
  <c r="C36" i="30"/>
  <c r="D10" i="5"/>
  <c r="C37" i="30"/>
  <c r="C45" i="30"/>
  <c r="C40" i="30"/>
  <c r="C39" i="30"/>
  <c r="C44" i="30"/>
  <c r="P42" i="28"/>
  <c r="O42" i="28"/>
  <c r="CH43" i="28" s="1"/>
  <c r="EL21" i="2"/>
  <c r="DX21" i="2" s="1"/>
  <c r="P13" i="27" s="1"/>
  <c r="C59" i="30"/>
  <c r="C56" i="30"/>
  <c r="C55" i="30"/>
  <c r="C49" i="30"/>
  <c r="C38" i="30"/>
  <c r="R42" i="28"/>
  <c r="CL43" i="28" s="1"/>
  <c r="Q43" i="29"/>
  <c r="S43" i="29" s="1"/>
  <c r="CM44" i="29" s="1"/>
  <c r="C61" i="30"/>
  <c r="C47" i="30"/>
  <c r="C63" i="30"/>
  <c r="BH43" i="30"/>
  <c r="BK43" i="30"/>
  <c r="D5" i="5"/>
  <c r="Q17" i="27"/>
  <c r="R38" i="28"/>
  <c r="CL39" i="28" s="1"/>
  <c r="O41" i="28"/>
  <c r="CH42" i="28" s="1"/>
  <c r="Q37" i="29"/>
  <c r="CJ38" i="29" s="1"/>
  <c r="BK36" i="30"/>
  <c r="BH36" i="30"/>
  <c r="BE43" i="30"/>
  <c r="BE39" i="30"/>
  <c r="AE38" i="30"/>
  <c r="BJ39" i="30"/>
  <c r="BE37" i="30"/>
  <c r="BH38" i="30"/>
  <c r="BK38" i="30"/>
  <c r="BE40" i="30"/>
  <c r="AE39" i="30"/>
  <c r="BJ40" i="30"/>
  <c r="ED25" i="2"/>
  <c r="CF42" i="28"/>
  <c r="BE36" i="30"/>
  <c r="BJ36" i="30"/>
  <c r="AE35" i="30"/>
  <c r="BG36" i="30"/>
  <c r="AF35" i="30"/>
  <c r="BE38" i="30"/>
  <c r="BJ38" i="30"/>
  <c r="AE37" i="30"/>
  <c r="AG37" i="30" s="1"/>
  <c r="BG38" i="30"/>
  <c r="AF37" i="30"/>
  <c r="BH39" i="30"/>
  <c r="BK39" i="30"/>
  <c r="BG40" i="30"/>
  <c r="AF39" i="30"/>
  <c r="BH37" i="30"/>
  <c r="BK37" i="30"/>
  <c r="BE42" i="30"/>
  <c r="BD35" i="30"/>
  <c r="BF35" i="30"/>
  <c r="BH35" i="30"/>
  <c r="BG35" i="30"/>
  <c r="J41" i="28"/>
  <c r="Q39" i="29"/>
  <c r="CJ40" i="29" s="1"/>
  <c r="BG39" i="30"/>
  <c r="AF38" i="30"/>
  <c r="BH42" i="30"/>
  <c r="BJ44" i="30"/>
  <c r="AW43" i="30"/>
  <c r="Q43" i="4"/>
  <c r="S43" i="4"/>
  <c r="S39" i="29"/>
  <c r="CM40" i="29" s="1"/>
  <c r="CJ44" i="29"/>
  <c r="CG43" i="29"/>
  <c r="R42" i="29"/>
  <c r="CL43" i="29" s="1"/>
  <c r="V42" i="29"/>
  <c r="CG39" i="29"/>
  <c r="V38" i="29"/>
  <c r="R38" i="29"/>
  <c r="CL39" i="29" s="1"/>
  <c r="CG38" i="29"/>
  <c r="V37" i="29"/>
  <c r="R37" i="29"/>
  <c r="CL38" i="29" s="1"/>
  <c r="O41" i="29"/>
  <c r="CH42" i="29" s="1"/>
  <c r="J41" i="29"/>
  <c r="CF42" i="29"/>
  <c r="N41" i="29"/>
  <c r="BC41" i="29" s="1"/>
  <c r="P41" i="29"/>
  <c r="CG44" i="29"/>
  <c r="V43" i="29"/>
  <c r="R43" i="29"/>
  <c r="CL44" i="29" s="1"/>
  <c r="G36" i="29"/>
  <c r="I36" i="29" s="1"/>
  <c r="G34" i="29"/>
  <c r="I34" i="29" s="1"/>
  <c r="G35" i="29"/>
  <c r="I35" i="29" s="1"/>
  <c r="G35" i="28"/>
  <c r="I35" i="28" s="1"/>
  <c r="G36" i="28"/>
  <c r="I36" i="28" s="1"/>
  <c r="Q42" i="29"/>
  <c r="Q38" i="29"/>
  <c r="CG40" i="29"/>
  <c r="V39" i="29"/>
  <c r="R39" i="29"/>
  <c r="CL40" i="29" s="1"/>
  <c r="P40" i="29"/>
  <c r="CF41" i="29"/>
  <c r="O40" i="29"/>
  <c r="CH41" i="29" s="1"/>
  <c r="J40" i="29"/>
  <c r="N40" i="29"/>
  <c r="J40" i="28"/>
  <c r="CF41" i="28"/>
  <c r="O40" i="28"/>
  <c r="CH41" i="28" s="1"/>
  <c r="N40" i="28"/>
  <c r="BC40" i="28" s="1"/>
  <c r="P40" i="28"/>
  <c r="R41" i="28"/>
  <c r="R43" i="28"/>
  <c r="CG43" i="28"/>
  <c r="V42" i="28"/>
  <c r="CG44" i="28"/>
  <c r="V43" i="28"/>
  <c r="CG40" i="28"/>
  <c r="CL40" i="28"/>
  <c r="V39" i="28"/>
  <c r="BC39" i="28"/>
  <c r="Q39" i="28"/>
  <c r="S39" i="28" s="1"/>
  <c r="CI39" i="28"/>
  <c r="BD38" i="28"/>
  <c r="CG38" i="28"/>
  <c r="BC37" i="28"/>
  <c r="CL38" i="28"/>
  <c r="V37" i="28"/>
  <c r="Q37" i="28"/>
  <c r="S37" i="28" s="1"/>
  <c r="ED18" i="2"/>
  <c r="U10" i="27" s="1"/>
  <c r="CI40" i="28"/>
  <c r="BD39" i="28"/>
  <c r="Q38" i="28"/>
  <c r="S38" i="28" s="1"/>
  <c r="CG42" i="28"/>
  <c r="V41" i="28"/>
  <c r="Q41" i="28"/>
  <c r="S41" i="28" s="1"/>
  <c r="CI38" i="28"/>
  <c r="BD37" i="28"/>
  <c r="ED20" i="2"/>
  <c r="U12" i="27" s="1"/>
  <c r="Q42" i="28"/>
  <c r="S42" i="28" s="1"/>
  <c r="BC38" i="28"/>
  <c r="CG39" i="28"/>
  <c r="V38" i="28"/>
  <c r="G34" i="4"/>
  <c r="I34" i="4" s="1"/>
  <c r="G34" i="28"/>
  <c r="I34" i="28" s="1"/>
  <c r="Q43" i="28"/>
  <c r="S43" i="28" s="1"/>
  <c r="Q41" i="4"/>
  <c r="Q39" i="4"/>
  <c r="S41" i="4"/>
  <c r="Q40" i="4"/>
  <c r="Q37" i="4"/>
  <c r="Q38" i="4"/>
  <c r="S39" i="4"/>
  <c r="S38" i="4"/>
  <c r="S37" i="4"/>
  <c r="S36" i="4"/>
  <c r="Q46" i="4"/>
  <c r="P46" i="4"/>
  <c r="N46" i="4"/>
  <c r="Q50" i="4"/>
  <c r="P50" i="4"/>
  <c r="N50" i="4"/>
  <c r="Q51" i="4"/>
  <c r="P51" i="4"/>
  <c r="N51" i="4"/>
  <c r="O42" i="4"/>
  <c r="P42" i="4"/>
  <c r="N42" i="4"/>
  <c r="Q36" i="4"/>
  <c r="EM21" i="2"/>
  <c r="DY21" i="2" s="1"/>
  <c r="Q13" i="27" s="1"/>
  <c r="M127" i="27"/>
  <c r="M49" i="27"/>
  <c r="M98" i="27"/>
  <c r="E15" i="5"/>
  <c r="Q22" i="27"/>
  <c r="L9" i="27"/>
  <c r="L24" i="27"/>
  <c r="L20" i="27"/>
  <c r="ED29" i="2"/>
  <c r="L22" i="27"/>
  <c r="ED31" i="2"/>
  <c r="ED35" i="2"/>
  <c r="EK17" i="2"/>
  <c r="EJ17" i="2"/>
  <c r="ED30" i="2"/>
  <c r="ED26" i="2"/>
  <c r="ED24" i="2"/>
  <c r="EH17" i="2"/>
  <c r="EI17" i="2"/>
  <c r="EH33" i="2"/>
  <c r="EL33" i="2" s="1"/>
  <c r="DX33" i="2" s="1"/>
  <c r="P25" i="27" s="1"/>
  <c r="EI33" i="2"/>
  <c r="EM33" i="2" s="1"/>
  <c r="DY33" i="2" s="1"/>
  <c r="Q25" i="27" s="1"/>
  <c r="EH34" i="2"/>
  <c r="EL34" i="2" s="1"/>
  <c r="DX34" i="2" s="1"/>
  <c r="P26" i="27" s="1"/>
  <c r="EI34" i="2"/>
  <c r="EM34" i="2" s="1"/>
  <c r="DY34" i="2" s="1"/>
  <c r="Q26" i="27" s="1"/>
  <c r="EI32" i="2"/>
  <c r="EM32" i="2" s="1"/>
  <c r="DY32" i="2" s="1"/>
  <c r="Q24" i="27" s="1"/>
  <c r="EH32" i="2"/>
  <c r="EL32" i="2" s="1"/>
  <c r="DX32" i="2" s="1"/>
  <c r="P24" i="27" s="1"/>
  <c r="EH28" i="2"/>
  <c r="EL28" i="2" s="1"/>
  <c r="DX28" i="2" s="1"/>
  <c r="P20" i="27" s="1"/>
  <c r="EI28" i="2"/>
  <c r="EM28" i="2" s="1"/>
  <c r="DY28" i="2" s="1"/>
  <c r="Q20" i="27" s="1"/>
  <c r="D15" i="5"/>
  <c r="J46" i="4"/>
  <c r="O46" i="4"/>
  <c r="J51" i="4"/>
  <c r="O51" i="4"/>
  <c r="T49" i="4"/>
  <c r="T43" i="4"/>
  <c r="G54" i="4"/>
  <c r="I54" i="4" s="1"/>
  <c r="G57" i="4"/>
  <c r="I57" i="4" s="1"/>
  <c r="G53" i="4"/>
  <c r="I53" i="4" s="1"/>
  <c r="G35" i="4"/>
  <c r="I35" i="4" s="1"/>
  <c r="J42" i="4"/>
  <c r="DU16" i="2"/>
  <c r="T56" i="4"/>
  <c r="T59" i="4"/>
  <c r="T60" i="4"/>
  <c r="T46" i="4"/>
  <c r="T62" i="4"/>
  <c r="T47" i="4"/>
  <c r="T58" i="4"/>
  <c r="T61" i="4"/>
  <c r="T63" i="4"/>
  <c r="J50" i="4"/>
  <c r="O50" i="4"/>
  <c r="DW117" i="2"/>
  <c r="D20" i="5"/>
  <c r="E20" i="5"/>
  <c r="D24" i="5"/>
  <c r="E24" i="5"/>
  <c r="D6" i="5"/>
  <c r="D14" i="5"/>
  <c r="E14" i="5"/>
  <c r="D16" i="5"/>
  <c r="E16" i="5"/>
  <c r="E11" i="5"/>
  <c r="D11" i="5"/>
  <c r="D26" i="5"/>
  <c r="E26" i="5"/>
  <c r="E9" i="5"/>
  <c r="D9" i="5"/>
  <c r="Q40" i="29" l="1"/>
  <c r="BC40" i="29"/>
  <c r="BE40" i="29" s="1"/>
  <c r="CI42" i="29"/>
  <c r="BD41" i="29"/>
  <c r="BE41" i="29" s="1"/>
  <c r="CI41" i="29"/>
  <c r="BD40" i="29"/>
  <c r="CI43" i="28"/>
  <c r="BD42" i="28"/>
  <c r="BE42" i="28" s="1"/>
  <c r="CI41" i="28"/>
  <c r="BD40" i="28"/>
  <c r="BE40" i="28"/>
  <c r="C51" i="30"/>
  <c r="C46" i="30"/>
  <c r="S37" i="29"/>
  <c r="CM38" i="29" s="1"/>
  <c r="C50" i="30"/>
  <c r="AX22" i="30"/>
  <c r="C42" i="30"/>
  <c r="BE35" i="30"/>
  <c r="BJ42" i="30"/>
  <c r="AW41" i="30"/>
  <c r="Q41" i="29"/>
  <c r="CJ42" i="29" s="1"/>
  <c r="BK40" i="30"/>
  <c r="BH40" i="30"/>
  <c r="AG35" i="30"/>
  <c r="AN33" i="30" s="1" a="1"/>
  <c r="AG39" i="30"/>
  <c r="AG38" i="30"/>
  <c r="E6" i="5"/>
  <c r="Q40" i="28"/>
  <c r="CG41" i="28"/>
  <c r="R40" i="28"/>
  <c r="CL41" i="28" s="1"/>
  <c r="V40" i="28"/>
  <c r="CG41" i="29"/>
  <c r="R40" i="29"/>
  <c r="CL41" i="29" s="1"/>
  <c r="V40" i="29"/>
  <c r="P35" i="28"/>
  <c r="J35" i="28"/>
  <c r="CF36" i="28"/>
  <c r="O35" i="28"/>
  <c r="CH36" i="28" s="1"/>
  <c r="N35" i="28"/>
  <c r="BC35" i="28" s="1"/>
  <c r="ED21" i="2"/>
  <c r="U13" i="27" s="1"/>
  <c r="CJ41" i="29"/>
  <c r="S40" i="29"/>
  <c r="CM41" i="29" s="1"/>
  <c r="CJ39" i="29"/>
  <c r="S38" i="29"/>
  <c r="CM39" i="29" s="1"/>
  <c r="O35" i="29"/>
  <c r="CH36" i="29" s="1"/>
  <c r="J35" i="29"/>
  <c r="CF36" i="29"/>
  <c r="N35" i="29"/>
  <c r="BC35" i="29" s="1"/>
  <c r="P35" i="29"/>
  <c r="CG42" i="29"/>
  <c r="V41" i="29"/>
  <c r="R41" i="29"/>
  <c r="CL42" i="29" s="1"/>
  <c r="CJ43" i="29"/>
  <c r="S42" i="29"/>
  <c r="CM43" i="29" s="1"/>
  <c r="N34" i="29"/>
  <c r="BC34" i="29" s="1"/>
  <c r="P34" i="29"/>
  <c r="O34" i="29"/>
  <c r="CH35" i="29" s="1"/>
  <c r="CF35" i="29"/>
  <c r="J34" i="29"/>
  <c r="N36" i="28"/>
  <c r="BC36" i="28" s="1"/>
  <c r="P36" i="28"/>
  <c r="J36" i="28"/>
  <c r="CF37" i="28"/>
  <c r="O36" i="28"/>
  <c r="CH37" i="28" s="1"/>
  <c r="CF37" i="29"/>
  <c r="N36" i="29"/>
  <c r="BC36" i="29" s="1"/>
  <c r="P36" i="29"/>
  <c r="O36" i="29"/>
  <c r="CH37" i="29" s="1"/>
  <c r="J36" i="29"/>
  <c r="CJ44" i="28"/>
  <c r="CM44" i="28"/>
  <c r="CJ42" i="28"/>
  <c r="CM42" i="28"/>
  <c r="CF35" i="28"/>
  <c r="O34" i="28"/>
  <c r="CH35" i="28" s="1"/>
  <c r="J34" i="28"/>
  <c r="N34" i="28"/>
  <c r="BC34" i="28" s="1"/>
  <c r="P34" i="28"/>
  <c r="BE38" i="28"/>
  <c r="CM43" i="28"/>
  <c r="CJ43" i="28"/>
  <c r="CJ39" i="28"/>
  <c r="CM39" i="28"/>
  <c r="BE37" i="28"/>
  <c r="CJ40" i="28"/>
  <c r="CM40" i="28"/>
  <c r="CL44" i="28"/>
  <c r="BW43" i="28"/>
  <c r="CL42" i="28"/>
  <c r="BW41" i="28"/>
  <c r="CJ38" i="28"/>
  <c r="CM38" i="28"/>
  <c r="BE39" i="28"/>
  <c r="Q42" i="4"/>
  <c r="P35" i="4"/>
  <c r="N35" i="4"/>
  <c r="P34" i="4"/>
  <c r="N34" i="4"/>
  <c r="Q57" i="4"/>
  <c r="P57" i="4"/>
  <c r="N57" i="4"/>
  <c r="Q53" i="4"/>
  <c r="P53" i="4"/>
  <c r="N53" i="4"/>
  <c r="Q54" i="4"/>
  <c r="P54" i="4"/>
  <c r="N54" i="4"/>
  <c r="O98" i="27"/>
  <c r="O127" i="27"/>
  <c r="O49" i="27"/>
  <c r="EL17" i="2"/>
  <c r="DX17" i="2" s="1"/>
  <c r="D2" i="5" s="1"/>
  <c r="ED34" i="2"/>
  <c r="ED28" i="2"/>
  <c r="EM17" i="2"/>
  <c r="DY17" i="2" s="1"/>
  <c r="ED33" i="2"/>
  <c r="ED32" i="2"/>
  <c r="O54" i="4"/>
  <c r="T41" i="4"/>
  <c r="T52" i="4"/>
  <c r="J54" i="4"/>
  <c r="T55" i="4"/>
  <c r="T51" i="4"/>
  <c r="T45" i="4"/>
  <c r="O53" i="4"/>
  <c r="J53" i="4"/>
  <c r="J57" i="4"/>
  <c r="O57" i="4"/>
  <c r="O35" i="4"/>
  <c r="J35" i="4"/>
  <c r="F17" i="4"/>
  <c r="DW16" i="2"/>
  <c r="T50" i="4"/>
  <c r="J34" i="4"/>
  <c r="O34" i="4"/>
  <c r="E19" i="5"/>
  <c r="E18" i="5"/>
  <c r="D13" i="5"/>
  <c r="E17" i="5"/>
  <c r="D19" i="5"/>
  <c r="D18" i="5"/>
  <c r="E13" i="5"/>
  <c r="D17" i="5"/>
  <c r="CI35" i="29" l="1"/>
  <c r="BD34" i="29"/>
  <c r="BE34" i="29" s="1"/>
  <c r="CI37" i="29"/>
  <c r="BD36" i="29"/>
  <c r="BE36" i="29" s="1"/>
  <c r="CI36" i="29"/>
  <c r="BD35" i="29"/>
  <c r="BE35" i="29"/>
  <c r="BE35" i="28"/>
  <c r="CI36" i="28"/>
  <c r="BD35" i="28"/>
  <c r="CI37" i="28"/>
  <c r="BD36" i="28"/>
  <c r="BE36" i="28" s="1"/>
  <c r="CI35" i="28"/>
  <c r="BD34" i="28"/>
  <c r="BE34" i="28" s="1"/>
  <c r="Q35" i="29"/>
  <c r="CJ36" i="29" s="1"/>
  <c r="Q34" i="29"/>
  <c r="CJ35" i="29" s="1"/>
  <c r="C57" i="30"/>
  <c r="S41" i="29"/>
  <c r="CM42" i="29" s="1"/>
  <c r="C53" i="30"/>
  <c r="C35" i="30"/>
  <c r="C54" i="30"/>
  <c r="C34" i="30"/>
  <c r="AX28" i="30"/>
  <c r="BJ35" i="30"/>
  <c r="AW34" i="30"/>
  <c r="AN115" i="30"/>
  <c r="AN111" i="30"/>
  <c r="AN107" i="30"/>
  <c r="AN103" i="30"/>
  <c r="AN99" i="30"/>
  <c r="AN95" i="30"/>
  <c r="AN91" i="30"/>
  <c r="AN87" i="30"/>
  <c r="AN83" i="30"/>
  <c r="AN79" i="30"/>
  <c r="AN75" i="30"/>
  <c r="AN71" i="30"/>
  <c r="AN67" i="30"/>
  <c r="AN63" i="30"/>
  <c r="AN59" i="30"/>
  <c r="AN55" i="30"/>
  <c r="AN51" i="30"/>
  <c r="AN47" i="30"/>
  <c r="AN43" i="30"/>
  <c r="AN39" i="30"/>
  <c r="AN35" i="30"/>
  <c r="AN114" i="30"/>
  <c r="AN110" i="30"/>
  <c r="AN106" i="30"/>
  <c r="AN102" i="30"/>
  <c r="AN98" i="30"/>
  <c r="AN94" i="30"/>
  <c r="AN90" i="30"/>
  <c r="AN86" i="30"/>
  <c r="AN82" i="30"/>
  <c r="AN78" i="30"/>
  <c r="AN74" i="30"/>
  <c r="AN70" i="30"/>
  <c r="AN66" i="30"/>
  <c r="AN62" i="30"/>
  <c r="AN58" i="30"/>
  <c r="AN54" i="30"/>
  <c r="AN50" i="30"/>
  <c r="AN46" i="30"/>
  <c r="AN42" i="30"/>
  <c r="AN38" i="30"/>
  <c r="AN34" i="30"/>
  <c r="AN113" i="30"/>
  <c r="AN109" i="30"/>
  <c r="AN105" i="30"/>
  <c r="AN101" i="30"/>
  <c r="AN97" i="30"/>
  <c r="AN93" i="30"/>
  <c r="AN89" i="30"/>
  <c r="AN85" i="30"/>
  <c r="AN81" i="30"/>
  <c r="AN77" i="30"/>
  <c r="AN73" i="30"/>
  <c r="AN69" i="30"/>
  <c r="AN65" i="30"/>
  <c r="AN61" i="30"/>
  <c r="AN57" i="30"/>
  <c r="AN53" i="30"/>
  <c r="AN49" i="30"/>
  <c r="AN45" i="30"/>
  <c r="AN41" i="30"/>
  <c r="AN37" i="30"/>
  <c r="AN33" i="30"/>
  <c r="AN112" i="30"/>
  <c r="AN108" i="30"/>
  <c r="AN104" i="30"/>
  <c r="AN100" i="30"/>
  <c r="AN96" i="30"/>
  <c r="AN92" i="30"/>
  <c r="AN88" i="30"/>
  <c r="AN84" i="30"/>
  <c r="AN80" i="30"/>
  <c r="AN76" i="30"/>
  <c r="AN72" i="30"/>
  <c r="AN68" i="30"/>
  <c r="AN64" i="30"/>
  <c r="AN60" i="30"/>
  <c r="AN56" i="30"/>
  <c r="AN52" i="30"/>
  <c r="AN48" i="30"/>
  <c r="AN44" i="30"/>
  <c r="AN40" i="30"/>
  <c r="AN36" i="30"/>
  <c r="S35" i="29"/>
  <c r="CM36" i="29" s="1"/>
  <c r="S27" i="29"/>
  <c r="S34" i="29"/>
  <c r="CM35" i="29" s="1"/>
  <c r="CG37" i="29"/>
  <c r="R36" i="29"/>
  <c r="CL37" i="29" s="1"/>
  <c r="V36" i="29"/>
  <c r="CG35" i="29"/>
  <c r="R34" i="29"/>
  <c r="CL35" i="29" s="1"/>
  <c r="V34" i="29"/>
  <c r="CG36" i="29"/>
  <c r="V35" i="29"/>
  <c r="R35" i="29"/>
  <c r="CL36" i="29" s="1"/>
  <c r="CJ41" i="28"/>
  <c r="S40" i="28"/>
  <c r="CM41" i="28" s="1"/>
  <c r="Q36" i="29"/>
  <c r="V35" i="28"/>
  <c r="Q35" i="28"/>
  <c r="R35" i="28"/>
  <c r="CL36" i="28" s="1"/>
  <c r="CG36" i="28"/>
  <c r="R36" i="28"/>
  <c r="CL37" i="28" s="1"/>
  <c r="Q36" i="28"/>
  <c r="CG37" i="28"/>
  <c r="V36" i="28"/>
  <c r="R34" i="28"/>
  <c r="Q34" i="28"/>
  <c r="CG35" i="28"/>
  <c r="V34" i="28"/>
  <c r="S34" i="4"/>
  <c r="Q34" i="4"/>
  <c r="S35" i="4"/>
  <c r="Q35" i="4"/>
  <c r="ED17" i="2"/>
  <c r="U9" i="27" s="1"/>
  <c r="Q9" i="27"/>
  <c r="DX117" i="2"/>
  <c r="DX16" i="2" s="1"/>
  <c r="P9" i="27"/>
  <c r="DY117" i="2"/>
  <c r="DY16" i="2" s="1"/>
  <c r="E2" i="5"/>
  <c r="T54" i="4"/>
  <c r="T42" i="4"/>
  <c r="B48" i="14"/>
  <c r="ED117" i="2"/>
  <c r="T40" i="4"/>
  <c r="T36" i="4"/>
  <c r="T37" i="4"/>
  <c r="T38" i="4"/>
  <c r="T39" i="4"/>
  <c r="BL33" i="29" l="1" a="1"/>
  <c r="BT36" i="29"/>
  <c r="BS45" i="29"/>
  <c r="BS48" i="29"/>
  <c r="BT41" i="29"/>
  <c r="BS44" i="29"/>
  <c r="BY45" i="29"/>
  <c r="BY40" i="29"/>
  <c r="BZ36" i="29"/>
  <c r="BY41" i="29"/>
  <c r="BS62" i="29"/>
  <c r="BT35" i="29"/>
  <c r="BZ34" i="29"/>
  <c r="BT50" i="29"/>
  <c r="BS42" i="29"/>
  <c r="BT62" i="29"/>
  <c r="BT48" i="29"/>
  <c r="BS41" i="29"/>
  <c r="BU41" i="29" s="1"/>
  <c r="BY43" i="29"/>
  <c r="BS52" i="29"/>
  <c r="BZ43" i="29"/>
  <c r="BT44" i="29"/>
  <c r="BZ41" i="29"/>
  <c r="BY39" i="29"/>
  <c r="BY46" i="29"/>
  <c r="BS58" i="29"/>
  <c r="BZ44" i="29"/>
  <c r="BT52" i="29"/>
  <c r="BS35" i="29"/>
  <c r="BS54" i="29"/>
  <c r="BY38" i="29"/>
  <c r="BT63" i="29"/>
  <c r="BT42" i="29"/>
  <c r="BT46" i="29"/>
  <c r="BS39" i="29"/>
  <c r="BT56" i="29"/>
  <c r="BS60" i="29"/>
  <c r="BZ48" i="29"/>
  <c r="BS43" i="29"/>
  <c r="BY37" i="29"/>
  <c r="BY34" i="29"/>
  <c r="CA34" i="29" s="1"/>
  <c r="BS55" i="29"/>
  <c r="BS47" i="29"/>
  <c r="BS36" i="29"/>
  <c r="BU36" i="29" s="1"/>
  <c r="BT40" i="29"/>
  <c r="BY35" i="29"/>
  <c r="BS61" i="29"/>
  <c r="BT39" i="29"/>
  <c r="BS49" i="29"/>
  <c r="BS51" i="29"/>
  <c r="BY36" i="29"/>
  <c r="CA36" i="29" s="1"/>
  <c r="BS59" i="29"/>
  <c r="BT58" i="29"/>
  <c r="BS38" i="29"/>
  <c r="BT59" i="29"/>
  <c r="BT43" i="29"/>
  <c r="BS37" i="29"/>
  <c r="BY47" i="29"/>
  <c r="BT38" i="29"/>
  <c r="BZ42" i="29"/>
  <c r="BZ37" i="29"/>
  <c r="BS50" i="29"/>
  <c r="BU50" i="29" s="1"/>
  <c r="BS57" i="29"/>
  <c r="BS40" i="29"/>
  <c r="BU40" i="29" s="1"/>
  <c r="BZ40" i="29"/>
  <c r="BZ35" i="29"/>
  <c r="BT55" i="29"/>
  <c r="BY48" i="29"/>
  <c r="CA48" i="29" s="1"/>
  <c r="BT51" i="29"/>
  <c r="BU51" i="29" s="1"/>
  <c r="BS46" i="29"/>
  <c r="BU46" i="29" s="1"/>
  <c r="BT61" i="29"/>
  <c r="BS56" i="29"/>
  <c r="BZ38" i="29"/>
  <c r="BT57" i="29"/>
  <c r="BT37" i="29"/>
  <c r="BT54" i="29"/>
  <c r="BS53" i="29"/>
  <c r="BT34" i="29"/>
  <c r="BT53" i="29"/>
  <c r="BS63" i="29"/>
  <c r="BU63" i="29" s="1"/>
  <c r="BY44" i="29"/>
  <c r="CA44" i="29" s="1"/>
  <c r="BZ39" i="29"/>
  <c r="BT47" i="29"/>
  <c r="BT45" i="29"/>
  <c r="BZ47" i="29"/>
  <c r="BS34" i="29"/>
  <c r="BU34" i="29" s="1"/>
  <c r="BT49" i="29"/>
  <c r="BU49" i="29" s="1"/>
  <c r="BY42" i="29"/>
  <c r="CA42" i="29" s="1"/>
  <c r="BZ46" i="29"/>
  <c r="CA46" i="29" s="1"/>
  <c r="BT60" i="29"/>
  <c r="BZ45" i="29"/>
  <c r="BT63" i="28"/>
  <c r="BS46" i="28"/>
  <c r="BS44" i="28"/>
  <c r="BT61" i="28"/>
  <c r="BT42" i="28"/>
  <c r="BZ34" i="28"/>
  <c r="BT50" i="28"/>
  <c r="BT58" i="28"/>
  <c r="BZ44" i="28"/>
  <c r="BZ43" i="28"/>
  <c r="BT43" i="28"/>
  <c r="BS50" i="28"/>
  <c r="BU50" i="28" s="1"/>
  <c r="BY35" i="28"/>
  <c r="BT56" i="28"/>
  <c r="BS51" i="28"/>
  <c r="BY40" i="28"/>
  <c r="BS43" i="28"/>
  <c r="BU43" i="28" s="1"/>
  <c r="BT54" i="28"/>
  <c r="BT55" i="28"/>
  <c r="BY46" i="28"/>
  <c r="BS39" i="28"/>
  <c r="BT37" i="28"/>
  <c r="BS55" i="28"/>
  <c r="BU55" i="28" s="1"/>
  <c r="BS42" i="28"/>
  <c r="BS36" i="28"/>
  <c r="BT46" i="28"/>
  <c r="BZ41" i="28"/>
  <c r="BT49" i="28"/>
  <c r="BS62" i="28"/>
  <c r="BZ42" i="28"/>
  <c r="BZ40" i="28"/>
  <c r="BS61" i="28"/>
  <c r="BS48" i="28"/>
  <c r="BY34" i="28"/>
  <c r="BT59" i="28"/>
  <c r="BZ45" i="28"/>
  <c r="BS49" i="28"/>
  <c r="BS63" i="28"/>
  <c r="BY48" i="28"/>
  <c r="BY39" i="28"/>
  <c r="BT51" i="28"/>
  <c r="BZ35" i="28"/>
  <c r="BT48" i="28"/>
  <c r="BS58" i="28"/>
  <c r="BS53" i="28"/>
  <c r="BT53" i="28"/>
  <c r="BY43" i="28"/>
  <c r="BS38" i="28"/>
  <c r="BT40" i="28"/>
  <c r="BS59" i="28"/>
  <c r="BY41" i="28"/>
  <c r="BT38" i="28"/>
  <c r="BS40" i="28"/>
  <c r="BZ47" i="28"/>
  <c r="BS56" i="28"/>
  <c r="BZ48" i="28"/>
  <c r="BY37" i="28"/>
  <c r="BS52" i="28"/>
  <c r="BT62" i="28"/>
  <c r="BZ37" i="28"/>
  <c r="BT60" i="28"/>
  <c r="BT41" i="28"/>
  <c r="BY44" i="28"/>
  <c r="BS35" i="28"/>
  <c r="BT34" i="28"/>
  <c r="BY47" i="28"/>
  <c r="BZ39" i="28"/>
  <c r="BL33" i="28" a="1"/>
  <c r="BS47" i="28"/>
  <c r="BY36" i="28"/>
  <c r="BT52" i="28"/>
  <c r="BT36" i="28"/>
  <c r="BU36" i="28" s="1"/>
  <c r="BZ46" i="28"/>
  <c r="BS37" i="28"/>
  <c r="BT44" i="28"/>
  <c r="BS57" i="28"/>
  <c r="BZ36" i="28"/>
  <c r="BS54" i="28"/>
  <c r="BU54" i="28" s="1"/>
  <c r="BT35" i="28"/>
  <c r="BY42" i="28"/>
  <c r="BT39" i="28"/>
  <c r="BS41" i="28"/>
  <c r="BU41" i="28" s="1"/>
  <c r="BY45" i="28"/>
  <c r="BZ38" i="28"/>
  <c r="BT47" i="28"/>
  <c r="BS60" i="28"/>
  <c r="BU60" i="28" s="1"/>
  <c r="BS45" i="28"/>
  <c r="BY38" i="28"/>
  <c r="BT45" i="28"/>
  <c r="BT57" i="28"/>
  <c r="BS34" i="28"/>
  <c r="BU34" i="28" s="1"/>
  <c r="B51" i="14"/>
  <c r="CA41" i="28"/>
  <c r="S36" i="28"/>
  <c r="CM37" i="28" s="1"/>
  <c r="CJ37" i="28"/>
  <c r="S35" i="28"/>
  <c r="CM36" i="28" s="1"/>
  <c r="CJ36" i="28"/>
  <c r="BA62" i="29"/>
  <c r="BA57" i="29"/>
  <c r="BA55" i="29"/>
  <c r="BA63" i="29"/>
  <c r="BA61" i="29"/>
  <c r="BA60" i="29"/>
  <c r="BA59" i="29"/>
  <c r="BA58" i="29"/>
  <c r="BA50" i="29"/>
  <c r="BA48" i="29"/>
  <c r="BA53" i="29"/>
  <c r="BA56" i="29"/>
  <c r="BA54" i="29"/>
  <c r="BA51" i="29"/>
  <c r="BA49" i="29"/>
  <c r="BA47" i="29"/>
  <c r="BA45" i="29"/>
  <c r="BA43" i="29"/>
  <c r="BA41" i="29"/>
  <c r="BA52" i="29"/>
  <c r="BA34" i="29"/>
  <c r="BA39" i="29"/>
  <c r="BA37" i="29"/>
  <c r="BA35" i="29"/>
  <c r="BA40" i="29"/>
  <c r="BA42" i="29"/>
  <c r="BA38" i="29"/>
  <c r="BA36" i="29"/>
  <c r="BA46" i="29"/>
  <c r="BA44" i="29"/>
  <c r="F17" i="29"/>
  <c r="F17" i="28"/>
  <c r="CJ37" i="29"/>
  <c r="S36" i="29"/>
  <c r="CM37" i="29" s="1"/>
  <c r="S27" i="28"/>
  <c r="S34" i="28"/>
  <c r="CM35" i="28" s="1"/>
  <c r="CJ35" i="28"/>
  <c r="CA38" i="28"/>
  <c r="BU63" i="28"/>
  <c r="BU53" i="28"/>
  <c r="BU58" i="28"/>
  <c r="CA43" i="28"/>
  <c r="BU56" i="28"/>
  <c r="BU40" i="28"/>
  <c r="CA34" i="28"/>
  <c r="BU61" i="28"/>
  <c r="BU42" i="28"/>
  <c r="CA46" i="28"/>
  <c r="CL35" i="28"/>
  <c r="BW34" i="28"/>
  <c r="BU48" i="28"/>
  <c r="BU39" i="28"/>
  <c r="BU45" i="28"/>
  <c r="BA57" i="28"/>
  <c r="BA55" i="28"/>
  <c r="BA63" i="28"/>
  <c r="BA61" i="28"/>
  <c r="BA60" i="28"/>
  <c r="BA59" i="28"/>
  <c r="BA58" i="28"/>
  <c r="BA56" i="28"/>
  <c r="BA54" i="28"/>
  <c r="BA62" i="28"/>
  <c r="BA53" i="28"/>
  <c r="BA51" i="28"/>
  <c r="BA49" i="28"/>
  <c r="BA47" i="28"/>
  <c r="BA45" i="28"/>
  <c r="BA43" i="28"/>
  <c r="BA52" i="28"/>
  <c r="BA50" i="28"/>
  <c r="BA48" i="28"/>
  <c r="BA46" i="28"/>
  <c r="BA44" i="28"/>
  <c r="BA42" i="28"/>
  <c r="BA40" i="28"/>
  <c r="BA38" i="28"/>
  <c r="BA36" i="28"/>
  <c r="BA37" i="28"/>
  <c r="BA34" i="28"/>
  <c r="BA41" i="28"/>
  <c r="BA39" i="28"/>
  <c r="BA35" i="28"/>
  <c r="CA40" i="28"/>
  <c r="BU51" i="28"/>
  <c r="CA35" i="28"/>
  <c r="BU44" i="28"/>
  <c r="BU46" i="28"/>
  <c r="BU59" i="28"/>
  <c r="BU38" i="28"/>
  <c r="CA45" i="28"/>
  <c r="CA42" i="28"/>
  <c r="BU57" i="28"/>
  <c r="BU37" i="28"/>
  <c r="CA36" i="28"/>
  <c r="BU47" i="28"/>
  <c r="BL115" i="28"/>
  <c r="BL111" i="28"/>
  <c r="BL107" i="28"/>
  <c r="BL103" i="28"/>
  <c r="BL99" i="28"/>
  <c r="BL95" i="28"/>
  <c r="BL91" i="28"/>
  <c r="BL87" i="28"/>
  <c r="BL83" i="28"/>
  <c r="BL79" i="28"/>
  <c r="BL75" i="28"/>
  <c r="BL71" i="28"/>
  <c r="BL67" i="28"/>
  <c r="BL63" i="28"/>
  <c r="BL59" i="28"/>
  <c r="BL55" i="28"/>
  <c r="BL51" i="28"/>
  <c r="BL47" i="28"/>
  <c r="BL43" i="28"/>
  <c r="BL39" i="28"/>
  <c r="BL35" i="28"/>
  <c r="BL112" i="28"/>
  <c r="BL106" i="28"/>
  <c r="BL101" i="28"/>
  <c r="BL96" i="28"/>
  <c r="BL90" i="28"/>
  <c r="BL85" i="28"/>
  <c r="BL80" i="28"/>
  <c r="BL74" i="28"/>
  <c r="BL69" i="28"/>
  <c r="BL64" i="28"/>
  <c r="BL58" i="28"/>
  <c r="BL53" i="28"/>
  <c r="BL48" i="28"/>
  <c r="BL42" i="28"/>
  <c r="BL37" i="28"/>
  <c r="BL110" i="28"/>
  <c r="BL105" i="28"/>
  <c r="BL100" i="28"/>
  <c r="BL94" i="28"/>
  <c r="BL89" i="28"/>
  <c r="BL84" i="28"/>
  <c r="BL78" i="28"/>
  <c r="BL73" i="28"/>
  <c r="BL68" i="28"/>
  <c r="BL62" i="28"/>
  <c r="BL57" i="28"/>
  <c r="BL52" i="28"/>
  <c r="BL46" i="28"/>
  <c r="BL41" i="28"/>
  <c r="BL36" i="28"/>
  <c r="BL113" i="28"/>
  <c r="BL108" i="28"/>
  <c r="BL102" i="28"/>
  <c r="BL97" i="28"/>
  <c r="BL86" i="28"/>
  <c r="BL81" i="28"/>
  <c r="BL70" i="28"/>
  <c r="BL60" i="28"/>
  <c r="BL44" i="28"/>
  <c r="BL33" i="28"/>
  <c r="BL109" i="28"/>
  <c r="BL98" i="28"/>
  <c r="BL88" i="28"/>
  <c r="BL77" i="28"/>
  <c r="BL66" i="28"/>
  <c r="BL56" i="28"/>
  <c r="BL45" i="28"/>
  <c r="BL40" i="28"/>
  <c r="BL92" i="28"/>
  <c r="BL76" i="28"/>
  <c r="BL65" i="28"/>
  <c r="BL54" i="28"/>
  <c r="BL49" i="28"/>
  <c r="BL38" i="28"/>
  <c r="BL114" i="28"/>
  <c r="BL104" i="28"/>
  <c r="BL93" i="28"/>
  <c r="BL82" i="28"/>
  <c r="BL72" i="28"/>
  <c r="BL61" i="28"/>
  <c r="BL50" i="28"/>
  <c r="BL34" i="28"/>
  <c r="CA47" i="28"/>
  <c r="BU35" i="28"/>
  <c r="CA44" i="28"/>
  <c r="BU52" i="28"/>
  <c r="CA37" i="28"/>
  <c r="U127" i="27"/>
  <c r="U98" i="27"/>
  <c r="P127" i="27"/>
  <c r="P49" i="27"/>
  <c r="P98" i="27"/>
  <c r="Q127" i="27"/>
  <c r="Q49" i="27"/>
  <c r="Q98" i="27"/>
  <c r="U49" i="27"/>
  <c r="T57" i="4"/>
  <c r="T53" i="4"/>
  <c r="T35" i="4"/>
  <c r="B55" i="14"/>
  <c r="B49" i="14"/>
  <c r="F55" i="14"/>
  <c r="B52" i="14"/>
  <c r="T34" i="4"/>
  <c r="T27" i="4"/>
  <c r="ED16" i="2"/>
  <c r="BU53" i="29" l="1"/>
  <c r="BU35" i="29"/>
  <c r="BU48" i="29"/>
  <c r="BU59" i="29"/>
  <c r="CA37" i="29"/>
  <c r="BU56" i="29"/>
  <c r="CA39" i="29"/>
  <c r="BU52" i="29"/>
  <c r="CA40" i="29"/>
  <c r="BU57" i="29"/>
  <c r="BU61" i="29"/>
  <c r="BU47" i="29"/>
  <c r="BU43" i="29"/>
  <c r="BU39" i="29"/>
  <c r="CA38" i="29"/>
  <c r="CA43" i="29"/>
  <c r="BU42" i="29"/>
  <c r="BU62" i="29"/>
  <c r="CA45" i="29"/>
  <c r="BU45" i="29"/>
  <c r="CA47" i="29"/>
  <c r="BU38" i="29"/>
  <c r="CA35" i="29"/>
  <c r="BU55" i="29"/>
  <c r="BU54" i="29"/>
  <c r="BU58" i="29"/>
  <c r="CA41" i="29"/>
  <c r="BU44" i="29"/>
  <c r="BU37" i="29"/>
  <c r="CA33" i="29" s="1"/>
  <c r="BU60" i="29"/>
  <c r="BL110" i="29"/>
  <c r="BL94" i="29"/>
  <c r="BL78" i="29"/>
  <c r="BL62" i="29"/>
  <c r="BL46" i="29"/>
  <c r="BL113" i="29"/>
  <c r="BL97" i="29"/>
  <c r="BL81" i="29"/>
  <c r="BL65" i="29"/>
  <c r="BL49" i="29"/>
  <c r="BL33" i="29"/>
  <c r="BL100" i="29"/>
  <c r="BL84" i="29"/>
  <c r="BL68" i="29"/>
  <c r="BL52" i="29"/>
  <c r="BL36" i="29"/>
  <c r="BL63" i="29"/>
  <c r="BL75" i="29"/>
  <c r="BL87" i="29"/>
  <c r="BL115" i="29"/>
  <c r="BL51" i="29"/>
  <c r="BL106" i="29"/>
  <c r="BL90" i="29"/>
  <c r="BL74" i="29"/>
  <c r="BL58" i="29"/>
  <c r="BL42" i="29"/>
  <c r="BL109" i="29"/>
  <c r="BL93" i="29"/>
  <c r="BL77" i="29"/>
  <c r="BL61" i="29"/>
  <c r="BL45" i="29"/>
  <c r="BL112" i="29"/>
  <c r="BL96" i="29"/>
  <c r="BL80" i="29"/>
  <c r="BL64" i="29"/>
  <c r="BL48" i="29"/>
  <c r="BL111" i="29"/>
  <c r="BL47" i="29"/>
  <c r="BL59" i="29"/>
  <c r="BL71" i="29"/>
  <c r="BL99" i="29"/>
  <c r="BL35" i="29"/>
  <c r="BL102" i="29"/>
  <c r="BL86" i="29"/>
  <c r="BL70" i="29"/>
  <c r="BL54" i="29"/>
  <c r="BL38" i="29"/>
  <c r="BL105" i="29"/>
  <c r="BL89" i="29"/>
  <c r="BL73" i="29"/>
  <c r="BL57" i="29"/>
  <c r="BL41" i="29"/>
  <c r="BL108" i="29"/>
  <c r="BL92" i="29"/>
  <c r="BL76" i="29"/>
  <c r="BL60" i="29"/>
  <c r="BL44" i="29"/>
  <c r="BL95" i="29"/>
  <c r="BL107" i="29"/>
  <c r="BL43" i="29"/>
  <c r="BL55" i="29"/>
  <c r="BL83" i="29"/>
  <c r="BL114" i="29"/>
  <c r="BL98" i="29"/>
  <c r="BL82" i="29"/>
  <c r="BL66" i="29"/>
  <c r="BL50" i="29"/>
  <c r="BL34" i="29"/>
  <c r="BL101" i="29"/>
  <c r="BL85" i="29"/>
  <c r="BL69" i="29"/>
  <c r="BL53" i="29"/>
  <c r="BL37" i="29"/>
  <c r="BL104" i="29"/>
  <c r="BL88" i="29"/>
  <c r="BL72" i="29"/>
  <c r="BL56" i="29"/>
  <c r="BL40" i="29"/>
  <c r="BL79" i="29"/>
  <c r="BL91" i="29"/>
  <c r="BL103" i="29"/>
  <c r="BL39" i="29"/>
  <c r="BL67" i="29"/>
  <c r="BU49" i="28"/>
  <c r="CA39" i="28"/>
  <c r="CA48" i="28"/>
  <c r="BU62" i="28"/>
  <c r="CA33" i="28" s="1"/>
  <c r="BA33" i="29"/>
  <c r="CA60" i="28"/>
  <c r="CA59" i="28"/>
  <c r="CA58" i="28"/>
  <c r="BA33" i="28"/>
  <c r="BU33" i="28"/>
  <c r="B59" i="14"/>
  <c r="B62" i="14" s="1"/>
  <c r="B69" i="14"/>
  <c r="BU33" i="29" l="1"/>
  <c r="CA57" i="28"/>
  <c r="B61" i="14"/>
  <c r="B68" i="14" s="1"/>
  <c r="B60" i="14" s="1"/>
  <c r="B66" i="14"/>
  <c r="B63" i="14"/>
  <c r="E4" i="14"/>
  <c r="C4" i="14"/>
  <c r="E3" i="14"/>
  <c r="C3" i="14"/>
  <c r="C106" i="18"/>
  <c r="A32" i="18"/>
  <c r="C100" i="18"/>
  <c r="C256" i="18"/>
  <c r="C192" i="18"/>
  <c r="C94" i="18"/>
  <c r="C300" i="18"/>
  <c r="C126" i="18"/>
  <c r="C142" i="18"/>
  <c r="C236" i="18"/>
  <c r="C190" i="18"/>
  <c r="C112" i="18"/>
  <c r="C260" i="18"/>
  <c r="C62" i="18"/>
  <c r="C38" i="18"/>
  <c r="A8" i="18"/>
  <c r="C154" i="18"/>
  <c r="C46" i="18"/>
  <c r="C8" i="18"/>
  <c r="C90" i="18"/>
  <c r="C216" i="18"/>
  <c r="C44" i="18"/>
  <c r="C134" i="18"/>
  <c r="C20" i="18"/>
  <c r="A18" i="18"/>
  <c r="C138" i="18"/>
  <c r="C30" i="18"/>
  <c r="C230" i="18"/>
  <c r="C174" i="18"/>
  <c r="C298" i="18"/>
  <c r="C178" i="18"/>
  <c r="C210" i="18"/>
  <c r="C268" i="18"/>
  <c r="C92" i="18"/>
  <c r="C120" i="18"/>
  <c r="A24" i="18"/>
  <c r="C290" i="18"/>
  <c r="C140" i="18"/>
  <c r="C162" i="18"/>
  <c r="C56" i="18"/>
  <c r="C262" i="18"/>
  <c r="C88" i="18"/>
  <c r="C228" i="18"/>
  <c r="C206" i="18"/>
  <c r="C242" i="18"/>
  <c r="C152" i="18"/>
  <c r="C22" i="18"/>
  <c r="C284" i="18"/>
  <c r="C118" i="18"/>
  <c r="C54" i="18"/>
  <c r="C182" i="18"/>
  <c r="C36" i="18"/>
  <c r="C204" i="18"/>
  <c r="A30" i="18"/>
  <c r="C226" i="18"/>
  <c r="C286" i="18"/>
  <c r="C166" i="18"/>
  <c r="C76" i="18"/>
  <c r="A4" i="18"/>
  <c r="C194" i="18"/>
  <c r="C128" i="18"/>
  <c r="C170" i="18"/>
  <c r="A22" i="18"/>
  <c r="C248" i="18"/>
  <c r="C160" i="18"/>
  <c r="C74" i="18"/>
  <c r="C172" i="18"/>
  <c r="C50" i="18"/>
  <c r="C238" i="18"/>
  <c r="C274" i="18"/>
  <c r="C280" i="18"/>
  <c r="A20" i="18"/>
  <c r="C188" i="18"/>
  <c r="C202" i="18"/>
  <c r="C66" i="18"/>
  <c r="C244" i="18"/>
  <c r="C104" i="18"/>
  <c r="C60" i="18"/>
  <c r="C266" i="18"/>
  <c r="C48" i="18"/>
  <c r="C96" i="18"/>
  <c r="A26" i="18"/>
  <c r="C224" i="18"/>
  <c r="C196" i="18"/>
  <c r="C70" i="18"/>
  <c r="C132" i="18"/>
  <c r="C278" i="18"/>
  <c r="C72" i="18"/>
  <c r="C254" i="18"/>
  <c r="C40" i="18"/>
  <c r="C218" i="18"/>
  <c r="C294" i="18"/>
  <c r="A28" i="18"/>
  <c r="C282" i="18"/>
  <c r="C234" i="18"/>
  <c r="C64" i="18"/>
  <c r="A12" i="18"/>
  <c r="C302" i="18"/>
  <c r="C110" i="18"/>
  <c r="C146" i="18"/>
  <c r="C82" i="18"/>
  <c r="C130" i="18"/>
  <c r="C270" i="18"/>
  <c r="C12" i="18"/>
  <c r="C212" i="18"/>
  <c r="C252" i="18"/>
  <c r="C296" i="18"/>
  <c r="C80" i="18"/>
  <c r="C264" i="18"/>
  <c r="C122" i="18"/>
  <c r="C164" i="18"/>
  <c r="C150" i="18"/>
  <c r="C6" i="18"/>
  <c r="C272" i="18"/>
  <c r="C86" i="18"/>
  <c r="C288" i="18"/>
  <c r="C114" i="18"/>
  <c r="C52" i="18"/>
  <c r="C14" i="18"/>
  <c r="C156" i="18"/>
  <c r="C200" i="18"/>
  <c r="C276" i="18"/>
  <c r="C136" i="18"/>
  <c r="A6" i="18"/>
  <c r="C220" i="18"/>
  <c r="C34" i="18"/>
  <c r="C144" i="18"/>
  <c r="C208" i="18"/>
  <c r="C42" i="18"/>
  <c r="C198" i="18"/>
  <c r="C28" i="18"/>
  <c r="C16" i="18"/>
  <c r="C84" i="18"/>
  <c r="A10" i="18"/>
  <c r="C250" i="18"/>
  <c r="C124" i="18"/>
  <c r="C168" i="18"/>
  <c r="C180" i="18"/>
  <c r="C68" i="18"/>
  <c r="C24" i="18"/>
  <c r="C246" i="18"/>
  <c r="C232" i="18"/>
  <c r="C78" i="18"/>
  <c r="C186" i="18"/>
  <c r="C148" i="18"/>
  <c r="B64" i="14"/>
  <c r="C158" i="18"/>
  <c r="C26" i="18"/>
  <c r="C304" i="18"/>
  <c r="C10" i="18"/>
  <c r="C58" i="18"/>
  <c r="C240" i="18"/>
  <c r="C116" i="18"/>
  <c r="C18" i="18"/>
  <c r="C184" i="18"/>
  <c r="C258" i="18"/>
  <c r="C32" i="18"/>
  <c r="C214" i="18"/>
  <c r="C98" i="18"/>
  <c r="A16" i="18"/>
  <c r="C176" i="18"/>
  <c r="C292" i="18"/>
  <c r="A14" i="18"/>
  <c r="C222" i="18"/>
  <c r="C108" i="18"/>
  <c r="C102" i="18"/>
  <c r="B67" i="14" l="1"/>
  <c r="F43" i="14"/>
  <c r="F33" i="14" s="1"/>
  <c r="J33" i="14"/>
  <c r="G60" i="14" s="1"/>
  <c r="AL83" i="18"/>
  <c r="V56" i="18"/>
  <c r="AL63" i="18"/>
  <c r="Z29" i="18"/>
  <c r="AT32" i="18"/>
  <c r="Z92" i="18"/>
  <c r="Z74" i="18"/>
  <c r="AT78" i="18"/>
  <c r="AH73" i="18"/>
  <c r="AL40" i="18"/>
  <c r="AP26" i="18"/>
  <c r="R20" i="18"/>
  <c r="N82" i="18"/>
  <c r="AT57" i="18"/>
  <c r="V52" i="18"/>
  <c r="AL14" i="18"/>
  <c r="AH72" i="18"/>
  <c r="Z61" i="18"/>
  <c r="N29" i="18"/>
  <c r="AL52" i="18"/>
  <c r="AP83" i="18"/>
  <c r="AT81" i="18"/>
  <c r="AL51" i="18"/>
  <c r="AP48" i="18"/>
  <c r="AH76" i="18"/>
  <c r="V44" i="18"/>
  <c r="N15" i="18"/>
  <c r="AL84" i="18"/>
  <c r="AL70" i="18"/>
  <c r="AT82" i="18"/>
  <c r="AH44" i="18"/>
  <c r="N26" i="18"/>
  <c r="AH8" i="18"/>
  <c r="V61" i="18"/>
  <c r="Z23" i="18"/>
  <c r="AD91" i="18"/>
  <c r="V38" i="18"/>
  <c r="R7" i="18"/>
  <c r="R25" i="18"/>
  <c r="AT62" i="18"/>
  <c r="Z31" i="18"/>
  <c r="Z10" i="18"/>
  <c r="AP50" i="18"/>
  <c r="AH67" i="18"/>
  <c r="V5" i="18"/>
  <c r="AL24" i="18"/>
  <c r="Z52" i="18"/>
  <c r="AL48" i="18"/>
  <c r="AP30" i="18"/>
  <c r="AT77" i="18"/>
  <c r="AH51" i="18"/>
  <c r="AT74" i="18"/>
  <c r="Z40" i="18"/>
  <c r="AD20" i="18"/>
  <c r="N77" i="18"/>
  <c r="N37" i="18"/>
  <c r="N17" i="18"/>
  <c r="V65" i="18"/>
  <c r="Z32" i="18"/>
  <c r="AT75" i="18"/>
  <c r="N87" i="18"/>
  <c r="R38" i="18"/>
  <c r="AP20" i="18"/>
  <c r="N81" i="18"/>
  <c r="AD32" i="18"/>
  <c r="V32" i="18"/>
  <c r="Z17" i="18"/>
  <c r="AP59" i="18"/>
  <c r="N11" i="18"/>
  <c r="V6" i="18"/>
  <c r="V42" i="18"/>
  <c r="AD69" i="18"/>
  <c r="AP6" i="18"/>
  <c r="AD29" i="18"/>
  <c r="AP71" i="18"/>
  <c r="AP27" i="18"/>
  <c r="V11" i="18"/>
  <c r="AD65" i="18"/>
  <c r="AD21" i="18"/>
  <c r="N53" i="18"/>
  <c r="R78" i="18"/>
  <c r="V30" i="18"/>
  <c r="AT63" i="18"/>
  <c r="AL31" i="18"/>
  <c r="AT56" i="18"/>
  <c r="AL6" i="18"/>
  <c r="AP67" i="18"/>
  <c r="AL66" i="18"/>
  <c r="AH36" i="18"/>
  <c r="AP15" i="18"/>
  <c r="AL18" i="18"/>
  <c r="AD80" i="18"/>
  <c r="V73" i="18"/>
  <c r="AP7" i="18"/>
  <c r="AD53" i="18"/>
  <c r="Z49" i="18"/>
  <c r="V35" i="18"/>
  <c r="V10" i="18"/>
  <c r="AD70" i="18"/>
  <c r="AD56" i="18"/>
  <c r="Z26" i="18"/>
  <c r="AH11" i="18"/>
  <c r="AP57" i="18"/>
  <c r="N47" i="18"/>
  <c r="V15" i="18"/>
  <c r="AP38" i="18"/>
  <c r="AH13" i="18"/>
  <c r="N69" i="18"/>
  <c r="AP64" i="18"/>
  <c r="N35" i="18"/>
  <c r="V57" i="18"/>
  <c r="AH35" i="18"/>
  <c r="AL16" i="18"/>
  <c r="V81" i="18"/>
  <c r="AT53" i="18"/>
  <c r="N92" i="18"/>
  <c r="R46" i="18"/>
  <c r="V24" i="18"/>
  <c r="V76" i="18"/>
  <c r="V40" i="18"/>
  <c r="N20" i="18"/>
  <c r="AL71" i="18"/>
  <c r="R40" i="18"/>
  <c r="AT79" i="18"/>
  <c r="AP90" i="18"/>
  <c r="V45" i="18"/>
  <c r="AD26" i="18"/>
  <c r="N73" i="18"/>
  <c r="R24" i="18"/>
  <c r="AP14" i="18"/>
  <c r="AD49" i="18"/>
  <c r="AD4" i="18"/>
  <c r="AP70" i="18"/>
  <c r="AT24" i="18"/>
  <c r="AH9" i="18"/>
  <c r="R76" i="18"/>
  <c r="R69" i="18"/>
  <c r="Z65" i="18"/>
  <c r="N56" i="18"/>
  <c r="AL4" i="18"/>
  <c r="AD74" i="18"/>
  <c r="AT35" i="18"/>
  <c r="R4" i="18"/>
  <c r="R63" i="18"/>
  <c r="R21" i="18"/>
  <c r="N36" i="18"/>
  <c r="V71" i="18"/>
  <c r="R37" i="18"/>
  <c r="R15" i="18"/>
  <c r="R60" i="18"/>
  <c r="V7" i="18"/>
  <c r="AP10" i="18"/>
  <c r="AH59" i="18"/>
  <c r="AL32" i="18"/>
  <c r="N85" i="18"/>
  <c r="AP75" i="18"/>
  <c r="V19" i="18"/>
  <c r="AL72" i="18"/>
  <c r="R79" i="18"/>
  <c r="N10" i="18"/>
  <c r="AP86" i="18"/>
  <c r="AL86" i="18"/>
  <c r="Z50" i="18"/>
  <c r="AL30" i="18"/>
  <c r="Z81" i="18"/>
  <c r="AP92" i="18"/>
  <c r="AP51" i="18"/>
  <c r="N62" i="18"/>
  <c r="AL45" i="18"/>
  <c r="Z11" i="18"/>
  <c r="R64" i="18"/>
  <c r="AH52" i="18"/>
  <c r="AH42" i="18"/>
  <c r="AL22" i="18"/>
  <c r="AP13" i="18"/>
  <c r="V80" i="18"/>
  <c r="N61" i="18"/>
  <c r="AP84" i="18"/>
  <c r="N65" i="18"/>
  <c r="AT45" i="18"/>
  <c r="AD30" i="18"/>
  <c r="AT7" i="18"/>
  <c r="V62" i="18"/>
  <c r="AP45" i="18"/>
  <c r="N28" i="18"/>
  <c r="AP4" i="18"/>
  <c r="AL50" i="18"/>
  <c r="R19" i="18"/>
  <c r="R87" i="18"/>
  <c r="N18" i="18"/>
  <c r="AH14" i="18"/>
  <c r="R59" i="18"/>
  <c r="V50" i="18"/>
  <c r="Z38" i="18"/>
  <c r="AP49" i="18"/>
  <c r="AP32" i="18"/>
  <c r="AT4" i="18"/>
  <c r="AP80" i="18"/>
  <c r="AT52" i="18"/>
  <c r="V49" i="18"/>
  <c r="N40" i="18"/>
  <c r="AL23" i="18"/>
  <c r="R73" i="18"/>
  <c r="AL38" i="18"/>
  <c r="AL10" i="18"/>
  <c r="Z73" i="18"/>
  <c r="AH27" i="18"/>
  <c r="N54" i="18"/>
  <c r="R68" i="18"/>
  <c r="AP43" i="18"/>
  <c r="AL21" i="18"/>
  <c r="V66" i="18"/>
  <c r="N19" i="18"/>
  <c r="AP16" i="18"/>
  <c r="AP72" i="18"/>
  <c r="Z90" i="18"/>
  <c r="N49" i="18"/>
  <c r="AT33" i="18"/>
  <c r="AP11" i="18"/>
  <c r="AD72" i="18"/>
  <c r="R89" i="18"/>
  <c r="R52" i="18"/>
  <c r="N21" i="18"/>
  <c r="AP8" i="18"/>
  <c r="AL64" i="18"/>
  <c r="AD47" i="18"/>
  <c r="R5" i="18"/>
  <c r="R39" i="18"/>
  <c r="N22" i="18"/>
  <c r="Z28" i="18"/>
  <c r="R67" i="18"/>
  <c r="AH57" i="18"/>
  <c r="Z9" i="18"/>
  <c r="Z41" i="18"/>
  <c r="N79" i="18"/>
  <c r="AT27" i="18"/>
  <c r="AT5" i="18"/>
  <c r="AH22" i="18"/>
  <c r="Z85" i="18"/>
  <c r="N50" i="18"/>
  <c r="AD46" i="18"/>
  <c r="N44" i="18"/>
  <c r="AT25" i="18"/>
  <c r="AH92" i="18"/>
  <c r="AT73" i="18"/>
  <c r="AP62" i="18"/>
  <c r="V88" i="18"/>
  <c r="AT76" i="18"/>
  <c r="R45" i="18"/>
  <c r="AL34" i="18"/>
  <c r="AT88" i="18"/>
  <c r="V59" i="18"/>
  <c r="AH54" i="18"/>
  <c r="N32" i="18"/>
  <c r="R90" i="18"/>
  <c r="AH32" i="18"/>
  <c r="AD14" i="18"/>
  <c r="Z80" i="18"/>
  <c r="V8" i="18"/>
  <c r="R88" i="18"/>
  <c r="AH74" i="18"/>
  <c r="R44" i="18"/>
  <c r="AP88" i="18"/>
  <c r="V63" i="18"/>
  <c r="AD13" i="18"/>
  <c r="AH6" i="18"/>
  <c r="AD76" i="18"/>
  <c r="V85" i="18"/>
  <c r="AH55" i="18"/>
  <c r="AH29" i="18"/>
  <c r="AL13" i="18"/>
  <c r="Z76" i="18"/>
  <c r="V36" i="18"/>
  <c r="R14" i="18"/>
  <c r="N46" i="18"/>
  <c r="AH15" i="18"/>
  <c r="AH43" i="18"/>
  <c r="Z55" i="18"/>
  <c r="N41" i="18"/>
  <c r="N6" i="18"/>
  <c r="V29" i="18"/>
  <c r="R86" i="18"/>
  <c r="AP40" i="18"/>
  <c r="AL47" i="18"/>
  <c r="Z72" i="18"/>
  <c r="N42" i="18"/>
  <c r="R34" i="18"/>
  <c r="N90" i="18"/>
  <c r="N71" i="18"/>
  <c r="R82" i="18"/>
  <c r="Z35" i="18"/>
  <c r="N23" i="18"/>
  <c r="N89" i="18"/>
  <c r="AD54" i="18"/>
  <c r="AH19" i="18"/>
  <c r="AH91" i="18"/>
  <c r="AP47" i="18"/>
  <c r="N12" i="18"/>
  <c r="AL9" i="18"/>
  <c r="Z56" i="18"/>
  <c r="AD24" i="18"/>
  <c r="AH86" i="18"/>
  <c r="AP37" i="18"/>
  <c r="AD59" i="18"/>
  <c r="Z79" i="18"/>
  <c r="R74" i="18"/>
  <c r="AH23" i="18"/>
  <c r="N66" i="18"/>
  <c r="R30" i="18"/>
  <c r="AH88" i="18"/>
  <c r="AT13" i="18"/>
  <c r="AD41" i="18"/>
  <c r="AT11" i="18"/>
  <c r="Z18" i="18"/>
  <c r="AT21" i="18"/>
  <c r="R61" i="18"/>
  <c r="AT86" i="18"/>
  <c r="AL76" i="18"/>
  <c r="Z33" i="18"/>
  <c r="R81" i="18"/>
  <c r="AH82" i="18"/>
  <c r="Z21" i="18"/>
  <c r="R48" i="18"/>
  <c r="N68" i="18"/>
  <c r="AL68" i="18"/>
  <c r="Z13" i="18"/>
  <c r="Z54" i="18"/>
  <c r="Z45" i="18"/>
  <c r="AH81" i="18"/>
  <c r="AH65" i="18"/>
  <c r="AH77" i="18"/>
  <c r="Z87" i="18"/>
  <c r="Z69" i="18"/>
  <c r="AT54" i="18"/>
  <c r="N7" i="18"/>
  <c r="AL12" i="18"/>
  <c r="N45" i="18"/>
  <c r="AD9" i="18"/>
  <c r="AH12" i="18"/>
  <c r="AP54" i="18"/>
  <c r="N83" i="18"/>
  <c r="R16" i="18"/>
  <c r="AP44" i="18"/>
  <c r="AP82" i="18"/>
  <c r="AT70" i="18"/>
  <c r="V27" i="18"/>
  <c r="R65" i="18"/>
  <c r="AH68" i="18"/>
  <c r="AL79" i="18"/>
  <c r="N64" i="18"/>
  <c r="V69" i="18"/>
  <c r="AP56" i="18"/>
  <c r="AD75" i="18"/>
  <c r="R42" i="18"/>
  <c r="V83" i="18"/>
  <c r="AD37" i="18"/>
  <c r="R22" i="18"/>
  <c r="Z47" i="18"/>
  <c r="Z43" i="18"/>
  <c r="Z83" i="18"/>
  <c r="AL59" i="18"/>
  <c r="Z39" i="18"/>
  <c r="AH30" i="18"/>
  <c r="V47" i="18"/>
  <c r="AT14" i="18"/>
  <c r="N74" i="18"/>
  <c r="AD40" i="18"/>
  <c r="AP87" i="18"/>
  <c r="AP33" i="18"/>
  <c r="AH83" i="18"/>
  <c r="N9" i="18"/>
  <c r="AL17" i="18"/>
  <c r="Z67" i="18"/>
  <c r="AL61" i="18"/>
  <c r="N8" i="18"/>
  <c r="AP39" i="18"/>
  <c r="AT64" i="18"/>
  <c r="AD51" i="18"/>
  <c r="V46" i="18"/>
  <c r="AP42" i="18"/>
  <c r="Z59" i="18"/>
  <c r="Z42" i="18"/>
  <c r="N78" i="18"/>
  <c r="N33" i="18"/>
  <c r="AH61" i="18"/>
  <c r="AD90" i="18"/>
  <c r="R23" i="18"/>
  <c r="AP9" i="18"/>
  <c r="AT71" i="18"/>
  <c r="AT60" i="18"/>
  <c r="AH33" i="18"/>
  <c r="AP78" i="18"/>
  <c r="AL11" i="18"/>
  <c r="AD45" i="18"/>
  <c r="AL75" i="18"/>
  <c r="AD16" i="18"/>
  <c r="Z46" i="18"/>
  <c r="AT16" i="18"/>
  <c r="Z30" i="18"/>
  <c r="AL77" i="18"/>
  <c r="Z20" i="18"/>
  <c r="AH56" i="18"/>
  <c r="AH63" i="18"/>
  <c r="AD27" i="18"/>
  <c r="AH24" i="18"/>
  <c r="AP66" i="18"/>
  <c r="AD55" i="18"/>
  <c r="N48" i="18"/>
  <c r="AD50" i="18"/>
  <c r="R28" i="18"/>
  <c r="Z60" i="18"/>
  <c r="AH46" i="18"/>
  <c r="Z8" i="18"/>
  <c r="AD48" i="18"/>
  <c r="AL20" i="18"/>
  <c r="AT67" i="18"/>
  <c r="AP23" i="18"/>
  <c r="Z68" i="18"/>
  <c r="R77" i="18"/>
  <c r="V13" i="18"/>
  <c r="AT90" i="18"/>
  <c r="R35" i="18"/>
  <c r="AH37" i="18"/>
  <c r="AP79" i="18"/>
  <c r="N72" i="18"/>
  <c r="R47" i="18"/>
  <c r="AD66" i="18"/>
  <c r="AH18" i="18"/>
  <c r="AT58" i="18"/>
  <c r="AD6" i="18"/>
  <c r="V60" i="18"/>
  <c r="N76" i="18"/>
  <c r="V31" i="18"/>
  <c r="V92" i="18"/>
  <c r="AD61" i="18"/>
  <c r="N58" i="18"/>
  <c r="V39" i="18"/>
  <c r="R13" i="18"/>
  <c r="AD82" i="18"/>
  <c r="AH75" i="18"/>
  <c r="AP22" i="18"/>
  <c r="AL46" i="18"/>
  <c r="N24" i="18"/>
  <c r="R66" i="18"/>
  <c r="R36" i="18"/>
  <c r="Z15" i="18"/>
  <c r="AT51" i="18"/>
  <c r="V89" i="18"/>
  <c r="AT22" i="18"/>
  <c r="AD57" i="18"/>
  <c r="Z4" i="18"/>
  <c r="V14" i="18"/>
  <c r="AT38" i="18"/>
  <c r="AL57" i="18"/>
  <c r="V9" i="18"/>
  <c r="Z22" i="18"/>
  <c r="AH64" i="18"/>
  <c r="AP21" i="18"/>
  <c r="AH4" i="18"/>
  <c r="Z48" i="18"/>
  <c r="N31" i="18"/>
  <c r="AT48" i="18"/>
  <c r="AP85" i="18"/>
  <c r="AP28" i="18"/>
  <c r="R53" i="18"/>
  <c r="AT23" i="18"/>
  <c r="AT43" i="18"/>
  <c r="AD28" i="18"/>
  <c r="R27" i="18"/>
  <c r="AT44" i="18"/>
  <c r="N25" i="18"/>
  <c r="AD83" i="18"/>
  <c r="AD44" i="18"/>
  <c r="AH50" i="18"/>
  <c r="AL88" i="18"/>
  <c r="AL39" i="18"/>
  <c r="AL91" i="18"/>
  <c r="N70" i="18"/>
  <c r="AH20" i="18"/>
  <c r="AP91" i="18"/>
  <c r="Z25" i="18"/>
  <c r="AD71" i="18"/>
  <c r="AH78" i="18"/>
  <c r="AP69" i="18"/>
  <c r="AP12" i="18"/>
  <c r="R54" i="18"/>
  <c r="AH45" i="18"/>
  <c r="R18" i="18"/>
  <c r="R72" i="18"/>
  <c r="R41" i="18"/>
  <c r="R49" i="18"/>
  <c r="V26" i="18"/>
  <c r="AD22" i="18"/>
  <c r="AP89" i="18"/>
  <c r="AD58" i="18"/>
  <c r="AH28" i="18"/>
  <c r="AD77" i="18"/>
  <c r="AD79" i="18"/>
  <c r="R56" i="18"/>
  <c r="AP17" i="18"/>
  <c r="AH47" i="18"/>
  <c r="R33" i="18"/>
  <c r="AD25" i="18"/>
  <c r="Z44" i="18"/>
  <c r="AD23" i="18"/>
  <c r="R26" i="18"/>
  <c r="V74" i="18"/>
  <c r="AT49" i="18"/>
  <c r="AL41" i="18"/>
  <c r="AH89" i="18"/>
  <c r="AP63" i="18"/>
  <c r="AT46" i="18"/>
  <c r="V22" i="18"/>
  <c r="N67" i="18"/>
  <c r="AP61" i="18"/>
  <c r="AT30" i="18"/>
  <c r="AD78" i="18"/>
  <c r="AH21" i="18"/>
  <c r="AL92" i="18"/>
  <c r="N80" i="18"/>
  <c r="AH26" i="18"/>
  <c r="AT29" i="18"/>
  <c r="AH87" i="18"/>
  <c r="Z63" i="18"/>
  <c r="R6" i="18"/>
  <c r="Z71" i="18"/>
  <c r="Z89" i="18"/>
  <c r="Z6" i="18"/>
  <c r="V17" i="18"/>
  <c r="AP5" i="18"/>
  <c r="AD35" i="18"/>
  <c r="R91" i="18"/>
  <c r="AL80" i="18"/>
  <c r="R11" i="18"/>
  <c r="AT9" i="18"/>
  <c r="N59" i="18"/>
  <c r="Z58" i="18"/>
  <c r="N5" i="18"/>
  <c r="AL42" i="18"/>
  <c r="AD87" i="18"/>
  <c r="R57" i="18"/>
  <c r="AT37" i="18"/>
  <c r="AH40" i="18"/>
  <c r="Z66" i="18"/>
  <c r="AP25" i="18"/>
  <c r="V12" i="18"/>
  <c r="AL73" i="18"/>
  <c r="AL78" i="18"/>
  <c r="AP19" i="18"/>
  <c r="AL60" i="18"/>
  <c r="AH38" i="18"/>
  <c r="R50" i="18"/>
  <c r="N16" i="18"/>
  <c r="V75" i="18"/>
  <c r="V37" i="18"/>
  <c r="AD88" i="18"/>
  <c r="Z75" i="18"/>
  <c r="R84" i="18"/>
  <c r="AT83" i="18"/>
  <c r="AL69" i="18"/>
  <c r="AL87" i="18"/>
  <c r="AD8" i="18"/>
  <c r="AT36" i="18"/>
  <c r="Z14" i="18"/>
  <c r="AL44" i="18"/>
  <c r="AD12" i="18"/>
  <c r="AD84" i="18"/>
  <c r="AD85" i="18"/>
  <c r="AP18" i="18"/>
  <c r="AT10" i="18"/>
  <c r="R9" i="18"/>
  <c r="V64" i="18"/>
  <c r="AL55" i="18"/>
  <c r="N4" i="18"/>
  <c r="R17" i="18"/>
  <c r="AH25" i="18"/>
  <c r="AP29" i="18"/>
  <c r="Z19" i="18"/>
  <c r="AH16" i="18"/>
  <c r="N38" i="18"/>
  <c r="N27" i="18"/>
  <c r="AT91" i="18"/>
  <c r="AD64" i="18"/>
  <c r="Z34" i="18"/>
  <c r="AT50" i="18"/>
  <c r="V51" i="18"/>
  <c r="AP68" i="18"/>
  <c r="AP24" i="18"/>
  <c r="AT55" i="18"/>
  <c r="N13" i="18"/>
  <c r="V86" i="18"/>
  <c r="AL35" i="18"/>
  <c r="V54" i="18"/>
  <c r="R43" i="18"/>
  <c r="R31" i="18"/>
  <c r="AL36" i="18"/>
  <c r="N30" i="18"/>
  <c r="Z84" i="18"/>
  <c r="V34" i="18"/>
  <c r="Z12" i="18"/>
  <c r="AD42" i="18"/>
  <c r="AL82" i="18"/>
  <c r="AL62" i="18"/>
  <c r="AD60" i="18"/>
  <c r="Z78" i="18"/>
  <c r="AL89" i="18"/>
  <c r="AT31" i="18"/>
  <c r="N51" i="18"/>
  <c r="AD92" i="18"/>
  <c r="AT12" i="18"/>
  <c r="AP35" i="18"/>
  <c r="N57" i="18"/>
  <c r="Z51" i="18"/>
  <c r="AP34" i="18"/>
  <c r="V48" i="18"/>
  <c r="AD68" i="18"/>
  <c r="N84" i="18"/>
  <c r="AP53" i="18"/>
  <c r="N63" i="18"/>
  <c r="AT42" i="18"/>
  <c r="AT87" i="18"/>
  <c r="V55" i="18"/>
  <c r="V90" i="18"/>
  <c r="AD38" i="18"/>
  <c r="Z57" i="18"/>
  <c r="AD43" i="18"/>
  <c r="V43" i="18"/>
  <c r="AL33" i="18"/>
  <c r="AD89" i="18"/>
  <c r="AP76" i="18"/>
  <c r="AT18" i="18"/>
  <c r="R80" i="18"/>
  <c r="V18" i="18"/>
  <c r="AH85" i="18"/>
  <c r="AT72" i="18"/>
  <c r="AD7" i="18"/>
  <c r="AL90" i="18"/>
  <c r="AT6" i="18"/>
  <c r="AL53" i="18"/>
  <c r="R62" i="18"/>
  <c r="AL26" i="18"/>
  <c r="Z36" i="18"/>
  <c r="AP73" i="18"/>
  <c r="AL56" i="18"/>
  <c r="V84" i="18"/>
  <c r="AD11" i="18"/>
  <c r="AH7" i="18"/>
  <c r="AL37" i="18"/>
  <c r="AH80" i="18"/>
  <c r="AL25" i="18"/>
  <c r="AH70" i="18"/>
  <c r="R8" i="18"/>
  <c r="AT41" i="18"/>
  <c r="Z64" i="18"/>
  <c r="AD5" i="18"/>
  <c r="AD34" i="18"/>
  <c r="R85" i="18"/>
  <c r="AL67" i="18"/>
  <c r="V72" i="18"/>
  <c r="R12" i="18"/>
  <c r="AP46" i="18"/>
  <c r="V20" i="18"/>
  <c r="AT66" i="18"/>
  <c r="AP52" i="18"/>
  <c r="V68" i="18"/>
  <c r="AH49" i="18"/>
  <c r="AH34" i="18"/>
  <c r="AT40" i="18"/>
  <c r="AD18" i="18"/>
  <c r="AT59" i="18"/>
  <c r="AT84" i="18"/>
  <c r="V53" i="18"/>
  <c r="R83" i="18"/>
  <c r="N34" i="18"/>
  <c r="AD33" i="18"/>
  <c r="AD19" i="18"/>
  <c r="V58" i="18"/>
  <c r="V67" i="18"/>
  <c r="AL7" i="18"/>
  <c r="AL19" i="18"/>
  <c r="AL43" i="18"/>
  <c r="AH58" i="18"/>
  <c r="V82" i="18"/>
  <c r="AL27" i="18"/>
  <c r="AD67" i="18"/>
  <c r="Z7" i="18"/>
  <c r="AL65" i="18"/>
  <c r="R75" i="18"/>
  <c r="AL54" i="18"/>
  <c r="AT17" i="18"/>
  <c r="R32" i="18"/>
  <c r="V16" i="18"/>
  <c r="N55" i="18"/>
  <c r="AH71" i="18"/>
  <c r="Z77" i="18"/>
  <c r="AH5" i="18"/>
  <c r="N39" i="18"/>
  <c r="N91" i="18"/>
  <c r="V4" i="18"/>
  <c r="V91" i="18"/>
  <c r="N75" i="18"/>
  <c r="AD36" i="18"/>
  <c r="V33" i="18"/>
  <c r="AL81" i="18"/>
  <c r="R92" i="18"/>
  <c r="AP36" i="18"/>
  <c r="AP41" i="18"/>
  <c r="AH39" i="18"/>
  <c r="V21" i="18"/>
  <c r="V70" i="18"/>
  <c r="AP81" i="18"/>
  <c r="AH62" i="18"/>
  <c r="R55" i="18"/>
  <c r="N88" i="18"/>
  <c r="AL29" i="18"/>
  <c r="R71" i="18"/>
  <c r="V23" i="18"/>
  <c r="AP31" i="18"/>
  <c r="N86" i="18"/>
  <c r="AT26" i="18"/>
  <c r="AH41" i="18"/>
  <c r="AL58" i="18"/>
  <c r="Z37" i="18"/>
  <c r="AH60" i="18"/>
  <c r="R29" i="18"/>
  <c r="AL74" i="18"/>
  <c r="D10" i="17"/>
  <c r="D98" i="17"/>
  <c r="AH10" i="18"/>
  <c r="AH53" i="18"/>
  <c r="AL85" i="18"/>
  <c r="AT8" i="18"/>
  <c r="Z70" i="18"/>
  <c r="AT15" i="18"/>
  <c r="AH84" i="18"/>
  <c r="AL5" i="18"/>
  <c r="AT20" i="18"/>
  <c r="V25" i="18"/>
  <c r="AH48" i="18"/>
  <c r="AT85" i="18"/>
  <c r="V87" i="18"/>
  <c r="AP60" i="18"/>
  <c r="AD39" i="18"/>
  <c r="N43" i="18"/>
  <c r="AT34" i="18"/>
  <c r="AH17" i="18"/>
  <c r="Z86" i="18"/>
  <c r="AP55" i="18"/>
  <c r="AH31" i="18"/>
  <c r="Z62" i="18"/>
  <c r="AD52" i="18"/>
  <c r="AT68" i="18"/>
  <c r="V79" i="18"/>
  <c r="D59" i="17"/>
  <c r="D25" i="17"/>
  <c r="D36" i="17"/>
  <c r="D16" i="17"/>
  <c r="D89" i="17"/>
  <c r="D41" i="17"/>
  <c r="D33" i="17"/>
  <c r="D62" i="17"/>
  <c r="D55" i="17"/>
  <c r="D46" i="17"/>
  <c r="D3" i="17"/>
  <c r="D21" i="17"/>
  <c r="D61" i="17"/>
  <c r="AD31" i="18"/>
  <c r="N60" i="18"/>
  <c r="Z82" i="18"/>
  <c r="AT39" i="18"/>
  <c r="AT65" i="18"/>
  <c r="AP77" i="18"/>
  <c r="AH79" i="18"/>
  <c r="AD63" i="18"/>
  <c r="AH66" i="18"/>
  <c r="N14" i="18"/>
  <c r="AD15" i="18"/>
  <c r="AD73" i="18"/>
  <c r="AL49" i="18"/>
  <c r="AT69" i="18"/>
  <c r="AT92" i="18"/>
  <c r="AT19" i="18"/>
  <c r="Z5" i="18"/>
  <c r="AT89" i="18"/>
  <c r="AD81" i="18"/>
  <c r="Z24" i="18"/>
  <c r="AT80" i="18"/>
  <c r="AL28" i="18"/>
  <c r="AL15" i="18"/>
  <c r="R70" i="18"/>
  <c r="AP74" i="18"/>
  <c r="AT28" i="18"/>
  <c r="AT47" i="18"/>
  <c r="Z16" i="18"/>
  <c r="N52" i="18"/>
  <c r="V78" i="18"/>
  <c r="AD10" i="18"/>
  <c r="V41" i="18"/>
  <c r="Z91" i="18"/>
  <c r="R58" i="18"/>
  <c r="R10" i="18"/>
  <c r="AH69" i="18"/>
  <c r="V28" i="18"/>
  <c r="AH90" i="18"/>
  <c r="AD86" i="18"/>
  <c r="R51" i="18"/>
  <c r="V77" i="18"/>
  <c r="Z53" i="18"/>
  <c r="AD62" i="18"/>
  <c r="AL8" i="18"/>
  <c r="AT61" i="18"/>
  <c r="AP58" i="18"/>
  <c r="AD17" i="18"/>
  <c r="Z27" i="18"/>
  <c r="AP65" i="18"/>
  <c r="Z88" i="18"/>
  <c r="D31" i="17"/>
  <c r="D76" i="17"/>
  <c r="D66" i="17"/>
  <c r="D11" i="17"/>
  <c r="D90" i="17"/>
  <c r="D49" i="17"/>
  <c r="D17" i="17"/>
  <c r="D92" i="17"/>
  <c r="D23" i="17"/>
  <c r="D19" i="17"/>
  <c r="D57" i="17"/>
  <c r="D40" i="17"/>
  <c r="D65" i="17"/>
  <c r="D5" i="17"/>
  <c r="D43" i="17"/>
  <c r="D8" i="17"/>
  <c r="D32" i="17"/>
  <c r="D42" i="17"/>
  <c r="D86" i="17"/>
  <c r="D34" i="17"/>
  <c r="D30" i="17"/>
  <c r="D67" i="17"/>
  <c r="D7" i="17"/>
  <c r="D51" i="17"/>
  <c r="D22" i="17"/>
  <c r="D63" i="17"/>
  <c r="D73" i="17"/>
  <c r="D75" i="17"/>
  <c r="D84" i="17"/>
  <c r="D102" i="17"/>
  <c r="D96" i="17"/>
  <c r="D56" i="17"/>
  <c r="D97" i="17"/>
  <c r="D74" i="17"/>
  <c r="D82" i="17"/>
  <c r="D28" i="17"/>
  <c r="D4" i="17"/>
  <c r="D29" i="17"/>
  <c r="D24" i="17"/>
  <c r="D14" i="17"/>
  <c r="D52" i="17"/>
  <c r="D81" i="17"/>
  <c r="D85" i="17"/>
  <c r="D39" i="17"/>
  <c r="D71" i="17"/>
  <c r="D48" i="17"/>
  <c r="D6" i="17"/>
  <c r="D9" i="17"/>
  <c r="D94" i="17"/>
  <c r="D58" i="17"/>
  <c r="D83" i="17"/>
  <c r="D38" i="17"/>
  <c r="D54" i="17"/>
  <c r="D53" i="17"/>
  <c r="D77" i="17"/>
  <c r="D80" i="17"/>
  <c r="D101" i="17"/>
  <c r="D47" i="17"/>
  <c r="D95" i="17"/>
  <c r="D26" i="17"/>
  <c r="D91" i="17"/>
  <c r="D13" i="17"/>
  <c r="D15" i="17"/>
  <c r="D27" i="17"/>
  <c r="D35" i="17"/>
  <c r="D50" i="17"/>
  <c r="D87" i="17"/>
  <c r="D20" i="17"/>
  <c r="D78" i="17"/>
  <c r="D18" i="17"/>
  <c r="D100" i="17"/>
  <c r="D44" i="17"/>
  <c r="D93" i="17"/>
  <c r="D88" i="17"/>
  <c r="D69" i="17"/>
  <c r="D37" i="17"/>
  <c r="D68" i="17"/>
  <c r="D70" i="17"/>
  <c r="D99" i="17"/>
  <c r="D72" i="17"/>
  <c r="D45" i="17"/>
  <c r="D64" i="17"/>
  <c r="D12" i="17"/>
  <c r="D60" i="17"/>
  <c r="D103" i="17"/>
  <c r="D79" i="17"/>
  <c r="E65" i="17"/>
  <c r="E57" i="17"/>
  <c r="E97" i="17"/>
  <c r="E8" i="17"/>
  <c r="E91" i="17"/>
  <c r="E70" i="17"/>
  <c r="E73" i="17"/>
  <c r="E53" i="17"/>
  <c r="E23" i="17"/>
  <c r="E26" i="17"/>
  <c r="E4" i="17"/>
  <c r="E32" i="17"/>
  <c r="E7" i="17"/>
  <c r="E16" i="17"/>
  <c r="E13" i="17"/>
  <c r="E50" i="17"/>
  <c r="E55" i="17"/>
  <c r="E84" i="17"/>
  <c r="E3" i="17"/>
  <c r="E9" i="17"/>
  <c r="E94" i="17"/>
  <c r="E40" i="17"/>
  <c r="E34" i="17"/>
  <c r="B65" i="14"/>
  <c r="E48" i="17"/>
  <c r="E86" i="17"/>
  <c r="E5" i="17"/>
  <c r="E24" i="17"/>
  <c r="E69" i="17"/>
  <c r="E66" i="17"/>
  <c r="E28" i="17"/>
  <c r="E39" i="17"/>
  <c r="E79" i="17"/>
  <c r="E90" i="17"/>
  <c r="E71" i="17"/>
  <c r="E14" i="17"/>
  <c r="E42" i="17"/>
  <c r="E98" i="17"/>
  <c r="E101" i="17"/>
  <c r="E60" i="17"/>
  <c r="E100" i="17"/>
  <c r="E47" i="17"/>
  <c r="E56" i="17"/>
  <c r="E20" i="17"/>
  <c r="E49" i="17"/>
  <c r="E12" i="17"/>
  <c r="F39" i="14"/>
  <c r="E72" i="17"/>
  <c r="E89" i="17"/>
  <c r="E27" i="17"/>
  <c r="E88" i="17"/>
  <c r="E35" i="17"/>
  <c r="E92" i="17"/>
  <c r="E68" i="17"/>
  <c r="E99" i="17"/>
  <c r="E31" i="17"/>
  <c r="E15" i="17"/>
  <c r="E85" i="17"/>
  <c r="E67" i="17"/>
  <c r="E95" i="17"/>
  <c r="E6" i="17"/>
  <c r="E81" i="17"/>
  <c r="E80" i="17"/>
  <c r="E54" i="17"/>
  <c r="E46" i="17"/>
  <c r="E41" i="17"/>
  <c r="E11" i="17"/>
  <c r="E82" i="17"/>
  <c r="E51" i="17"/>
  <c r="E21" i="17"/>
  <c r="E64" i="17"/>
  <c r="E75" i="17"/>
  <c r="E18" i="17"/>
  <c r="E103" i="17"/>
  <c r="E77" i="17"/>
  <c r="E45" i="17"/>
  <c r="E10" i="17"/>
  <c r="E83" i="17"/>
  <c r="E61" i="17"/>
  <c r="E58" i="17"/>
  <c r="E38" i="17"/>
  <c r="E102" i="17"/>
  <c r="E33" i="17"/>
  <c r="E74" i="17"/>
  <c r="E44" i="17"/>
  <c r="E62" i="17"/>
  <c r="E63" i="17"/>
  <c r="E76" i="17"/>
  <c r="E29" i="17"/>
  <c r="E52" i="17"/>
  <c r="E78" i="17"/>
  <c r="E17" i="17"/>
  <c r="E93" i="17"/>
  <c r="E59" i="17"/>
  <c r="E87" i="17"/>
  <c r="E43" i="17"/>
  <c r="E22" i="17"/>
  <c r="E36" i="17"/>
  <c r="E25" i="17"/>
  <c r="E19" i="17"/>
  <c r="E37" i="17"/>
  <c r="E96" i="17"/>
  <c r="E30" i="17"/>
  <c r="J39" i="14" l="1"/>
  <c r="F31" i="14"/>
  <c r="J31" i="14" s="1"/>
  <c r="F37" i="14"/>
  <c r="J37" i="14" s="1"/>
  <c r="F34" i="14"/>
  <c r="J34" i="14" s="1"/>
  <c r="F36" i="14"/>
  <c r="J36" i="14" s="1"/>
  <c r="F38" i="14"/>
  <c r="J38" i="14" s="1"/>
  <c r="AX46" i="18"/>
  <c r="BJ46" i="18" s="1"/>
  <c r="BK46" i="18" s="1"/>
  <c r="AX92" i="18"/>
  <c r="BJ92" i="18" s="1"/>
  <c r="BK92" i="18" s="1"/>
  <c r="AX102" i="18"/>
  <c r="BJ102" i="18" s="1"/>
  <c r="BK102" i="18" s="1"/>
  <c r="AX55" i="18"/>
  <c r="BA55" i="18" s="1"/>
  <c r="BB55" i="18" s="1"/>
  <c r="BD55" i="18" s="1"/>
  <c r="AX95" i="18"/>
  <c r="BJ95" i="18" s="1"/>
  <c r="BK95" i="18" s="1"/>
  <c r="AX72" i="18"/>
  <c r="BA72" i="18" s="1"/>
  <c r="BB72" i="18" s="1"/>
  <c r="BD72" i="18" s="1"/>
  <c r="AX53" i="18"/>
  <c r="BJ53" i="18" s="1"/>
  <c r="BK53" i="18" s="1"/>
  <c r="AX75" i="18"/>
  <c r="BA75" i="18" s="1"/>
  <c r="BB75" i="18" s="1"/>
  <c r="BD75" i="18" s="1"/>
  <c r="AX103" i="18"/>
  <c r="BJ103" i="18" s="1"/>
  <c r="BK103" i="18" s="1"/>
  <c r="AX68" i="18"/>
  <c r="BJ68" i="18" s="1"/>
  <c r="BK68" i="18" s="1"/>
  <c r="AX43" i="18"/>
  <c r="BA43" i="18" s="1"/>
  <c r="BB43" i="18" s="1"/>
  <c r="BD43" i="18" s="1"/>
  <c r="AX6" i="18"/>
  <c r="BA6" i="18" s="1"/>
  <c r="BB6" i="18" s="1"/>
  <c r="BD6" i="18" s="1"/>
  <c r="AX20" i="18"/>
  <c r="BA20" i="18" s="1"/>
  <c r="BB20" i="18" s="1"/>
  <c r="BD20" i="18" s="1"/>
  <c r="AX18" i="18"/>
  <c r="BJ18" i="18" s="1"/>
  <c r="BK18" i="18" s="1"/>
  <c r="AX32" i="18"/>
  <c r="BJ32" i="18" s="1"/>
  <c r="BK32" i="18" s="1"/>
  <c r="AX47" i="18"/>
  <c r="BJ47" i="18" s="1"/>
  <c r="BK47" i="18" s="1"/>
  <c r="AX37" i="18"/>
  <c r="BJ37" i="18" s="1"/>
  <c r="BK37" i="18" s="1"/>
  <c r="AX45" i="18"/>
  <c r="BJ45" i="18" s="1"/>
  <c r="BK45" i="18" s="1"/>
  <c r="AX27" i="18"/>
  <c r="BJ27" i="18" s="1"/>
  <c r="BK27" i="18" s="1"/>
  <c r="AX40" i="18"/>
  <c r="BA40" i="18" s="1"/>
  <c r="BB40" i="18" s="1"/>
  <c r="BD40" i="18" s="1"/>
  <c r="AX85" i="18"/>
  <c r="BJ85" i="18" s="1"/>
  <c r="BK85" i="18" s="1"/>
  <c r="AX33" i="18"/>
  <c r="BA33" i="18" s="1"/>
  <c r="BB33" i="18" s="1"/>
  <c r="BD33" i="18" s="1"/>
  <c r="AX62" i="18"/>
  <c r="BJ62" i="18" s="1"/>
  <c r="BK62" i="18" s="1"/>
  <c r="AX56" i="18"/>
  <c r="BJ56" i="18" s="1"/>
  <c r="BK56" i="18" s="1"/>
  <c r="AX42" i="18"/>
  <c r="BA42" i="18" s="1"/>
  <c r="BB42" i="18" s="1"/>
  <c r="BD42" i="18" s="1"/>
  <c r="AX26" i="18"/>
  <c r="BJ26" i="18" s="1"/>
  <c r="BK26" i="18" s="1"/>
  <c r="AX36" i="18"/>
  <c r="BJ36" i="18" s="1"/>
  <c r="BK36" i="18" s="1"/>
  <c r="AX38" i="18"/>
  <c r="BJ38" i="18" s="1"/>
  <c r="BK38" i="18" s="1"/>
  <c r="AX28" i="18"/>
  <c r="BA28" i="18" s="1"/>
  <c r="BB28" i="18" s="1"/>
  <c r="BD28" i="18" s="1"/>
  <c r="AX15" i="18"/>
  <c r="BJ15" i="18" s="1"/>
  <c r="BK15" i="18" s="1"/>
  <c r="AX98" i="18"/>
  <c r="BJ98" i="18" s="1"/>
  <c r="BK98" i="18" s="1"/>
  <c r="AX31" i="18"/>
  <c r="BA31" i="18" s="1"/>
  <c r="BB31" i="18" s="1"/>
  <c r="BD31" i="18" s="1"/>
  <c r="AX12" i="18"/>
  <c r="BA12" i="18" s="1"/>
  <c r="BB12" i="18" s="1"/>
  <c r="BD12" i="18" s="1"/>
  <c r="AX13" i="18"/>
  <c r="BJ13" i="18" s="1"/>
  <c r="BK13" i="18" s="1"/>
  <c r="AX70" i="18"/>
  <c r="BJ70" i="18" s="1"/>
  <c r="BK70" i="18" s="1"/>
  <c r="AX86" i="18"/>
  <c r="BJ86" i="18" s="1"/>
  <c r="BK86" i="18" s="1"/>
  <c r="AX57" i="18"/>
  <c r="BA57" i="18" s="1"/>
  <c r="BB57" i="18" s="1"/>
  <c r="BD57" i="18" s="1"/>
  <c r="AX76" i="18"/>
  <c r="BA76" i="18" s="1"/>
  <c r="BB76" i="18" s="1"/>
  <c r="BD76" i="18" s="1"/>
  <c r="AX52" i="18"/>
  <c r="BA52" i="18" s="1"/>
  <c r="BB52" i="18" s="1"/>
  <c r="BD52" i="18" s="1"/>
  <c r="AX35" i="18"/>
  <c r="BJ35" i="18" s="1"/>
  <c r="BK35" i="18" s="1"/>
  <c r="AX9" i="18"/>
  <c r="BF4" i="18" s="1"/>
  <c r="AX41" i="18"/>
  <c r="BA41" i="18" s="1"/>
  <c r="BB41" i="18" s="1"/>
  <c r="BD41" i="18" s="1"/>
  <c r="AX50" i="18"/>
  <c r="BJ50" i="18" s="1"/>
  <c r="BK50" i="18" s="1"/>
  <c r="AX67" i="18"/>
  <c r="BJ67" i="18" s="1"/>
  <c r="BK67" i="18" s="1"/>
  <c r="AX22" i="18"/>
  <c r="BA22" i="18" s="1"/>
  <c r="BB22" i="18" s="1"/>
  <c r="BD22" i="18" s="1"/>
  <c r="AX90" i="18"/>
  <c r="BA90" i="18" s="1"/>
  <c r="BB90" i="18" s="1"/>
  <c r="BD90" i="18" s="1"/>
  <c r="AX60" i="18"/>
  <c r="BJ60" i="18" s="1"/>
  <c r="BK60" i="18" s="1"/>
  <c r="AX61" i="18"/>
  <c r="BA61" i="18" s="1"/>
  <c r="BB61" i="18" s="1"/>
  <c r="BD61" i="18" s="1"/>
  <c r="AX73" i="18"/>
  <c r="BJ73" i="18" s="1"/>
  <c r="BK73" i="18" s="1"/>
  <c r="AX21" i="18"/>
  <c r="BJ21" i="18" s="1"/>
  <c r="BK21" i="18" s="1"/>
  <c r="AX81" i="18"/>
  <c r="BJ81" i="18" s="1"/>
  <c r="BK81" i="18" s="1"/>
  <c r="AX10" i="18"/>
  <c r="BJ10" i="18" s="1"/>
  <c r="BK10" i="18" s="1"/>
  <c r="AX5" i="18"/>
  <c r="BJ5" i="18" s="1"/>
  <c r="BK5" i="18" s="1"/>
  <c r="AX23" i="18"/>
  <c r="BJ23" i="18" s="1"/>
  <c r="BK23" i="18" s="1"/>
  <c r="AX66" i="18"/>
  <c r="BA66" i="18" s="1"/>
  <c r="BB66" i="18" s="1"/>
  <c r="BD66" i="18" s="1"/>
  <c r="AX100" i="18"/>
  <c r="BA100" i="18" s="1"/>
  <c r="BB100" i="18" s="1"/>
  <c r="BD100" i="18" s="1"/>
  <c r="AX101" i="18"/>
  <c r="BA101" i="18" s="1"/>
  <c r="BB101" i="18" s="1"/>
  <c r="BD101" i="18" s="1"/>
  <c r="AX88" i="18"/>
  <c r="BA88" i="18" s="1"/>
  <c r="BB88" i="18" s="1"/>
  <c r="BD88" i="18" s="1"/>
  <c r="AX96" i="18"/>
  <c r="BJ96" i="18" s="1"/>
  <c r="BK96" i="18" s="1"/>
  <c r="AX78" i="18"/>
  <c r="BJ78" i="18" s="1"/>
  <c r="BK78" i="18" s="1"/>
  <c r="AX7" i="18"/>
  <c r="BA7" i="18" s="1"/>
  <c r="BB7" i="18" s="1"/>
  <c r="BD7" i="18" s="1"/>
  <c r="AX25" i="18"/>
  <c r="BA25" i="18" s="1"/>
  <c r="BB25" i="18" s="1"/>
  <c r="BD25" i="18" s="1"/>
  <c r="AX80" i="18"/>
  <c r="BJ80" i="18" s="1"/>
  <c r="BK80" i="18" s="1"/>
  <c r="AX65" i="18"/>
  <c r="BA65" i="18" s="1"/>
  <c r="BB65" i="18" s="1"/>
  <c r="BD65" i="18" s="1"/>
  <c r="AX71" i="18"/>
  <c r="BJ71" i="18" s="1"/>
  <c r="BK71" i="18" s="1"/>
  <c r="AX51" i="18"/>
  <c r="BA51" i="18" s="1"/>
  <c r="BB51" i="18" s="1"/>
  <c r="BD51" i="18" s="1"/>
  <c r="AX14" i="18"/>
  <c r="BF6" i="18" s="1"/>
  <c r="AX48" i="18"/>
  <c r="BA48" i="18" s="1"/>
  <c r="BB48" i="18" s="1"/>
  <c r="BD48" i="18" s="1"/>
  <c r="AX82" i="18"/>
  <c r="BJ82" i="18" s="1"/>
  <c r="BK82" i="18" s="1"/>
  <c r="AX30" i="18"/>
  <c r="BA30" i="18" s="1"/>
  <c r="BB30" i="18" s="1"/>
  <c r="BD30" i="18" s="1"/>
  <c r="AX83" i="18"/>
  <c r="BJ83" i="18" s="1"/>
  <c r="BK83" i="18" s="1"/>
  <c r="AX97" i="18"/>
  <c r="BJ97" i="18" s="1"/>
  <c r="BK97" i="18" s="1"/>
  <c r="AX8" i="18"/>
  <c r="BJ8" i="18" s="1"/>
  <c r="BK8" i="18" s="1"/>
  <c r="AX87" i="18"/>
  <c r="BA87" i="18" s="1"/>
  <c r="BB87" i="18" s="1"/>
  <c r="BD87" i="18" s="1"/>
  <c r="AX58" i="18"/>
  <c r="BJ58" i="18" s="1"/>
  <c r="BK58" i="18" s="1"/>
  <c r="AX93" i="18"/>
  <c r="BA93" i="18" s="1"/>
  <c r="BB93" i="18" s="1"/>
  <c r="BD93" i="18" s="1"/>
  <c r="AX91" i="18"/>
  <c r="BJ91" i="18" s="1"/>
  <c r="BK91" i="18" s="1"/>
  <c r="AX77" i="18"/>
  <c r="BA77" i="18" s="1"/>
  <c r="BB77" i="18" s="1"/>
  <c r="BD77" i="18" s="1"/>
  <c r="AX4" i="18"/>
  <c r="BJ4" i="18" s="1"/>
  <c r="BK4" i="18" s="1"/>
  <c r="AX63" i="18"/>
  <c r="BA63" i="18" s="1"/>
  <c r="BB63" i="18" s="1"/>
  <c r="BD63" i="18" s="1"/>
  <c r="AX17" i="18"/>
  <c r="BA17" i="18" s="1"/>
  <c r="BB17" i="18" s="1"/>
  <c r="BD17" i="18" s="1"/>
  <c r="AX11" i="18"/>
  <c r="BJ11" i="18" s="1"/>
  <c r="BK11" i="18" s="1"/>
  <c r="AV27" i="18"/>
  <c r="AX69" i="18"/>
  <c r="BJ20" i="18"/>
  <c r="BK20" i="18" s="1"/>
  <c r="AV37" i="18"/>
  <c r="AX94" i="18"/>
  <c r="AV31" i="18"/>
  <c r="AX79" i="18"/>
  <c r="AX99" i="18"/>
  <c r="AV39" i="18"/>
  <c r="AV41" i="18"/>
  <c r="AX104" i="18"/>
  <c r="AV25" i="18"/>
  <c r="AX64" i="18"/>
  <c r="AV13" i="18"/>
  <c r="AX34" i="18"/>
  <c r="AV15" i="18"/>
  <c r="AX39" i="18"/>
  <c r="AV5" i="18"/>
  <c r="H5" i="18"/>
  <c r="AX16" i="18"/>
  <c r="AV33" i="18"/>
  <c r="AX84" i="18"/>
  <c r="AV11" i="18"/>
  <c r="AX29" i="18"/>
  <c r="AV9" i="18"/>
  <c r="AX24" i="18"/>
  <c r="AV35" i="18"/>
  <c r="AX89" i="18"/>
  <c r="AV7" i="18"/>
  <c r="AX19" i="18"/>
  <c r="AV21" i="18"/>
  <c r="AX54" i="18"/>
  <c r="AV23" i="18"/>
  <c r="AX59" i="18"/>
  <c r="AV19" i="18"/>
  <c r="AX49" i="18"/>
  <c r="AV29" i="18"/>
  <c r="AX74" i="18"/>
  <c r="AV17" i="18"/>
  <c r="AX44" i="18"/>
  <c r="F40" i="14" l="1"/>
  <c r="J40" i="14" s="1"/>
  <c r="BJ9" i="18"/>
  <c r="BK9" i="18" s="1"/>
  <c r="BA71" i="18"/>
  <c r="BB71" i="18" s="1"/>
  <c r="BD71" i="18" s="1"/>
  <c r="BJ17" i="18"/>
  <c r="BK17" i="18" s="1"/>
  <c r="BJ28" i="18"/>
  <c r="BK28" i="18" s="1"/>
  <c r="BA95" i="18"/>
  <c r="BB95" i="18" s="1"/>
  <c r="BD95" i="18" s="1"/>
  <c r="BA82" i="18"/>
  <c r="BB82" i="18" s="1"/>
  <c r="BD82" i="18" s="1"/>
  <c r="BJ42" i="18"/>
  <c r="BK42" i="18" s="1"/>
  <c r="BJ22" i="18"/>
  <c r="BK22" i="18" s="1"/>
  <c r="BJ57" i="18"/>
  <c r="BK57" i="18" s="1"/>
  <c r="BJ12" i="18"/>
  <c r="BK12" i="18" s="1"/>
  <c r="BA9" i="18"/>
  <c r="BB9" i="18" s="1"/>
  <c r="BD9" i="18" s="1"/>
  <c r="BJ101" i="18"/>
  <c r="BK101" i="18" s="1"/>
  <c r="BA73" i="18"/>
  <c r="BB73" i="18" s="1"/>
  <c r="BD73" i="18" s="1"/>
  <c r="BJ7" i="18"/>
  <c r="BK7" i="18" s="1"/>
  <c r="BA5" i="18"/>
  <c r="BB5" i="18" s="1"/>
  <c r="BD5" i="18" s="1"/>
  <c r="BA21" i="18"/>
  <c r="BB21" i="18" s="1"/>
  <c r="BD21" i="18" s="1"/>
  <c r="BJ90" i="18"/>
  <c r="BK90" i="18" s="1"/>
  <c r="BA26" i="18"/>
  <c r="BB26" i="18" s="1"/>
  <c r="BD26" i="18" s="1"/>
  <c r="BJ33" i="18"/>
  <c r="BK33" i="18" s="1"/>
  <c r="BA91" i="18"/>
  <c r="BB91" i="18" s="1"/>
  <c r="BD91" i="18" s="1"/>
  <c r="BA8" i="18"/>
  <c r="BB8" i="18" s="1"/>
  <c r="BD8" i="18" s="1"/>
  <c r="BJ30" i="18"/>
  <c r="BK30" i="18" s="1"/>
  <c r="BA103" i="18"/>
  <c r="BB103" i="18" s="1"/>
  <c r="BD103" i="18" s="1"/>
  <c r="BA46" i="18"/>
  <c r="BB46" i="18" s="1"/>
  <c r="BD46" i="18" s="1"/>
  <c r="BA85" i="18"/>
  <c r="BB85" i="18" s="1"/>
  <c r="BD85" i="18" s="1"/>
  <c r="BA37" i="18"/>
  <c r="BB37" i="18" s="1"/>
  <c r="BD37" i="18" s="1"/>
  <c r="BA15" i="18"/>
  <c r="BB15" i="18" s="1"/>
  <c r="BD15" i="18" s="1"/>
  <c r="BA11" i="18"/>
  <c r="BB11" i="18" s="1"/>
  <c r="BD11" i="18" s="1"/>
  <c r="BJ76" i="18"/>
  <c r="BK76" i="18" s="1"/>
  <c r="BJ72" i="18"/>
  <c r="BK72" i="18" s="1"/>
  <c r="BJ88" i="18"/>
  <c r="BK88" i="18" s="1"/>
  <c r="BJ77" i="18"/>
  <c r="BK77" i="18" s="1"/>
  <c r="BA45" i="18"/>
  <c r="BB45" i="18" s="1"/>
  <c r="BD45" i="18" s="1"/>
  <c r="BJ25" i="18"/>
  <c r="BK25" i="18" s="1"/>
  <c r="BA13" i="18"/>
  <c r="BB13" i="18" s="1"/>
  <c r="BD13" i="18" s="1"/>
  <c r="BA18" i="18"/>
  <c r="BB18" i="18" s="1"/>
  <c r="BD18" i="18" s="1"/>
  <c r="BA92" i="18"/>
  <c r="BB92" i="18" s="1"/>
  <c r="BD92" i="18" s="1"/>
  <c r="BJ87" i="18"/>
  <c r="BK87" i="18" s="1"/>
  <c r="BJ41" i="18"/>
  <c r="BK41" i="18" s="1"/>
  <c r="BA23" i="18"/>
  <c r="BB23" i="18" s="1"/>
  <c r="BD23" i="18" s="1"/>
  <c r="BA68" i="18"/>
  <c r="BB68" i="18" s="1"/>
  <c r="BD68" i="18" s="1"/>
  <c r="BA27" i="18"/>
  <c r="BB27" i="18" s="1"/>
  <c r="BD27" i="18" s="1"/>
  <c r="BJ51" i="18"/>
  <c r="BK51" i="18" s="1"/>
  <c r="BA62" i="18"/>
  <c r="BB62" i="18" s="1"/>
  <c r="BD62" i="18" s="1"/>
  <c r="BA36" i="18"/>
  <c r="BB36" i="18" s="1"/>
  <c r="BD36" i="18" s="1"/>
  <c r="BA60" i="18"/>
  <c r="BB60" i="18" s="1"/>
  <c r="BD60" i="18" s="1"/>
  <c r="BA98" i="18"/>
  <c r="BB98" i="18" s="1"/>
  <c r="BD98" i="18" s="1"/>
  <c r="BJ66" i="18"/>
  <c r="BK66" i="18" s="1"/>
  <c r="BA4" i="18"/>
  <c r="BB4" i="18" s="1"/>
  <c r="BD4" i="18" s="1"/>
  <c r="BJ65" i="18"/>
  <c r="BK65" i="18" s="1"/>
  <c r="BA80" i="18"/>
  <c r="BB80" i="18" s="1"/>
  <c r="BD80" i="18" s="1"/>
  <c r="BJ61" i="18"/>
  <c r="BK61" i="18" s="1"/>
  <c r="BA83" i="18"/>
  <c r="BB83" i="18" s="1"/>
  <c r="BD83" i="18" s="1"/>
  <c r="BJ48" i="18"/>
  <c r="BK48" i="18" s="1"/>
  <c r="BA50" i="18"/>
  <c r="BB50" i="18" s="1"/>
  <c r="BD50" i="18" s="1"/>
  <c r="BA53" i="18"/>
  <c r="BB53" i="18" s="1"/>
  <c r="BD53" i="18" s="1"/>
  <c r="BA14" i="18"/>
  <c r="BB14" i="18" s="1"/>
  <c r="BD14" i="18" s="1"/>
  <c r="BJ75" i="18"/>
  <c r="BK75" i="18" s="1"/>
  <c r="BA32" i="18"/>
  <c r="BB32" i="18" s="1"/>
  <c r="BD32" i="18" s="1"/>
  <c r="BJ43" i="18"/>
  <c r="BK43" i="18" s="1"/>
  <c r="BJ55" i="18"/>
  <c r="BK55" i="18" s="1"/>
  <c r="BA81" i="18"/>
  <c r="BB81" i="18" s="1"/>
  <c r="BD81" i="18" s="1"/>
  <c r="BJ52" i="18"/>
  <c r="BK52" i="18" s="1"/>
  <c r="BA96" i="18"/>
  <c r="BB96" i="18" s="1"/>
  <c r="BD96" i="18" s="1"/>
  <c r="BA70" i="18"/>
  <c r="BB70" i="18" s="1"/>
  <c r="BD70" i="18" s="1"/>
  <c r="BA10" i="18"/>
  <c r="BB10" i="18" s="1"/>
  <c r="BD10" i="18" s="1"/>
  <c r="BA102" i="18"/>
  <c r="BB102" i="18" s="1"/>
  <c r="BD102" i="18" s="1"/>
  <c r="BA58" i="18"/>
  <c r="BB58" i="18" s="1"/>
  <c r="BD58" i="18" s="1"/>
  <c r="BJ14" i="18"/>
  <c r="BK14" i="18" s="1"/>
  <c r="BA35" i="18"/>
  <c r="BB35" i="18" s="1"/>
  <c r="BD35" i="18" s="1"/>
  <c r="BA67" i="18"/>
  <c r="BB67" i="18" s="1"/>
  <c r="BD67" i="18" s="1"/>
  <c r="BJ6" i="18"/>
  <c r="BK6" i="18" s="1"/>
  <c r="BJ100" i="18"/>
  <c r="BK100" i="18" s="1"/>
  <c r="BA38" i="18"/>
  <c r="BB38" i="18" s="1"/>
  <c r="BD38" i="18" s="1"/>
  <c r="BJ31" i="18"/>
  <c r="BK31" i="18" s="1"/>
  <c r="BA97" i="18"/>
  <c r="BB97" i="18" s="1"/>
  <c r="BD97" i="18" s="1"/>
  <c r="BA86" i="18"/>
  <c r="BB86" i="18" s="1"/>
  <c r="BD86" i="18" s="1"/>
  <c r="BA78" i="18"/>
  <c r="BB78" i="18" s="1"/>
  <c r="BD78" i="18" s="1"/>
  <c r="BJ63" i="18"/>
  <c r="BK63" i="18" s="1"/>
  <c r="BJ93" i="18"/>
  <c r="BK93" i="18" s="1"/>
  <c r="BA56" i="18"/>
  <c r="BB56" i="18" s="1"/>
  <c r="BD56" i="18" s="1"/>
  <c r="BJ40" i="18"/>
  <c r="BK40" i="18" s="1"/>
  <c r="BA47" i="18"/>
  <c r="BB47" i="18" s="1"/>
  <c r="BD47" i="18" s="1"/>
  <c r="BF8" i="18"/>
  <c r="BA19" i="18"/>
  <c r="BB19" i="18" s="1"/>
  <c r="BD19" i="18" s="1"/>
  <c r="BF9" i="18" s="1"/>
  <c r="BJ19" i="18"/>
  <c r="BK19" i="18" s="1"/>
  <c r="BF10" i="18"/>
  <c r="BJ24" i="18"/>
  <c r="BK24" i="18" s="1"/>
  <c r="BA24" i="18"/>
  <c r="BB24" i="18" s="1"/>
  <c r="BD24" i="18" s="1"/>
  <c r="BF11" i="18" s="1"/>
  <c r="BF26" i="18"/>
  <c r="BJ64" i="18"/>
  <c r="BK64" i="18" s="1"/>
  <c r="BA64" i="18"/>
  <c r="BB64" i="18" s="1"/>
  <c r="BD64" i="18" s="1"/>
  <c r="BF27" i="18" s="1"/>
  <c r="BF42" i="18"/>
  <c r="BA104" i="18"/>
  <c r="BB104" i="18" s="1"/>
  <c r="BD104" i="18" s="1"/>
  <c r="BF43" i="18" s="1"/>
  <c r="BJ104" i="18"/>
  <c r="BK104" i="18" s="1"/>
  <c r="BJ79" i="18"/>
  <c r="BK79" i="18" s="1"/>
  <c r="BF32" i="18"/>
  <c r="BA79" i="18"/>
  <c r="BB79" i="18" s="1"/>
  <c r="BD79" i="18" s="1"/>
  <c r="BF33" i="18" s="1"/>
  <c r="BF30" i="18"/>
  <c r="BJ74" i="18"/>
  <c r="BK74" i="18" s="1"/>
  <c r="BA74" i="18"/>
  <c r="BB74" i="18" s="1"/>
  <c r="BD74" i="18" s="1"/>
  <c r="BF31" i="18" s="1"/>
  <c r="BF24" i="18"/>
  <c r="BA59" i="18"/>
  <c r="BB59" i="18" s="1"/>
  <c r="BD59" i="18" s="1"/>
  <c r="BF25" i="18" s="1"/>
  <c r="BJ59" i="18"/>
  <c r="BK59" i="18" s="1"/>
  <c r="BF12" i="18"/>
  <c r="BA29" i="18"/>
  <c r="BB29" i="18" s="1"/>
  <c r="BD29" i="18" s="1"/>
  <c r="BF13" i="18" s="1"/>
  <c r="BJ29" i="18"/>
  <c r="BK29" i="18" s="1"/>
  <c r="BF34" i="18"/>
  <c r="BJ84" i="18"/>
  <c r="BK84" i="18" s="1"/>
  <c r="BA84" i="18"/>
  <c r="BB84" i="18" s="1"/>
  <c r="BD84" i="18" s="1"/>
  <c r="BF35" i="18" s="1"/>
  <c r="BJ16" i="18"/>
  <c r="BK16" i="18" s="1"/>
  <c r="BA16" i="18"/>
  <c r="BB16" i="18" s="1"/>
  <c r="BD16" i="18" s="1"/>
  <c r="BJ89" i="18"/>
  <c r="BK89" i="18" s="1"/>
  <c r="BF36" i="18"/>
  <c r="BA89" i="18"/>
  <c r="BB89" i="18" s="1"/>
  <c r="BD89" i="18" s="1"/>
  <c r="BF37" i="18" s="1"/>
  <c r="BF16" i="18"/>
  <c r="BA39" i="18"/>
  <c r="BB39" i="18" s="1"/>
  <c r="BD39" i="18" s="1"/>
  <c r="BF17" i="18" s="1"/>
  <c r="BJ39" i="18"/>
  <c r="BK39" i="18" s="1"/>
  <c r="BJ34" i="18"/>
  <c r="BK34" i="18" s="1"/>
  <c r="BF14" i="18"/>
  <c r="BA34" i="18"/>
  <c r="BB34" i="18" s="1"/>
  <c r="BD34" i="18" s="1"/>
  <c r="BF15" i="18" s="1"/>
  <c r="BF38" i="18"/>
  <c r="BA94" i="18"/>
  <c r="BB94" i="18" s="1"/>
  <c r="BD94" i="18" s="1"/>
  <c r="BF39" i="18" s="1"/>
  <c r="BJ94" i="18"/>
  <c r="BK94" i="18" s="1"/>
  <c r="BF28" i="18"/>
  <c r="BA69" i="18"/>
  <c r="BB69" i="18" s="1"/>
  <c r="BD69" i="18" s="1"/>
  <c r="BF29" i="18" s="1"/>
  <c r="BJ69" i="18"/>
  <c r="BK69" i="18" s="1"/>
  <c r="BF18" i="18"/>
  <c r="BJ44" i="18"/>
  <c r="BK44" i="18" s="1"/>
  <c r="BA44" i="18"/>
  <c r="BB44" i="18" s="1"/>
  <c r="BD44" i="18" s="1"/>
  <c r="BF19" i="18" s="1"/>
  <c r="BJ49" i="18"/>
  <c r="BK49" i="18" s="1"/>
  <c r="BF20" i="18"/>
  <c r="BA49" i="18"/>
  <c r="BB49" i="18" s="1"/>
  <c r="BD49" i="18" s="1"/>
  <c r="BF21" i="18" s="1"/>
  <c r="BF22" i="18"/>
  <c r="BJ54" i="18"/>
  <c r="BK54" i="18" s="1"/>
  <c r="BA54" i="18"/>
  <c r="BB54" i="18" s="1"/>
  <c r="BD54" i="18" s="1"/>
  <c r="BF23" i="18" s="1"/>
  <c r="BJ99" i="18"/>
  <c r="BK99" i="18" s="1"/>
  <c r="BF40" i="18"/>
  <c r="BA99" i="18"/>
  <c r="BB99" i="18" s="1"/>
  <c r="BD99" i="18" s="1"/>
  <c r="BF41" i="18" s="1"/>
  <c r="BN9" i="18" l="1"/>
  <c r="BN5" i="18"/>
  <c r="BN4" i="18"/>
  <c r="BN8" i="18"/>
  <c r="BN11" i="18"/>
  <c r="BN10" i="18"/>
  <c r="BN14" i="18"/>
  <c r="BN12" i="18"/>
  <c r="BN13" i="18"/>
  <c r="BN7" i="18"/>
  <c r="BN6" i="18"/>
  <c r="BF5" i="18"/>
  <c r="BF7" i="18"/>
  <c r="BO4" i="18"/>
  <c r="BO13" i="18"/>
  <c r="BO12" i="18"/>
  <c r="BO10" i="18"/>
  <c r="BO5" i="18"/>
  <c r="BO7" i="18"/>
  <c r="BO6" i="18"/>
  <c r="BO14" i="18"/>
  <c r="BO11" i="18"/>
  <c r="BO8" i="18"/>
  <c r="BO9" i="18"/>
  <c r="BP12" i="18" l="1"/>
  <c r="BQ12" i="18"/>
  <c r="BR12" i="18" s="1"/>
  <c r="BS12" i="18" s="1"/>
  <c r="BH21" i="18" s="1"/>
  <c r="BI21" i="18" s="1"/>
  <c r="BP8" i="18"/>
  <c r="BQ8" i="18" s="1"/>
  <c r="BR8" i="18" s="1"/>
  <c r="BS8" i="18" s="1"/>
  <c r="BH13" i="18" s="1"/>
  <c r="BI13" i="18" s="1"/>
  <c r="BP6" i="18"/>
  <c r="BQ6" i="18" s="1"/>
  <c r="BR6" i="18" s="1"/>
  <c r="BS6" i="18" s="1"/>
  <c r="BH9" i="18" s="1"/>
  <c r="BI9" i="18" s="1"/>
  <c r="BP14" i="18"/>
  <c r="BQ14" i="18" s="1"/>
  <c r="BR14" i="18" s="1"/>
  <c r="BS14" i="18" s="1"/>
  <c r="BH25" i="18" s="1"/>
  <c r="BI25" i="18" s="1"/>
  <c r="BP4" i="18"/>
  <c r="BQ4" i="18" s="1"/>
  <c r="BR4" i="18" s="1"/>
  <c r="BS4" i="18" s="1"/>
  <c r="BP7" i="18"/>
  <c r="BQ7" i="18" s="1"/>
  <c r="BR7" i="18" s="1"/>
  <c r="BS7" i="18" s="1"/>
  <c r="BH11" i="18" s="1"/>
  <c r="BI11" i="18" s="1"/>
  <c r="BP10" i="18"/>
  <c r="BQ10" i="18" s="1"/>
  <c r="BR10" i="18" s="1"/>
  <c r="BS10" i="18" s="1"/>
  <c r="BH17" i="18" s="1"/>
  <c r="BI17" i="18" s="1"/>
  <c r="BP5" i="18"/>
  <c r="BQ5" i="18" s="1"/>
  <c r="BR5" i="18" s="1"/>
  <c r="BS5" i="18" s="1"/>
  <c r="BH7" i="18" s="1"/>
  <c r="BI7" i="18" s="1"/>
  <c r="BP13" i="18"/>
  <c r="BQ13" i="18" s="1"/>
  <c r="BR13" i="18" s="1"/>
  <c r="BS13" i="18" s="1"/>
  <c r="BH23" i="18" s="1"/>
  <c r="BI23" i="18" s="1"/>
  <c r="BP11" i="18"/>
  <c r="BQ11" i="18" s="1"/>
  <c r="BR11" i="18" s="1"/>
  <c r="BS11" i="18" s="1"/>
  <c r="BH19" i="18" s="1"/>
  <c r="BI19" i="18" s="1"/>
  <c r="BP9" i="18"/>
  <c r="BQ9" i="18" s="1"/>
  <c r="BR9" i="18" s="1"/>
  <c r="BS9" i="18" s="1"/>
  <c r="BH15" i="18" s="1"/>
  <c r="BI15" i="18" s="1"/>
  <c r="P140" i="30" l="1"/>
  <c r="N168" i="30"/>
  <c r="N137" i="30"/>
  <c r="N159" i="30"/>
  <c r="P138" i="30"/>
  <c r="P94" i="30"/>
  <c r="R119" i="30"/>
  <c r="P124" i="30"/>
  <c r="N183" i="30"/>
  <c r="R85" i="30"/>
  <c r="R123" i="30"/>
  <c r="N114" i="30"/>
  <c r="R152" i="30"/>
  <c r="P126" i="30"/>
  <c r="R84" i="30"/>
  <c r="R149" i="30"/>
  <c r="R172" i="30"/>
  <c r="P176" i="30"/>
  <c r="R161" i="30"/>
  <c r="R180" i="30"/>
  <c r="P164" i="30"/>
  <c r="P180" i="30"/>
  <c r="R181" i="30"/>
  <c r="P100" i="30"/>
  <c r="R170" i="30"/>
  <c r="P128" i="30"/>
  <c r="N152" i="30"/>
  <c r="R77" i="30"/>
  <c r="N125" i="30"/>
  <c r="R118" i="30"/>
  <c r="N80" i="30"/>
  <c r="R111" i="30"/>
  <c r="P80" i="30"/>
  <c r="N87" i="30"/>
  <c r="R177" i="30"/>
  <c r="N88" i="30"/>
  <c r="R103" i="30"/>
  <c r="R100" i="30"/>
  <c r="N86" i="30"/>
  <c r="P170" i="30"/>
  <c r="R34" i="30"/>
  <c r="N92" i="30"/>
  <c r="N155" i="30"/>
  <c r="R92" i="30"/>
  <c r="P156" i="30"/>
  <c r="P117" i="30"/>
  <c r="N83" i="30"/>
  <c r="R127" i="30"/>
  <c r="N117" i="30"/>
  <c r="P81" i="30"/>
  <c r="N145" i="30"/>
  <c r="P99" i="30"/>
  <c r="N141" i="30"/>
  <c r="P129" i="30"/>
  <c r="P106" i="30"/>
  <c r="P103" i="30"/>
  <c r="N135" i="30"/>
  <c r="N178" i="30"/>
  <c r="R94" i="30"/>
  <c r="N131" i="30"/>
  <c r="P85" i="30"/>
  <c r="R165" i="30"/>
  <c r="R135" i="30"/>
  <c r="P75" i="30"/>
  <c r="N157" i="30"/>
  <c r="N123" i="30"/>
  <c r="N164" i="30"/>
  <c r="R99" i="30"/>
  <c r="R129" i="30"/>
  <c r="N78" i="30"/>
  <c r="P136" i="30"/>
  <c r="R133" i="30"/>
  <c r="R74" i="30"/>
  <c r="N128" i="30"/>
  <c r="R134" i="30"/>
  <c r="P109" i="30"/>
  <c r="P84" i="30"/>
  <c r="R110" i="30"/>
  <c r="N147" i="30"/>
  <c r="N180" i="30"/>
  <c r="P148" i="30"/>
  <c r="P92" i="30"/>
  <c r="R102" i="30"/>
  <c r="N167" i="30"/>
  <c r="R81" i="30"/>
  <c r="P89" i="30"/>
  <c r="R154" i="30"/>
  <c r="R143" i="30"/>
  <c r="P97" i="30"/>
  <c r="P119" i="30"/>
  <c r="N34" i="30"/>
  <c r="P111" i="30"/>
  <c r="N127" i="30"/>
  <c r="P168" i="30"/>
  <c r="N177" i="30"/>
  <c r="N100" i="30"/>
  <c r="P125" i="30"/>
  <c r="R151" i="30"/>
  <c r="N104" i="30"/>
  <c r="N74" i="30"/>
  <c r="P162" i="30"/>
  <c r="R108" i="30"/>
  <c r="R82" i="30"/>
  <c r="P146" i="30"/>
  <c r="N116" i="30"/>
  <c r="N142" i="30"/>
  <c r="N76" i="30"/>
  <c r="R159" i="30"/>
  <c r="P83" i="30"/>
  <c r="P132" i="30"/>
  <c r="N160" i="30"/>
  <c r="N132" i="30"/>
  <c r="R183" i="30"/>
  <c r="R138" i="30"/>
  <c r="N102" i="30"/>
  <c r="P105" i="30"/>
  <c r="N129" i="30"/>
  <c r="P115" i="30"/>
  <c r="N85" i="30"/>
  <c r="P144" i="30"/>
  <c r="R173" i="30"/>
  <c r="R76" i="30"/>
  <c r="R91" i="30"/>
  <c r="N96" i="30"/>
  <c r="R158" i="30"/>
  <c r="P175" i="30"/>
  <c r="R178" i="30"/>
  <c r="R104" i="30"/>
  <c r="P153" i="30"/>
  <c r="P110" i="30"/>
  <c r="R130" i="30"/>
  <c r="P158" i="30"/>
  <c r="R97" i="30"/>
  <c r="P120" i="30"/>
  <c r="R155" i="30"/>
  <c r="P86" i="30"/>
  <c r="N95" i="30"/>
  <c r="P131" i="30"/>
  <c r="N124" i="30"/>
  <c r="P93" i="30"/>
  <c r="N109" i="30"/>
  <c r="N106" i="30"/>
  <c r="P181" i="30"/>
  <c r="P167" i="30"/>
  <c r="R96" i="30"/>
  <c r="R160" i="30"/>
  <c r="R147" i="30"/>
  <c r="R145" i="30"/>
  <c r="N175" i="30"/>
  <c r="P121" i="30"/>
  <c r="P113" i="30"/>
  <c r="R116" i="30"/>
  <c r="N149" i="30"/>
  <c r="N118" i="30"/>
  <c r="P154" i="30"/>
  <c r="P76" i="30"/>
  <c r="R124" i="30"/>
  <c r="R153" i="30"/>
  <c r="N144" i="30"/>
  <c r="N130" i="30"/>
  <c r="P96" i="30"/>
  <c r="R83" i="30"/>
  <c r="R88" i="30"/>
  <c r="N173" i="30"/>
  <c r="P142" i="30"/>
  <c r="P174" i="30"/>
  <c r="N158" i="30"/>
  <c r="R176" i="30"/>
  <c r="N126" i="30"/>
  <c r="N174" i="30"/>
  <c r="P171" i="30"/>
  <c r="N138" i="30"/>
  <c r="R164" i="30"/>
  <c r="R122" i="30"/>
  <c r="R131" i="30"/>
  <c r="R115" i="30"/>
  <c r="N133" i="30"/>
  <c r="R109" i="30"/>
  <c r="N94" i="30"/>
  <c r="P178" i="30"/>
  <c r="N122" i="30"/>
  <c r="R125" i="30"/>
  <c r="P88" i="30"/>
  <c r="P91" i="30"/>
  <c r="N77" i="30"/>
  <c r="N113" i="30"/>
  <c r="P183" i="30"/>
  <c r="N136" i="30"/>
  <c r="N171" i="30"/>
  <c r="R169" i="30"/>
  <c r="P101" i="30"/>
  <c r="P123" i="30"/>
  <c r="N153" i="30"/>
  <c r="R87" i="30"/>
  <c r="N98" i="30"/>
  <c r="P150" i="30"/>
  <c r="R139" i="30"/>
  <c r="P169" i="30"/>
  <c r="R128" i="30"/>
  <c r="R136" i="30"/>
  <c r="P102" i="30"/>
  <c r="N148" i="30"/>
  <c r="R140" i="30"/>
  <c r="N166" i="30"/>
  <c r="N169" i="30"/>
  <c r="R90" i="30"/>
  <c r="R163" i="30"/>
  <c r="P152" i="30"/>
  <c r="N84" i="30"/>
  <c r="R179" i="30"/>
  <c r="N162" i="30"/>
  <c r="P159" i="30"/>
  <c r="R95" i="30"/>
  <c r="R137" i="30"/>
  <c r="P165" i="30"/>
  <c r="N139" i="30"/>
  <c r="R166" i="30"/>
  <c r="N112" i="30"/>
  <c r="P79" i="30"/>
  <c r="N107" i="30"/>
  <c r="P141" i="30"/>
  <c r="R98" i="30"/>
  <c r="P182" i="30"/>
  <c r="N181" i="30"/>
  <c r="N99" i="30"/>
  <c r="R106" i="30"/>
  <c r="R75" i="30"/>
  <c r="N79" i="30"/>
  <c r="P151" i="30"/>
  <c r="P98" i="30"/>
  <c r="P179" i="30"/>
  <c r="N172" i="30"/>
  <c r="P173" i="30"/>
  <c r="R171" i="30"/>
  <c r="R86" i="30"/>
  <c r="N140" i="30"/>
  <c r="R114" i="30"/>
  <c r="R168" i="30"/>
  <c r="R113" i="30"/>
  <c r="P172" i="30"/>
  <c r="P78" i="30"/>
  <c r="N121" i="30"/>
  <c r="P133" i="30"/>
  <c r="N120" i="30"/>
  <c r="R182" i="30"/>
  <c r="P104" i="30"/>
  <c r="P139" i="30"/>
  <c r="R105" i="30"/>
  <c r="N176" i="30"/>
  <c r="P118" i="30"/>
  <c r="N134" i="30"/>
  <c r="N165" i="30"/>
  <c r="P116" i="30"/>
  <c r="P166" i="30"/>
  <c r="N146" i="30"/>
  <c r="R146" i="30"/>
  <c r="N75" i="30"/>
  <c r="P149" i="30"/>
  <c r="R150" i="30"/>
  <c r="P82" i="30"/>
  <c r="N119" i="30"/>
  <c r="P114" i="30"/>
  <c r="N111" i="30"/>
  <c r="N161" i="30"/>
  <c r="P112" i="30"/>
  <c r="P160" i="30"/>
  <c r="N97" i="30"/>
  <c r="R80" i="30"/>
  <c r="N82" i="30"/>
  <c r="N108" i="30"/>
  <c r="P163" i="30"/>
  <c r="N182" i="30"/>
  <c r="N110" i="30"/>
  <c r="P157" i="30"/>
  <c r="R141" i="30"/>
  <c r="P107" i="30"/>
  <c r="N143" i="30"/>
  <c r="P137" i="30"/>
  <c r="R120" i="30"/>
  <c r="P90" i="30"/>
  <c r="R148" i="30"/>
  <c r="R167" i="30"/>
  <c r="N89" i="30"/>
  <c r="P122" i="30"/>
  <c r="N103" i="30"/>
  <c r="P130" i="30"/>
  <c r="R93" i="30"/>
  <c r="R101" i="30"/>
  <c r="P177" i="30"/>
  <c r="P108" i="30"/>
  <c r="P77" i="30"/>
  <c r="R142" i="30"/>
  <c r="N151" i="30"/>
  <c r="N156" i="30"/>
  <c r="P134" i="30"/>
  <c r="N170" i="30"/>
  <c r="R107" i="30"/>
  <c r="N163" i="30"/>
  <c r="R156" i="30"/>
  <c r="N150" i="30"/>
  <c r="P147" i="30"/>
  <c r="R174" i="30"/>
  <c r="P127" i="30"/>
  <c r="P143" i="30"/>
  <c r="R89" i="30"/>
  <c r="P145" i="30"/>
  <c r="N115" i="30"/>
  <c r="R144" i="30"/>
  <c r="R157" i="30"/>
  <c r="N90" i="30"/>
  <c r="P135" i="30"/>
  <c r="P95" i="30"/>
  <c r="R126" i="30"/>
  <c r="P34" i="30"/>
  <c r="R121" i="30"/>
  <c r="N179" i="30"/>
  <c r="N91" i="30"/>
  <c r="R132" i="30"/>
  <c r="R162" i="30"/>
  <c r="N154" i="30"/>
  <c r="P155" i="30"/>
  <c r="R112" i="30"/>
  <c r="P161" i="30"/>
  <c r="R79" i="30"/>
  <c r="N105" i="30"/>
  <c r="N81" i="30"/>
  <c r="R117" i="30"/>
  <c r="R175" i="30"/>
  <c r="R78" i="30"/>
  <c r="N93" i="30"/>
  <c r="P87" i="30"/>
  <c r="P74" i="30"/>
  <c r="N101" i="30"/>
  <c r="N71" i="30"/>
  <c r="AC70" i="30" s="1"/>
  <c r="N67" i="30"/>
  <c r="AC66" i="30" s="1"/>
  <c r="R42" i="30"/>
  <c r="AY41" i="30" s="1"/>
  <c r="N48" i="30"/>
  <c r="AC47" i="30" s="1"/>
  <c r="N41" i="30"/>
  <c r="AC40" i="30" s="1"/>
  <c r="P44" i="30"/>
  <c r="AU43" i="30" s="1"/>
  <c r="N49" i="30"/>
  <c r="AC48" i="30" s="1"/>
  <c r="R41" i="30"/>
  <c r="AY40" i="30" s="1"/>
  <c r="R46" i="30"/>
  <c r="AY45" i="30" s="1"/>
  <c r="P61" i="30"/>
  <c r="AU60" i="30" s="1"/>
  <c r="P66" i="30"/>
  <c r="AU65" i="30" s="1"/>
  <c r="N40" i="30"/>
  <c r="AC39" i="30" s="1"/>
  <c r="P41" i="30"/>
  <c r="AU40" i="30" s="1"/>
  <c r="N42" i="30"/>
  <c r="AC41" i="30" s="1"/>
  <c r="N64" i="30"/>
  <c r="AC63" i="30" s="1"/>
  <c r="N60" i="30"/>
  <c r="AC59" i="30" s="1"/>
  <c r="P69" i="30"/>
  <c r="AU68" i="30" s="1"/>
  <c r="P45" i="30"/>
  <c r="AU44" i="30" s="1"/>
  <c r="P70" i="30"/>
  <c r="AU69" i="30" s="1"/>
  <c r="R48" i="30"/>
  <c r="AY47" i="30" s="1"/>
  <c r="P57" i="30"/>
  <c r="AU56" i="30" s="1"/>
  <c r="P64" i="30"/>
  <c r="AU63" i="30" s="1"/>
  <c r="R58" i="30"/>
  <c r="AY57" i="30" s="1"/>
  <c r="N70" i="30"/>
  <c r="AC69" i="30" s="1"/>
  <c r="N39" i="30"/>
  <c r="AC38" i="30" s="1"/>
  <c r="P40" i="30"/>
  <c r="AU39" i="30" s="1"/>
  <c r="N72" i="30"/>
  <c r="AC71" i="30" s="1"/>
  <c r="R64" i="30"/>
  <c r="AY63" i="30" s="1"/>
  <c r="R40" i="30"/>
  <c r="AY39" i="30" s="1"/>
  <c r="P68" i="30"/>
  <c r="AU67" i="30" s="1"/>
  <c r="R45" i="30"/>
  <c r="AY44" i="30" s="1"/>
  <c r="N61" i="30"/>
  <c r="AC60" i="30" s="1"/>
  <c r="P53" i="30"/>
  <c r="AU52" i="30" s="1"/>
  <c r="P51" i="30"/>
  <c r="AU50" i="30" s="1"/>
  <c r="N57" i="30"/>
  <c r="AC56" i="30" s="1"/>
  <c r="P56" i="30"/>
  <c r="AU55" i="30" s="1"/>
  <c r="P36" i="30"/>
  <c r="AU35" i="30" s="1"/>
  <c r="R50" i="30"/>
  <c r="AY49" i="30" s="1"/>
  <c r="R56" i="30"/>
  <c r="AY55" i="30" s="1"/>
  <c r="N73" i="30"/>
  <c r="AC72" i="30" s="1"/>
  <c r="N62" i="30"/>
  <c r="AC61" i="30" s="1"/>
  <c r="P55" i="30"/>
  <c r="AU54" i="30" s="1"/>
  <c r="R43" i="30"/>
  <c r="AY42" i="30" s="1"/>
  <c r="P63" i="30"/>
  <c r="AU62" i="30" s="1"/>
  <c r="N59" i="30"/>
  <c r="AC58" i="30" s="1"/>
  <c r="P59" i="30"/>
  <c r="AU58" i="30" s="1"/>
  <c r="P71" i="30"/>
  <c r="AU70" i="30" s="1"/>
  <c r="R59" i="30"/>
  <c r="AY58" i="30" s="1"/>
  <c r="N65" i="30"/>
  <c r="AC64" i="30" s="1"/>
  <c r="R62" i="30"/>
  <c r="AY61" i="30" s="1"/>
  <c r="R61" i="30"/>
  <c r="AY60" i="30" s="1"/>
  <c r="R69" i="30"/>
  <c r="AY68" i="30" s="1"/>
  <c r="P72" i="30"/>
  <c r="AU71" i="30" s="1"/>
  <c r="P67" i="30"/>
  <c r="AU66" i="30" s="1"/>
  <c r="P54" i="30"/>
  <c r="AU53" i="30" s="1"/>
  <c r="R68" i="30"/>
  <c r="AY67" i="30" s="1"/>
  <c r="P43" i="30"/>
  <c r="AU42" i="30" s="1"/>
  <c r="N36" i="30"/>
  <c r="AC35" i="30" s="1"/>
  <c r="P58" i="30"/>
  <c r="AU57" i="30" s="1"/>
  <c r="N52" i="30"/>
  <c r="AC51" i="30" s="1"/>
  <c r="N51" i="30"/>
  <c r="AC50" i="30" s="1"/>
  <c r="R54" i="30"/>
  <c r="AY53" i="30" s="1"/>
  <c r="R37" i="30"/>
  <c r="AY36" i="30" s="1"/>
  <c r="R63" i="30"/>
  <c r="AY62" i="30" s="1"/>
  <c r="R38" i="30"/>
  <c r="AY37" i="30" s="1"/>
  <c r="R52" i="30"/>
  <c r="AY51" i="30" s="1"/>
  <c r="R66" i="30"/>
  <c r="AY65" i="30" s="1"/>
  <c r="R36" i="30"/>
  <c r="AY35" i="30" s="1"/>
  <c r="P37" i="30"/>
  <c r="AU36" i="30" s="1"/>
  <c r="N50" i="30"/>
  <c r="AC49" i="30" s="1"/>
  <c r="N63" i="30"/>
  <c r="AC62" i="30" s="1"/>
  <c r="P46" i="30"/>
  <c r="AU45" i="30" s="1"/>
  <c r="P50" i="30"/>
  <c r="AU49" i="30" s="1"/>
  <c r="N69" i="30"/>
  <c r="AC68" i="30" s="1"/>
  <c r="R70" i="30"/>
  <c r="AY69" i="30" s="1"/>
  <c r="P38" i="30"/>
  <c r="AU37" i="30" s="1"/>
  <c r="R71" i="30"/>
  <c r="AY70" i="30" s="1"/>
  <c r="N66" i="30"/>
  <c r="AC65" i="30" s="1"/>
  <c r="R57" i="30"/>
  <c r="AY56" i="30" s="1"/>
  <c r="R51" i="30"/>
  <c r="AY50" i="30" s="1"/>
  <c r="N43" i="30"/>
  <c r="AC42" i="30" s="1"/>
  <c r="N44" i="30"/>
  <c r="AC43" i="30" s="1"/>
  <c r="N53" i="30"/>
  <c r="AC52" i="30" s="1"/>
  <c r="P65" i="30"/>
  <c r="AU64" i="30" s="1"/>
  <c r="R65" i="30"/>
  <c r="AY64" i="30" s="1"/>
  <c r="N56" i="30"/>
  <c r="AC55" i="30" s="1"/>
  <c r="P73" i="30"/>
  <c r="AU72" i="30" s="1"/>
  <c r="N54" i="30"/>
  <c r="AC53" i="30" s="1"/>
  <c r="N46" i="30"/>
  <c r="AC45" i="30" s="1"/>
  <c r="P52" i="30"/>
  <c r="AU51" i="30" s="1"/>
  <c r="N55" i="30"/>
  <c r="AC54" i="30" s="1"/>
  <c r="N37" i="30"/>
  <c r="AC36" i="30" s="1"/>
  <c r="R60" i="30"/>
  <c r="AY59" i="30" s="1"/>
  <c r="R47" i="30"/>
  <c r="AY46" i="30" s="1"/>
  <c r="N47" i="30"/>
  <c r="AC46" i="30" s="1"/>
  <c r="N35" i="30"/>
  <c r="AC34" i="30" s="1"/>
  <c r="P42" i="30"/>
  <c r="AU41" i="30" s="1"/>
  <c r="R39" i="30"/>
  <c r="AY38" i="30" s="1"/>
  <c r="P49" i="30"/>
  <c r="AU48" i="30" s="1"/>
  <c r="N45" i="30"/>
  <c r="AC44" i="30" s="1"/>
  <c r="R44" i="30"/>
  <c r="AY43" i="30" s="1"/>
  <c r="R35" i="30"/>
  <c r="AY34" i="30" s="1"/>
  <c r="R55" i="30"/>
  <c r="AY54" i="30" s="1"/>
  <c r="N68" i="30"/>
  <c r="AC67" i="30" s="1"/>
  <c r="P39" i="30"/>
  <c r="AU38" i="30" s="1"/>
  <c r="P60" i="30"/>
  <c r="AU59" i="30" s="1"/>
  <c r="R49" i="30"/>
  <c r="AY48" i="30" s="1"/>
  <c r="R73" i="30"/>
  <c r="AY72" i="30" s="1"/>
  <c r="R67" i="30"/>
  <c r="AY66" i="30" s="1"/>
  <c r="R72" i="30"/>
  <c r="AY71" i="30" s="1"/>
  <c r="P47" i="30"/>
  <c r="AU46" i="30" s="1"/>
  <c r="P48" i="30"/>
  <c r="AU47" i="30" s="1"/>
  <c r="P35" i="30"/>
  <c r="AU34" i="30" s="1"/>
  <c r="N58" i="30"/>
  <c r="AC57" i="30" s="1"/>
  <c r="P62" i="30"/>
  <c r="AU61" i="30" s="1"/>
  <c r="N38" i="30"/>
  <c r="AC37" i="30" s="1"/>
  <c r="R53" i="30"/>
  <c r="AY52" i="30" s="1"/>
  <c r="AU33" i="30" l="1"/>
  <c r="AY33" i="30"/>
  <c r="AC33" i="30"/>
</calcChain>
</file>

<file path=xl/sharedStrings.xml><?xml version="1.0" encoding="utf-8"?>
<sst xmlns="http://schemas.openxmlformats.org/spreadsheetml/2006/main" count="1675" uniqueCount="547">
  <si>
    <t>N</t>
  </si>
  <si>
    <t>Cuarto 1</t>
  </si>
  <si>
    <t>Cuarto 2</t>
  </si>
  <si>
    <t>Nombre</t>
  </si>
  <si>
    <t>Hojas</t>
  </si>
  <si>
    <t>Ancho</t>
  </si>
  <si>
    <t>Alto</t>
  </si>
  <si>
    <t>Presión</t>
  </si>
  <si>
    <t>Clasificación</t>
  </si>
  <si>
    <t>│∆P│</t>
  </si>
  <si>
    <t>mm</t>
  </si>
  <si>
    <t>Altitud</t>
  </si>
  <si>
    <t>%HR</t>
  </si>
  <si>
    <t>mmHg</t>
  </si>
  <si>
    <t>°F</t>
  </si>
  <si>
    <t>inCA</t>
  </si>
  <si>
    <t>inHg</t>
  </si>
  <si>
    <t>°R</t>
  </si>
  <si>
    <t>F2</t>
  </si>
  <si>
    <t>Temp.</t>
  </si>
  <si>
    <t>Humedad</t>
  </si>
  <si>
    <t>Dimen-x</t>
  </si>
  <si>
    <t>Dimen-y</t>
  </si>
  <si>
    <t>Altura</t>
  </si>
  <si>
    <t>Volumen</t>
  </si>
  <si>
    <t>C/h</t>
  </si>
  <si>
    <t>Total</t>
  </si>
  <si>
    <t>m</t>
  </si>
  <si>
    <t>m³</t>
  </si>
  <si>
    <t>ft³</t>
  </si>
  <si>
    <t>Aire
retorno</t>
  </si>
  <si>
    <t>Aire
extracción</t>
  </si>
  <si>
    <t>Colección
de polvos</t>
  </si>
  <si>
    <t>Aire
suministro</t>
  </si>
  <si>
    <t>Cuarto</t>
  </si>
  <si>
    <t>Exterior</t>
  </si>
  <si>
    <t>Cuarto externo</t>
  </si>
  <si>
    <t>pza</t>
  </si>
  <si>
    <t>---</t>
  </si>
  <si>
    <t>18.0-23.0</t>
  </si>
  <si>
    <t>Ambiente</t>
  </si>
  <si>
    <t>Sin control</t>
  </si>
  <si>
    <t>PCM</t>
  </si>
  <si>
    <t>Verano</t>
  </si>
  <si>
    <t>Ciudad</t>
  </si>
  <si>
    <t>Estado</t>
  </si>
  <si>
    <r>
      <t>T</t>
    </r>
    <r>
      <rPr>
        <vertAlign val="subscript"/>
        <sz val="10"/>
        <color theme="1"/>
        <rFont val="Arial Narrow"/>
        <family val="2"/>
      </rPr>
      <t>BS</t>
    </r>
  </si>
  <si>
    <r>
      <t>T</t>
    </r>
    <r>
      <rPr>
        <vertAlign val="subscript"/>
        <sz val="10"/>
        <color theme="1"/>
        <rFont val="Arial Narrow"/>
        <family val="2"/>
      </rPr>
      <t>BH</t>
    </r>
  </si>
  <si>
    <t>°C</t>
  </si>
  <si>
    <t>Acapulco</t>
  </si>
  <si>
    <t>Guerrero</t>
  </si>
  <si>
    <t>Aguascalientes</t>
  </si>
  <si>
    <t>Campeche</t>
  </si>
  <si>
    <t>Celaya</t>
  </si>
  <si>
    <t>Guanajuato</t>
  </si>
  <si>
    <t>Chihuahua</t>
  </si>
  <si>
    <t>Chilpancingo</t>
  </si>
  <si>
    <t>Ciudad Juárez</t>
  </si>
  <si>
    <t>Ciudad Obregón</t>
  </si>
  <si>
    <t>Sonora</t>
  </si>
  <si>
    <t>Colima</t>
  </si>
  <si>
    <t>Cuernavaca</t>
  </si>
  <si>
    <t>Morelos</t>
  </si>
  <si>
    <t>Culiacán</t>
  </si>
  <si>
    <t>Sinaloa</t>
  </si>
  <si>
    <t>Distrito Federal</t>
  </si>
  <si>
    <t>Durango</t>
  </si>
  <si>
    <t>Ensenada</t>
  </si>
  <si>
    <t>Baja California</t>
  </si>
  <si>
    <t>Guadalajara</t>
  </si>
  <si>
    <t>Jalisco</t>
  </si>
  <si>
    <t>Hermosillo</t>
  </si>
  <si>
    <t>Irapuato</t>
  </si>
  <si>
    <t>La Piedad</t>
  </si>
  <si>
    <t>Michoacán</t>
  </si>
  <si>
    <t>León</t>
  </si>
  <si>
    <t>Lerma</t>
  </si>
  <si>
    <t>Estado de México</t>
  </si>
  <si>
    <t>Manzanillo</t>
  </si>
  <si>
    <t>Mazatlán</t>
  </si>
  <si>
    <t>Monterrey</t>
  </si>
  <si>
    <t>Nuevo León</t>
  </si>
  <si>
    <t>Morelia</t>
  </si>
  <si>
    <t>Nogales</t>
  </si>
  <si>
    <t>Pachuca</t>
  </si>
  <si>
    <t>Hidalgo</t>
  </si>
  <si>
    <t>Puebla</t>
  </si>
  <si>
    <t>Querétaro</t>
  </si>
  <si>
    <t>Saltillo</t>
  </si>
  <si>
    <t>Coahuila</t>
  </si>
  <si>
    <t>San Juan del Río</t>
  </si>
  <si>
    <t>San Luis Potosí</t>
  </si>
  <si>
    <t>Tehuacán</t>
  </si>
  <si>
    <t>Tepic</t>
  </si>
  <si>
    <t>Nayarit</t>
  </si>
  <si>
    <t>Texcoco</t>
  </si>
  <si>
    <t>Tijuana</t>
  </si>
  <si>
    <t>Tizayuca</t>
  </si>
  <si>
    <t>Toluca</t>
  </si>
  <si>
    <t>Torreón</t>
  </si>
  <si>
    <t>Tulancingo</t>
  </si>
  <si>
    <t>Villahermosa</t>
  </si>
  <si>
    <t>Tabasco</t>
  </si>
  <si>
    <t>Zamora</t>
  </si>
  <si>
    <t>ft</t>
  </si>
  <si>
    <t>km</t>
  </si>
  <si>
    <t>K</t>
  </si>
  <si>
    <t>Factor de corrección:</t>
  </si>
  <si>
    <t>Humedad relativa:</t>
  </si>
  <si>
    <t>Densidad del aire:</t>
  </si>
  <si>
    <t>lb/ft³</t>
  </si>
  <si>
    <t>kg/m³</t>
  </si>
  <si>
    <t>Presión absoluta:</t>
  </si>
  <si>
    <t>atm</t>
  </si>
  <si>
    <t>kPa</t>
  </si>
  <si>
    <t>kgf/cm²</t>
  </si>
  <si>
    <t>bar</t>
  </si>
  <si>
    <t>lbf/in² (psi)</t>
  </si>
  <si>
    <t>Bulbo seco</t>
  </si>
  <si>
    <t>Bulbo húmedo</t>
  </si>
  <si>
    <r>
      <t>A</t>
    </r>
    <r>
      <rPr>
        <vertAlign val="subscript"/>
        <sz val="10"/>
        <rFont val="Arial"/>
        <family val="2"/>
      </rPr>
      <t>0</t>
    </r>
  </si>
  <si>
    <r>
      <t>A</t>
    </r>
    <r>
      <rPr>
        <vertAlign val="subscript"/>
        <sz val="10"/>
        <rFont val="Arial"/>
        <family val="2"/>
      </rPr>
      <t>1</t>
    </r>
  </si>
  <si>
    <r>
      <t>A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</si>
  <si>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</si>
  <si>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/>
    </r>
  </si>
  <si>
    <r>
      <t>A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/>
    </r>
  </si>
  <si>
    <t>p</t>
  </si>
  <si>
    <t>AbsP</t>
  </si>
  <si>
    <t>RH</t>
  </si>
  <si>
    <t>RFC</t>
  </si>
  <si>
    <t>Calle</t>
  </si>
  <si>
    <t>No. Interior</t>
  </si>
  <si>
    <t>Colonia</t>
  </si>
  <si>
    <t>Código postal</t>
  </si>
  <si>
    <t>Delegación o Municipio</t>
  </si>
  <si>
    <t>País</t>
  </si>
  <si>
    <t>TOTALES</t>
  </si>
  <si>
    <t>ENTRADAS</t>
  </si>
  <si>
    <t>SALIDAS</t>
  </si>
  <si>
    <t>OT</t>
  </si>
  <si>
    <t>Nombre (Razón social)</t>
  </si>
  <si>
    <t>Generales</t>
  </si>
  <si>
    <t>No. Exterior</t>
  </si>
  <si>
    <t>Domicilio obra</t>
  </si>
  <si>
    <t>Diseño</t>
  </si>
  <si>
    <t>TBS</t>
  </si>
  <si>
    <t>TBH</t>
  </si>
  <si>
    <t>Localidad</t>
  </si>
  <si>
    <t>ALTITUD</t>
  </si>
  <si>
    <t>TEMPERATURA</t>
  </si>
  <si>
    <t>Elija una localidad de la lista desplegable…</t>
  </si>
  <si>
    <t>…o ingrese los datos de forma manual.</t>
  </si>
  <si>
    <t>Datos</t>
  </si>
  <si>
    <t>Teléfonos</t>
  </si>
  <si>
    <t>Multiáreas</t>
  </si>
  <si>
    <t>1 hoja</t>
  </si>
  <si>
    <t>2 hojas</t>
  </si>
  <si>
    <t>Factor de flujo (0.6-0.9):</t>
  </si>
  <si>
    <t>Altura de la ranura:</t>
  </si>
  <si>
    <t>Se redondea el flujo de aire calculado al múltiplo mayor más cercano de:</t>
  </si>
  <si>
    <t>PUERTA</t>
  </si>
  <si>
    <t>CUARTOS</t>
  </si>
  <si>
    <t>FLUJO DE AIRE</t>
  </si>
  <si>
    <t>PRESIÓN</t>
  </si>
  <si>
    <t>F1</t>
  </si>
  <si>
    <t>Densidad</t>
  </si>
  <si>
    <t>Dirección</t>
  </si>
  <si>
    <t>ID</t>
  </si>
  <si>
    <t>AS</t>
  </si>
  <si>
    <t>AR</t>
  </si>
  <si>
    <t>AE</t>
  </si>
  <si>
    <t>CP</t>
  </si>
  <si>
    <t>Porcentaje del total del cuarto</t>
  </si>
  <si>
    <t>Dimensiones</t>
  </si>
  <si>
    <t>Velocidad</t>
  </si>
  <si>
    <t>ft/min</t>
  </si>
  <si>
    <t>Plato perforado</t>
  </si>
  <si>
    <t>N/A</t>
  </si>
  <si>
    <t>plato perforado:</t>
  </si>
  <si>
    <t>, número de vías por definir:</t>
  </si>
  <si>
    <t>ΔP</t>
  </si>
  <si>
    <t>in</t>
  </si>
  <si>
    <t>×</t>
  </si>
  <si>
    <t>Cuenta número de dufusores por cuarto</t>
  </si>
  <si>
    <t>ID del dispositivo</t>
  </si>
  <si>
    <t>Tipo del dispositivo</t>
  </si>
  <si>
    <t>DI</t>
  </si>
  <si>
    <t>RI</t>
  </si>
  <si>
    <t>FT</t>
  </si>
  <si>
    <t>Tipo</t>
  </si>
  <si>
    <t>Difusores:</t>
  </si>
  <si>
    <t>Rejillas de inyección:</t>
  </si>
  <si>
    <t>Filtros terminales:</t>
  </si>
  <si>
    <t>Relación de aspecto</t>
  </si>
  <si>
    <t>Relación de aspecto
(RI y FT)</t>
  </si>
  <si>
    <t>Multiplo dimensiones</t>
  </si>
  <si>
    <t>Modelo</t>
  </si>
  <si>
    <t>Flujo de aire en el dispositivo</t>
  </si>
  <si>
    <t>H</t>
  </si>
  <si>
    <t>V</t>
  </si>
  <si>
    <t>A</t>
  </si>
  <si>
    <t>12" × 24"</t>
  </si>
  <si>
    <t>24" × 24"</t>
  </si>
  <si>
    <t>DD</t>
  </si>
  <si>
    <t>Número de vías
(DI)</t>
  </si>
  <si>
    <t>Q</t>
  </si>
  <si>
    <t>FL</t>
  </si>
  <si>
    <t>FS</t>
  </si>
  <si>
    <t>TOTAL</t>
  </si>
  <si>
    <t>CANT</t>
  </si>
  <si>
    <t>NO SE EMPLEA</t>
  </si>
  <si>
    <t>Cliente:</t>
  </si>
  <si>
    <t>OT:</t>
  </si>
  <si>
    <t>Área:</t>
  </si>
  <si>
    <t>Área</t>
  </si>
  <si>
    <t>Velocidad máxima para la
selección del accesorio</t>
  </si>
  <si>
    <t>Dimensiones de
rejillas y difusores</t>
  </si>
  <si>
    <t>Modelos de los accesorios</t>
  </si>
  <si>
    <t>FT 12 × 24:</t>
  </si>
  <si>
    <t>FT 24 × 24:</t>
  </si>
  <si>
    <t>FT 48 × 24:</t>
  </si>
  <si>
    <t>DIFUSORES</t>
  </si>
  <si>
    <t>Rejillas:</t>
  </si>
  <si>
    <t>Filtros:</t>
  </si>
  <si>
    <t>48" × 24"</t>
  </si>
  <si>
    <t>Casilla de verificación</t>
  </si>
  <si>
    <t>C/h para error por falta de información</t>
  </si>
  <si>
    <t>AS por C/h</t>
  </si>
  <si>
    <t>FILTROS TERMINALES</t>
  </si>
  <si>
    <t>REJILLAS DE
INYECCIÓN</t>
  </si>
  <si>
    <t>Flujo de aire</t>
  </si>
  <si>
    <t>Número
de vías</t>
  </si>
  <si>
    <t>Flujo de aire por repartir:</t>
  </si>
  <si>
    <t>BS</t>
  </si>
  <si>
    <t>BH</t>
  </si>
  <si>
    <t>HR</t>
  </si>
  <si>
    <t>W</t>
  </si>
  <si>
    <t>h</t>
  </si>
  <si>
    <t>PR</t>
  </si>
  <si>
    <t>Temperatura de bulbo húmedo</t>
  </si>
  <si>
    <t>Humedad relativa</t>
  </si>
  <si>
    <t>Relación de humedad</t>
  </si>
  <si>
    <t>Volumen específico</t>
  </si>
  <si>
    <t>Entalpía</t>
  </si>
  <si>
    <t>Punto de rocío</t>
  </si>
  <si>
    <t>g/g</t>
  </si>
  <si>
    <t>m3/kg</t>
  </si>
  <si>
    <t>J</t>
  </si>
  <si>
    <t>EXTRACCIÓN</t>
  </si>
  <si>
    <t>RETORNO</t>
  </si>
  <si>
    <t>R</t>
  </si>
  <si>
    <t>E</t>
  </si>
  <si>
    <t>REJILLAS DE INYECCIÓN</t>
  </si>
  <si>
    <t>Deving Technologies, SC</t>
  </si>
  <si>
    <t>Acaponeta</t>
  </si>
  <si>
    <t>Actopan</t>
  </si>
  <si>
    <t>Aeropuerto</t>
  </si>
  <si>
    <t>Ciudad de México</t>
  </si>
  <si>
    <t>Altar</t>
  </si>
  <si>
    <t>Álvaro Obregón</t>
  </si>
  <si>
    <t>Ameca</t>
  </si>
  <si>
    <t>Apatzingan</t>
  </si>
  <si>
    <t>Cancún</t>
  </si>
  <si>
    <t>Quintana Roo</t>
  </si>
  <si>
    <t>Champotón</t>
  </si>
  <si>
    <t>Chapultepec</t>
  </si>
  <si>
    <t>Chetumal</t>
  </si>
  <si>
    <t>Ciudad del Carmen</t>
  </si>
  <si>
    <t>Ciudad Lerdo</t>
  </si>
  <si>
    <t>Ciudad Victoria</t>
  </si>
  <si>
    <t>Tamaulipas</t>
  </si>
  <si>
    <t>Coatzacoalco</t>
  </si>
  <si>
    <t>Veracruz</t>
  </si>
  <si>
    <t>Comitán</t>
  </si>
  <si>
    <t>Chiapas</t>
  </si>
  <si>
    <t>Cozumel</t>
  </si>
  <si>
    <t>Cuautla</t>
  </si>
  <si>
    <t>El Fuerte</t>
  </si>
  <si>
    <t>Fresnillo</t>
  </si>
  <si>
    <t>Zacatecas</t>
  </si>
  <si>
    <t>Guamuchil</t>
  </si>
  <si>
    <t>Guaymas</t>
  </si>
  <si>
    <t>Hidalgo del Parral</t>
  </si>
  <si>
    <t>Huachinango</t>
  </si>
  <si>
    <t>Huajapan de León</t>
  </si>
  <si>
    <t>Oaxaca</t>
  </si>
  <si>
    <t>Ixmiquilpan</t>
  </si>
  <si>
    <t>Ixtapa Zihuatanejo</t>
  </si>
  <si>
    <t>Jalapa</t>
  </si>
  <si>
    <t>La Paz</t>
  </si>
  <si>
    <t>Baja California Sur</t>
  </si>
  <si>
    <t>Lagos de Moreno</t>
  </si>
  <si>
    <t>Lampazos</t>
  </si>
  <si>
    <t>Matamoros</t>
  </si>
  <si>
    <t>Matehuala</t>
  </si>
  <si>
    <t>Mérida</t>
  </si>
  <si>
    <t>Yucatán</t>
  </si>
  <si>
    <t>Mexicali</t>
  </si>
  <si>
    <t>Monclova</t>
  </si>
  <si>
    <t>Montemorelos</t>
  </si>
  <si>
    <t>Mulegé</t>
  </si>
  <si>
    <t>Navajoa</t>
  </si>
  <si>
    <t>Nueva Rosita</t>
  </si>
  <si>
    <t>Nuevo Laredo</t>
  </si>
  <si>
    <t>Ojinaga</t>
  </si>
  <si>
    <t>Orizaba</t>
  </si>
  <si>
    <t>Piedras Negras</t>
  </si>
  <si>
    <t>Pochutla</t>
  </si>
  <si>
    <t>Poza Rica</t>
  </si>
  <si>
    <t>Progreso</t>
  </si>
  <si>
    <t>Puente de Ixtla</t>
  </si>
  <si>
    <t>Puerto Vallarta</t>
  </si>
  <si>
    <t>Reynosa</t>
  </si>
  <si>
    <t>Rincón de Romo</t>
  </si>
  <si>
    <t>Río Verde</t>
  </si>
  <si>
    <t>Salina Cruz</t>
  </si>
  <si>
    <t>Salvatierra</t>
  </si>
  <si>
    <t>San Blas</t>
  </si>
  <si>
    <t>Santa Fe</t>
  </si>
  <si>
    <t>Santiago Papasquiaro</t>
  </si>
  <si>
    <t>Sombrerete</t>
  </si>
  <si>
    <t>Tacubaya</t>
  </si>
  <si>
    <t>Tampico</t>
  </si>
  <si>
    <t>Tapachula</t>
  </si>
  <si>
    <t>Taxco</t>
  </si>
  <si>
    <t>Temancingo</t>
  </si>
  <si>
    <t>Tezitlán</t>
  </si>
  <si>
    <t>Tlaxcala</t>
  </si>
  <si>
    <t>Topolobampo</t>
  </si>
  <si>
    <t>Tuxpan</t>
  </si>
  <si>
    <t>Tuxtla Gutiérrez</t>
  </si>
  <si>
    <t>Uruapan</t>
  </si>
  <si>
    <t>Valladolid</t>
  </si>
  <si>
    <t>Zacapu</t>
  </si>
  <si>
    <t>Aire seco</t>
  </si>
  <si>
    <t>Harrison (1965)</t>
  </si>
  <si>
    <t>Peso molecular del aire seco:</t>
  </si>
  <si>
    <t>Nitrógeno</t>
  </si>
  <si>
    <t>Oxígeno</t>
  </si>
  <si>
    <t>Argón</t>
  </si>
  <si>
    <t>Neón</t>
  </si>
  <si>
    <t>Helio</t>
  </si>
  <si>
    <t>Metano</t>
  </si>
  <si>
    <t>Dióxido de azufre</t>
  </si>
  <si>
    <t>Hidrógeno</t>
  </si>
  <si>
    <t>Otros</t>
  </si>
  <si>
    <t>Name</t>
  </si>
  <si>
    <t>Abb</t>
  </si>
  <si>
    <t>Magnitude</t>
  </si>
  <si>
    <t>UOM (SI)</t>
  </si>
  <si>
    <t>UOM (I-P)</t>
  </si>
  <si>
    <t>Universal gas constant</t>
  </si>
  <si>
    <r>
      <t>ft</t>
    </r>
    <r>
      <rPr>
        <sz val="11"/>
        <color theme="1"/>
        <rFont val="Calibri"/>
        <family val="2"/>
      </rPr>
      <t>∙lbf/lbmol∙°R</t>
    </r>
  </si>
  <si>
    <t>Molecular mass of dry air</t>
  </si>
  <si>
    <t>MDA</t>
  </si>
  <si>
    <t>Universal gas constant for dry air</t>
  </si>
  <si>
    <t>RDA</t>
  </si>
  <si>
    <r>
      <t>ft</t>
    </r>
    <r>
      <rPr>
        <sz val="11"/>
        <color theme="1"/>
        <rFont val="Calibri"/>
        <family val="2"/>
      </rPr>
      <t>∙lbf/lbda∙°R</t>
    </r>
  </si>
  <si>
    <t>Molecular mass of water</t>
  </si>
  <si>
    <t>MW</t>
  </si>
  <si>
    <t>Gas constant for water vapor</t>
  </si>
  <si>
    <t>RW</t>
  </si>
  <si>
    <r>
      <t>ft</t>
    </r>
    <r>
      <rPr>
        <sz val="11"/>
        <color theme="1"/>
        <rFont val="Calibri"/>
        <family val="2"/>
      </rPr>
      <t>∙lbf/lbw∙°R</t>
    </r>
  </si>
  <si>
    <t>Standard gravity</t>
  </si>
  <si>
    <t>G</t>
  </si>
  <si>
    <t>ft/s2</t>
  </si>
  <si>
    <t>Ratio of molecular masses</t>
  </si>
  <si>
    <t>Description.</t>
  </si>
  <si>
    <t>Barometric pressure</t>
  </si>
  <si>
    <t>Pa</t>
  </si>
  <si>
    <t>psia</t>
  </si>
  <si>
    <t>Altitude</t>
  </si>
  <si>
    <t>z</t>
  </si>
  <si>
    <t>Temperature</t>
  </si>
  <si>
    <t>t</t>
  </si>
  <si>
    <t>Temperature (absolute)</t>
  </si>
  <si>
    <t>ta</t>
  </si>
  <si>
    <t>Humidity ratio at saturation</t>
  </si>
  <si>
    <t>ws</t>
  </si>
  <si>
    <t>Humidity ratio at saturation; gaseous phase (moist air) exists in equilibrium with condensed phase (liquid or solid) at given temperature and pressure (standard atmospheric pressure). At given values of temperature and pressure, humidity ratio W can have any value from zero to Ws.</t>
  </si>
  <si>
    <t>Specific volume of dry air</t>
  </si>
  <si>
    <t>vda</t>
  </si>
  <si>
    <t>ft3/lbda</t>
  </si>
  <si>
    <t>Difference between vs and vda</t>
  </si>
  <si>
    <t>vas</t>
  </si>
  <si>
    <t>Variable</t>
  </si>
  <si>
    <t>Value</t>
  </si>
  <si>
    <t>UOM</t>
  </si>
  <si>
    <t>Var_01</t>
  </si>
  <si>
    <t>UOM_01</t>
  </si>
  <si>
    <t>Restrictions</t>
  </si>
  <si>
    <t>Valid only from -16,500 ft to 36,000 ft</t>
  </si>
  <si>
    <t>Saturation pressure</t>
  </si>
  <si>
    <t>pws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</si>
  <si>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</si>
  <si>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</si>
  <si>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</si>
  <si>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</si>
  <si>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</si>
  <si>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</si>
  <si>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</si>
  <si>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</si>
  <si>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</si>
  <si>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</si>
  <si>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</si>
  <si>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</si>
  <si>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</si>
  <si>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Molar fraction of dry air in the mixture</t>
  </si>
  <si>
    <t>Molar fraction of water in the mixture</t>
  </si>
  <si>
    <t>T</t>
  </si>
  <si>
    <t>Ws</t>
  </si>
  <si>
    <t>td</t>
  </si>
  <si>
    <t>lbw/lbda</t>
  </si>
  <si>
    <t>W_LINES(MAJOR)</t>
  </si>
  <si>
    <t>W_LINES(MINOR)</t>
  </si>
  <si>
    <t>BOTTOM_BORDER</t>
  </si>
  <si>
    <t>LEFT_BORDER</t>
  </si>
  <si>
    <t>RIGHT_BORDER</t>
  </si>
  <si>
    <t>RELATIVE_HUMIDITY_LINES_10</t>
  </si>
  <si>
    <t>RELATIVE_HUMIDITY_LINES_20</t>
  </si>
  <si>
    <t>RELATIVE_HUMIDITY_LINES_30</t>
  </si>
  <si>
    <t>RELATIVE_HUMIDITY_LINES_40</t>
  </si>
  <si>
    <t>RELATIVE_HUMIDITY_LINES_50</t>
  </si>
  <si>
    <t>RELATIVE_HUMIDITY_LINES_60</t>
  </si>
  <si>
    <t>RELATIVE_HUMIDITY_LINES_70</t>
  </si>
  <si>
    <t>RELATIVE_HUMIDITY_LINES_80</t>
  </si>
  <si>
    <t>RELATIVE_HUMIDITY_LINES_90</t>
  </si>
  <si>
    <t>TDB_LINES</t>
  </si>
  <si>
    <t>WET_BULB_TEMP_LINES</t>
  </si>
  <si>
    <t>SPECIFIC_ENTHALPY_LINES</t>
  </si>
  <si>
    <t>Point_01</t>
  </si>
  <si>
    <t>Point_02</t>
  </si>
  <si>
    <t>Intersect_120F</t>
  </si>
  <si>
    <t>pw</t>
  </si>
  <si>
    <t>t*</t>
  </si>
  <si>
    <t>t_est</t>
  </si>
  <si>
    <t>DewPointEstimated</t>
  </si>
  <si>
    <t>Abs</t>
  </si>
  <si>
    <t>CHART_TITLE</t>
  </si>
  <si>
    <t>Carta psicrométrica</t>
  </si>
  <si>
    <t>Tdb1</t>
  </si>
  <si>
    <t>Tdb2</t>
  </si>
  <si>
    <t>Twb1</t>
  </si>
  <si>
    <t>Twb2</t>
  </si>
  <si>
    <t>Elevation</t>
  </si>
  <si>
    <t>ft.</t>
  </si>
  <si>
    <t>AtmPress</t>
  </si>
  <si>
    <t>APinHg</t>
  </si>
  <si>
    <t>in Hg</t>
  </si>
  <si>
    <t>HRatio1</t>
  </si>
  <si>
    <t>lbw/lba</t>
  </si>
  <si>
    <t>HRatio2</t>
  </si>
  <si>
    <t>Grains</t>
  </si>
  <si>
    <t>RelHum1</t>
  </si>
  <si>
    <t>%</t>
  </si>
  <si>
    <t>RelHum2</t>
  </si>
  <si>
    <t>SpHt1</t>
  </si>
  <si>
    <t>Btu/lb-°F</t>
  </si>
  <si>
    <t>SpHt2</t>
  </si>
  <si>
    <t>Enal1</t>
  </si>
  <si>
    <t>Btu/lb</t>
  </si>
  <si>
    <t>Enal2</t>
  </si>
  <si>
    <t>SpVol1</t>
  </si>
  <si>
    <t>cu.ft./lb</t>
  </si>
  <si>
    <t>SpVol2</t>
  </si>
  <si>
    <t>DewPt1</t>
  </si>
  <si>
    <t>DewPt2</t>
  </si>
  <si>
    <t>lbpCuFt</t>
  </si>
  <si>
    <r>
      <t>lb</t>
    </r>
    <r>
      <rPr>
        <vertAlign val="subscript"/>
        <sz val="10"/>
        <rFont val="Arial"/>
        <family val="2"/>
      </rPr>
      <t>w</t>
    </r>
    <r>
      <rPr>
        <sz val="10"/>
        <color theme="1"/>
        <rFont val="Arial Narrow"/>
        <family val="2"/>
      </rPr>
      <t>/ft</t>
    </r>
    <r>
      <rPr>
        <vertAlign val="superscript"/>
        <sz val="10"/>
        <rFont val="Arial"/>
        <family val="2"/>
      </rPr>
      <t>3</t>
    </r>
  </si>
  <si>
    <t>Retorno</t>
  </si>
  <si>
    <t>Retorno de aire</t>
  </si>
  <si>
    <t>Tbh</t>
  </si>
  <si>
    <t>Tbs</t>
  </si>
  <si>
    <t>Tbs:</t>
  </si>
  <si>
    <t>Tbh:</t>
  </si>
  <si>
    <t>HR:</t>
  </si>
  <si>
    <t>ALWAYS USED</t>
  </si>
  <si>
    <t>USED?</t>
  </si>
  <si>
    <t>Opción 1</t>
  </si>
  <si>
    <t>Opción 2</t>
  </si>
  <si>
    <t>Calculation</t>
  </si>
  <si>
    <t>RR</t>
  </si>
  <si>
    <t>Relación de aspecto
(RR)</t>
  </si>
  <si>
    <t>Rejillas de retorno:</t>
  </si>
  <si>
    <t>Rejillas</t>
  </si>
  <si>
    <t>REJILLAS DE RETORNO</t>
  </si>
  <si>
    <t>REJILLAS DE EXTRACCIÓN</t>
  </si>
  <si>
    <t>Colección de polvo:</t>
  </si>
  <si>
    <t>Punta:</t>
  </si>
  <si>
    <t>Dimensiones de
punta:</t>
  </si>
  <si>
    <t>Puntas de colección</t>
  </si>
  <si>
    <t>PUNTAS DE COLECCIÓN DE POLVOS</t>
  </si>
  <si>
    <t>Mezcla de aire</t>
  </si>
  <si>
    <t>Qair1</t>
  </si>
  <si>
    <t>cfm</t>
  </si>
  <si>
    <t>Qair2</t>
  </si>
  <si>
    <t>QSair1</t>
  </si>
  <si>
    <t>scfm</t>
  </si>
  <si>
    <t>QSair2</t>
  </si>
  <si>
    <t>Stream 1</t>
  </si>
  <si>
    <t>Stream 2</t>
  </si>
  <si>
    <t>mflow1</t>
  </si>
  <si>
    <t>lb/hr</t>
  </si>
  <si>
    <t>mflow2</t>
  </si>
  <si>
    <t>Stream 3</t>
  </si>
  <si>
    <t>(mixed)</t>
  </si>
  <si>
    <t>mflow3</t>
  </si>
  <si>
    <t>Qair3</t>
  </si>
  <si>
    <t>Tdb3</t>
  </si>
  <si>
    <t>HRatio3</t>
  </si>
  <si>
    <t>Twb3</t>
  </si>
  <si>
    <t>RelHum3</t>
  </si>
  <si>
    <t>SpHt3</t>
  </si>
  <si>
    <t>Enal3</t>
  </si>
  <si>
    <t>SpVol3</t>
  </si>
  <si>
    <t>DewPt3</t>
  </si>
  <si>
    <t>Mezcla</t>
  </si>
  <si>
    <t>Línea de mezcla</t>
  </si>
  <si>
    <t>Tdb</t>
  </si>
  <si>
    <t>Enfriamiento</t>
  </si>
  <si>
    <t>ISO-8</t>
  </si>
  <si>
    <t>ISO-7</t>
  </si>
  <si>
    <t>ISO-6</t>
  </si>
  <si>
    <t>ISO-5</t>
  </si>
  <si>
    <t>SIN CLASE</t>
  </si>
  <si>
    <t>GRIS</t>
  </si>
  <si>
    <t>OTRO</t>
  </si>
  <si>
    <t>+ASP</t>
  </si>
  <si>
    <t>-ASP</t>
  </si>
  <si>
    <t>Campana de extracción</t>
  </si>
  <si>
    <t>Dimensión mínima</t>
  </si>
  <si>
    <t>Rejilla de inyección</t>
  </si>
  <si>
    <t>Difusor</t>
  </si>
  <si>
    <t>N/I</t>
  </si>
  <si>
    <t>N/D</t>
  </si>
  <si>
    <t>Filtro terminal HEPA</t>
  </si>
  <si>
    <t>Filtro terminal HEPA de 24" × 24"</t>
  </si>
  <si>
    <t>Rejilla de inyección de 08" × 10"</t>
  </si>
  <si>
    <t>Difusor de 09" × 09", 1 vía</t>
  </si>
  <si>
    <t>Rejilla de inyección de 08" × 08"</t>
  </si>
  <si>
    <t>Difusor de 15" × 15", 2 vías</t>
  </si>
  <si>
    <t>Filtro terminal HEPA de 24" × 48"</t>
  </si>
  <si>
    <t>Difusor de 24" × 24", N/D</t>
  </si>
  <si>
    <t/>
  </si>
  <si>
    <t>D</t>
  </si>
  <si>
    <t>F</t>
  </si>
  <si>
    <t>Faltan por repartir: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</si>
</sst>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#,##0.0"/>
    <numFmt numFmtId="166" formatCode="0.00000"/>
    <numFmt numFmtId="167" formatCode="0.000"/>
    <numFmt numFmtId="168" formatCode="#,##0.000"/>
    <numFmt numFmtId="169" formatCode="0.000000000000000"/>
    <numFmt numFmtId="170" formatCode="0.0000000"/>
  </numFmts>
  <fonts count="35" x14ac:knownFonts="1">
    <font>
      <sz val="10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Arial Narrow"/>
      <family val="2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vertAlign val="subscript"/>
      <sz val="10"/>
      <color theme="1"/>
      <name val="Arial Narrow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sz val="8"/>
      <color theme="1"/>
      <name val="Arial Narrow"/>
      <family val="2"/>
    </font>
    <font>
      <b/>
      <sz val="16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b/>
      <sz val="20"/>
      <color theme="1"/>
      <name val="Arial Narrow"/>
      <family val="2"/>
    </font>
    <font>
      <sz val="12"/>
      <color theme="1"/>
      <name val="Arial Narrow"/>
      <family val="2"/>
    </font>
    <font>
      <b/>
      <sz val="12"/>
      <color theme="1"/>
      <name val="Arial Narrow"/>
      <family val="2"/>
    </font>
    <font>
      <b/>
      <sz val="10"/>
      <color rgb="FFFF0000"/>
      <name val="Arial Narrow"/>
      <family val="2"/>
    </font>
    <font>
      <b/>
      <sz val="18"/>
      <color theme="1"/>
      <name val="Arial Narrow"/>
      <family val="2"/>
    </font>
    <font>
      <sz val="16"/>
      <color theme="1"/>
      <name val="Arial Narrow"/>
      <family val="2"/>
    </font>
    <font>
      <b/>
      <sz val="10"/>
      <color theme="9" tint="-0.499984740745262"/>
      <name val="Arial Narrow"/>
      <family val="2"/>
    </font>
    <font>
      <sz val="10"/>
      <color theme="0"/>
      <name val="Arial Narrow"/>
      <family val="2"/>
    </font>
    <font>
      <sz val="8"/>
      <color rgb="FF000000"/>
      <name val="Tahoma"/>
      <family val="2"/>
    </font>
    <font>
      <sz val="10"/>
      <color theme="1"/>
      <name val="Arial Narrow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0"/>
      <name val="Arial"/>
      <family val="2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rgb="FF000000"/>
      <name val="Arial Narrow"/>
      <family val="2"/>
    </font>
    <font>
      <sz val="10"/>
      <name val="Arial Narrow"/>
      <family val="2"/>
    </font>
    <font>
      <b/>
      <sz val="18"/>
      <name val="Arial Narrow"/>
      <family val="2"/>
    </font>
    <font>
      <b/>
      <sz val="11"/>
      <name val="Arial Narrow"/>
      <family val="2"/>
    </font>
    <font>
      <b/>
      <sz val="12"/>
      <name val="Arial Narrow"/>
      <family val="2"/>
    </font>
  </fonts>
  <fills count="3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3E591"/>
        <bgColor indexed="64"/>
      </patternFill>
    </fill>
    <fill>
      <gradientFill degree="180">
        <stop position="0">
          <color theme="4" tint="0.80001220740379042"/>
        </stop>
        <stop position="1">
          <color theme="0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rgb="FFFFE161"/>
        <bgColor indexed="64"/>
      </patternFill>
    </fill>
    <fill>
      <gradientFill degree="180">
        <stop position="0">
          <color rgb="FFF3E591"/>
        </stop>
        <stop position="1">
          <color theme="0"/>
        </stop>
      </gradientFill>
    </fill>
    <fill>
      <patternFill patternType="solid">
        <fgColor rgb="FFCCF5B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E5F3F7"/>
        <bgColor indexed="64"/>
      </patternFill>
    </fill>
    <fill>
      <patternFill patternType="solid">
        <fgColor rgb="FFE0F9D7"/>
        <bgColor indexed="64"/>
      </patternFill>
    </fill>
    <fill>
      <gradientFill>
        <stop position="0">
          <color theme="9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9"/>
        </stop>
      </gradientFill>
    </fill>
    <fill>
      <patternFill patternType="solid">
        <fgColor theme="9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theme="0"/>
      </left>
      <right style="thick">
        <color theme="0"/>
      </right>
      <top/>
      <bottom/>
      <diagonal/>
    </border>
    <border>
      <left/>
      <right/>
      <top style="hair">
        <color theme="0"/>
      </top>
      <bottom/>
      <diagonal/>
    </border>
    <border>
      <left/>
      <right/>
      <top/>
      <bottom style="hair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hair">
        <color theme="0"/>
      </top>
      <bottom/>
      <diagonal/>
    </border>
    <border>
      <left/>
      <right style="thick">
        <color theme="0"/>
      </right>
      <top style="hair">
        <color theme="0"/>
      </top>
      <bottom/>
      <diagonal/>
    </border>
    <border>
      <left style="thick">
        <color theme="0"/>
      </left>
      <right/>
      <top/>
      <bottom style="hair">
        <color theme="0"/>
      </bottom>
      <diagonal/>
    </border>
    <border>
      <left/>
      <right style="thick">
        <color theme="0"/>
      </right>
      <top/>
      <bottom style="hair">
        <color theme="0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theme="4" tint="0.79998168889431442"/>
      </top>
      <bottom/>
      <diagonal/>
    </border>
    <border>
      <left/>
      <right/>
      <top style="medium">
        <color theme="4" tint="0.79998168889431442"/>
      </top>
      <bottom/>
      <diagonal/>
    </border>
    <border>
      <left/>
      <right/>
      <top style="medium">
        <color rgb="FFF3E591"/>
      </top>
      <bottom/>
      <diagonal/>
    </border>
    <border>
      <left style="thick">
        <color auto="1"/>
      </left>
      <right/>
      <top style="medium">
        <color rgb="FFF3E591"/>
      </top>
      <bottom/>
      <diagonal/>
    </border>
    <border>
      <left style="thick">
        <color auto="1"/>
      </left>
      <right style="thick">
        <color theme="0"/>
      </right>
      <top/>
      <bottom/>
      <diagonal/>
    </border>
    <border>
      <left style="thick">
        <color auto="1"/>
      </left>
      <right/>
      <top/>
      <bottom style="medium">
        <color theme="4" tint="0.79998168889431442"/>
      </bottom>
      <diagonal/>
    </border>
    <border>
      <left/>
      <right/>
      <top/>
      <bottom style="medium">
        <color theme="4" tint="0.79998168889431442"/>
      </bottom>
      <diagonal/>
    </border>
    <border>
      <left/>
      <right/>
      <top/>
      <bottom style="medium">
        <color rgb="FFF3E591"/>
      </bottom>
      <diagonal/>
    </border>
    <border>
      <left style="thick">
        <color auto="1"/>
      </left>
      <right/>
      <top/>
      <bottom style="medium">
        <color rgb="FFF3E591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medium">
        <color theme="6" tint="-0.24994659260841701"/>
      </bottom>
      <diagonal/>
    </border>
    <border>
      <left/>
      <right/>
      <top/>
      <bottom style="medium">
        <color theme="7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ck">
        <color theme="0"/>
      </right>
      <top style="medium">
        <color theme="4"/>
      </top>
      <bottom/>
      <diagonal/>
    </border>
    <border>
      <left style="thick">
        <color theme="0"/>
      </left>
      <right style="thick">
        <color theme="0"/>
      </right>
      <top style="medium">
        <color theme="4"/>
      </top>
      <bottom/>
      <diagonal/>
    </border>
    <border>
      <left style="thick">
        <color theme="0"/>
      </left>
      <right/>
      <top style="medium">
        <color theme="4"/>
      </top>
      <bottom/>
      <diagonal/>
    </border>
    <border>
      <left/>
      <right style="thick">
        <color theme="0"/>
      </right>
      <top style="medium">
        <color theme="9" tint="-0.24994659260841701"/>
      </top>
      <bottom/>
      <diagonal/>
    </border>
    <border>
      <left style="thick">
        <color theme="0"/>
      </left>
      <right style="thick">
        <color theme="0"/>
      </right>
      <top style="medium">
        <color theme="9" tint="-0.24994659260841701"/>
      </top>
      <bottom/>
      <diagonal/>
    </border>
    <border>
      <left style="thick">
        <color theme="0"/>
      </left>
      <right/>
      <top style="medium">
        <color theme="9" tint="-0.24994659260841701"/>
      </top>
      <bottom/>
      <diagonal/>
    </border>
    <border>
      <left/>
      <right style="thick">
        <color theme="0"/>
      </right>
      <top style="medium">
        <color theme="6" tint="-0.24994659260841701"/>
      </top>
      <bottom/>
      <diagonal/>
    </border>
    <border>
      <left style="thick">
        <color theme="0"/>
      </left>
      <right/>
      <top style="medium">
        <color theme="6" tint="-0.2499465926084170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7">
    <xf numFmtId="0" fontId="0" fillId="0" borderId="0"/>
    <xf numFmtId="0" fontId="7" fillId="0" borderId="0"/>
    <xf numFmtId="0" fontId="7" fillId="0" borderId="0">
      <alignment vertical="center"/>
    </xf>
    <xf numFmtId="0" fontId="2" fillId="0" borderId="0"/>
    <xf numFmtId="9" fontId="2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656">
    <xf numFmtId="0" fontId="0" fillId="0" borderId="0" xfId="0"/>
    <xf numFmtId="0" fontId="4" fillId="0" borderId="0" xfId="0" applyFont="1" applyFill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4" fontId="0" fillId="0" borderId="0" xfId="0" applyNumberFormat="1" applyAlignment="1" applyProtection="1">
      <alignment vertical="center"/>
      <protection hidden="1"/>
    </xf>
    <xf numFmtId="3" fontId="0" fillId="0" borderId="0" xfId="0" applyNumberForma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locked="0" hidden="1"/>
    </xf>
    <xf numFmtId="2" fontId="0" fillId="0" borderId="0" xfId="0" applyNumberFormat="1" applyAlignment="1" applyProtection="1">
      <alignment vertic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0" fillId="0" borderId="0" xfId="0" quotePrefix="1" applyAlignment="1" applyProtection="1">
      <alignment horizontal="right" vertical="center"/>
      <protection hidden="1"/>
    </xf>
    <xf numFmtId="4" fontId="0" fillId="0" borderId="0" xfId="0" applyNumberFormat="1" applyAlignment="1" applyProtection="1">
      <alignment horizontal="right" vertical="center"/>
      <protection hidden="1"/>
    </xf>
    <xf numFmtId="164" fontId="0" fillId="0" borderId="0" xfId="0" applyNumberFormat="1" applyAlignment="1" applyProtection="1">
      <alignment vertical="center"/>
      <protection hidden="1"/>
    </xf>
    <xf numFmtId="3" fontId="0" fillId="0" borderId="0" xfId="0" applyNumberForma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4" fontId="0" fillId="3" borderId="0" xfId="0" applyNumberFormat="1" applyFill="1" applyAlignment="1" applyProtection="1">
      <alignment vertical="center"/>
      <protection hidden="1"/>
    </xf>
    <xf numFmtId="4" fontId="0" fillId="3" borderId="0" xfId="0" applyNumberFormat="1" applyFill="1" applyAlignment="1" applyProtection="1">
      <alignment horizontal="center" vertical="center"/>
      <protection hidden="1"/>
    </xf>
    <xf numFmtId="3" fontId="0" fillId="3" borderId="0" xfId="0" applyNumberFormat="1" applyFill="1" applyAlignment="1" applyProtection="1">
      <alignment vertical="center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4" fontId="0" fillId="4" borderId="0" xfId="0" applyNumberFormat="1" applyFill="1" applyAlignment="1" applyProtection="1">
      <alignment vertical="center"/>
      <protection hidden="1"/>
    </xf>
    <xf numFmtId="4" fontId="0" fillId="4" borderId="0" xfId="0" applyNumberFormat="1" applyFill="1" applyAlignment="1" applyProtection="1">
      <alignment horizontal="center" vertical="center"/>
      <protection hidden="1"/>
    </xf>
    <xf numFmtId="3" fontId="0" fillId="4" borderId="0" xfId="0" applyNumberFormat="1" applyFill="1" applyAlignment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4" fontId="0" fillId="5" borderId="0" xfId="0" applyNumberFormat="1" applyFill="1" applyAlignment="1" applyProtection="1">
      <alignment vertical="center"/>
      <protection hidden="1"/>
    </xf>
    <xf numFmtId="4" fontId="0" fillId="5" borderId="0" xfId="0" applyNumberFormat="1" applyFill="1" applyAlignment="1" applyProtection="1">
      <alignment horizontal="center" vertical="center"/>
      <protection hidden="1"/>
    </xf>
    <xf numFmtId="3" fontId="0" fillId="5" borderId="0" xfId="0" applyNumberFormat="1" applyFill="1" applyAlignment="1" applyProtection="1">
      <alignment vertical="center"/>
      <protection hidden="1"/>
    </xf>
    <xf numFmtId="4" fontId="0" fillId="3" borderId="4" xfId="0" applyNumberFormat="1" applyFill="1" applyBorder="1" applyAlignment="1" applyProtection="1">
      <alignment vertical="center"/>
      <protection hidden="1"/>
    </xf>
    <xf numFmtId="4" fontId="0" fillId="4" borderId="4" xfId="0" applyNumberFormat="1" applyFill="1" applyBorder="1" applyAlignment="1" applyProtection="1">
      <alignment vertical="center"/>
      <protection hidden="1"/>
    </xf>
    <xf numFmtId="4" fontId="0" fillId="5" borderId="4" xfId="0" applyNumberFormat="1" applyFill="1" applyBorder="1" applyAlignment="1" applyProtection="1">
      <alignment vertical="center"/>
      <protection hidden="1"/>
    </xf>
    <xf numFmtId="4" fontId="0" fillId="3" borderId="3" xfId="0" applyNumberFormat="1" applyFill="1" applyBorder="1" applyAlignment="1" applyProtection="1">
      <alignment horizontal="center" vertical="center"/>
      <protection hidden="1"/>
    </xf>
    <xf numFmtId="4" fontId="0" fillId="3" borderId="5" xfId="0" applyNumberFormat="1" applyFill="1" applyBorder="1" applyAlignment="1" applyProtection="1">
      <alignment vertical="center"/>
      <protection hidden="1"/>
    </xf>
    <xf numFmtId="4" fontId="0" fillId="4" borderId="3" xfId="0" applyNumberFormat="1" applyFill="1" applyBorder="1" applyAlignment="1" applyProtection="1">
      <alignment horizontal="center" vertical="center"/>
      <protection hidden="1"/>
    </xf>
    <xf numFmtId="4" fontId="0" fillId="4" borderId="5" xfId="0" applyNumberFormat="1" applyFill="1" applyBorder="1" applyAlignment="1" applyProtection="1">
      <alignment vertical="center"/>
      <protection hidden="1"/>
    </xf>
    <xf numFmtId="4" fontId="0" fillId="5" borderId="3" xfId="0" applyNumberFormat="1" applyFill="1" applyBorder="1" applyAlignment="1" applyProtection="1">
      <alignment horizontal="center" vertical="center"/>
      <protection hidden="1"/>
    </xf>
    <xf numFmtId="4" fontId="0" fillId="5" borderId="5" xfId="0" applyNumberFormat="1" applyFill="1" applyBorder="1" applyAlignment="1" applyProtection="1">
      <alignment vertical="center"/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 vertical="center" wrapText="1"/>
      <protection hidden="1"/>
    </xf>
    <xf numFmtId="0" fontId="0" fillId="6" borderId="0" xfId="0" applyFill="1" applyAlignment="1" applyProtection="1">
      <alignment vertical="center"/>
      <protection hidden="1"/>
    </xf>
    <xf numFmtId="0" fontId="0" fillId="6" borderId="6" xfId="0" applyFill="1" applyBorder="1" applyAlignment="1" applyProtection="1">
      <alignment horizontal="center" vertical="center"/>
      <protection hidden="1"/>
    </xf>
    <xf numFmtId="0" fontId="0" fillId="6" borderId="6" xfId="0" applyFont="1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4" borderId="0" xfId="0" applyFill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6" borderId="8" xfId="0" applyFont="1" applyFill="1" applyBorder="1" applyAlignment="1" applyProtection="1">
      <alignment horizontal="center" vertical="center" wrapText="1"/>
      <protection hidden="1"/>
    </xf>
    <xf numFmtId="0" fontId="0" fillId="6" borderId="0" xfId="0" applyFont="1" applyFill="1" applyBorder="1" applyAlignment="1" applyProtection="1">
      <alignment horizontal="center" vertical="center" wrapText="1"/>
      <protection hidden="1"/>
    </xf>
    <xf numFmtId="0" fontId="0" fillId="6" borderId="0" xfId="0" applyFont="1" applyFill="1" applyBorder="1" applyAlignment="1" applyProtection="1">
      <alignment horizontal="center" vertical="center"/>
      <protection hidden="1"/>
    </xf>
    <xf numFmtId="0" fontId="0" fillId="6" borderId="9" xfId="0" applyFont="1" applyFill="1" applyBorder="1" applyAlignment="1" applyProtection="1">
      <alignment horizontal="center" vertical="center"/>
      <protection hidden="1"/>
    </xf>
    <xf numFmtId="0" fontId="0" fillId="6" borderId="10" xfId="0" applyFont="1" applyFill="1" applyBorder="1" applyAlignment="1" applyProtection="1">
      <alignment horizontal="center" vertical="center"/>
      <protection hidden="1"/>
    </xf>
    <xf numFmtId="0" fontId="0" fillId="6" borderId="11" xfId="0" applyFont="1" applyFill="1" applyBorder="1" applyAlignment="1" applyProtection="1">
      <alignment horizontal="center"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6" borderId="10" xfId="0" applyFill="1" applyBorder="1" applyAlignment="1" applyProtection="1">
      <alignment horizontal="center" vertical="center"/>
      <protection hidden="1"/>
    </xf>
    <xf numFmtId="0" fontId="0" fillId="6" borderId="11" xfId="0" applyFill="1" applyBorder="1" applyAlignment="1" applyProtection="1">
      <alignment horizontal="center" vertical="center"/>
      <protection hidden="1"/>
    </xf>
    <xf numFmtId="0" fontId="5" fillId="6" borderId="2" xfId="0" applyFont="1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horizontal="center" vertical="center"/>
      <protection hidden="1"/>
    </xf>
    <xf numFmtId="0" fontId="0" fillId="6" borderId="2" xfId="0" applyFill="1" applyBorder="1" applyAlignment="1" applyProtection="1">
      <alignment vertical="center"/>
      <protection hidden="1"/>
    </xf>
    <xf numFmtId="0" fontId="0" fillId="0" borderId="0" xfId="0" applyProtection="1">
      <protection hidden="1"/>
    </xf>
    <xf numFmtId="0" fontId="7" fillId="0" borderId="0" xfId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0" fillId="0" borderId="0" xfId="0" quotePrefix="1" applyProtection="1">
      <protection hidden="1"/>
    </xf>
    <xf numFmtId="0" fontId="7" fillId="0" borderId="0" xfId="1" applyAlignment="1" applyProtection="1">
      <alignment horizontal="center" vertical="center"/>
      <protection hidden="1"/>
    </xf>
    <xf numFmtId="3" fontId="0" fillId="0" borderId="0" xfId="0" quotePrefix="1" applyNumberFormat="1" applyProtection="1">
      <protection hidden="1"/>
    </xf>
    <xf numFmtId="3" fontId="0" fillId="0" borderId="0" xfId="0" applyNumberFormat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8" borderId="14" xfId="0" applyFill="1" applyBorder="1" applyAlignment="1" applyProtection="1">
      <alignment horizontal="left" vertical="center"/>
      <protection hidden="1"/>
    </xf>
    <xf numFmtId="0" fontId="5" fillId="9" borderId="14" xfId="0" applyFont="1" applyFill="1" applyBorder="1" applyAlignment="1" applyProtection="1">
      <alignment horizontal="right" vertical="center"/>
      <protection hidden="1"/>
    </xf>
    <xf numFmtId="0" fontId="5" fillId="8" borderId="14" xfId="0" applyFont="1" applyFill="1" applyBorder="1" applyAlignment="1" applyProtection="1">
      <alignment horizontal="right" vertical="center"/>
      <protection hidden="1"/>
    </xf>
    <xf numFmtId="0" fontId="9" fillId="11" borderId="2" xfId="0" applyFont="1" applyFill="1" applyBorder="1" applyAlignment="1" applyProtection="1">
      <alignment horizontal="center" vertical="center"/>
      <protection hidden="1"/>
    </xf>
    <xf numFmtId="0" fontId="5" fillId="13" borderId="14" xfId="0" applyFont="1" applyFill="1" applyBorder="1" applyAlignment="1" applyProtection="1">
      <alignment horizontal="right" vertical="center"/>
      <protection hidden="1"/>
    </xf>
    <xf numFmtId="0" fontId="0" fillId="11" borderId="19" xfId="0" applyFill="1" applyBorder="1" applyAlignment="1" applyProtection="1">
      <alignment horizontal="center" vertical="center"/>
      <protection hidden="1"/>
    </xf>
    <xf numFmtId="0" fontId="0" fillId="11" borderId="8" xfId="0" applyFill="1" applyBorder="1" applyAlignment="1" applyProtection="1">
      <alignment horizontal="center" vertical="center"/>
      <protection hidden="1"/>
    </xf>
    <xf numFmtId="0" fontId="5" fillId="12" borderId="14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9" fillId="11" borderId="19" xfId="0" applyFont="1" applyFill="1" applyBorder="1" applyAlignment="1" applyProtection="1">
      <alignment horizontal="center" vertical="center"/>
      <protection hidden="1"/>
    </xf>
    <xf numFmtId="0" fontId="0" fillId="16" borderId="19" xfId="0" applyFill="1" applyBorder="1" applyAlignment="1" applyProtection="1">
      <alignment horizontal="center" vertical="center"/>
      <protection hidden="1"/>
    </xf>
    <xf numFmtId="0" fontId="0" fillId="16" borderId="8" xfId="0" applyFill="1" applyBorder="1" applyAlignment="1" applyProtection="1">
      <alignment horizontal="center" vertical="center"/>
      <protection hidden="1"/>
    </xf>
    <xf numFmtId="0" fontId="11" fillId="16" borderId="2" xfId="0" applyFont="1" applyFill="1" applyBorder="1" applyAlignment="1" applyProtection="1">
      <alignment horizontal="center" vertical="center"/>
      <protection hidden="1"/>
    </xf>
    <xf numFmtId="0" fontId="0" fillId="16" borderId="2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166" fontId="0" fillId="17" borderId="0" xfId="0" applyNumberFormat="1" applyFill="1" applyBorder="1" applyProtection="1">
      <protection hidden="1"/>
    </xf>
    <xf numFmtId="0" fontId="0" fillId="17" borderId="0" xfId="0" applyFill="1" applyBorder="1" applyProtection="1">
      <protection hidden="1"/>
    </xf>
    <xf numFmtId="166" fontId="0" fillId="17" borderId="24" xfId="0" applyNumberFormat="1" applyFill="1" applyBorder="1" applyProtection="1">
      <protection hidden="1"/>
    </xf>
    <xf numFmtId="166" fontId="0" fillId="17" borderId="25" xfId="0" applyNumberFormat="1" applyFill="1" applyBorder="1" applyProtection="1">
      <protection hidden="1"/>
    </xf>
    <xf numFmtId="167" fontId="0" fillId="17" borderId="24" xfId="0" applyNumberFormat="1" applyFill="1" applyBorder="1" applyAlignment="1" applyProtection="1">
      <alignment horizontal="right"/>
      <protection hidden="1"/>
    </xf>
    <xf numFmtId="167" fontId="0" fillId="17" borderId="26" xfId="0" applyNumberFormat="1" applyFill="1" applyBorder="1" applyAlignment="1" applyProtection="1">
      <alignment horizontal="right"/>
      <protection hidden="1"/>
    </xf>
    <xf numFmtId="167" fontId="0" fillId="17" borderId="25" xfId="0" applyNumberFormat="1" applyFill="1" applyBorder="1" applyAlignment="1" applyProtection="1">
      <alignment horizontal="right"/>
      <protection hidden="1"/>
    </xf>
    <xf numFmtId="0" fontId="0" fillId="0" borderId="0" xfId="0" applyFill="1" applyBorder="1" applyProtection="1">
      <protection hidden="1"/>
    </xf>
    <xf numFmtId="0" fontId="7" fillId="0" borderId="0" xfId="1" applyFill="1" applyBorder="1" applyAlignment="1" applyProtection="1">
      <alignment vertical="center"/>
      <protection hidden="1"/>
    </xf>
    <xf numFmtId="0" fontId="7" fillId="0" borderId="0" xfId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horizontal="right" vertical="center" wrapText="1"/>
      <protection hidden="1"/>
    </xf>
    <xf numFmtId="0" fontId="5" fillId="0" borderId="0" xfId="0" applyFont="1" applyAlignment="1" applyProtection="1">
      <alignment vertical="center"/>
      <protection hidden="1"/>
    </xf>
    <xf numFmtId="0" fontId="15" fillId="20" borderId="26" xfId="0" applyFont="1" applyFill="1" applyBorder="1" applyAlignment="1" applyProtection="1">
      <alignment vertical="center"/>
      <protection hidden="1"/>
    </xf>
    <xf numFmtId="0" fontId="0" fillId="23" borderId="0" xfId="0" applyFill="1" applyAlignment="1" applyProtection="1">
      <alignment horizontal="center" vertical="center"/>
      <protection hidden="1"/>
    </xf>
    <xf numFmtId="0" fontId="15" fillId="24" borderId="30" xfId="0" applyFont="1" applyFill="1" applyBorder="1" applyAlignment="1" applyProtection="1">
      <alignment horizontal="center" vertical="center"/>
      <protection hidden="1"/>
    </xf>
    <xf numFmtId="2" fontId="0" fillId="3" borderId="0" xfId="0" applyNumberFormat="1" applyFill="1" applyAlignment="1" applyProtection="1">
      <alignment horizontal="center" vertical="center"/>
      <protection hidden="1"/>
    </xf>
    <xf numFmtId="2" fontId="0" fillId="4" borderId="0" xfId="0" applyNumberFormat="1" applyFill="1" applyAlignment="1" applyProtection="1">
      <alignment horizontal="center" vertical="center"/>
      <protection hidden="1"/>
    </xf>
    <xf numFmtId="2" fontId="0" fillId="5" borderId="0" xfId="0" applyNumberFormat="1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vertical="center"/>
      <protection hidden="1"/>
    </xf>
    <xf numFmtId="3" fontId="0" fillId="3" borderId="3" xfId="0" applyNumberFormat="1" applyFill="1" applyBorder="1" applyAlignment="1" applyProtection="1">
      <alignment horizontal="right" vertical="center"/>
      <protection hidden="1"/>
    </xf>
    <xf numFmtId="3" fontId="0" fillId="3" borderId="4" xfId="0" applyNumberFormat="1" applyFill="1" applyBorder="1" applyAlignment="1" applyProtection="1">
      <alignment horizontal="right" vertical="center"/>
      <protection hidden="1"/>
    </xf>
    <xf numFmtId="3" fontId="0" fillId="3" borderId="5" xfId="0" applyNumberFormat="1" applyFill="1" applyBorder="1" applyAlignment="1" applyProtection="1">
      <alignment horizontal="right" vertical="center"/>
      <protection hidden="1"/>
    </xf>
    <xf numFmtId="3" fontId="0" fillId="3" borderId="4" xfId="0" applyNumberFormat="1" applyFill="1" applyBorder="1" applyAlignment="1" applyProtection="1">
      <alignment horizontal="right" vertical="center"/>
      <protection locked="0" hidden="1"/>
    </xf>
    <xf numFmtId="3" fontId="0" fillId="4" borderId="3" xfId="0" applyNumberFormat="1" applyFill="1" applyBorder="1" applyAlignment="1" applyProtection="1">
      <alignment horizontal="right" vertical="center"/>
      <protection hidden="1"/>
    </xf>
    <xf numFmtId="3" fontId="0" fillId="4" borderId="4" xfId="0" applyNumberFormat="1" applyFill="1" applyBorder="1" applyAlignment="1" applyProtection="1">
      <alignment horizontal="right" vertical="center"/>
      <protection hidden="1"/>
    </xf>
    <xf numFmtId="3" fontId="0" fillId="4" borderId="5" xfId="0" applyNumberFormat="1" applyFill="1" applyBorder="1" applyAlignment="1" applyProtection="1">
      <alignment horizontal="right" vertical="center"/>
      <protection hidden="1"/>
    </xf>
    <xf numFmtId="3" fontId="0" fillId="4" borderId="4" xfId="0" applyNumberFormat="1" applyFill="1" applyBorder="1" applyAlignment="1" applyProtection="1">
      <alignment horizontal="right" vertical="center"/>
      <protection locked="0" hidden="1"/>
    </xf>
    <xf numFmtId="3" fontId="0" fillId="5" borderId="3" xfId="0" applyNumberFormat="1" applyFill="1" applyBorder="1" applyAlignment="1" applyProtection="1">
      <alignment horizontal="right" vertical="center"/>
      <protection hidden="1"/>
    </xf>
    <xf numFmtId="3" fontId="0" fillId="5" borderId="4" xfId="0" applyNumberFormat="1" applyFill="1" applyBorder="1" applyAlignment="1" applyProtection="1">
      <alignment horizontal="right" vertical="center"/>
      <protection hidden="1"/>
    </xf>
    <xf numFmtId="3" fontId="0" fillId="5" borderId="5" xfId="0" applyNumberFormat="1" applyFill="1" applyBorder="1" applyAlignment="1" applyProtection="1">
      <alignment horizontal="right" vertical="center"/>
      <protection hidden="1"/>
    </xf>
    <xf numFmtId="3" fontId="0" fillId="5" borderId="4" xfId="0" applyNumberFormat="1" applyFill="1" applyBorder="1" applyAlignment="1" applyProtection="1">
      <alignment horizontal="right" vertical="center"/>
      <protection locked="0" hidden="1"/>
    </xf>
    <xf numFmtId="3" fontId="5" fillId="0" borderId="0" xfId="0" applyNumberFormat="1" applyFont="1" applyAlignment="1" applyProtection="1">
      <alignment horizontal="right" vertical="center"/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3" fontId="0" fillId="0" borderId="0" xfId="0" applyNumberFormat="1"/>
    <xf numFmtId="0" fontId="0" fillId="0" borderId="0" xfId="0" applyAlignment="1" applyProtection="1">
      <alignment horizontal="center" vertical="center"/>
      <protection hidden="1"/>
    </xf>
    <xf numFmtId="0" fontId="0" fillId="25" borderId="0" xfId="0" applyFill="1" applyAlignment="1" applyProtection="1">
      <alignment vertical="center"/>
      <protection hidden="1"/>
    </xf>
    <xf numFmtId="167" fontId="0" fillId="0" borderId="0" xfId="0" applyNumberFormat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25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6" borderId="8" xfId="0" applyFill="1" applyBorder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6" borderId="0" xfId="0" applyFill="1" applyAlignment="1" applyProtection="1">
      <alignment vertical="center"/>
      <protection hidden="1"/>
    </xf>
    <xf numFmtId="4" fontId="0" fillId="0" borderId="34" xfId="0" applyNumberFormat="1" applyBorder="1" applyAlignment="1" applyProtection="1">
      <alignment horizontal="center" vertical="center"/>
      <protection hidden="1"/>
    </xf>
    <xf numFmtId="0" fontId="0" fillId="0" borderId="37" xfId="0" applyBorder="1" applyAlignment="1" applyProtection="1">
      <alignment horizontal="center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4" fontId="0" fillId="0" borderId="38" xfId="0" applyNumberFormat="1" applyBorder="1" applyAlignment="1" applyProtection="1">
      <alignment vertical="center"/>
      <protection hidden="1"/>
    </xf>
    <xf numFmtId="3" fontId="0" fillId="0" borderId="38" xfId="0" applyNumberFormat="1" applyBorder="1" applyAlignment="1" applyProtection="1">
      <alignment vertical="center"/>
      <protection hidden="1"/>
    </xf>
    <xf numFmtId="3" fontId="0" fillId="0" borderId="39" xfId="0" applyNumberFormat="1" applyBorder="1" applyAlignment="1" applyProtection="1">
      <alignment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4" fontId="0" fillId="0" borderId="41" xfId="0" applyNumberFormat="1" applyBorder="1" applyAlignment="1" applyProtection="1">
      <alignment vertical="center"/>
      <protection hidden="1"/>
    </xf>
    <xf numFmtId="3" fontId="0" fillId="0" borderId="41" xfId="0" applyNumberFormat="1" applyBorder="1" applyAlignment="1" applyProtection="1">
      <alignment vertical="center"/>
      <protection hidden="1"/>
    </xf>
    <xf numFmtId="3" fontId="0" fillId="0" borderId="42" xfId="0" applyNumberFormat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4" fontId="0" fillId="0" borderId="44" xfId="0" applyNumberFormat="1" applyBorder="1" applyAlignment="1" applyProtection="1">
      <alignment vertical="center"/>
      <protection hidden="1"/>
    </xf>
    <xf numFmtId="3" fontId="0" fillId="0" borderId="44" xfId="0" applyNumberFormat="1" applyBorder="1" applyAlignment="1" applyProtection="1">
      <alignment vertical="center"/>
      <protection hidden="1"/>
    </xf>
    <xf numFmtId="3" fontId="0" fillId="0" borderId="45" xfId="0" applyNumberFormat="1" applyBorder="1" applyAlignment="1" applyProtection="1">
      <alignment vertical="center"/>
      <protection hidden="1"/>
    </xf>
    <xf numFmtId="3" fontId="0" fillId="0" borderId="50" xfId="0" applyNumberFormat="1" applyBorder="1" applyAlignment="1" applyProtection="1">
      <alignment vertical="center"/>
      <protection hidden="1"/>
    </xf>
    <xf numFmtId="3" fontId="0" fillId="0" borderId="51" xfId="0" applyNumberFormat="1" applyBorder="1" applyAlignment="1" applyProtection="1">
      <alignment vertical="center"/>
      <protection hidden="1"/>
    </xf>
    <xf numFmtId="3" fontId="0" fillId="0" borderId="52" xfId="0" applyNumberFormat="1" applyBorder="1" applyAlignment="1" applyProtection="1">
      <alignment vertical="center"/>
      <protection hidden="1"/>
    </xf>
    <xf numFmtId="3" fontId="0" fillId="0" borderId="37" xfId="0" applyNumberFormat="1" applyBorder="1" applyAlignment="1" applyProtection="1">
      <alignment vertical="center"/>
      <protection hidden="1"/>
    </xf>
    <xf numFmtId="3" fontId="0" fillId="0" borderId="40" xfId="0" applyNumberFormat="1" applyBorder="1" applyAlignment="1" applyProtection="1">
      <alignment vertical="center"/>
      <protection hidden="1"/>
    </xf>
    <xf numFmtId="3" fontId="0" fillId="0" borderId="43" xfId="0" applyNumberFormat="1" applyBorder="1" applyAlignment="1" applyProtection="1">
      <alignment vertical="center"/>
      <protection hidden="1"/>
    </xf>
    <xf numFmtId="3" fontId="0" fillId="0" borderId="48" xfId="0" applyNumberFormat="1" applyBorder="1" applyAlignment="1" applyProtection="1">
      <alignment horizontal="center" vertical="center"/>
      <protection hidden="1"/>
    </xf>
    <xf numFmtId="3" fontId="0" fillId="0" borderId="49" xfId="0" applyNumberFormat="1" applyBorder="1" applyAlignment="1" applyProtection="1">
      <alignment horizontal="center" vertical="center"/>
      <protection hidden="1"/>
    </xf>
    <xf numFmtId="3" fontId="0" fillId="0" borderId="48" xfId="0" applyNumberFormat="1" applyBorder="1" applyAlignment="1" applyProtection="1">
      <alignment vertical="center"/>
      <protection hidden="1"/>
    </xf>
    <xf numFmtId="3" fontId="0" fillId="0" borderId="49" xfId="0" applyNumberFormat="1" applyBorder="1" applyAlignment="1" applyProtection="1">
      <alignment vertical="center"/>
      <protection hidden="1"/>
    </xf>
    <xf numFmtId="0" fontId="0" fillId="23" borderId="8" xfId="0" applyFill="1" applyBorder="1" applyAlignment="1" applyProtection="1">
      <alignment vertical="center"/>
      <protection hidden="1"/>
    </xf>
    <xf numFmtId="4" fontId="5" fillId="23" borderId="2" xfId="0" applyNumberFormat="1" applyFont="1" applyFill="1" applyBorder="1" applyAlignment="1" applyProtection="1">
      <alignment vertical="center"/>
      <protection locked="0" hidden="1"/>
    </xf>
    <xf numFmtId="0" fontId="0" fillId="23" borderId="9" xfId="0" applyFill="1" applyBorder="1" applyAlignment="1" applyProtection="1">
      <alignment horizontal="right" vertical="center"/>
      <protection hidden="1"/>
    </xf>
    <xf numFmtId="0" fontId="5" fillId="23" borderId="8" xfId="0" applyFont="1" applyFill="1" applyBorder="1" applyAlignment="1" applyProtection="1">
      <alignment horizontal="right" vertical="center" indent="1"/>
      <protection hidden="1"/>
    </xf>
    <xf numFmtId="0" fontId="5" fillId="23" borderId="8" xfId="0" applyFont="1" applyFill="1" applyBorder="1" applyAlignment="1" applyProtection="1">
      <alignment horizontal="right" vertical="center" indent="1"/>
      <protection locked="0" hidden="1"/>
    </xf>
    <xf numFmtId="0" fontId="5" fillId="28" borderId="2" xfId="0" applyFont="1" applyFill="1" applyBorder="1" applyAlignment="1" applyProtection="1">
      <alignment horizontal="center" vertical="center" wrapText="1"/>
      <protection hidden="1"/>
    </xf>
    <xf numFmtId="0" fontId="5" fillId="28" borderId="2" xfId="0" applyFont="1" applyFill="1" applyBorder="1" applyAlignment="1" applyProtection="1">
      <alignment horizontal="center" vertical="center"/>
      <protection hidden="1"/>
    </xf>
    <xf numFmtId="0" fontId="0" fillId="28" borderId="2" xfId="0" applyFill="1" applyBorder="1" applyAlignment="1" applyProtection="1">
      <alignment vertical="center"/>
      <protection hidden="1"/>
    </xf>
    <xf numFmtId="0" fontId="0" fillId="28" borderId="2" xfId="0" applyFill="1" applyBorder="1" applyAlignment="1" applyProtection="1">
      <alignment horizontal="center" vertical="center"/>
      <protection hidden="1"/>
    </xf>
    <xf numFmtId="0" fontId="5" fillId="28" borderId="8" xfId="0" applyFont="1" applyFill="1" applyBorder="1" applyAlignment="1" applyProtection="1">
      <alignment horizontal="center" vertical="center"/>
      <protection hidden="1"/>
    </xf>
    <xf numFmtId="0" fontId="5" fillId="28" borderId="0" xfId="0" applyFont="1" applyFill="1" applyBorder="1" applyAlignment="1" applyProtection="1">
      <alignment horizontal="center" vertical="center"/>
      <protection hidden="1"/>
    </xf>
    <xf numFmtId="0" fontId="5" fillId="28" borderId="9" xfId="0" applyFont="1" applyFill="1" applyBorder="1" applyAlignment="1" applyProtection="1">
      <alignment horizontal="center" vertical="center"/>
      <protection hidden="1"/>
    </xf>
    <xf numFmtId="0" fontId="0" fillId="23" borderId="0" xfId="0" applyFill="1" applyBorder="1" applyAlignment="1" applyProtection="1">
      <alignment horizontal="right" vertical="center"/>
      <protection hidden="1"/>
    </xf>
    <xf numFmtId="0" fontId="5" fillId="23" borderId="9" xfId="0" applyFont="1" applyFill="1" applyBorder="1" applyAlignment="1" applyProtection="1">
      <alignment horizontal="center" vertical="center"/>
      <protection locked="0" hidden="1"/>
    </xf>
    <xf numFmtId="0" fontId="3" fillId="0" borderId="0" xfId="0" applyFont="1" applyFill="1" applyAlignment="1" applyProtection="1">
      <alignment horizontal="center" vertical="center"/>
      <protection hidden="1"/>
    </xf>
    <xf numFmtId="0" fontId="0" fillId="0" borderId="53" xfId="0" applyFill="1" applyBorder="1" applyAlignment="1" applyProtection="1">
      <alignment vertical="center"/>
      <protection hidden="1"/>
    </xf>
    <xf numFmtId="0" fontId="0" fillId="0" borderId="54" xfId="0" applyFill="1" applyBorder="1" applyAlignment="1" applyProtection="1">
      <alignment vertical="center"/>
      <protection hidden="1"/>
    </xf>
    <xf numFmtId="0" fontId="0" fillId="0" borderId="54" xfId="0" applyFill="1" applyBorder="1" applyAlignment="1" applyProtection="1">
      <alignment horizontal="center" vertical="center"/>
      <protection hidden="1"/>
    </xf>
    <xf numFmtId="0" fontId="0" fillId="0" borderId="54" xfId="0" applyFill="1" applyBorder="1" applyAlignment="1" applyProtection="1">
      <alignment horizontal="right" vertical="center"/>
      <protection hidden="1"/>
    </xf>
    <xf numFmtId="0" fontId="16" fillId="0" borderId="54" xfId="0" applyFont="1" applyFill="1" applyBorder="1" applyAlignment="1" applyProtection="1">
      <alignment horizontal="right" vertical="center"/>
      <protection hidden="1"/>
    </xf>
    <xf numFmtId="0" fontId="0" fillId="0" borderId="56" xfId="0" applyFill="1" applyBorder="1" applyAlignment="1" applyProtection="1">
      <alignment horizontal="right" vertical="center"/>
      <protection hidden="1"/>
    </xf>
    <xf numFmtId="0" fontId="3" fillId="31" borderId="0" xfId="0" applyFont="1" applyFill="1" applyAlignment="1" applyProtection="1">
      <alignment horizontal="center" vertical="center"/>
      <protection hidden="1"/>
    </xf>
    <xf numFmtId="1" fontId="3" fillId="31" borderId="0" xfId="0" applyNumberFormat="1" applyFont="1" applyFill="1" applyAlignment="1" applyProtection="1">
      <alignment horizontal="center" vertical="center"/>
      <protection hidden="1"/>
    </xf>
    <xf numFmtId="1" fontId="0" fillId="0" borderId="54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  <xf numFmtId="0" fontId="3" fillId="32" borderId="0" xfId="0" applyFont="1" applyFill="1" applyAlignment="1" applyProtection="1">
      <alignment horizontal="center" vertical="center"/>
      <protection hidden="1"/>
    </xf>
    <xf numFmtId="0" fontId="0" fillId="31" borderId="0" xfId="0" applyFill="1" applyAlignment="1" applyProtection="1">
      <alignment vertical="center"/>
      <protection hidden="1"/>
    </xf>
    <xf numFmtId="167" fontId="0" fillId="0" borderId="0" xfId="0" applyNumberFormat="1" applyFill="1" applyAlignment="1" applyProtection="1">
      <alignment horizontal="center" vertical="center"/>
      <protection hidden="1"/>
    </xf>
    <xf numFmtId="2" fontId="0" fillId="0" borderId="0" xfId="0" applyNumberFormat="1" applyFill="1" applyAlignment="1" applyProtection="1">
      <alignment horizontal="center" vertical="center"/>
      <protection hidden="1"/>
    </xf>
    <xf numFmtId="0" fontId="0" fillId="30" borderId="0" xfId="0" applyFill="1" applyAlignment="1" applyProtection="1">
      <alignment horizontal="center" vertical="center"/>
      <protection hidden="1"/>
    </xf>
    <xf numFmtId="0" fontId="0" fillId="30" borderId="0" xfId="0" applyFill="1" applyAlignment="1" applyProtection="1">
      <alignment vertical="center"/>
      <protection hidden="1"/>
    </xf>
    <xf numFmtId="167" fontId="0" fillId="30" borderId="0" xfId="0" applyNumberFormat="1" applyFill="1" applyAlignment="1" applyProtection="1">
      <alignment horizontal="center" vertical="center"/>
      <protection hidden="1"/>
    </xf>
    <xf numFmtId="2" fontId="0" fillId="30" borderId="0" xfId="0" applyNumberFormat="1" applyFill="1" applyAlignment="1" applyProtection="1">
      <alignment horizontal="center" vertical="center"/>
      <protection hidden="1"/>
    </xf>
    <xf numFmtId="0" fontId="5" fillId="0" borderId="35" xfId="0" applyFont="1" applyBorder="1" applyAlignment="1" applyProtection="1">
      <alignment horizontal="center" vertical="center"/>
      <protection hidden="1"/>
    </xf>
    <xf numFmtId="0" fontId="5" fillId="0" borderId="55" xfId="0" applyFont="1" applyBorder="1" applyAlignment="1" applyProtection="1">
      <alignment horizontal="center" vertical="center"/>
      <protection hidden="1"/>
    </xf>
    <xf numFmtId="0" fontId="5" fillId="0" borderId="36" xfId="0" applyFont="1" applyBorder="1" applyAlignment="1" applyProtection="1">
      <alignment horizontal="center" vertical="center"/>
      <protection hidden="1"/>
    </xf>
    <xf numFmtId="49" fontId="0" fillId="0" borderId="38" xfId="0" applyNumberFormat="1" applyBorder="1" applyAlignment="1" applyProtection="1">
      <alignment vertical="center"/>
      <protection hidden="1"/>
    </xf>
    <xf numFmtId="0" fontId="0" fillId="0" borderId="38" xfId="0" applyNumberFormat="1" applyBorder="1" applyAlignment="1" applyProtection="1">
      <alignment horizontal="center" vertical="center"/>
      <protection hidden="1"/>
    </xf>
    <xf numFmtId="49" fontId="0" fillId="0" borderId="38" xfId="0" applyNumberFormat="1" applyBorder="1" applyAlignment="1" applyProtection="1">
      <alignment horizontal="center" vertical="center"/>
      <protection hidden="1"/>
    </xf>
    <xf numFmtId="168" fontId="0" fillId="0" borderId="38" xfId="0" applyNumberFormat="1" applyBorder="1" applyAlignment="1" applyProtection="1">
      <alignment horizontal="center" vertical="center"/>
      <protection hidden="1"/>
    </xf>
    <xf numFmtId="168" fontId="0" fillId="0" borderId="39" xfId="0" applyNumberFormat="1" applyBorder="1" applyAlignment="1" applyProtection="1">
      <alignment horizontal="center" vertical="center"/>
      <protection hidden="1"/>
    </xf>
    <xf numFmtId="49" fontId="0" fillId="0" borderId="41" xfId="0" applyNumberFormat="1" applyBorder="1" applyAlignment="1" applyProtection="1">
      <alignment vertical="center"/>
      <protection hidden="1"/>
    </xf>
    <xf numFmtId="0" fontId="0" fillId="0" borderId="41" xfId="0" applyNumberFormat="1" applyBorder="1" applyAlignment="1" applyProtection="1">
      <alignment horizontal="center" vertical="center"/>
      <protection hidden="1"/>
    </xf>
    <xf numFmtId="49" fontId="0" fillId="0" borderId="41" xfId="0" applyNumberFormat="1" applyBorder="1" applyAlignment="1" applyProtection="1">
      <alignment horizontal="center" vertical="center"/>
      <protection hidden="1"/>
    </xf>
    <xf numFmtId="168" fontId="0" fillId="0" borderId="41" xfId="0" applyNumberFormat="1" applyBorder="1" applyAlignment="1" applyProtection="1">
      <alignment horizontal="center" vertical="center"/>
      <protection hidden="1"/>
    </xf>
    <xf numFmtId="168" fontId="0" fillId="0" borderId="42" xfId="0" applyNumberFormat="1" applyBorder="1" applyAlignment="1" applyProtection="1">
      <alignment horizontal="center" vertical="center"/>
      <protection hidden="1"/>
    </xf>
    <xf numFmtId="49" fontId="0" fillId="0" borderId="44" xfId="0" applyNumberFormat="1" applyBorder="1" applyAlignment="1" applyProtection="1">
      <alignment vertical="center"/>
      <protection hidden="1"/>
    </xf>
    <xf numFmtId="0" fontId="0" fillId="0" borderId="44" xfId="0" applyNumberFormat="1" applyBorder="1" applyAlignment="1" applyProtection="1">
      <alignment horizontal="center" vertical="center"/>
      <protection hidden="1"/>
    </xf>
    <xf numFmtId="49" fontId="0" fillId="0" borderId="44" xfId="0" applyNumberFormat="1" applyBorder="1" applyAlignment="1" applyProtection="1">
      <alignment horizontal="center" vertical="center"/>
      <protection hidden="1"/>
    </xf>
    <xf numFmtId="168" fontId="0" fillId="0" borderId="44" xfId="0" applyNumberFormat="1" applyBorder="1" applyAlignment="1" applyProtection="1">
      <alignment horizontal="center" vertical="center"/>
      <protection hidden="1"/>
    </xf>
    <xf numFmtId="168" fontId="0" fillId="0" borderId="45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57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58" xfId="0" applyNumberFormat="1" applyBorder="1" applyAlignment="1" applyProtection="1">
      <alignment horizontal="center" vertical="center"/>
      <protection hidden="1"/>
    </xf>
    <xf numFmtId="1" fontId="0" fillId="0" borderId="51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0" borderId="52" xfId="0" applyNumberFormat="1" applyBorder="1" applyAlignment="1" applyProtection="1">
      <alignment horizontal="center" vertical="center"/>
      <protection hidden="1"/>
    </xf>
    <xf numFmtId="49" fontId="0" fillId="0" borderId="51" xfId="0" applyNumberFormat="1" applyBorder="1" applyAlignment="1" applyProtection="1">
      <alignment horizontal="center" vertical="center"/>
      <protection hidden="1"/>
    </xf>
    <xf numFmtId="0" fontId="0" fillId="0" borderId="51" xfId="0" applyNumberFormat="1" applyBorder="1" applyAlignment="1" applyProtection="1">
      <alignment horizontal="center" vertical="center"/>
      <protection hidden="1"/>
    </xf>
    <xf numFmtId="0" fontId="0" fillId="0" borderId="52" xfId="0" applyNumberFormat="1" applyBorder="1" applyAlignment="1" applyProtection="1">
      <alignment horizontal="center" vertical="center"/>
      <protection hidden="1"/>
    </xf>
    <xf numFmtId="0" fontId="0" fillId="0" borderId="50" xfId="0" applyNumberFormat="1" applyBorder="1" applyAlignment="1" applyProtection="1">
      <alignment horizontal="center" vertical="center"/>
      <protection hidden="1"/>
    </xf>
    <xf numFmtId="0" fontId="0" fillId="0" borderId="37" xfId="0" applyNumberFormat="1" applyBorder="1" applyAlignment="1" applyProtection="1">
      <alignment horizontal="center" vertical="center"/>
      <protection hidden="1"/>
    </xf>
    <xf numFmtId="0" fontId="0" fillId="0" borderId="40" xfId="0" applyNumberFormat="1" applyBorder="1" applyAlignment="1" applyProtection="1">
      <alignment horizontal="center" vertical="center"/>
      <protection hidden="1"/>
    </xf>
    <xf numFmtId="0" fontId="0" fillId="0" borderId="43" xfId="0" applyNumberFormat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32" xfId="0" applyBorder="1" applyAlignment="1" applyProtection="1">
      <alignment vertical="center"/>
      <protection hidden="1"/>
    </xf>
    <xf numFmtId="0" fontId="0" fillId="0" borderId="34" xfId="0" applyBorder="1" applyAlignment="1" applyProtection="1">
      <alignment vertical="center"/>
      <protection hidden="1"/>
    </xf>
    <xf numFmtId="0" fontId="0" fillId="0" borderId="39" xfId="0" applyBorder="1" applyAlignment="1" applyProtection="1">
      <alignment vertical="center"/>
      <protection hidden="1"/>
    </xf>
    <xf numFmtId="0" fontId="0" fillId="0" borderId="42" xfId="0" applyBorder="1" applyAlignment="1" applyProtection="1">
      <alignment vertical="center"/>
      <protection hidden="1"/>
    </xf>
    <xf numFmtId="0" fontId="0" fillId="0" borderId="45" xfId="0" applyBorder="1" applyAlignment="1" applyProtection="1">
      <alignment vertical="center"/>
      <protection hidden="1"/>
    </xf>
    <xf numFmtId="164" fontId="0" fillId="6" borderId="0" xfId="0" applyNumberFormat="1" applyFill="1" applyAlignment="1" applyProtection="1">
      <alignment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8" xfId="0" applyFill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3" fontId="19" fillId="6" borderId="8" xfId="0" applyNumberFormat="1" applyFont="1" applyFill="1" applyBorder="1" applyAlignment="1" applyProtection="1">
      <alignment horizontal="center" vertical="center"/>
      <protection hidden="1"/>
    </xf>
    <xf numFmtId="3" fontId="19" fillId="6" borderId="0" xfId="0" applyNumberFormat="1" applyFont="1" applyFill="1" applyAlignment="1" applyProtection="1">
      <alignment horizontal="center" vertical="center"/>
      <protection hidden="1"/>
    </xf>
    <xf numFmtId="3" fontId="19" fillId="6" borderId="9" xfId="0" applyNumberFormat="1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0" fillId="0" borderId="58" xfId="0" applyFill="1" applyBorder="1" applyAlignment="1" applyProtection="1">
      <alignment vertical="center"/>
      <protection hidden="1"/>
    </xf>
    <xf numFmtId="0" fontId="0" fillId="0" borderId="60" xfId="0" applyFill="1" applyBorder="1" applyAlignment="1" applyProtection="1">
      <alignment vertical="center"/>
      <protection hidden="1"/>
    </xf>
    <xf numFmtId="0" fontId="0" fillId="0" borderId="61" xfId="0" applyFill="1" applyBorder="1" applyAlignment="1" applyProtection="1">
      <alignment vertical="center"/>
      <protection hidden="1"/>
    </xf>
    <xf numFmtId="0" fontId="0" fillId="0" borderId="56" xfId="0" applyFill="1" applyBorder="1" applyAlignment="1" applyProtection="1">
      <alignment horizontal="center" vertical="center"/>
      <protection hidden="1"/>
    </xf>
    <xf numFmtId="0" fontId="0" fillId="0" borderId="62" xfId="0" applyFill="1" applyBorder="1" applyAlignment="1" applyProtection="1">
      <alignment vertical="center"/>
      <protection hidden="1"/>
    </xf>
    <xf numFmtId="0" fontId="0" fillId="0" borderId="63" xfId="0" applyFill="1" applyBorder="1" applyAlignment="1" applyProtection="1">
      <alignment vertical="center"/>
      <protection hidden="1"/>
    </xf>
    <xf numFmtId="0" fontId="0" fillId="0" borderId="64" xfId="0" applyFill="1" applyBorder="1" applyAlignment="1" applyProtection="1">
      <alignment horizontal="center" vertical="center"/>
      <protection hidden="1"/>
    </xf>
    <xf numFmtId="0" fontId="0" fillId="0" borderId="56" xfId="0" applyFill="1" applyBorder="1" applyAlignment="1" applyProtection="1">
      <alignment vertical="center"/>
      <protection hidden="1"/>
    </xf>
    <xf numFmtId="1" fontId="0" fillId="0" borderId="56" xfId="0" applyNumberFormat="1" applyFill="1" applyBorder="1" applyAlignment="1" applyProtection="1">
      <alignment horizontal="center" vertical="center"/>
      <protection hidden="1"/>
    </xf>
    <xf numFmtId="0" fontId="0" fillId="0" borderId="64" xfId="0" applyFill="1" applyBorder="1" applyAlignment="1" applyProtection="1">
      <alignment vertical="center"/>
      <protection hidden="1"/>
    </xf>
    <xf numFmtId="1" fontId="0" fillId="0" borderId="64" xfId="0" applyNumberFormat="1" applyFill="1" applyBorder="1" applyAlignment="1" applyProtection="1">
      <alignment horizontal="center" vertical="center"/>
      <protection hidden="1"/>
    </xf>
    <xf numFmtId="0" fontId="16" fillId="0" borderId="64" xfId="0" applyFont="1" applyFill="1" applyBorder="1" applyAlignment="1" applyProtection="1">
      <alignment horizontal="right" vertical="center"/>
      <protection hidden="1"/>
    </xf>
    <xf numFmtId="0" fontId="0" fillId="0" borderId="0" xfId="0" applyProtection="1">
      <protection hidden="1"/>
    </xf>
    <xf numFmtId="169" fontId="0" fillId="0" borderId="0" xfId="0" applyNumberFormat="1"/>
    <xf numFmtId="2" fontId="0" fillId="0" borderId="0" xfId="0" applyNumberFormat="1"/>
    <xf numFmtId="4" fontId="0" fillId="0" borderId="0" xfId="0" applyNumberFormat="1"/>
    <xf numFmtId="0" fontId="5" fillId="0" borderId="0" xfId="0" applyFont="1" applyAlignment="1" applyProtection="1">
      <alignment horizontal="center" vertical="center"/>
      <protection hidden="1"/>
    </xf>
    <xf numFmtId="164" fontId="15" fillId="19" borderId="25" xfId="0" applyNumberFormat="1" applyFont="1" applyFill="1" applyBorder="1" applyAlignment="1" applyProtection="1">
      <alignment horizontal="right" vertical="center" indent="1"/>
      <protection locked="0" hidden="1"/>
    </xf>
    <xf numFmtId="1" fontId="15" fillId="19" borderId="26" xfId="0" applyNumberFormat="1" applyFont="1" applyFill="1" applyBorder="1" applyAlignment="1" applyProtection="1">
      <alignment horizontal="right" vertical="center" indent="1"/>
      <protection locked="0" hidden="1"/>
    </xf>
    <xf numFmtId="0" fontId="3" fillId="26" borderId="0" xfId="0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horizontal="center" vertical="center"/>
      <protection hidden="1"/>
    </xf>
    <xf numFmtId="49" fontId="0" fillId="3" borderId="9" xfId="0" applyNumberFormat="1" applyFill="1" applyBorder="1" applyAlignment="1" applyProtection="1">
      <alignment horizontal="center" vertical="center"/>
      <protection locked="0" hidden="1"/>
    </xf>
    <xf numFmtId="0" fontId="0" fillId="3" borderId="2" xfId="0" applyFill="1" applyBorder="1" applyAlignment="1" applyProtection="1">
      <alignment vertical="center"/>
      <protection hidden="1"/>
    </xf>
    <xf numFmtId="0" fontId="0" fillId="3" borderId="2" xfId="0" applyFill="1" applyBorder="1" applyAlignment="1" applyProtection="1">
      <alignment vertical="center"/>
      <protection locked="0" hidden="1"/>
    </xf>
    <xf numFmtId="3" fontId="0" fillId="3" borderId="2" xfId="0" applyNumberFormat="1" applyFill="1" applyBorder="1" applyAlignment="1" applyProtection="1">
      <alignment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4" fontId="0" fillId="3" borderId="2" xfId="0" applyNumberFormat="1" applyFill="1" applyBorder="1" applyAlignment="1" applyProtection="1">
      <alignment vertical="center"/>
      <protection hidden="1"/>
    </xf>
    <xf numFmtId="4" fontId="0" fillId="3" borderId="2" xfId="0" applyNumberFormat="1" applyFill="1" applyBorder="1" applyAlignment="1" applyProtection="1">
      <alignment horizontal="center" vertical="center"/>
      <protection locked="0" hidden="1"/>
    </xf>
    <xf numFmtId="3" fontId="0" fillId="3" borderId="2" xfId="0" applyNumberFormat="1" applyFill="1" applyBorder="1" applyAlignment="1" applyProtection="1">
      <alignment horizontal="center" vertical="center"/>
      <protection hidden="1"/>
    </xf>
    <xf numFmtId="4" fontId="0" fillId="3" borderId="2" xfId="0" applyNumberFormat="1" applyFill="1" applyBorder="1" applyAlignment="1" applyProtection="1">
      <alignment horizontal="center" vertical="center"/>
      <protection hidden="1"/>
    </xf>
    <xf numFmtId="0" fontId="0" fillId="3" borderId="2" xfId="0" applyNumberFormat="1" applyFill="1" applyBorder="1" applyAlignment="1" applyProtection="1">
      <alignment horizontal="center" vertical="center"/>
      <protection locked="0" hidden="1"/>
    </xf>
    <xf numFmtId="0" fontId="0" fillId="3" borderId="2" xfId="0" applyNumberFormat="1" applyFill="1" applyBorder="1" applyAlignment="1" applyProtection="1">
      <alignment horizontal="center" vertical="center"/>
      <protection hidden="1"/>
    </xf>
    <xf numFmtId="167" fontId="0" fillId="3" borderId="8" xfId="0" applyNumberFormat="1" applyFill="1" applyBorder="1" applyAlignment="1" applyProtection="1">
      <alignment horizontal="center" vertical="center"/>
      <protection hidden="1"/>
    </xf>
    <xf numFmtId="49" fontId="0" fillId="4" borderId="9" xfId="0" applyNumberFormat="1" applyFill="1" applyBorder="1" applyAlignment="1" applyProtection="1">
      <alignment horizontal="center" vertical="center"/>
      <protection locked="0" hidden="1"/>
    </xf>
    <xf numFmtId="0" fontId="0" fillId="4" borderId="2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locked="0" hidden="1"/>
    </xf>
    <xf numFmtId="3" fontId="0" fillId="4" borderId="2" xfId="0" applyNumberFormat="1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horizontal="center" vertical="center"/>
      <protection hidden="1"/>
    </xf>
    <xf numFmtId="4" fontId="0" fillId="4" borderId="2" xfId="0" applyNumberFormat="1" applyFill="1" applyBorder="1" applyAlignment="1" applyProtection="1">
      <alignment vertical="center"/>
      <protection hidden="1"/>
    </xf>
    <xf numFmtId="4" fontId="0" fillId="4" borderId="2" xfId="0" applyNumberFormat="1" applyFill="1" applyBorder="1" applyAlignment="1" applyProtection="1">
      <alignment horizontal="center" vertical="center"/>
      <protection locked="0" hidden="1"/>
    </xf>
    <xf numFmtId="3" fontId="0" fillId="4" borderId="2" xfId="0" applyNumberFormat="1" applyFill="1" applyBorder="1" applyAlignment="1" applyProtection="1">
      <alignment horizontal="center" vertical="center"/>
      <protection hidden="1"/>
    </xf>
    <xf numFmtId="4" fontId="0" fillId="4" borderId="2" xfId="0" applyNumberFormat="1" applyFill="1" applyBorder="1" applyAlignment="1" applyProtection="1">
      <alignment horizontal="center" vertical="center"/>
      <protection hidden="1"/>
    </xf>
    <xf numFmtId="0" fontId="0" fillId="4" borderId="2" xfId="0" applyNumberFormat="1" applyFill="1" applyBorder="1" applyAlignment="1" applyProtection="1">
      <alignment horizontal="center" vertical="center"/>
      <protection locked="0" hidden="1"/>
    </xf>
    <xf numFmtId="0" fontId="0" fillId="4" borderId="2" xfId="0" applyNumberFormat="1" applyFill="1" applyBorder="1" applyAlignment="1" applyProtection="1">
      <alignment horizontal="center" vertical="center"/>
      <protection hidden="1"/>
    </xf>
    <xf numFmtId="167" fontId="0" fillId="4" borderId="8" xfId="0" applyNumberFormat="1" applyFill="1" applyBorder="1" applyAlignment="1" applyProtection="1">
      <alignment horizontal="center" vertical="center"/>
      <protection hidden="1"/>
    </xf>
    <xf numFmtId="49" fontId="0" fillId="5" borderId="9" xfId="0" applyNumberFormat="1" applyFill="1" applyBorder="1" applyAlignment="1" applyProtection="1">
      <alignment horizontal="center" vertical="center"/>
      <protection locked="0" hidden="1"/>
    </xf>
    <xf numFmtId="0" fontId="0" fillId="5" borderId="2" xfId="0" applyFill="1" applyBorder="1" applyAlignment="1" applyProtection="1">
      <alignment vertical="center"/>
      <protection hidden="1"/>
    </xf>
    <xf numFmtId="0" fontId="0" fillId="5" borderId="2" xfId="0" applyFill="1" applyBorder="1" applyAlignment="1" applyProtection="1">
      <alignment vertical="center"/>
      <protection locked="0" hidden="1"/>
    </xf>
    <xf numFmtId="3" fontId="0" fillId="5" borderId="2" xfId="0" applyNumberFormat="1" applyFill="1" applyBorder="1" applyAlignment="1" applyProtection="1">
      <alignment vertical="center"/>
      <protection hidden="1"/>
    </xf>
    <xf numFmtId="0" fontId="0" fillId="5" borderId="2" xfId="0" applyFill="1" applyBorder="1" applyAlignment="1" applyProtection="1">
      <alignment horizontal="center" vertical="center"/>
      <protection hidden="1"/>
    </xf>
    <xf numFmtId="4" fontId="0" fillId="5" borderId="2" xfId="0" applyNumberFormat="1" applyFill="1" applyBorder="1" applyAlignment="1" applyProtection="1">
      <alignment vertical="center"/>
      <protection hidden="1"/>
    </xf>
    <xf numFmtId="4" fontId="0" fillId="5" borderId="2" xfId="0" applyNumberFormat="1" applyFill="1" applyBorder="1" applyAlignment="1" applyProtection="1">
      <alignment horizontal="center" vertical="center"/>
      <protection locked="0" hidden="1"/>
    </xf>
    <xf numFmtId="3" fontId="0" fillId="5" borderId="2" xfId="0" applyNumberFormat="1" applyFill="1" applyBorder="1" applyAlignment="1" applyProtection="1">
      <alignment horizontal="center" vertical="center"/>
      <protection hidden="1"/>
    </xf>
    <xf numFmtId="4" fontId="0" fillId="5" borderId="2" xfId="0" applyNumberFormat="1" applyFill="1" applyBorder="1" applyAlignment="1" applyProtection="1">
      <alignment horizontal="center" vertical="center"/>
      <protection hidden="1"/>
    </xf>
    <xf numFmtId="0" fontId="0" fillId="5" borderId="2" xfId="0" applyNumberFormat="1" applyFill="1" applyBorder="1" applyAlignment="1" applyProtection="1">
      <alignment horizontal="center" vertical="center"/>
      <protection locked="0" hidden="1"/>
    </xf>
    <xf numFmtId="0" fontId="0" fillId="5" borderId="2" xfId="0" applyNumberFormat="1" applyFill="1" applyBorder="1" applyAlignment="1" applyProtection="1">
      <alignment horizontal="center" vertical="center"/>
      <protection hidden="1"/>
    </xf>
    <xf numFmtId="167" fontId="0" fillId="5" borderId="8" xfId="0" applyNumberFormat="1" applyFill="1" applyBorder="1" applyAlignment="1" applyProtection="1">
      <alignment horizontal="center" vertical="center"/>
      <protection hidden="1"/>
    </xf>
    <xf numFmtId="0" fontId="0" fillId="3" borderId="8" xfId="0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9" xfId="0" applyFill="1" applyBorder="1" applyAlignment="1" applyProtection="1">
      <alignment horizontal="center" vertical="center"/>
      <protection locked="0" hidden="1"/>
    </xf>
    <xf numFmtId="0" fontId="0" fillId="4" borderId="8" xfId="0" applyFill="1" applyBorder="1" applyAlignment="1" applyProtection="1">
      <alignment horizontal="center" vertical="center"/>
      <protection locked="0" hidden="1"/>
    </xf>
    <xf numFmtId="0" fontId="0" fillId="4" borderId="9" xfId="0" applyFill="1" applyBorder="1" applyAlignment="1" applyProtection="1">
      <alignment horizontal="center" vertical="center"/>
      <protection locked="0" hidden="1"/>
    </xf>
    <xf numFmtId="0" fontId="0" fillId="5" borderId="8" xfId="0" applyFill="1" applyBorder="1" applyAlignment="1" applyProtection="1">
      <alignment horizontal="center" vertical="center"/>
      <protection locked="0"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horizontal="center" vertical="center"/>
      <protection locked="0" hidden="1"/>
    </xf>
    <xf numFmtId="0" fontId="0" fillId="33" borderId="0" xfId="0" applyFill="1" applyAlignment="1" applyProtection="1">
      <alignment horizontal="left" vertical="center"/>
      <protection hidden="1"/>
    </xf>
    <xf numFmtId="0" fontId="0" fillId="33" borderId="0" xfId="0" applyFill="1" applyAlignment="1" applyProtection="1">
      <alignment vertical="center"/>
      <protection hidden="1"/>
    </xf>
    <xf numFmtId="0" fontId="20" fillId="33" borderId="0" xfId="0" applyFont="1" applyFill="1" applyAlignment="1" applyProtection="1">
      <alignment vertical="center"/>
      <protection hidden="1"/>
    </xf>
    <xf numFmtId="165" fontId="11" fillId="15" borderId="8" xfId="0" applyNumberFormat="1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vertical="center"/>
      <protection locked="0"/>
    </xf>
    <xf numFmtId="49" fontId="0" fillId="3" borderId="0" xfId="0" applyNumberFormat="1" applyFill="1" applyAlignment="1" applyProtection="1">
      <alignment vertical="center"/>
      <protection locked="0"/>
    </xf>
    <xf numFmtId="49" fontId="0" fillId="4" borderId="0" xfId="0" applyNumberFormat="1" applyFill="1" applyAlignment="1" applyProtection="1">
      <alignment vertical="center"/>
      <protection locked="0"/>
    </xf>
    <xf numFmtId="49" fontId="0" fillId="5" borderId="0" xfId="0" applyNumberFormat="1" applyFill="1" applyAlignment="1" applyProtection="1">
      <alignment vertical="center"/>
      <protection locked="0"/>
    </xf>
    <xf numFmtId="4" fontId="0" fillId="3" borderId="3" xfId="0" applyNumberFormat="1" applyFill="1" applyBorder="1" applyAlignment="1" applyProtection="1">
      <alignment vertical="center"/>
      <protection locked="0"/>
    </xf>
    <xf numFmtId="2" fontId="0" fillId="3" borderId="4" xfId="0" applyNumberFormat="1" applyFill="1" applyBorder="1" applyAlignment="1" applyProtection="1">
      <alignment vertical="center"/>
      <protection locked="0"/>
    </xf>
    <xf numFmtId="164" fontId="0" fillId="3" borderId="4" xfId="0" applyNumberFormat="1" applyFill="1" applyBorder="1" applyAlignment="1" applyProtection="1">
      <alignment vertical="center"/>
      <protection locked="0"/>
    </xf>
    <xf numFmtId="3" fontId="0" fillId="3" borderId="0" xfId="0" applyNumberFormat="1" applyFill="1" applyAlignment="1" applyProtection="1">
      <alignment horizontal="center" vertical="center"/>
      <protection locked="0"/>
    </xf>
    <xf numFmtId="4" fontId="0" fillId="3" borderId="4" xfId="0" applyNumberFormat="1" applyFill="1" applyBorder="1" applyAlignment="1" applyProtection="1">
      <alignment vertical="center"/>
      <protection locked="0"/>
    </xf>
    <xf numFmtId="4" fontId="0" fillId="3" borderId="5" xfId="0" applyNumberFormat="1" applyFill="1" applyBorder="1" applyAlignment="1" applyProtection="1">
      <alignment vertical="center"/>
      <protection locked="0"/>
    </xf>
    <xf numFmtId="4" fontId="0" fillId="4" borderId="3" xfId="0" applyNumberFormat="1" applyFill="1" applyBorder="1" applyAlignment="1" applyProtection="1">
      <alignment vertical="center"/>
      <protection locked="0"/>
    </xf>
    <xf numFmtId="2" fontId="0" fillId="4" borderId="4" xfId="0" applyNumberFormat="1" applyFill="1" applyBorder="1" applyAlignment="1" applyProtection="1">
      <alignment vertical="center"/>
      <protection locked="0"/>
    </xf>
    <xf numFmtId="164" fontId="0" fillId="4" borderId="4" xfId="0" applyNumberFormat="1" applyFill="1" applyBorder="1" applyAlignment="1" applyProtection="1">
      <alignment vertical="center"/>
      <protection locked="0"/>
    </xf>
    <xf numFmtId="3" fontId="0" fillId="4" borderId="0" xfId="0" applyNumberFormat="1" applyFill="1" applyAlignment="1" applyProtection="1">
      <alignment horizontal="center" vertical="center"/>
      <protection locked="0"/>
    </xf>
    <xf numFmtId="4" fontId="0" fillId="4" borderId="4" xfId="0" applyNumberFormat="1" applyFill="1" applyBorder="1" applyAlignment="1" applyProtection="1">
      <alignment vertical="center"/>
      <protection locked="0"/>
    </xf>
    <xf numFmtId="4" fontId="0" fillId="4" borderId="5" xfId="0" applyNumberFormat="1" applyFill="1" applyBorder="1" applyAlignment="1" applyProtection="1">
      <alignment vertical="center"/>
      <protection locked="0"/>
    </xf>
    <xf numFmtId="4" fontId="0" fillId="5" borderId="3" xfId="0" applyNumberFormat="1" applyFill="1" applyBorder="1" applyAlignment="1" applyProtection="1">
      <alignment vertical="center"/>
      <protection locked="0"/>
    </xf>
    <xf numFmtId="2" fontId="0" fillId="5" borderId="4" xfId="0" applyNumberFormat="1" applyFill="1" applyBorder="1" applyAlignment="1" applyProtection="1">
      <alignment vertical="center"/>
      <protection locked="0"/>
    </xf>
    <xf numFmtId="164" fontId="0" fillId="5" borderId="4" xfId="0" applyNumberFormat="1" applyFill="1" applyBorder="1" applyAlignment="1" applyProtection="1">
      <alignment vertical="center"/>
      <protection locked="0"/>
    </xf>
    <xf numFmtId="3" fontId="0" fillId="5" borderId="0" xfId="0" applyNumberFormat="1" applyFill="1" applyAlignment="1" applyProtection="1">
      <alignment horizontal="center" vertical="center"/>
      <protection locked="0"/>
    </xf>
    <xf numFmtId="4" fontId="0" fillId="5" borderId="4" xfId="0" applyNumberFormat="1" applyFill="1" applyBorder="1" applyAlignment="1" applyProtection="1">
      <alignment vertical="center"/>
      <protection locked="0"/>
    </xf>
    <xf numFmtId="4" fontId="0" fillId="5" borderId="5" xfId="0" applyNumberFormat="1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0" fillId="5" borderId="4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3" fontId="5" fillId="0" borderId="0" xfId="0" applyNumberFormat="1" applyFont="1" applyAlignment="1" applyProtection="1">
      <alignment vertical="center"/>
      <protection hidden="1"/>
    </xf>
    <xf numFmtId="0" fontId="5" fillId="8" borderId="65" xfId="0" applyFont="1" applyFill="1" applyBorder="1" applyAlignment="1" applyProtection="1">
      <alignment horizontal="center" vertical="center"/>
      <protection hidden="1"/>
    </xf>
    <xf numFmtId="0" fontId="5" fillId="8" borderId="66" xfId="0" applyFont="1" applyFill="1" applyBorder="1" applyAlignment="1" applyProtection="1">
      <alignment horizontal="center" vertical="center"/>
      <protection hidden="1"/>
    </xf>
    <xf numFmtId="0" fontId="5" fillId="8" borderId="67" xfId="0" applyFont="1" applyFill="1" applyBorder="1" applyAlignment="1" applyProtection="1">
      <alignment horizontal="center" vertical="center"/>
      <protection hidden="1"/>
    </xf>
    <xf numFmtId="0" fontId="0" fillId="8" borderId="9" xfId="0" applyFill="1" applyBorder="1" applyAlignment="1" applyProtection="1">
      <alignment horizontal="center" vertical="center"/>
      <protection hidden="1"/>
    </xf>
    <xf numFmtId="0" fontId="0" fillId="8" borderId="2" xfId="0" applyFill="1" applyBorder="1" applyAlignment="1" applyProtection="1">
      <alignment horizontal="center" vertical="center"/>
      <protection hidden="1"/>
    </xf>
    <xf numFmtId="0" fontId="0" fillId="8" borderId="8" xfId="0" applyFill="1" applyBorder="1" applyAlignment="1" applyProtection="1">
      <alignment horizontal="center" vertical="center"/>
      <protection hidden="1"/>
    </xf>
    <xf numFmtId="3" fontId="0" fillId="3" borderId="9" xfId="0" applyNumberFormat="1" applyFill="1" applyBorder="1" applyAlignment="1" applyProtection="1">
      <alignment horizontal="center" vertical="center"/>
      <protection locked="0" hidden="1"/>
    </xf>
    <xf numFmtId="4" fontId="0" fillId="3" borderId="2" xfId="0" applyNumberFormat="1" applyFill="1" applyBorder="1" applyAlignment="1" applyProtection="1">
      <alignment vertical="center"/>
      <protection locked="0" hidden="1"/>
    </xf>
    <xf numFmtId="4" fontId="0" fillId="3" borderId="8" xfId="0" applyNumberFormat="1" applyFill="1" applyBorder="1" applyAlignment="1" applyProtection="1">
      <alignment vertical="center"/>
      <protection locked="0" hidden="1"/>
    </xf>
    <xf numFmtId="3" fontId="0" fillId="4" borderId="9" xfId="0" applyNumberFormat="1" applyFill="1" applyBorder="1" applyAlignment="1" applyProtection="1">
      <alignment horizontal="center" vertical="center"/>
      <protection locked="0" hidden="1"/>
    </xf>
    <xf numFmtId="4" fontId="0" fillId="4" borderId="2" xfId="0" applyNumberFormat="1" applyFill="1" applyBorder="1" applyAlignment="1" applyProtection="1">
      <alignment vertical="center"/>
      <protection locked="0" hidden="1"/>
    </xf>
    <xf numFmtId="4" fontId="0" fillId="4" borderId="8" xfId="0" applyNumberFormat="1" applyFill="1" applyBorder="1" applyAlignment="1" applyProtection="1">
      <alignment vertical="center"/>
      <protection locked="0" hidden="1"/>
    </xf>
    <xf numFmtId="3" fontId="0" fillId="5" borderId="9" xfId="0" applyNumberFormat="1" applyFill="1" applyBorder="1" applyAlignment="1" applyProtection="1">
      <alignment horizontal="center" vertical="center"/>
      <protection locked="0" hidden="1"/>
    </xf>
    <xf numFmtId="4" fontId="0" fillId="5" borderId="2" xfId="0" applyNumberFormat="1" applyFill="1" applyBorder="1" applyAlignment="1" applyProtection="1">
      <alignment vertical="center"/>
      <protection locked="0" hidden="1"/>
    </xf>
    <xf numFmtId="4" fontId="0" fillId="5" borderId="8" xfId="0" applyNumberFormat="1" applyFill="1" applyBorder="1" applyAlignment="1" applyProtection="1">
      <alignment vertical="center"/>
      <protection locked="0" hidden="1"/>
    </xf>
    <xf numFmtId="0" fontId="5" fillId="19" borderId="70" xfId="0" applyFont="1" applyFill="1" applyBorder="1" applyAlignment="1" applyProtection="1">
      <alignment horizontal="center" vertical="center"/>
      <protection hidden="1"/>
    </xf>
    <xf numFmtId="0" fontId="0" fillId="19" borderId="8" xfId="0" applyFill="1" applyBorder="1" applyAlignment="1" applyProtection="1">
      <alignment horizontal="center" vertical="center"/>
      <protection hidden="1"/>
    </xf>
    <xf numFmtId="1" fontId="0" fillId="3" borderId="9" xfId="0" applyNumberFormat="1" applyFill="1" applyBorder="1" applyAlignment="1" applyProtection="1">
      <alignment vertical="center"/>
      <protection locked="0" hidden="1"/>
    </xf>
    <xf numFmtId="2" fontId="0" fillId="3" borderId="8" xfId="0" applyNumberFormat="1" applyFill="1" applyBorder="1" applyAlignment="1" applyProtection="1">
      <alignment horizontal="center" vertical="center"/>
      <protection hidden="1"/>
    </xf>
    <xf numFmtId="1" fontId="0" fillId="4" borderId="9" xfId="0" applyNumberFormat="1" applyFill="1" applyBorder="1" applyAlignment="1" applyProtection="1">
      <alignment vertical="center"/>
      <protection locked="0" hidden="1"/>
    </xf>
    <xf numFmtId="2" fontId="0" fillId="4" borderId="8" xfId="0" applyNumberFormat="1" applyFill="1" applyBorder="1" applyAlignment="1" applyProtection="1">
      <alignment horizontal="center" vertical="center"/>
      <protection hidden="1"/>
    </xf>
    <xf numFmtId="1" fontId="0" fillId="5" borderId="9" xfId="0" applyNumberFormat="1" applyFill="1" applyBorder="1" applyAlignment="1" applyProtection="1">
      <alignment vertical="center"/>
      <protection locked="0" hidden="1"/>
    </xf>
    <xf numFmtId="2" fontId="0" fillId="5" borderId="8" xfId="0" applyNumberFormat="1" applyFill="1" applyBorder="1" applyAlignment="1" applyProtection="1">
      <alignment horizontal="center" vertical="center"/>
      <protection hidden="1"/>
    </xf>
    <xf numFmtId="0" fontId="5" fillId="4" borderId="71" xfId="0" applyFont="1" applyFill="1" applyBorder="1" applyAlignment="1" applyProtection="1">
      <alignment horizontal="center" vertical="center"/>
      <protection hidden="1"/>
    </xf>
    <xf numFmtId="0" fontId="5" fillId="4" borderId="72" xfId="0" applyFont="1" applyFill="1" applyBorder="1" applyAlignment="1" applyProtection="1">
      <alignment horizontal="center" vertical="center"/>
      <protection hidden="1"/>
    </xf>
    <xf numFmtId="0" fontId="0" fillId="4" borderId="9" xfId="0" applyFill="1" applyBorder="1" applyAlignment="1" applyProtection="1">
      <alignment horizontal="center" vertical="center"/>
      <protection hidden="1"/>
    </xf>
    <xf numFmtId="0" fontId="0" fillId="4" borderId="8" xfId="0" applyFill="1" applyBorder="1" applyAlignment="1" applyProtection="1">
      <alignment horizontal="center" vertical="center"/>
      <protection hidden="1"/>
    </xf>
    <xf numFmtId="3" fontId="0" fillId="3" borderId="9" xfId="0" applyNumberFormat="1" applyFill="1" applyBorder="1" applyAlignment="1" applyProtection="1">
      <alignment horizontal="center" vertical="center"/>
      <protection hidden="1"/>
    </xf>
    <xf numFmtId="3" fontId="0" fillId="3" borderId="8" xfId="0" applyNumberFormat="1" applyFill="1" applyBorder="1" applyAlignment="1" applyProtection="1">
      <alignment horizontal="center" vertical="center"/>
      <protection hidden="1"/>
    </xf>
    <xf numFmtId="3" fontId="0" fillId="4" borderId="9" xfId="0" applyNumberFormat="1" applyFill="1" applyBorder="1" applyAlignment="1" applyProtection="1">
      <alignment horizontal="center" vertical="center"/>
      <protection hidden="1"/>
    </xf>
    <xf numFmtId="3" fontId="0" fillId="4" borderId="8" xfId="0" applyNumberFormat="1" applyFill="1" applyBorder="1" applyAlignment="1" applyProtection="1">
      <alignment horizontal="center" vertical="center"/>
      <protection hidden="1"/>
    </xf>
    <xf numFmtId="3" fontId="0" fillId="5" borderId="9" xfId="0" applyNumberFormat="1" applyFill="1" applyBorder="1" applyAlignment="1" applyProtection="1">
      <alignment horizontal="center" vertical="center"/>
      <protection hidden="1"/>
    </xf>
    <xf numFmtId="3" fontId="0" fillId="5" borderId="8" xfId="0" applyNumberFormat="1" applyFill="1" applyBorder="1" applyAlignment="1" applyProtection="1">
      <alignment horizontal="center" vertical="center"/>
      <protection hidden="1"/>
    </xf>
    <xf numFmtId="0" fontId="0" fillId="26" borderId="0" xfId="0" applyFill="1" applyAlignment="1" applyProtection="1">
      <alignment vertical="center"/>
      <protection hidden="1"/>
    </xf>
    <xf numFmtId="2" fontId="0" fillId="0" borderId="38" xfId="0" applyNumberFormat="1" applyBorder="1" applyAlignment="1" applyProtection="1">
      <alignment horizontal="center" vertical="center"/>
      <protection hidden="1"/>
    </xf>
    <xf numFmtId="2" fontId="0" fillId="0" borderId="41" xfId="0" applyNumberFormat="1" applyBorder="1" applyAlignment="1" applyProtection="1">
      <alignment horizontal="center" vertical="center"/>
      <protection hidden="1"/>
    </xf>
    <xf numFmtId="2" fontId="0" fillId="0" borderId="44" xfId="0" applyNumberFormat="1" applyBorder="1" applyAlignment="1" applyProtection="1">
      <alignment horizontal="center" vertical="center"/>
      <protection hidden="1"/>
    </xf>
    <xf numFmtId="49" fontId="0" fillId="3" borderId="2" xfId="0" applyNumberFormat="1" applyFill="1" applyBorder="1" applyAlignment="1" applyProtection="1">
      <alignment horizontal="center" vertical="center"/>
      <protection locked="0"/>
    </xf>
    <xf numFmtId="49" fontId="0" fillId="4" borderId="2" xfId="0" applyNumberFormat="1" applyFill="1" applyBorder="1" applyAlignment="1" applyProtection="1">
      <alignment horizontal="center" vertical="center"/>
      <protection locked="0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3" fillId="26" borderId="0" xfId="0" applyFont="1" applyFill="1" applyAlignment="1" applyProtection="1">
      <alignment horizontal="center" vertical="center"/>
      <protection hidden="1"/>
    </xf>
    <xf numFmtId="0" fontId="0" fillId="23" borderId="9" xfId="0" applyFill="1" applyBorder="1" applyAlignment="1" applyProtection="1">
      <alignment horizontal="right" vertical="center"/>
      <protection hidden="1"/>
    </xf>
    <xf numFmtId="0" fontId="5" fillId="28" borderId="2" xfId="0" applyFont="1" applyFill="1" applyBorder="1" applyAlignment="1" applyProtection="1">
      <alignment horizontal="center" vertical="center" wrapText="1"/>
      <protection hidden="1"/>
    </xf>
    <xf numFmtId="0" fontId="0" fillId="23" borderId="0" xfId="0" applyFill="1" applyBorder="1" applyAlignment="1" applyProtection="1">
      <alignment horizontal="right" vertical="center"/>
      <protection hidden="1"/>
    </xf>
    <xf numFmtId="0" fontId="5" fillId="28" borderId="2" xfId="0" applyFont="1" applyFill="1" applyBorder="1" applyAlignment="1" applyProtection="1">
      <alignment horizontal="center" vertical="center"/>
      <protection hidden="1"/>
    </xf>
    <xf numFmtId="0" fontId="5" fillId="28" borderId="8" xfId="0" applyFont="1" applyFill="1" applyBorder="1" applyAlignment="1" applyProtection="1">
      <alignment horizontal="center" vertical="center"/>
      <protection hidden="1"/>
    </xf>
    <xf numFmtId="0" fontId="5" fillId="0" borderId="32" xfId="0" applyFont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 vertical="center"/>
      <protection hidden="1"/>
    </xf>
    <xf numFmtId="0" fontId="5" fillId="0" borderId="32" xfId="0" applyFont="1" applyBorder="1" applyAlignment="1" applyProtection="1">
      <alignment vertical="center"/>
      <protection hidden="1"/>
    </xf>
    <xf numFmtId="0" fontId="5" fillId="0" borderId="32" xfId="0" applyFont="1" applyBorder="1" applyAlignment="1" applyProtection="1">
      <alignment horizontal="center" vertical="center" wrapText="1"/>
      <protection hidden="1"/>
    </xf>
    <xf numFmtId="0" fontId="1" fillId="0" borderId="0" xfId="5"/>
    <xf numFmtId="0" fontId="24" fillId="0" borderId="0" xfId="5" applyFont="1"/>
    <xf numFmtId="0" fontId="1" fillId="0" borderId="0" xfId="5" quotePrefix="1"/>
    <xf numFmtId="0" fontId="1" fillId="0" borderId="0" xfId="5" applyFont="1"/>
    <xf numFmtId="11" fontId="1" fillId="0" borderId="0" xfId="5" applyNumberFormat="1"/>
    <xf numFmtId="170" fontId="1" fillId="0" borderId="0" xfId="5" applyNumberFormat="1"/>
    <xf numFmtId="0" fontId="1" fillId="29" borderId="0" xfId="5" applyFill="1"/>
    <xf numFmtId="9" fontId="0" fillId="0" borderId="0" xfId="6" applyFont="1"/>
    <xf numFmtId="9" fontId="1" fillId="0" borderId="0" xfId="5" applyNumberFormat="1"/>
    <xf numFmtId="0" fontId="1" fillId="0" borderId="0" xfId="5" applyFill="1"/>
    <xf numFmtId="0" fontId="1" fillId="0" borderId="73" xfId="5" applyBorder="1"/>
    <xf numFmtId="0" fontId="1" fillId="0" borderId="74" xfId="5" applyBorder="1"/>
    <xf numFmtId="0" fontId="1" fillId="0" borderId="75" xfId="5" applyBorder="1"/>
    <xf numFmtId="0" fontId="1" fillId="0" borderId="73" xfId="5" applyFill="1" applyBorder="1"/>
    <xf numFmtId="0" fontId="1" fillId="0" borderId="75" xfId="5" applyFill="1" applyBorder="1"/>
    <xf numFmtId="0" fontId="1" fillId="0" borderId="35" xfId="5" applyBorder="1"/>
    <xf numFmtId="0" fontId="1" fillId="0" borderId="36" xfId="5" applyBorder="1"/>
    <xf numFmtId="0" fontId="1" fillId="0" borderId="55" xfId="5" applyBorder="1"/>
    <xf numFmtId="0" fontId="1" fillId="0" borderId="35" xfId="5" applyFill="1" applyBorder="1"/>
    <xf numFmtId="0" fontId="1" fillId="0" borderId="76" xfId="5" applyFill="1" applyBorder="1"/>
    <xf numFmtId="0" fontId="1" fillId="0" borderId="0" xfId="5" applyBorder="1"/>
    <xf numFmtId="0" fontId="1" fillId="0" borderId="77" xfId="5" applyBorder="1"/>
    <xf numFmtId="0" fontId="1" fillId="0" borderId="76" xfId="5" applyBorder="1"/>
    <xf numFmtId="0" fontId="1" fillId="0" borderId="0" xfId="5" applyFill="1" applyBorder="1"/>
    <xf numFmtId="0" fontId="25" fillId="34" borderId="0" xfId="5" applyFont="1" applyFill="1"/>
    <xf numFmtId="0" fontId="25" fillId="36" borderId="0" xfId="5" applyFont="1" applyFill="1"/>
    <xf numFmtId="0" fontId="23" fillId="34" borderId="0" xfId="5" applyFont="1" applyFill="1"/>
    <xf numFmtId="0" fontId="23" fillId="36" borderId="0" xfId="5" applyFont="1" applyFill="1"/>
    <xf numFmtId="2" fontId="1" fillId="0" borderId="0" xfId="5" applyNumberFormat="1"/>
    <xf numFmtId="0" fontId="23" fillId="35" borderId="0" xfId="5" applyFont="1" applyFill="1"/>
    <xf numFmtId="2" fontId="28" fillId="8" borderId="79" xfId="0" applyNumberFormat="1" applyFont="1" applyFill="1" applyBorder="1" applyProtection="1">
      <protection locked="0"/>
    </xf>
    <xf numFmtId="2" fontId="28" fillId="8" borderId="82" xfId="0" applyNumberFormat="1" applyFont="1" applyFill="1" applyBorder="1" applyProtection="1">
      <protection locked="0"/>
    </xf>
    <xf numFmtId="0" fontId="28" fillId="0" borderId="0" xfId="0" applyFont="1" applyProtection="1">
      <protection hidden="1"/>
    </xf>
    <xf numFmtId="0" fontId="28" fillId="0" borderId="78" xfId="0" applyFont="1" applyBorder="1" applyProtection="1">
      <protection hidden="1"/>
    </xf>
    <xf numFmtId="0" fontId="28" fillId="0" borderId="80" xfId="0" applyFont="1" applyBorder="1" applyProtection="1">
      <protection hidden="1"/>
    </xf>
    <xf numFmtId="2" fontId="28" fillId="2" borderId="79" xfId="0" applyNumberFormat="1" applyFont="1" applyFill="1" applyBorder="1" applyProtection="1">
      <protection hidden="1"/>
    </xf>
    <xf numFmtId="0" fontId="28" fillId="0" borderId="81" xfId="0" applyFont="1" applyBorder="1" applyProtection="1">
      <protection hidden="1"/>
    </xf>
    <xf numFmtId="0" fontId="28" fillId="0" borderId="83" xfId="0" applyFont="1" applyBorder="1" applyProtection="1">
      <protection hidden="1"/>
    </xf>
    <xf numFmtId="2" fontId="28" fillId="2" borderId="82" xfId="4" applyNumberFormat="1" applyFont="1" applyFill="1" applyBorder="1" applyProtection="1">
      <protection hidden="1"/>
    </xf>
    <xf numFmtId="0" fontId="1" fillId="37" borderId="0" xfId="5" applyFill="1"/>
    <xf numFmtId="0" fontId="0" fillId="0" borderId="0" xfId="0" applyAlignment="1" applyProtection="1">
      <alignment horizontal="center"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3" fillId="26" borderId="0" xfId="0" applyFont="1" applyFill="1" applyAlignment="1" applyProtection="1">
      <alignment horizontal="center" vertical="center"/>
      <protection hidden="1"/>
    </xf>
    <xf numFmtId="0" fontId="0" fillId="23" borderId="9" xfId="0" applyFill="1" applyBorder="1" applyAlignment="1" applyProtection="1">
      <alignment horizontal="right" vertical="center"/>
      <protection hidden="1"/>
    </xf>
    <xf numFmtId="0" fontId="5" fillId="28" borderId="2" xfId="0" applyFont="1" applyFill="1" applyBorder="1" applyAlignment="1" applyProtection="1">
      <alignment horizontal="center" vertical="center" wrapText="1"/>
      <protection hidden="1"/>
    </xf>
    <xf numFmtId="0" fontId="0" fillId="23" borderId="0" xfId="0" applyFill="1" applyBorder="1" applyAlignment="1" applyProtection="1">
      <alignment horizontal="right" vertical="center"/>
      <protection hidden="1"/>
    </xf>
    <xf numFmtId="0" fontId="5" fillId="28" borderId="2" xfId="0" applyFont="1" applyFill="1" applyBorder="1" applyAlignment="1" applyProtection="1">
      <alignment horizontal="center" vertical="center"/>
      <protection hidden="1"/>
    </xf>
    <xf numFmtId="0" fontId="5" fillId="28" borderId="8" xfId="0" applyFont="1" applyFill="1" applyBorder="1" applyAlignment="1" applyProtection="1">
      <alignment horizontal="center" vertical="center"/>
      <protection hidden="1"/>
    </xf>
    <xf numFmtId="0" fontId="5" fillId="0" borderId="32" xfId="0" applyFont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 vertical="center"/>
      <protection hidden="1"/>
    </xf>
    <xf numFmtId="0" fontId="5" fillId="0" borderId="32" xfId="0" applyFont="1" applyBorder="1" applyAlignment="1" applyProtection="1">
      <alignment vertical="center"/>
      <protection hidden="1"/>
    </xf>
    <xf numFmtId="0" fontId="5" fillId="0" borderId="32" xfId="0" applyFont="1" applyBorder="1" applyAlignment="1" applyProtection="1">
      <alignment horizontal="center" vertical="center" wrapText="1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3" fontId="0" fillId="0" borderId="0" xfId="0" applyNumberFormat="1" applyAlignment="1" applyProtection="1">
      <alignment horizontal="center" vertical="center"/>
      <protection hidden="1"/>
    </xf>
    <xf numFmtId="3" fontId="0" fillId="6" borderId="9" xfId="0" applyNumberFormat="1" applyFill="1" applyBorder="1" applyAlignment="1" applyProtection="1">
      <alignment horizontal="center" vertical="center"/>
      <protection hidden="1"/>
    </xf>
    <xf numFmtId="3" fontId="0" fillId="3" borderId="5" xfId="0" applyNumberFormat="1" applyFill="1" applyBorder="1" applyAlignment="1" applyProtection="1">
      <alignment horizontal="center" vertical="center"/>
      <protection locked="0"/>
    </xf>
    <xf numFmtId="3" fontId="0" fillId="4" borderId="5" xfId="0" applyNumberFormat="1" applyFill="1" applyBorder="1" applyAlignment="1" applyProtection="1">
      <alignment horizontal="center" vertical="center"/>
      <protection locked="0"/>
    </xf>
    <xf numFmtId="3" fontId="0" fillId="5" borderId="5" xfId="0" applyNumberFormat="1" applyFill="1" applyBorder="1" applyAlignment="1" applyProtection="1">
      <alignment horizontal="center" vertical="center"/>
      <protection locked="0"/>
    </xf>
    <xf numFmtId="0" fontId="0" fillId="6" borderId="0" xfId="0" applyFont="1" applyFill="1" applyBorder="1" applyAlignment="1" applyProtection="1">
      <alignment horizontal="center" vertical="center" wrapText="1"/>
      <protection locked="0" hidden="1"/>
    </xf>
    <xf numFmtId="2" fontId="0" fillId="0" borderId="39" xfId="0" applyNumberFormat="1" applyBorder="1" applyAlignment="1" applyProtection="1">
      <alignment horizontal="center" vertical="center"/>
      <protection hidden="1"/>
    </xf>
    <xf numFmtId="2" fontId="0" fillId="0" borderId="37" xfId="0" applyNumberFormat="1" applyBorder="1" applyAlignment="1" applyProtection="1">
      <alignment horizontal="center" vertical="center"/>
      <protection hidden="1"/>
    </xf>
    <xf numFmtId="4" fontId="0" fillId="0" borderId="40" xfId="0" applyNumberFormat="1" applyBorder="1" applyAlignment="1" applyProtection="1">
      <alignment horizontal="center" vertical="center"/>
      <protection hidden="1"/>
    </xf>
    <xf numFmtId="4" fontId="0" fillId="0" borderId="41" xfId="0" applyNumberFormat="1" applyBorder="1" applyAlignment="1" applyProtection="1">
      <alignment horizontal="center" vertical="center"/>
      <protection hidden="1"/>
    </xf>
    <xf numFmtId="4" fontId="0" fillId="0" borderId="43" xfId="0" applyNumberFormat="1" applyBorder="1" applyAlignment="1" applyProtection="1">
      <alignment horizontal="center" vertical="center"/>
      <protection hidden="1"/>
    </xf>
    <xf numFmtId="4" fontId="0" fillId="0" borderId="44" xfId="0" applyNumberFormat="1" applyBorder="1" applyAlignment="1" applyProtection="1">
      <alignment horizontal="center" vertical="center"/>
      <protection hidden="1"/>
    </xf>
    <xf numFmtId="4" fontId="0" fillId="0" borderId="37" xfId="0" applyNumberFormat="1" applyBorder="1" applyAlignment="1" applyProtection="1">
      <alignment horizontal="center" vertical="center"/>
      <protection hidden="1"/>
    </xf>
    <xf numFmtId="4" fontId="0" fillId="0" borderId="38" xfId="0" applyNumberFormat="1" applyBorder="1" applyAlignment="1" applyProtection="1">
      <alignment horizontal="center" vertical="center"/>
      <protection hidden="1"/>
    </xf>
    <xf numFmtId="4" fontId="0" fillId="0" borderId="0" xfId="0" applyNumberFormat="1" applyAlignment="1" applyProtection="1">
      <alignment horizontal="center" vertical="center"/>
      <protection hidden="1"/>
    </xf>
    <xf numFmtId="4" fontId="0" fillId="0" borderId="47" xfId="0" applyNumberFormat="1" applyBorder="1" applyAlignment="1" applyProtection="1">
      <alignment horizontal="center" vertical="center"/>
      <protection hidden="1"/>
    </xf>
    <xf numFmtId="4" fontId="0" fillId="0" borderId="48" xfId="0" applyNumberFormat="1" applyBorder="1" applyAlignment="1" applyProtection="1">
      <alignment horizontal="center" vertical="center"/>
      <protection hidden="1"/>
    </xf>
    <xf numFmtId="4" fontId="0" fillId="0" borderId="49" xfId="0" applyNumberFormat="1" applyBorder="1" applyAlignment="1" applyProtection="1">
      <alignment horizontal="center" vertical="center"/>
      <protection hidden="1"/>
    </xf>
    <xf numFmtId="4" fontId="0" fillId="0" borderId="39" xfId="0" applyNumberFormat="1" applyBorder="1" applyAlignment="1" applyProtection="1">
      <alignment horizontal="center" vertical="center"/>
      <protection hidden="1"/>
    </xf>
    <xf numFmtId="4" fontId="0" fillId="0" borderId="42" xfId="0" applyNumberFormat="1" applyBorder="1" applyAlignment="1" applyProtection="1">
      <alignment horizontal="center" vertical="center"/>
      <protection hidden="1"/>
    </xf>
    <xf numFmtId="4" fontId="0" fillId="0" borderId="45" xfId="0" applyNumberFormat="1" applyBorder="1" applyAlignment="1" applyProtection="1">
      <alignment horizontal="center" vertical="center"/>
      <protection hidden="1"/>
    </xf>
    <xf numFmtId="0" fontId="0" fillId="3" borderId="8" xfId="0" applyFill="1" applyBorder="1" applyAlignment="1" applyProtection="1">
      <alignment horizontal="center" vertical="center"/>
      <protection hidden="1"/>
    </xf>
    <xf numFmtId="0" fontId="0" fillId="5" borderId="8" xfId="0" applyFill="1" applyBorder="1" applyAlignment="1" applyProtection="1">
      <alignment horizontal="center" vertical="center"/>
      <protection hidden="1"/>
    </xf>
    <xf numFmtId="0" fontId="0" fillId="3" borderId="9" xfId="0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4" fontId="5" fillId="23" borderId="2" xfId="0" applyNumberFormat="1" applyFont="1" applyFill="1" applyBorder="1" applyAlignment="1" applyProtection="1">
      <alignment vertical="center"/>
      <protection hidden="1"/>
    </xf>
    <xf numFmtId="0" fontId="31" fillId="0" borderId="0" xfId="0" applyFont="1" applyFill="1" applyBorder="1" applyAlignment="1" applyProtection="1">
      <alignment vertical="center"/>
      <protection hidden="1"/>
    </xf>
    <xf numFmtId="0" fontId="31" fillId="0" borderId="0" xfId="0" applyFont="1" applyFill="1" applyAlignment="1" applyProtection="1">
      <alignment vertical="center"/>
      <protection hidden="1"/>
    </xf>
    <xf numFmtId="0" fontId="31" fillId="0" borderId="0" xfId="0" applyFont="1" applyFill="1" applyAlignment="1" applyProtection="1">
      <alignment horizontal="center" vertical="center"/>
      <protection hidden="1"/>
    </xf>
    <xf numFmtId="0" fontId="31" fillId="30" borderId="0" xfId="0" applyFont="1" applyFill="1" applyAlignment="1" applyProtection="1">
      <alignment vertical="center"/>
      <protection hidden="1"/>
    </xf>
    <xf numFmtId="49" fontId="33" fillId="30" borderId="0" xfId="0" applyNumberFormat="1" applyFont="1" applyFill="1" applyAlignment="1" applyProtection="1">
      <alignment vertical="center"/>
      <protection hidden="1"/>
    </xf>
    <xf numFmtId="0" fontId="31" fillId="0" borderId="0" xfId="0" applyFont="1" applyFill="1" applyBorder="1" applyAlignment="1" applyProtection="1">
      <alignment horizontal="center" vertical="center"/>
      <protection hidden="1"/>
    </xf>
    <xf numFmtId="0" fontId="31" fillId="3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1" fillId="0" borderId="0" xfId="0" applyFont="1" applyFill="1" applyBorder="1" applyProtection="1">
      <protection hidden="1"/>
    </xf>
    <xf numFmtId="1" fontId="4" fillId="0" borderId="0" xfId="0" applyNumberFormat="1" applyFont="1" applyFill="1" applyAlignment="1" applyProtection="1">
      <alignment horizontal="center" vertical="center"/>
      <protection hidden="1"/>
    </xf>
    <xf numFmtId="0" fontId="4" fillId="0" borderId="32" xfId="0" applyFont="1" applyFill="1" applyBorder="1" applyAlignment="1" applyProtection="1">
      <alignment horizontal="center" vertical="center" wrapText="1"/>
      <protection hidden="1"/>
    </xf>
    <xf numFmtId="0" fontId="4" fillId="0" borderId="32" xfId="0" applyFont="1" applyFill="1" applyBorder="1" applyAlignment="1" applyProtection="1">
      <alignment vertical="center"/>
      <protection hidden="1"/>
    </xf>
    <xf numFmtId="0" fontId="4" fillId="0" borderId="32" xfId="0" applyFont="1" applyFill="1" applyBorder="1" applyAlignment="1" applyProtection="1">
      <alignment horizontal="center" vertical="center"/>
      <protection hidden="1"/>
    </xf>
    <xf numFmtId="0" fontId="31" fillId="0" borderId="32" xfId="0" applyFont="1" applyFill="1" applyBorder="1" applyAlignment="1" applyProtection="1">
      <alignment vertical="center"/>
      <protection hidden="1"/>
    </xf>
    <xf numFmtId="0" fontId="31" fillId="0" borderId="85" xfId="0" applyFont="1" applyFill="1" applyBorder="1" applyAlignment="1" applyProtection="1">
      <alignment horizontal="left" vertical="center"/>
      <protection hidden="1"/>
    </xf>
    <xf numFmtId="0" fontId="31" fillId="0" borderId="85" xfId="0" applyFont="1" applyFill="1" applyBorder="1" applyAlignment="1" applyProtection="1">
      <alignment horizontal="center" vertical="center"/>
      <protection hidden="1"/>
    </xf>
    <xf numFmtId="167" fontId="31" fillId="0" borderId="0" xfId="0" applyNumberFormat="1" applyFont="1" applyFill="1" applyAlignment="1" applyProtection="1">
      <alignment horizontal="center" vertical="center"/>
      <protection hidden="1"/>
    </xf>
    <xf numFmtId="2" fontId="31" fillId="0" borderId="0" xfId="0" applyNumberFormat="1" applyFont="1" applyFill="1" applyAlignment="1" applyProtection="1">
      <alignment horizontal="center" vertical="center"/>
      <protection hidden="1"/>
    </xf>
    <xf numFmtId="0" fontId="31" fillId="0" borderId="85" xfId="0" applyFont="1" applyFill="1" applyBorder="1" applyAlignment="1" applyProtection="1">
      <alignment vertical="center"/>
      <protection hidden="1"/>
    </xf>
    <xf numFmtId="1" fontId="31" fillId="0" borderId="85" xfId="0" applyNumberFormat="1" applyFont="1" applyFill="1" applyBorder="1" applyAlignment="1" applyProtection="1">
      <alignment horizontal="center" vertical="center"/>
      <protection hidden="1"/>
    </xf>
    <xf numFmtId="0" fontId="4" fillId="0" borderId="34" xfId="0" applyFont="1" applyFill="1" applyBorder="1" applyAlignment="1" applyProtection="1">
      <alignment horizontal="center" vertical="center"/>
      <protection hidden="1"/>
    </xf>
    <xf numFmtId="0" fontId="4" fillId="0" borderId="35" xfId="0" applyFont="1" applyFill="1" applyBorder="1" applyAlignment="1" applyProtection="1">
      <alignment horizontal="center" vertical="center"/>
      <protection hidden="1"/>
    </xf>
    <xf numFmtId="0" fontId="4" fillId="0" borderId="55" xfId="0" applyFont="1" applyFill="1" applyBorder="1" applyAlignment="1" applyProtection="1">
      <alignment horizontal="center" vertical="center"/>
      <protection hidden="1"/>
    </xf>
    <xf numFmtId="0" fontId="4" fillId="0" borderId="36" xfId="0" applyFont="1" applyFill="1" applyBorder="1" applyAlignment="1" applyProtection="1">
      <alignment horizontal="center" vertical="center"/>
      <protection hidden="1"/>
    </xf>
    <xf numFmtId="0" fontId="31" fillId="0" borderId="34" xfId="0" applyFont="1" applyFill="1" applyBorder="1" applyAlignment="1" applyProtection="1">
      <alignment vertical="center"/>
      <protection hidden="1"/>
    </xf>
    <xf numFmtId="0" fontId="31" fillId="0" borderId="56" xfId="0" applyFont="1" applyFill="1" applyBorder="1" applyAlignment="1" applyProtection="1">
      <alignment horizontal="left" vertical="center"/>
      <protection hidden="1"/>
    </xf>
    <xf numFmtId="0" fontId="31" fillId="0" borderId="54" xfId="0" applyFont="1" applyFill="1" applyBorder="1" applyAlignment="1" applyProtection="1">
      <alignment horizontal="center" vertical="center"/>
      <protection hidden="1"/>
    </xf>
    <xf numFmtId="0" fontId="31" fillId="0" borderId="56" xfId="0" applyFont="1" applyFill="1" applyBorder="1" applyAlignment="1" applyProtection="1">
      <alignment vertical="center"/>
      <protection hidden="1"/>
    </xf>
    <xf numFmtId="1" fontId="31" fillId="0" borderId="54" xfId="0" applyNumberFormat="1" applyFont="1" applyFill="1" applyBorder="1" applyAlignment="1" applyProtection="1">
      <alignment horizontal="center" vertical="center"/>
      <protection hidden="1"/>
    </xf>
    <xf numFmtId="1" fontId="31" fillId="0" borderId="56" xfId="0" applyNumberFormat="1" applyFont="1" applyFill="1" applyBorder="1" applyAlignment="1" applyProtection="1">
      <alignment horizontal="center" vertical="center"/>
      <protection hidden="1"/>
    </xf>
    <xf numFmtId="0" fontId="31" fillId="0" borderId="37" xfId="0" applyNumberFormat="1" applyFont="1" applyFill="1" applyBorder="1" applyAlignment="1" applyProtection="1">
      <alignment horizontal="center" vertical="center"/>
      <protection hidden="1"/>
    </xf>
    <xf numFmtId="0" fontId="31" fillId="0" borderId="50" xfId="0" applyNumberFormat="1" applyFont="1" applyFill="1" applyBorder="1" applyAlignment="1" applyProtection="1">
      <alignment horizontal="center" vertical="center"/>
      <protection hidden="1"/>
    </xf>
    <xf numFmtId="49" fontId="31" fillId="0" borderId="38" xfId="0" applyNumberFormat="1" applyFont="1" applyFill="1" applyBorder="1" applyAlignment="1" applyProtection="1">
      <alignment vertical="center"/>
      <protection hidden="1"/>
    </xf>
    <xf numFmtId="4" fontId="31" fillId="0" borderId="38" xfId="0" applyNumberFormat="1" applyFont="1" applyFill="1" applyBorder="1" applyAlignment="1" applyProtection="1">
      <alignment vertical="center"/>
      <protection hidden="1"/>
    </xf>
    <xf numFmtId="1" fontId="31" fillId="0" borderId="47" xfId="0" applyNumberFormat="1" applyFont="1" applyFill="1" applyBorder="1" applyAlignment="1" applyProtection="1">
      <alignment horizontal="center" vertical="center"/>
      <protection hidden="1"/>
    </xf>
    <xf numFmtId="1" fontId="31" fillId="0" borderId="57" xfId="0" applyNumberFormat="1" applyFont="1" applyFill="1" applyBorder="1" applyAlignment="1" applyProtection="1">
      <alignment horizontal="center" vertical="center"/>
      <protection hidden="1"/>
    </xf>
    <xf numFmtId="1" fontId="31" fillId="0" borderId="50" xfId="0" applyNumberFormat="1" applyFont="1" applyFill="1" applyBorder="1" applyAlignment="1" applyProtection="1">
      <alignment horizontal="center" vertical="center"/>
      <protection hidden="1"/>
    </xf>
    <xf numFmtId="0" fontId="31" fillId="0" borderId="38" xfId="0" applyNumberFormat="1" applyFont="1" applyFill="1" applyBorder="1" applyAlignment="1" applyProtection="1">
      <alignment horizontal="center" vertical="center"/>
      <protection hidden="1"/>
    </xf>
    <xf numFmtId="49" fontId="31" fillId="0" borderId="38" xfId="0" applyNumberFormat="1" applyFont="1" applyFill="1" applyBorder="1" applyAlignment="1" applyProtection="1">
      <alignment horizontal="center" vertical="center"/>
      <protection hidden="1"/>
    </xf>
    <xf numFmtId="168" fontId="31" fillId="0" borderId="38" xfId="0" applyNumberFormat="1" applyFont="1" applyFill="1" applyBorder="1" applyAlignment="1" applyProtection="1">
      <alignment horizontal="center" vertical="center"/>
      <protection hidden="1"/>
    </xf>
    <xf numFmtId="168" fontId="31" fillId="0" borderId="39" xfId="0" applyNumberFormat="1" applyFont="1" applyFill="1" applyBorder="1" applyAlignment="1" applyProtection="1">
      <alignment horizontal="center" vertical="center"/>
      <protection hidden="1"/>
    </xf>
    <xf numFmtId="0" fontId="31" fillId="0" borderId="39" xfId="0" applyFont="1" applyFill="1" applyBorder="1" applyAlignment="1" applyProtection="1">
      <alignment vertical="center"/>
      <protection hidden="1"/>
    </xf>
    <xf numFmtId="0" fontId="31" fillId="0" borderId="0" xfId="0" applyFont="1" applyFill="1" applyProtection="1">
      <protection hidden="1"/>
    </xf>
    <xf numFmtId="0" fontId="31" fillId="0" borderId="40" xfId="0" applyNumberFormat="1" applyFont="1" applyFill="1" applyBorder="1" applyAlignment="1" applyProtection="1">
      <alignment horizontal="center" vertical="center"/>
      <protection hidden="1"/>
    </xf>
    <xf numFmtId="49" fontId="31" fillId="0" borderId="51" xfId="0" applyNumberFormat="1" applyFont="1" applyFill="1" applyBorder="1" applyAlignment="1" applyProtection="1">
      <alignment horizontal="center" vertical="center"/>
      <protection hidden="1"/>
    </xf>
    <xf numFmtId="49" fontId="31" fillId="0" borderId="41" xfId="0" applyNumberFormat="1" applyFont="1" applyFill="1" applyBorder="1" applyAlignment="1" applyProtection="1">
      <alignment vertical="center"/>
      <protection hidden="1"/>
    </xf>
    <xf numFmtId="4" fontId="31" fillId="0" borderId="41" xfId="0" applyNumberFormat="1" applyFont="1" applyFill="1" applyBorder="1" applyAlignment="1" applyProtection="1">
      <alignment vertical="center"/>
      <protection hidden="1"/>
    </xf>
    <xf numFmtId="1" fontId="31" fillId="0" borderId="48" xfId="0" applyNumberFormat="1" applyFont="1" applyFill="1" applyBorder="1" applyAlignment="1" applyProtection="1">
      <alignment horizontal="center" vertical="center"/>
      <protection hidden="1"/>
    </xf>
    <xf numFmtId="1" fontId="31" fillId="0" borderId="58" xfId="0" applyNumberFormat="1" applyFont="1" applyFill="1" applyBorder="1" applyAlignment="1" applyProtection="1">
      <alignment horizontal="center" vertical="center"/>
      <protection hidden="1"/>
    </xf>
    <xf numFmtId="1" fontId="31" fillId="0" borderId="51" xfId="0" applyNumberFormat="1" applyFont="1" applyFill="1" applyBorder="1" applyAlignment="1" applyProtection="1">
      <alignment horizontal="center" vertical="center"/>
      <protection hidden="1"/>
    </xf>
    <xf numFmtId="0" fontId="31" fillId="0" borderId="41" xfId="0" applyNumberFormat="1" applyFont="1" applyFill="1" applyBorder="1" applyAlignment="1" applyProtection="1">
      <alignment horizontal="center" vertical="center"/>
      <protection hidden="1"/>
    </xf>
    <xf numFmtId="49" fontId="31" fillId="0" borderId="41" xfId="0" applyNumberFormat="1" applyFont="1" applyFill="1" applyBorder="1" applyAlignment="1" applyProtection="1">
      <alignment horizontal="center" vertical="center"/>
      <protection hidden="1"/>
    </xf>
    <xf numFmtId="168" fontId="31" fillId="0" borderId="41" xfId="0" applyNumberFormat="1" applyFont="1" applyFill="1" applyBorder="1" applyAlignment="1" applyProtection="1">
      <alignment horizontal="center" vertical="center"/>
      <protection hidden="1"/>
    </xf>
    <xf numFmtId="168" fontId="31" fillId="0" borderId="42" xfId="0" applyNumberFormat="1" applyFont="1" applyFill="1" applyBorder="1" applyAlignment="1" applyProtection="1">
      <alignment horizontal="center" vertical="center"/>
      <protection hidden="1"/>
    </xf>
    <xf numFmtId="0" fontId="31" fillId="0" borderId="42" xfId="0" applyFont="1" applyFill="1" applyBorder="1" applyAlignment="1" applyProtection="1">
      <alignment vertical="center"/>
      <protection hidden="1"/>
    </xf>
    <xf numFmtId="0" fontId="31" fillId="0" borderId="51" xfId="0" applyNumberFormat="1" applyFont="1" applyFill="1" applyBorder="1" applyAlignment="1" applyProtection="1">
      <alignment horizontal="center" vertical="center"/>
      <protection hidden="1"/>
    </xf>
    <xf numFmtId="0" fontId="31" fillId="0" borderId="64" xfId="0" applyFont="1" applyFill="1" applyBorder="1" applyAlignment="1" applyProtection="1">
      <alignment horizontal="center" vertical="center"/>
      <protection hidden="1"/>
    </xf>
    <xf numFmtId="0" fontId="31" fillId="0" borderId="43" xfId="0" applyNumberFormat="1" applyFont="1" applyFill="1" applyBorder="1" applyAlignment="1" applyProtection="1">
      <alignment horizontal="center" vertical="center"/>
      <protection hidden="1"/>
    </xf>
    <xf numFmtId="0" fontId="31" fillId="0" borderId="52" xfId="0" applyNumberFormat="1" applyFont="1" applyFill="1" applyBorder="1" applyAlignment="1" applyProtection="1">
      <alignment horizontal="center" vertical="center"/>
      <protection hidden="1"/>
    </xf>
    <xf numFmtId="49" fontId="31" fillId="0" borderId="44" xfId="0" applyNumberFormat="1" applyFont="1" applyFill="1" applyBorder="1" applyAlignment="1" applyProtection="1">
      <alignment vertical="center"/>
      <protection hidden="1"/>
    </xf>
    <xf numFmtId="4" fontId="31" fillId="0" borderId="44" xfId="0" applyNumberFormat="1" applyFont="1" applyFill="1" applyBorder="1" applyAlignment="1" applyProtection="1">
      <alignment vertical="center"/>
      <protection hidden="1"/>
    </xf>
    <xf numFmtId="1" fontId="31" fillId="0" borderId="49" xfId="0" applyNumberFormat="1" applyFont="1" applyFill="1" applyBorder="1" applyAlignment="1" applyProtection="1">
      <alignment horizontal="center" vertical="center"/>
      <protection hidden="1"/>
    </xf>
    <xf numFmtId="1" fontId="31" fillId="0" borderId="59" xfId="0" applyNumberFormat="1" applyFont="1" applyFill="1" applyBorder="1" applyAlignment="1" applyProtection="1">
      <alignment horizontal="center" vertical="center"/>
      <protection hidden="1"/>
    </xf>
    <xf numFmtId="1" fontId="31" fillId="0" borderId="52" xfId="0" applyNumberFormat="1" applyFont="1" applyFill="1" applyBorder="1" applyAlignment="1" applyProtection="1">
      <alignment horizontal="center" vertical="center"/>
      <protection hidden="1"/>
    </xf>
    <xf numFmtId="0" fontId="31" fillId="0" borderId="44" xfId="0" applyNumberFormat="1" applyFont="1" applyFill="1" applyBorder="1" applyAlignment="1" applyProtection="1">
      <alignment horizontal="center" vertical="center"/>
      <protection hidden="1"/>
    </xf>
    <xf numFmtId="49" fontId="31" fillId="0" borderId="44" xfId="0" applyNumberFormat="1" applyFont="1" applyFill="1" applyBorder="1" applyAlignment="1" applyProtection="1">
      <alignment horizontal="center" vertical="center"/>
      <protection hidden="1"/>
    </xf>
    <xf numFmtId="168" fontId="31" fillId="0" borderId="44" xfId="0" applyNumberFormat="1" applyFont="1" applyFill="1" applyBorder="1" applyAlignment="1" applyProtection="1">
      <alignment horizontal="center" vertical="center"/>
      <protection hidden="1"/>
    </xf>
    <xf numFmtId="168" fontId="31" fillId="0" borderId="45" xfId="0" applyNumberFormat="1" applyFont="1" applyFill="1" applyBorder="1" applyAlignment="1" applyProtection="1">
      <alignment horizontal="center" vertical="center"/>
      <protection hidden="1"/>
    </xf>
    <xf numFmtId="0" fontId="31" fillId="0" borderId="45" xfId="0" applyFont="1" applyFill="1" applyBorder="1" applyAlignment="1" applyProtection="1">
      <alignment vertical="center"/>
      <protection hidden="1"/>
    </xf>
    <xf numFmtId="0" fontId="31" fillId="0" borderId="84" xfId="0" applyFont="1" applyFill="1" applyBorder="1" applyAlignment="1" applyProtection="1">
      <alignment horizontal="left" vertical="center"/>
      <protection hidden="1"/>
    </xf>
    <xf numFmtId="0" fontId="31" fillId="0" borderId="84" xfId="0" applyFont="1" applyFill="1" applyBorder="1" applyAlignment="1" applyProtection="1">
      <alignment horizontal="center" vertical="center"/>
      <protection hidden="1"/>
    </xf>
    <xf numFmtId="0" fontId="31" fillId="0" borderId="84" xfId="0" applyFont="1" applyFill="1" applyBorder="1" applyAlignment="1" applyProtection="1">
      <alignment vertical="center"/>
      <protection hidden="1"/>
    </xf>
    <xf numFmtId="1" fontId="31" fillId="0" borderId="84" xfId="0" applyNumberFormat="1" applyFont="1" applyFill="1" applyBorder="1" applyAlignment="1" applyProtection="1">
      <alignment horizontal="center" vertical="center"/>
      <protection hidden="1"/>
    </xf>
    <xf numFmtId="167" fontId="31" fillId="30" borderId="0" xfId="0" applyNumberFormat="1" applyFont="1" applyFill="1" applyAlignment="1" applyProtection="1">
      <alignment horizontal="center" vertical="center"/>
      <protection hidden="1"/>
    </xf>
    <xf numFmtId="2" fontId="31" fillId="30" borderId="0" xfId="0" applyNumberFormat="1" applyFont="1" applyFill="1" applyAlignment="1" applyProtection="1">
      <alignment horizontal="center" vertical="center"/>
      <protection hidden="1"/>
    </xf>
    <xf numFmtId="49" fontId="12" fillId="0" borderId="20" xfId="0" applyNumberFormat="1" applyFont="1" applyBorder="1" applyAlignment="1" applyProtection="1">
      <alignment vertical="center"/>
      <protection locked="0"/>
    </xf>
    <xf numFmtId="49" fontId="12" fillId="0" borderId="21" xfId="0" applyNumberFormat="1" applyFont="1" applyBorder="1" applyAlignment="1" applyProtection="1">
      <alignment vertical="center"/>
      <protection locked="0"/>
    </xf>
    <xf numFmtId="49" fontId="13" fillId="1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49" fontId="11" fillId="0" borderId="0" xfId="0" applyNumberFormat="1" applyFont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4" fillId="3" borderId="19" xfId="0" applyFont="1" applyFill="1" applyBorder="1" applyAlignment="1" applyProtection="1">
      <alignment horizontal="center" vertical="center"/>
      <protection hidden="1"/>
    </xf>
    <xf numFmtId="0" fontId="14" fillId="3" borderId="2" xfId="0" applyFont="1" applyFill="1" applyBorder="1" applyAlignment="1" applyProtection="1">
      <alignment horizontal="center" vertical="center"/>
      <protection hidden="1"/>
    </xf>
    <xf numFmtId="49" fontId="11" fillId="0" borderId="0" xfId="0" applyNumberFormat="1" applyFont="1" applyProtection="1">
      <protection locked="0"/>
    </xf>
    <xf numFmtId="0" fontId="9" fillId="10" borderId="17" xfId="0" applyFont="1" applyFill="1" applyBorder="1" applyAlignment="1" applyProtection="1">
      <alignment vertical="center"/>
      <protection hidden="1"/>
    </xf>
    <xf numFmtId="0" fontId="0" fillId="15" borderId="2" xfId="0" applyFill="1" applyBorder="1" applyAlignment="1" applyProtection="1">
      <alignment horizontal="center" vertical="center" wrapText="1"/>
      <protection hidden="1"/>
    </xf>
    <xf numFmtId="0" fontId="0" fillId="15" borderId="8" xfId="0" applyFill="1" applyBorder="1" applyAlignment="1" applyProtection="1">
      <alignment horizontal="center" vertical="center" wrapText="1"/>
      <protection hidden="1"/>
    </xf>
    <xf numFmtId="0" fontId="9" fillId="14" borderId="2" xfId="0" applyFont="1" applyFill="1" applyBorder="1" applyAlignment="1" applyProtection="1">
      <alignment horizontal="center" vertical="center"/>
      <protection hidden="1"/>
    </xf>
    <xf numFmtId="0" fontId="9" fillId="14" borderId="8" xfId="0" applyFont="1" applyFill="1" applyBorder="1" applyAlignment="1" applyProtection="1">
      <alignment horizontal="center" vertical="center"/>
      <protection hidden="1"/>
    </xf>
    <xf numFmtId="49" fontId="10" fillId="0" borderId="0" xfId="0" applyNumberFormat="1" applyFont="1" applyAlignment="1" applyProtection="1">
      <alignment vertical="center"/>
      <protection locked="0"/>
    </xf>
    <xf numFmtId="0" fontId="9" fillId="7" borderId="15" xfId="0" applyFont="1" applyFill="1" applyBorder="1" applyAlignment="1" applyProtection="1">
      <alignment vertical="center"/>
      <protection hidden="1"/>
    </xf>
    <xf numFmtId="0" fontId="9" fillId="7" borderId="16" xfId="0" applyFont="1" applyFill="1" applyBorder="1" applyAlignment="1" applyProtection="1">
      <alignment vertical="center"/>
      <protection hidden="1"/>
    </xf>
    <xf numFmtId="0" fontId="9" fillId="10" borderId="18" xfId="0" applyFont="1" applyFill="1" applyBorder="1" applyAlignment="1" applyProtection="1">
      <alignment vertical="center"/>
      <protection hidden="1"/>
    </xf>
    <xf numFmtId="0" fontId="14" fillId="14" borderId="2" xfId="0" applyFont="1" applyFill="1" applyBorder="1" applyAlignment="1" applyProtection="1">
      <alignment horizontal="center" vertical="center"/>
      <protection hidden="1"/>
    </xf>
    <xf numFmtId="0" fontId="14" fillId="14" borderId="8" xfId="0" applyFont="1" applyFill="1" applyBorder="1" applyAlignment="1" applyProtection="1">
      <alignment horizontal="center" vertical="center"/>
      <protection hidden="1"/>
    </xf>
    <xf numFmtId="165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9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65" fontId="11" fillId="15" borderId="8" xfId="0" applyNumberFormat="1" applyFont="1" applyFill="1" applyBorder="1" applyAlignment="1" applyProtection="1">
      <alignment horizontal="center" vertical="center"/>
      <protection locked="0"/>
    </xf>
    <xf numFmtId="0" fontId="0" fillId="14" borderId="2" xfId="0" applyFill="1" applyBorder="1" applyAlignment="1" applyProtection="1">
      <alignment horizontal="center" vertical="center"/>
      <protection hidden="1"/>
    </xf>
    <xf numFmtId="0" fontId="0" fillId="14" borderId="8" xfId="0" applyFill="1" applyBorder="1" applyAlignment="1" applyProtection="1">
      <alignment horizontal="center" vertical="center"/>
      <protection hidden="1"/>
    </xf>
    <xf numFmtId="0" fontId="0" fillId="14" borderId="9" xfId="0" applyFill="1" applyBorder="1" applyAlignment="1" applyProtection="1">
      <alignment horizontal="center" vertical="center"/>
      <protection hidden="1"/>
    </xf>
    <xf numFmtId="49" fontId="11" fillId="0" borderId="22" xfId="0" applyNumberFormat="1" applyFont="1" applyBorder="1" applyAlignment="1" applyProtection="1">
      <alignment vertical="center"/>
      <protection locked="0"/>
    </xf>
    <xf numFmtId="49" fontId="11" fillId="0" borderId="23" xfId="0" applyNumberFormat="1" applyFont="1" applyBorder="1" applyAlignment="1" applyProtection="1">
      <alignment vertical="center"/>
      <protection locked="0"/>
    </xf>
    <xf numFmtId="49" fontId="11" fillId="0" borderId="22" xfId="0" applyNumberFormat="1" applyFont="1" applyBorder="1" applyProtection="1">
      <protection locked="0"/>
    </xf>
    <xf numFmtId="0" fontId="11" fillId="16" borderId="2" xfId="0" applyFont="1" applyFill="1" applyBorder="1" applyAlignment="1" applyProtection="1">
      <alignment horizontal="center" vertical="center" wrapText="1"/>
      <protection hidden="1"/>
    </xf>
    <xf numFmtId="0" fontId="11" fillId="16" borderId="19" xfId="0" applyFont="1" applyFill="1" applyBorder="1" applyAlignment="1" applyProtection="1">
      <alignment horizontal="center" vertical="center"/>
      <protection locked="0"/>
    </xf>
    <xf numFmtId="0" fontId="11" fillId="16" borderId="19" xfId="0" quotePrefix="1" applyFont="1" applyFill="1" applyBorder="1" applyAlignment="1" applyProtection="1">
      <alignment horizontal="center" vertical="center"/>
      <protection locked="0"/>
    </xf>
    <xf numFmtId="0" fontId="11" fillId="15" borderId="2" xfId="0" applyFont="1" applyFill="1" applyBorder="1" applyAlignment="1" applyProtection="1">
      <alignment horizontal="center" vertical="center" wrapText="1"/>
      <protection locked="0"/>
    </xf>
    <xf numFmtId="0" fontId="11" fillId="15" borderId="2" xfId="0" applyFont="1" applyFill="1" applyBorder="1" applyAlignment="1" applyProtection="1">
      <alignment horizontal="center" vertical="center"/>
      <protection locked="0"/>
    </xf>
    <xf numFmtId="0" fontId="11" fillId="16" borderId="8" xfId="0" applyFont="1" applyFill="1" applyBorder="1" applyAlignment="1" applyProtection="1">
      <alignment horizontal="center" vertical="center"/>
      <protection hidden="1"/>
    </xf>
    <xf numFmtId="0" fontId="11" fillId="16" borderId="19" xfId="0" applyFont="1" applyFill="1" applyBorder="1" applyAlignment="1" applyProtection="1">
      <alignment horizontal="center" vertical="center"/>
      <protection hidden="1"/>
    </xf>
    <xf numFmtId="0" fontId="0" fillId="15" borderId="9" xfId="0" applyFill="1" applyBorder="1" applyAlignment="1" applyProtection="1">
      <alignment horizontal="center" vertical="center" wrapText="1"/>
      <protection hidden="1"/>
    </xf>
    <xf numFmtId="0" fontId="0" fillId="6" borderId="0" xfId="0" applyFill="1" applyAlignment="1" applyProtection="1">
      <alignment horizontal="center" vertical="center" textRotation="90"/>
      <protection hidden="1"/>
    </xf>
    <xf numFmtId="0" fontId="0" fillId="6" borderId="9" xfId="0" applyFill="1" applyBorder="1" applyAlignment="1" applyProtection="1">
      <alignment horizontal="center" vertical="center"/>
      <protection hidden="1"/>
    </xf>
    <xf numFmtId="0" fontId="0" fillId="6" borderId="13" xfId="0" applyFill="1" applyBorder="1" applyAlignment="1" applyProtection="1">
      <alignment horizontal="center" vertical="center"/>
      <protection hidden="1"/>
    </xf>
    <xf numFmtId="0" fontId="0" fillId="6" borderId="0" xfId="0" applyFill="1" applyBorder="1" applyAlignment="1" applyProtection="1">
      <alignment horizontal="center" vertical="center"/>
      <protection hidden="1"/>
    </xf>
    <xf numFmtId="0" fontId="0" fillId="6" borderId="7" xfId="0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horizontal="center" vertical="center"/>
      <protection hidden="1"/>
    </xf>
    <xf numFmtId="0" fontId="0" fillId="6" borderId="12" xfId="0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0" fillId="6" borderId="8" xfId="0" applyFont="1" applyFill="1" applyBorder="1" applyAlignment="1" applyProtection="1">
      <alignment horizontal="center" vertical="center" wrapText="1"/>
      <protection hidden="1"/>
    </xf>
    <xf numFmtId="0" fontId="0" fillId="6" borderId="0" xfId="0" applyFill="1" applyAlignment="1" applyProtection="1">
      <alignment horizontal="center"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5" fillId="19" borderId="69" xfId="0" applyFont="1" applyFill="1" applyBorder="1" applyAlignment="1" applyProtection="1">
      <alignment vertical="center"/>
      <protection hidden="1"/>
    </xf>
    <xf numFmtId="0" fontId="5" fillId="19" borderId="2" xfId="0" applyFont="1" applyFill="1" applyBorder="1" applyAlignment="1" applyProtection="1">
      <alignment vertical="center"/>
      <protection hidden="1"/>
    </xf>
    <xf numFmtId="0" fontId="5" fillId="19" borderId="68" xfId="0" applyFont="1" applyFill="1" applyBorder="1" applyAlignment="1" applyProtection="1">
      <alignment vertical="center"/>
      <protection hidden="1"/>
    </xf>
    <xf numFmtId="0" fontId="5" fillId="19" borderId="9" xfId="0" applyFont="1" applyFill="1" applyBorder="1" applyAlignment="1" applyProtection="1">
      <alignment vertical="center"/>
      <protection hidden="1"/>
    </xf>
    <xf numFmtId="0" fontId="15" fillId="12" borderId="29" xfId="0" applyFont="1" applyFill="1" applyBorder="1" applyAlignment="1" applyProtection="1">
      <alignment horizontal="center" vertical="center"/>
      <protection hidden="1"/>
    </xf>
    <xf numFmtId="1" fontId="15" fillId="19" borderId="0" xfId="0" applyNumberFormat="1" applyFont="1" applyFill="1" applyBorder="1" applyAlignment="1" applyProtection="1">
      <alignment horizontal="right" vertical="center" indent="1"/>
      <protection locked="0" hidden="1"/>
    </xf>
    <xf numFmtId="1" fontId="15" fillId="19" borderId="24" xfId="0" applyNumberFormat="1" applyFont="1" applyFill="1" applyBorder="1" applyAlignment="1" applyProtection="1">
      <alignment horizontal="right" vertical="center" indent="1"/>
      <protection locked="0" hidden="1"/>
    </xf>
    <xf numFmtId="0" fontId="15" fillId="21" borderId="27" xfId="0" applyFont="1" applyFill="1" applyBorder="1" applyAlignment="1" applyProtection="1">
      <alignment horizontal="center" vertical="center"/>
      <protection hidden="1"/>
    </xf>
    <xf numFmtId="0" fontId="15" fillId="22" borderId="28" xfId="0" applyFont="1" applyFill="1" applyBorder="1" applyAlignment="1" applyProtection="1">
      <alignment horizontal="center" vertical="center"/>
      <protection hidden="1"/>
    </xf>
    <xf numFmtId="0" fontId="0" fillId="18" borderId="24" xfId="0" applyFill="1" applyBorder="1" applyAlignment="1" applyProtection="1">
      <alignment horizontal="right" vertical="center" wrapText="1"/>
      <protection hidden="1"/>
    </xf>
    <xf numFmtId="0" fontId="0" fillId="18" borderId="26" xfId="0" applyFill="1" applyBorder="1" applyAlignment="1" applyProtection="1">
      <alignment horizontal="right" vertical="center" wrapText="1"/>
      <protection hidden="1"/>
    </xf>
    <xf numFmtId="0" fontId="0" fillId="18" borderId="26" xfId="0" applyFill="1" applyBorder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left" vertical="center" indent="4"/>
      <protection hidden="1"/>
    </xf>
    <xf numFmtId="0" fontId="0" fillId="18" borderId="25" xfId="0" applyFill="1" applyBorder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4" fontId="0" fillId="0" borderId="46" xfId="0" applyNumberFormat="1" applyBorder="1" applyAlignment="1" applyProtection="1">
      <alignment horizontal="right" vertical="center"/>
      <protection hidden="1"/>
    </xf>
    <xf numFmtId="0" fontId="0" fillId="0" borderId="32" xfId="0" applyBorder="1" applyAlignment="1" applyProtection="1">
      <alignment horizontal="center" vertical="center"/>
      <protection hidden="1"/>
    </xf>
    <xf numFmtId="0" fontId="0" fillId="0" borderId="33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vertical="center"/>
      <protection hidden="1"/>
    </xf>
    <xf numFmtId="0" fontId="3" fillId="26" borderId="0" xfId="0" applyFont="1" applyFill="1" applyAlignment="1" applyProtection="1">
      <alignment horizontal="center" vertical="center"/>
      <protection hidden="1"/>
    </xf>
    <xf numFmtId="0" fontId="5" fillId="28" borderId="2" xfId="0" applyFont="1" applyFill="1" applyBorder="1" applyAlignment="1" applyProtection="1">
      <alignment horizontal="center" vertical="center"/>
      <protection hidden="1"/>
    </xf>
    <xf numFmtId="0" fontId="5" fillId="28" borderId="2" xfId="0" applyFont="1" applyFill="1" applyBorder="1" applyAlignment="1" applyProtection="1">
      <alignment horizontal="center" vertical="center" wrapText="1"/>
      <protection hidden="1"/>
    </xf>
    <xf numFmtId="0" fontId="5" fillId="28" borderId="8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3" fontId="18" fillId="0" borderId="0" xfId="0" applyNumberFormat="1" applyFont="1" applyAlignment="1" applyProtection="1">
      <alignment horizontal="center" vertical="center"/>
      <protection hidden="1"/>
    </xf>
    <xf numFmtId="0" fontId="0" fillId="23" borderId="9" xfId="0" applyFill="1" applyBorder="1" applyAlignment="1" applyProtection="1">
      <alignment horizontal="right" vertical="center"/>
      <protection hidden="1"/>
    </xf>
    <xf numFmtId="0" fontId="0" fillId="23" borderId="2" xfId="0" applyFill="1" applyBorder="1" applyAlignment="1" applyProtection="1">
      <alignment horizontal="right" vertical="center"/>
      <protection hidden="1"/>
    </xf>
    <xf numFmtId="0" fontId="5" fillId="27" borderId="0" xfId="0" applyFont="1" applyFill="1" applyAlignment="1" applyProtection="1">
      <alignment horizontal="center" vertical="center" wrapText="1"/>
      <protection hidden="1"/>
    </xf>
    <xf numFmtId="0" fontId="5" fillId="28" borderId="2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5" fillId="28" borderId="9" xfId="0" applyFont="1" applyFill="1" applyBorder="1" applyAlignment="1" applyProtection="1">
      <alignment horizontal="center" vertical="center" wrapText="1"/>
      <protection hidden="1"/>
    </xf>
    <xf numFmtId="0" fontId="0" fillId="23" borderId="0" xfId="0" applyFill="1" applyBorder="1" applyAlignment="1" applyProtection="1">
      <alignment horizontal="right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4" fillId="0" borderId="32" xfId="0" applyFont="1" applyFill="1" applyBorder="1" applyAlignment="1" applyProtection="1">
      <alignment vertical="center"/>
      <protection hidden="1"/>
    </xf>
    <xf numFmtId="0" fontId="4" fillId="0" borderId="34" xfId="0" applyFont="1" applyFill="1" applyBorder="1" applyAlignment="1" applyProtection="1">
      <alignment vertical="center"/>
      <protection hidden="1"/>
    </xf>
    <xf numFmtId="0" fontId="32" fillId="0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Fill="1" applyAlignment="1" applyProtection="1">
      <alignment horizontal="center" vertical="center" wrapText="1"/>
      <protection hidden="1"/>
    </xf>
    <xf numFmtId="0" fontId="32" fillId="0" borderId="0" xfId="0" applyFont="1" applyFill="1" applyAlignment="1" applyProtection="1">
      <alignment horizontal="center" vertical="center"/>
      <protection hidden="1"/>
    </xf>
    <xf numFmtId="0" fontId="4" fillId="0" borderId="32" xfId="0" applyFont="1" applyFill="1" applyBorder="1" applyAlignment="1" applyProtection="1">
      <alignment horizontal="center" vertical="center"/>
      <protection hidden="1"/>
    </xf>
    <xf numFmtId="0" fontId="4" fillId="0" borderId="34" xfId="0" applyFont="1" applyFill="1" applyBorder="1" applyAlignment="1" applyProtection="1">
      <alignment horizontal="center" vertical="center"/>
      <protection hidden="1"/>
    </xf>
    <xf numFmtId="0" fontId="4" fillId="0" borderId="32" xfId="0" applyFont="1" applyFill="1" applyBorder="1" applyAlignment="1" applyProtection="1">
      <alignment horizontal="center" vertical="center" wrapText="1"/>
      <protection hidden="1"/>
    </xf>
    <xf numFmtId="0" fontId="4" fillId="0" borderId="34" xfId="0" applyFont="1" applyFill="1" applyBorder="1" applyAlignment="1" applyProtection="1">
      <alignment horizontal="center" vertical="center" wrapText="1"/>
      <protection hidden="1"/>
    </xf>
    <xf numFmtId="49" fontId="33" fillId="0" borderId="0" xfId="0" applyNumberFormat="1" applyFont="1" applyFill="1" applyAlignment="1" applyProtection="1">
      <alignment vertical="center"/>
      <protection hidden="1"/>
    </xf>
    <xf numFmtId="49" fontId="32" fillId="0" borderId="0" xfId="0" applyNumberFormat="1" applyFont="1" applyFill="1" applyAlignment="1" applyProtection="1">
      <alignment vertical="center"/>
      <protection hidden="1"/>
    </xf>
    <xf numFmtId="0" fontId="32" fillId="0" borderId="0" xfId="0" applyFont="1" applyFill="1" applyAlignment="1" applyProtection="1">
      <alignment vertical="center"/>
      <protection hidden="1"/>
    </xf>
    <xf numFmtId="0" fontId="33" fillId="0" borderId="0" xfId="0" applyFont="1" applyFill="1" applyAlignment="1" applyProtection="1">
      <alignment horizontal="center" vertical="center"/>
      <protection hidden="1"/>
    </xf>
    <xf numFmtId="3" fontId="34" fillId="0" borderId="0" xfId="0" applyNumberFormat="1" applyFont="1" applyFill="1" applyAlignment="1" applyProtection="1">
      <alignment horizontal="center" vertical="center"/>
      <protection hidden="1"/>
    </xf>
    <xf numFmtId="0" fontId="34" fillId="0" borderId="0" xfId="0" applyFont="1" applyFill="1" applyAlignment="1" applyProtection="1">
      <alignment horizontal="center" vertical="center"/>
      <protection hidden="1"/>
    </xf>
    <xf numFmtId="0" fontId="0" fillId="29" borderId="0" xfId="0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horizontal="center" vertical="center"/>
      <protection hidden="1"/>
    </xf>
    <xf numFmtId="0" fontId="17" fillId="29" borderId="0" xfId="0" applyFont="1" applyFill="1" applyBorder="1" applyAlignment="1" applyProtection="1">
      <alignment horizontal="center" vertical="center"/>
      <protection hidden="1"/>
    </xf>
    <xf numFmtId="0" fontId="5" fillId="29" borderId="0" xfId="0" applyFont="1" applyFill="1" applyAlignment="1" applyProtection="1">
      <alignment horizontal="center" vertical="center" wrapText="1"/>
      <protection hidden="1"/>
    </xf>
    <xf numFmtId="0" fontId="5" fillId="29" borderId="0" xfId="0" applyFont="1" applyFill="1" applyAlignment="1" applyProtection="1">
      <alignment horizontal="center" vertical="center"/>
      <protection hidden="1"/>
    </xf>
    <xf numFmtId="0" fontId="5" fillId="0" borderId="32" xfId="0" applyFont="1" applyBorder="1" applyAlignment="1" applyProtection="1">
      <alignment horizontal="center" vertical="center"/>
      <protection hidden="1"/>
    </xf>
    <xf numFmtId="0" fontId="5" fillId="0" borderId="34" xfId="0" applyFont="1" applyBorder="1" applyAlignment="1" applyProtection="1">
      <alignment horizontal="center" vertical="center"/>
      <protection hidden="1"/>
    </xf>
    <xf numFmtId="0" fontId="5" fillId="0" borderId="32" xfId="0" applyFont="1" applyBorder="1" applyAlignment="1" applyProtection="1">
      <alignment vertical="center"/>
      <protection hidden="1"/>
    </xf>
    <xf numFmtId="0" fontId="5" fillId="0" borderId="34" xfId="0" applyFont="1" applyBorder="1" applyAlignment="1" applyProtection="1">
      <alignment vertical="center"/>
      <protection hidden="1"/>
    </xf>
    <xf numFmtId="0" fontId="5" fillId="0" borderId="32" xfId="0" applyFont="1" applyBorder="1" applyAlignment="1" applyProtection="1">
      <alignment horizontal="center" vertical="center" wrapText="1"/>
      <protection hidden="1"/>
    </xf>
    <xf numFmtId="0" fontId="5" fillId="0" borderId="34" xfId="0" applyFont="1" applyBorder="1" applyAlignment="1" applyProtection="1">
      <alignment horizontal="center" vertical="center" wrapText="1"/>
      <protection hidden="1"/>
    </xf>
  </cellXfs>
  <cellStyles count="7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" xfId="4" builtinId="5"/>
    <cellStyle name="Percent 2" xfId="6" xr:uid="{00000000-0005-0000-0000-000006000000}"/>
  </cellStyles>
  <dxfs count="168">
    <dxf>
      <font>
        <color theme="0"/>
      </font>
      <fill>
        <patternFill patternType="none">
          <bgColor auto="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b/>
        <i val="0"/>
        <color rgb="FFC00000"/>
      </font>
    </dxf>
    <dxf>
      <font>
        <b/>
        <i val="0"/>
        <color rgb="FFC00000"/>
      </font>
    </dxf>
    <dxf>
      <font>
        <color theme="0"/>
      </font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border>
        <bottom/>
        <vertical/>
        <horizontal/>
      </border>
    </dxf>
    <dxf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font>
        <color theme="0"/>
      </font>
      <border>
        <top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  <vertical/>
        <horizontal/>
      </border>
    </dxf>
    <dxf>
      <border>
        <bottom/>
        <vertical/>
        <horizontal/>
      </border>
    </dxf>
    <dxf>
      <border>
        <top/>
        <vertical/>
        <horizontal/>
      </border>
    </dxf>
    <dxf>
      <border>
        <bottom/>
        <vertical/>
        <horizontal/>
      </border>
    </dxf>
    <dxf>
      <font>
        <color theme="0"/>
      </font>
      <border>
        <top/>
      </border>
    </dxf>
    <dxf>
      <border>
        <bottom/>
      </border>
    </dxf>
    <dxf>
      <font>
        <color theme="0"/>
      </font>
      <border>
        <top/>
      </border>
    </dxf>
    <dxf>
      <border>
        <bottom/>
      </border>
    </dxf>
    <dxf>
      <border>
        <bottom/>
        <vertical/>
        <horizontal/>
      </border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ont>
        <b/>
        <i val="0"/>
        <color rgb="FF008000"/>
      </font>
    </dxf>
    <dxf>
      <font>
        <b val="0"/>
        <i val="0"/>
        <color rgb="FFFF0000"/>
      </font>
    </dxf>
    <dxf>
      <font>
        <b/>
        <i val="0"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indexed="9"/>
      </font>
      <fill>
        <patternFill>
          <bgColor indexed="8"/>
        </patternFill>
      </fill>
      <border>
        <top style="thin">
          <color indexed="9"/>
        </top>
        <bottom style="thin">
          <color indexed="9"/>
        </bottom>
      </border>
    </dxf>
    <dxf>
      <font>
        <condense val="0"/>
        <extend val="0"/>
        <color indexed="55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mruColors>
      <color rgb="FF008000"/>
      <color rgb="FFF3E591"/>
      <color rgb="FFCCF5BD"/>
      <color rgb="FFE0F9D7"/>
      <color rgb="FFE5F3F7"/>
      <color rgb="FFFF66FF"/>
      <color rgb="FFFF99FF"/>
      <color rgb="FF9DEB81"/>
      <color rgb="FFFFE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0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PSY_CHART_LINES!$E$8</c:f>
          <c:strCache>
            <c:ptCount val="1"/>
            <c:pt idx="0">
              <c:v>Carta psicrométrica</c:v>
            </c:pt>
          </c:strCache>
        </c:strRef>
      </c:tx>
      <c:layout>
        <c:manualLayout>
          <c:xMode val="edge"/>
          <c:yMode val="edge"/>
          <c:x val="1.8754251759011048E-2"/>
          <c:y val="3.00401125432992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70"/>
          <c:order val="0"/>
          <c:tx>
            <c:v>Saturation</c:v>
          </c:tx>
          <c:spPr>
            <a:ln w="12700"/>
          </c:spPr>
          <c:marker>
            <c:symbol val="none"/>
          </c:marker>
          <c:xVal>
            <c:numRef>
              <c:f>THERMO_WATER_SAT!$A$15:$A$103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THERMO_WATER_SAT!$D$15:$D$103</c:f>
              <c:numCache>
                <c:formatCode>0.0000000</c:formatCode>
                <c:ptCount val="89"/>
                <c:pt idx="0">
                  <c:v>3.7744534370573114E-3</c:v>
                </c:pt>
                <c:pt idx="1">
                  <c:v>3.9305191762292928E-3</c:v>
                </c:pt>
                <c:pt idx="2">
                  <c:v>4.0923256980786747E-3</c:v>
                </c:pt>
                <c:pt idx="3">
                  <c:v>4.2600580037481708E-3</c:v>
                </c:pt>
                <c:pt idx="4">
                  <c:v>4.4339062835915145E-3</c:v>
                </c:pt>
                <c:pt idx="5">
                  <c:v>4.6140660497391876E-3</c:v>
                </c:pt>
                <c:pt idx="6">
                  <c:v>4.8007382724371628E-3</c:v>
                </c:pt>
                <c:pt idx="7">
                  <c:v>4.9941295203131536E-3</c:v>
                </c:pt>
                <c:pt idx="8">
                  <c:v>5.1944521047341524E-3</c:v>
                </c:pt>
                <c:pt idx="9">
                  <c:v>5.4019242284255318E-3</c:v>
                </c:pt>
                <c:pt idx="10">
                  <c:v>5.6167701385320887E-3</c:v>
                </c:pt>
                <c:pt idx="11">
                  <c:v>5.8392202843114928E-3</c:v>
                </c:pt>
                <c:pt idx="12">
                  <c:v>6.0695114796581844E-3</c:v>
                </c:pt>
                <c:pt idx="13">
                  <c:v>6.3078870706696974E-3</c:v>
                </c:pt>
                <c:pt idx="14">
                  <c:v>6.5545971084741191E-3</c:v>
                </c:pt>
                <c:pt idx="15">
                  <c:v>6.8098985275542451E-3</c:v>
                </c:pt>
                <c:pt idx="16">
                  <c:v>7.0740553298106155E-3</c:v>
                </c:pt>
                <c:pt idx="17">
                  <c:v>7.3473387746228946E-3</c:v>
                </c:pt>
                <c:pt idx="18">
                  <c:v>7.6300275751821269E-3</c:v>
                </c:pt>
                <c:pt idx="19">
                  <c:v>7.9224081013770393E-3</c:v>
                </c:pt>
                <c:pt idx="20">
                  <c:v>8.2247745895388472E-3</c:v>
                </c:pt>
                <c:pt idx="21">
                  <c:v>8.537429359360086E-3</c:v>
                </c:pt>
                <c:pt idx="22">
                  <c:v>8.8606830383218104E-3</c:v>
                </c:pt>
                <c:pt idx="23">
                  <c:v>9.1948547939831385E-3</c:v>
                </c:pt>
                <c:pt idx="24">
                  <c:v>9.5402725745014905E-3</c:v>
                </c:pt>
                <c:pt idx="25">
                  <c:v>9.897273357778659E-3</c:v>
                </c:pt>
                <c:pt idx="26">
                  <c:v>1.0266203409642282E-2</c:v>
                </c:pt>
                <c:pt idx="27">
                  <c:v>1.064741855149774E-2</c:v>
                </c:pt>
                <c:pt idx="28">
                  <c:v>1.1041284437913019E-2</c:v>
                </c:pt>
                <c:pt idx="29">
                  <c:v>1.1448176844614608E-2</c:v>
                </c:pt>
                <c:pt idx="30">
                  <c:v>1.1868481967410062E-2</c:v>
                </c:pt>
                <c:pt idx="31">
                  <c:v>1.2302596732573988E-2</c:v>
                </c:pt>
                <c:pt idx="32">
                  <c:v>1.275092911926486E-2</c:v>
                </c:pt>
                <c:pt idx="33">
                  <c:v>1.321389849457626E-2</c:v>
                </c:pt>
                <c:pt idx="34">
                  <c:v>1.3691935961852393E-2</c:v>
                </c:pt>
                <c:pt idx="35">
                  <c:v>1.4185484722943261E-2</c:v>
                </c:pt>
                <c:pt idx="36">
                  <c:v>1.4695000455099619E-2</c:v>
                </c:pt>
                <c:pt idx="37">
                  <c:v>1.5220951703263479E-2</c:v>
                </c:pt>
                <c:pt idx="38">
                  <c:v>1.5763820288538288E-2</c:v>
                </c:pt>
                <c:pt idx="39">
                  <c:v>1.6324101733679396E-2</c:v>
                </c:pt>
                <c:pt idx="40">
                  <c:v>1.6902305706486258E-2</c:v>
                </c:pt>
                <c:pt idx="41">
                  <c:v>1.749895648203224E-2</c:v>
                </c:pt>
                <c:pt idx="42">
                  <c:v>1.8114593424726634E-2</c:v>
                </c:pt>
                <c:pt idx="43">
                  <c:v>1.874977149125126E-2</c:v>
                </c:pt>
                <c:pt idx="44">
                  <c:v>1.9405061755487025E-2</c:v>
                </c:pt>
                <c:pt idx="45">
                  <c:v>2.0081051956607816E-2</c:v>
                </c:pt>
                <c:pt idx="46">
                  <c:v>2.0778347071584206E-2</c:v>
                </c:pt>
                <c:pt idx="47">
                  <c:v>2.1497569913428213E-2</c:v>
                </c:pt>
                <c:pt idx="48">
                  <c:v>2.2239361756574878E-2</c:v>
                </c:pt>
                <c:pt idx="49">
                  <c:v>2.3004382990893742E-2</c:v>
                </c:pt>
                <c:pt idx="50">
                  <c:v>2.3793313805911352E-2</c:v>
                </c:pt>
                <c:pt idx="51">
                  <c:v>2.4606854906923388E-2</c:v>
                </c:pt>
                <c:pt idx="52">
                  <c:v>2.544572826477946E-2</c:v>
                </c:pt>
                <c:pt idx="53">
                  <c:v>2.6310677901240059E-2</c:v>
                </c:pt>
                <c:pt idx="54">
                  <c:v>2.7202470711919006E-2</c:v>
                </c:pt>
                <c:pt idx="55">
                  <c:v>2.812189732896285E-2</c:v>
                </c:pt>
                <c:pt idx="56">
                  <c:v>2.9069773025744206E-2</c:v>
                </c:pt>
                <c:pt idx="57">
                  <c:v>3.0046938666008372E-2</c:v>
                </c:pt>
                <c:pt idx="58">
                  <c:v>3.1054261700060724E-2</c:v>
                </c:pt>
                <c:pt idx="59">
                  <c:v>3.2092637210761416E-2</c:v>
                </c:pt>
                <c:pt idx="60">
                  <c:v>3.3162989012273672E-2</c:v>
                </c:pt>
                <c:pt idx="61">
                  <c:v>3.4266270804702993E-2</c:v>
                </c:pt>
                <c:pt idx="62">
                  <c:v>3.5403467387999377E-2</c:v>
                </c:pt>
                <c:pt idx="63">
                  <c:v>3.6575595938695249E-2</c:v>
                </c:pt>
                <c:pt idx="64">
                  <c:v>3.7783707353319089E-2</c:v>
                </c:pt>
                <c:pt idx="65">
                  <c:v>3.9028887662583063E-2</c:v>
                </c:pt>
                <c:pt idx="66">
                  <c:v>4.0312259520730129E-2</c:v>
                </c:pt>
                <c:pt idx="67">
                  <c:v>4.1634983774737212E-2</c:v>
                </c:pt>
                <c:pt idx="68">
                  <c:v>4.2998261118408897E-2</c:v>
                </c:pt>
                <c:pt idx="69">
                  <c:v>4.4403333836748195E-2</c:v>
                </c:pt>
                <c:pt idx="70">
                  <c:v>4.5851487646390597E-2</c:v>
                </c:pt>
                <c:pt idx="71">
                  <c:v>4.7344053638317452E-2</c:v>
                </c:pt>
                <c:pt idx="72">
                  <c:v>4.8882410329501663E-2</c:v>
                </c:pt>
                <c:pt idx="73">
                  <c:v>5.0467985830663357E-2</c:v>
                </c:pt>
                <c:pt idx="74">
                  <c:v>5.2102260137830571E-2</c:v>
                </c:pt>
                <c:pt idx="75">
                  <c:v>5.3786767556001501E-2</c:v>
                </c:pt>
                <c:pt idx="76">
                  <c:v>5.5523099263832386E-2</c:v>
                </c:pt>
                <c:pt idx="77">
                  <c:v>5.7312906028974576E-2</c:v>
                </c:pt>
                <c:pt idx="78">
                  <c:v>5.9157901084424029E-2</c:v>
                </c:pt>
                <c:pt idx="79">
                  <c:v>6.1059863177093908E-2</c:v>
                </c:pt>
                <c:pt idx="80">
                  <c:v>6.3020639800680595E-2</c:v>
                </c:pt>
                <c:pt idx="81">
                  <c:v>6.5042150625902115E-2</c:v>
                </c:pt>
                <c:pt idx="82">
                  <c:v>6.7126391142225253E-2</c:v>
                </c:pt>
                <c:pt idx="83">
                  <c:v>6.9275436526392786E-2</c:v>
                </c:pt>
                <c:pt idx="84">
                  <c:v>7.1491445754293892E-2</c:v>
                </c:pt>
                <c:pt idx="85">
                  <c:v>7.3776665974170846E-2</c:v>
                </c:pt>
                <c:pt idx="86">
                  <c:v>7.6133437160619349E-2</c:v>
                </c:pt>
                <c:pt idx="87">
                  <c:v>7.8564197070571662E-2</c:v>
                </c:pt>
                <c:pt idx="88">
                  <c:v>8.1071486524262604E-2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6-D54C-4618-9C7B-00C9B5BBCA2D}"/>
            </c:ext>
          </c:extLst>
        </c:ser>
        <c:ser>
          <c:idx val="71"/>
          <c:order val="1"/>
          <c:tx>
            <c:v>0.002</c:v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PSY_CHART_LINES!$A$4:$A$5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PSY_CHART_LINES!$B$4:$B$5</c:f>
              <c:numCache>
                <c:formatCode>General</c:formatCode>
                <c:ptCount val="2"/>
                <c:pt idx="0">
                  <c:v>2E-3</c:v>
                </c:pt>
                <c:pt idx="1">
                  <c:v>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7-D54C-4618-9C7B-00C9B5BBCA2D}"/>
            </c:ext>
          </c:extLst>
        </c:ser>
        <c:ser>
          <c:idx val="72"/>
          <c:order val="2"/>
          <c:tx>
            <c:strRef>
              <c:f>PSY_CHART_LINES!$B$6</c:f>
              <c:strCache>
                <c:ptCount val="1"/>
                <c:pt idx="0">
                  <c:v>0.004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PSY_CHART_LINES!$A$6:$A$7</c:f>
              <c:numCache>
                <c:formatCode>General</c:formatCode>
                <c:ptCount val="2"/>
                <c:pt idx="0">
                  <c:v>33.405316924704131</c:v>
                </c:pt>
                <c:pt idx="1">
                  <c:v>120</c:v>
                </c:pt>
              </c:numCache>
            </c:numRef>
          </c:xVal>
          <c:yVal>
            <c:numRef>
              <c:f>PSY_CHART_LINES!$B$6:$B$7</c:f>
              <c:numCache>
                <c:formatCode>General</c:formatCode>
                <c:ptCount val="2"/>
                <c:pt idx="0">
                  <c:v>4.0000000000000001E-3</c:v>
                </c:pt>
                <c:pt idx="1">
                  <c:v>4.0000000000000001E-3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8-D54C-4618-9C7B-00C9B5BBCA2D}"/>
            </c:ext>
          </c:extLst>
        </c:ser>
        <c:ser>
          <c:idx val="73"/>
          <c:order val="3"/>
          <c:tx>
            <c:strRef>
              <c:f>PSY_CHART_LINES!$B$8</c:f>
              <c:strCache>
                <c:ptCount val="1"/>
                <c:pt idx="0">
                  <c:v>0.006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PSY_CHART_LINES!$A$8:$A$9</c:f>
              <c:numCache>
                <c:formatCode>General</c:formatCode>
                <c:ptCount val="2"/>
                <c:pt idx="0">
                  <c:v>43.750685644415476</c:v>
                </c:pt>
                <c:pt idx="1">
                  <c:v>120</c:v>
                </c:pt>
              </c:numCache>
            </c:numRef>
          </c:xVal>
          <c:yVal>
            <c:numRef>
              <c:f>PSY_CHART_LINES!$B$8:$B$9</c:f>
              <c:numCache>
                <c:formatCode>General</c:formatCode>
                <c:ptCount val="2"/>
                <c:pt idx="0">
                  <c:v>6.0000000000000001E-3</c:v>
                </c:pt>
                <c:pt idx="1">
                  <c:v>6.0000000000000001E-3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9-D54C-4618-9C7B-00C9B5BBCA2D}"/>
            </c:ext>
          </c:extLst>
        </c:ser>
        <c:ser>
          <c:idx val="74"/>
          <c:order val="4"/>
          <c:tx>
            <c:strRef>
              <c:f>PSY_CHART_LINES!$B$10</c:f>
              <c:strCache>
                <c:ptCount val="1"/>
                <c:pt idx="0">
                  <c:v>0.008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PSY_CHART_LINES!$A$10:$A$11</c:f>
              <c:numCache>
                <c:formatCode>General</c:formatCode>
                <c:ptCount val="2"/>
                <c:pt idx="0">
                  <c:v>51.32309587203374</c:v>
                </c:pt>
                <c:pt idx="1">
                  <c:v>120</c:v>
                </c:pt>
              </c:numCache>
            </c:numRef>
          </c:xVal>
          <c:yVal>
            <c:numRef>
              <c:f>PSY_CHART_LINES!$B$10:$B$11</c:f>
              <c:numCache>
                <c:formatCode>General</c:formatCode>
                <c:ptCount val="2"/>
                <c:pt idx="0">
                  <c:v>8.0000000000000002E-3</c:v>
                </c:pt>
                <c:pt idx="1">
                  <c:v>8.0000000000000002E-3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A-D54C-4618-9C7B-00C9B5BBCA2D}"/>
            </c:ext>
          </c:extLst>
        </c:ser>
        <c:ser>
          <c:idx val="75"/>
          <c:order val="5"/>
          <c:tx>
            <c:strRef>
              <c:f>PSY_CHART_LINES!$B$12</c:f>
              <c:strCache>
                <c:ptCount val="1"/>
                <c:pt idx="0">
                  <c:v>0.01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PSY_CHART_LINES!$A$12:$A$13</c:f>
              <c:numCache>
                <c:formatCode>General</c:formatCode>
                <c:ptCount val="2"/>
                <c:pt idx="0">
                  <c:v>57.340579436377475</c:v>
                </c:pt>
                <c:pt idx="1">
                  <c:v>120</c:v>
                </c:pt>
              </c:numCache>
            </c:numRef>
          </c:xVal>
          <c:yVal>
            <c:numRef>
              <c:f>PSY_CHART_LINES!$B$12:$B$13</c:f>
              <c:numCache>
                <c:formatCode>General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B-D54C-4618-9C7B-00C9B5BBCA2D}"/>
            </c:ext>
          </c:extLst>
        </c:ser>
        <c:ser>
          <c:idx val="76"/>
          <c:order val="6"/>
          <c:tx>
            <c:strRef>
              <c:f>PSY_CHART_LINES!$B$14</c:f>
              <c:strCache>
                <c:ptCount val="1"/>
                <c:pt idx="0">
                  <c:v>0.012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PSY_CHART_LINES!$A$14:$A$15</c:f>
              <c:numCache>
                <c:formatCode>General</c:formatCode>
                <c:ptCount val="2"/>
                <c:pt idx="0">
                  <c:v>62.354804783149675</c:v>
                </c:pt>
                <c:pt idx="1">
                  <c:v>120</c:v>
                </c:pt>
              </c:numCache>
            </c:numRef>
          </c:xVal>
          <c:yVal>
            <c:numRef>
              <c:f>PSY_CHART_LINES!$B$14:$B$15</c:f>
              <c:numCache>
                <c:formatCode>General</c:formatCode>
                <c:ptCount val="2"/>
                <c:pt idx="0">
                  <c:v>1.2E-2</c:v>
                </c:pt>
                <c:pt idx="1">
                  <c:v>1.2E-2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C-D54C-4618-9C7B-00C9B5BBCA2D}"/>
            </c:ext>
          </c:extLst>
        </c:ser>
        <c:ser>
          <c:idx val="77"/>
          <c:order val="7"/>
          <c:tx>
            <c:strRef>
              <c:f>PSY_CHART_LINES!$B$16</c:f>
              <c:strCache>
                <c:ptCount val="1"/>
                <c:pt idx="0">
                  <c:v>0.014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PSY_CHART_LINES!$A$16:$A$17</c:f>
              <c:numCache>
                <c:formatCode>General</c:formatCode>
                <c:ptCount val="2"/>
                <c:pt idx="0">
                  <c:v>66.664502843541584</c:v>
                </c:pt>
                <c:pt idx="1">
                  <c:v>120</c:v>
                </c:pt>
              </c:numCache>
            </c:numRef>
          </c:xVal>
          <c:yVal>
            <c:numRef>
              <c:f>PSY_CHART_LINES!$B$16:$B$17</c:f>
              <c:numCache>
                <c:formatCode>General</c:formatCode>
                <c:ptCount val="2"/>
                <c:pt idx="0">
                  <c:v>1.4E-2</c:v>
                </c:pt>
                <c:pt idx="1">
                  <c:v>1.4E-2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D-D54C-4618-9C7B-00C9B5BBCA2D}"/>
            </c:ext>
          </c:extLst>
        </c:ser>
        <c:ser>
          <c:idx val="78"/>
          <c:order val="8"/>
          <c:tx>
            <c:strRef>
              <c:f>PSY_CHART_LINES!$B$18</c:f>
              <c:strCache>
                <c:ptCount val="1"/>
                <c:pt idx="0">
                  <c:v>0.016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PSY_CHART_LINES!$A$18:$A$19</c:f>
              <c:numCache>
                <c:formatCode>General</c:formatCode>
                <c:ptCount val="2"/>
                <c:pt idx="0">
                  <c:v>70.450434764908323</c:v>
                </c:pt>
                <c:pt idx="1">
                  <c:v>120</c:v>
                </c:pt>
              </c:numCache>
            </c:numRef>
          </c:xVal>
          <c:yVal>
            <c:numRef>
              <c:f>PSY_CHART_LINES!$B$18:$B$19</c:f>
              <c:numCache>
                <c:formatCode>General</c:formatCode>
                <c:ptCount val="2"/>
                <c:pt idx="0">
                  <c:v>1.6E-2</c:v>
                </c:pt>
                <c:pt idx="1">
                  <c:v>1.6E-2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E-D54C-4618-9C7B-00C9B5BBCA2D}"/>
            </c:ext>
          </c:extLst>
        </c:ser>
        <c:ser>
          <c:idx val="79"/>
          <c:order val="9"/>
          <c:tx>
            <c:strRef>
              <c:f>PSY_CHART_LINES!$B$20</c:f>
              <c:strCache>
                <c:ptCount val="1"/>
                <c:pt idx="0">
                  <c:v>0.018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PSY_CHART_LINES!$A$20:$A$21</c:f>
              <c:numCache>
                <c:formatCode>General</c:formatCode>
                <c:ptCount val="2"/>
                <c:pt idx="0">
                  <c:v>73.830656601565948</c:v>
                </c:pt>
                <c:pt idx="1">
                  <c:v>120</c:v>
                </c:pt>
              </c:numCache>
            </c:numRef>
          </c:xVal>
          <c:yVal>
            <c:numRef>
              <c:f>PSY_CHART_LINES!$B$20:$B$21</c:f>
              <c:numCache>
                <c:formatCode>General</c:formatCode>
                <c:ptCount val="2"/>
                <c:pt idx="0">
                  <c:v>1.8000000000000002E-2</c:v>
                </c:pt>
                <c:pt idx="1">
                  <c:v>1.8000000000000002E-2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F-D54C-4618-9C7B-00C9B5BBCA2D}"/>
            </c:ext>
          </c:extLst>
        </c:ser>
        <c:ser>
          <c:idx val="80"/>
          <c:order val="10"/>
          <c:tx>
            <c:strRef>
              <c:f>PSY_CHART_LINES!$B$22</c:f>
              <c:strCache>
                <c:ptCount val="1"/>
                <c:pt idx="0">
                  <c:v>0.02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PSY_CHART_LINES!$A$22:$A$23</c:f>
              <c:numCache>
                <c:formatCode>General</c:formatCode>
                <c:ptCount val="2"/>
                <c:pt idx="0">
                  <c:v>76.886707011543947</c:v>
                </c:pt>
                <c:pt idx="1">
                  <c:v>120</c:v>
                </c:pt>
              </c:numCache>
            </c:numRef>
          </c:xVal>
          <c:yVal>
            <c:numRef>
              <c:f>PSY_CHART_LINES!$B$22:$B$23</c:f>
              <c:numCache>
                <c:formatCode>General</c:formatCode>
                <c:ptCount val="2"/>
                <c:pt idx="0">
                  <c:v>2.0000000000000004E-2</c:v>
                </c:pt>
                <c:pt idx="1">
                  <c:v>2.0000000000000004E-2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0-D54C-4618-9C7B-00C9B5BBCA2D}"/>
            </c:ext>
          </c:extLst>
        </c:ser>
        <c:ser>
          <c:idx val="81"/>
          <c:order val="11"/>
          <c:tx>
            <c:strRef>
              <c:f>PSY_CHART_LINES!$B$24</c:f>
              <c:strCache>
                <c:ptCount val="1"/>
                <c:pt idx="0">
                  <c:v>0.022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PSY_CHART_LINES!$A$24:$A$25</c:f>
              <c:numCache>
                <c:formatCode>General</c:formatCode>
                <c:ptCount val="2"/>
                <c:pt idx="0">
                  <c:v>79.677367191070132</c:v>
                </c:pt>
                <c:pt idx="1">
                  <c:v>120</c:v>
                </c:pt>
              </c:numCache>
            </c:numRef>
          </c:xVal>
          <c:yVal>
            <c:numRef>
              <c:f>PSY_CHART_LINES!$B$24:$B$25</c:f>
              <c:numCache>
                <c:formatCode>General</c:formatCode>
                <c:ptCount val="2"/>
                <c:pt idx="0">
                  <c:v>2.2000000000000006E-2</c:v>
                </c:pt>
                <c:pt idx="1">
                  <c:v>2.2000000000000006E-2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1-D54C-4618-9C7B-00C9B5BBCA2D}"/>
            </c:ext>
          </c:extLst>
        </c:ser>
        <c:ser>
          <c:idx val="82"/>
          <c:order val="12"/>
          <c:tx>
            <c:strRef>
              <c:f>PSY_CHART_LINES!$B$26</c:f>
              <c:strCache>
                <c:ptCount val="1"/>
                <c:pt idx="0">
                  <c:v>0.024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PSY_CHART_LINES!$A$26:$A$27</c:f>
              <c:numCache>
                <c:formatCode>General</c:formatCode>
                <c:ptCount val="2"/>
                <c:pt idx="0">
                  <c:v>82.246472840717956</c:v>
                </c:pt>
                <c:pt idx="1">
                  <c:v>120</c:v>
                </c:pt>
              </c:numCache>
            </c:numRef>
          </c:xVal>
          <c:yVal>
            <c:numRef>
              <c:f>PSY_CHART_LINES!$B$26:$B$27</c:f>
              <c:numCache>
                <c:formatCode>General</c:formatCode>
                <c:ptCount val="2"/>
                <c:pt idx="0">
                  <c:v>2.4000000000000007E-2</c:v>
                </c:pt>
                <c:pt idx="1">
                  <c:v>2.4000000000000007E-2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2-D54C-4618-9C7B-00C9B5BBCA2D}"/>
            </c:ext>
          </c:extLst>
        </c:ser>
        <c:ser>
          <c:idx val="83"/>
          <c:order val="13"/>
          <c:tx>
            <c:strRef>
              <c:f>PSY_CHART_LINES!$B$28</c:f>
              <c:strCache>
                <c:ptCount val="1"/>
                <c:pt idx="0">
                  <c:v>0.026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PSY_CHART_LINES!$A$28:$A$29</c:f>
              <c:numCache>
                <c:formatCode>General</c:formatCode>
                <c:ptCount val="2"/>
                <c:pt idx="0">
                  <c:v>84.627625365568477</c:v>
                </c:pt>
                <c:pt idx="1">
                  <c:v>120</c:v>
                </c:pt>
              </c:numCache>
            </c:numRef>
          </c:xVal>
          <c:yVal>
            <c:numRef>
              <c:f>PSY_CHART_LINES!$B$28:$B$29</c:f>
              <c:numCache>
                <c:formatCode>General</c:formatCode>
                <c:ptCount val="2"/>
                <c:pt idx="0">
                  <c:v>2.6000000000000009E-2</c:v>
                </c:pt>
                <c:pt idx="1">
                  <c:v>2.6000000000000009E-2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3-D54C-4618-9C7B-00C9B5BBCA2D}"/>
            </c:ext>
          </c:extLst>
        </c:ser>
        <c:ser>
          <c:idx val="84"/>
          <c:order val="14"/>
          <c:tx>
            <c:strRef>
              <c:f>PSY_CHART_LINES!$B$30</c:f>
              <c:strCache>
                <c:ptCount val="1"/>
                <c:pt idx="0">
                  <c:v>0.028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PSY_CHART_LINES!$A$30:$A$31</c:f>
              <c:numCache>
                <c:formatCode>General</c:formatCode>
                <c:ptCount val="2"/>
                <c:pt idx="0">
                  <c:v>86.847174341144594</c:v>
                </c:pt>
                <c:pt idx="1">
                  <c:v>120</c:v>
                </c:pt>
              </c:numCache>
            </c:numRef>
          </c:xVal>
          <c:yVal>
            <c:numRef>
              <c:f>PSY_CHART_LINES!$B$30:$B$31</c:f>
              <c:numCache>
                <c:formatCode>General</c:formatCode>
                <c:ptCount val="2"/>
                <c:pt idx="0">
                  <c:v>2.8000000000000011E-2</c:v>
                </c:pt>
                <c:pt idx="1">
                  <c:v>2.8000000000000011E-2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4-D54C-4618-9C7B-00C9B5BBCA2D}"/>
            </c:ext>
          </c:extLst>
        </c:ser>
        <c:ser>
          <c:idx val="85"/>
          <c:order val="15"/>
          <c:tx>
            <c:strRef>
              <c:f>PSY_CHART_LINES!$B$32</c:f>
              <c:strCache>
                <c:ptCount val="1"/>
                <c:pt idx="0">
                  <c:v>0.03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PSY_CHART_LINES!$A$32:$A$33</c:f>
              <c:numCache>
                <c:formatCode>General</c:formatCode>
                <c:ptCount val="2"/>
                <c:pt idx="0">
                  <c:v>88.926182430883316</c:v>
                </c:pt>
                <c:pt idx="1">
                  <c:v>120</c:v>
                </c:pt>
              </c:numCache>
            </c:numRef>
          </c:xVal>
          <c:yVal>
            <c:numRef>
              <c:f>PSY_CHART_LINES!$B$32:$B$33</c:f>
              <c:numCache>
                <c:formatCode>General</c:formatCode>
                <c:ptCount val="2"/>
                <c:pt idx="0">
                  <c:v>3.0000000000000013E-2</c:v>
                </c:pt>
                <c:pt idx="1">
                  <c:v>3.0000000000000013E-2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5-D54C-4618-9C7B-00C9B5BBCA2D}"/>
            </c:ext>
          </c:extLst>
        </c:ser>
        <c:ser>
          <c:idx val="86"/>
          <c:order val="16"/>
          <c:tx>
            <c:strRef>
              <c:f>PSY_CHART_LINES!$I$1</c:f>
              <c:strCache>
                <c:ptCount val="1"/>
                <c:pt idx="0">
                  <c:v>RIGHT_BORDER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127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F7-D54C-4618-9C7B-00C9B5BBCA2D}"/>
              </c:ext>
            </c:extLst>
          </c:dPt>
          <c:xVal>
            <c:numRef>
              <c:f>PSY_CHART_LINES!$I$4:$I$5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PSY_CHART_LINES!$J$4:$J$5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6-D54C-4618-9C7B-00C9B5BBCA2D}"/>
            </c:ext>
          </c:extLst>
        </c:ser>
        <c:ser>
          <c:idx val="87"/>
          <c:order val="17"/>
          <c:tx>
            <c:strRef>
              <c:f>PSY_CHART_LINES!$K$1</c:f>
              <c:strCache>
                <c:ptCount val="1"/>
                <c:pt idx="0">
                  <c:v>RELATIVE_HUMIDITY_LINES_10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PSY_CHART_LINES!$K$4:$K$92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PSY_CHART_LINES!$N$4:$N$92</c:f>
              <c:numCache>
                <c:formatCode>General</c:formatCode>
                <c:ptCount val="89"/>
                <c:pt idx="0">
                  <c:v>3.7539497091052437E-4</c:v>
                </c:pt>
                <c:pt idx="1">
                  <c:v>3.9082898147101055E-4</c:v>
                </c:pt>
                <c:pt idx="2">
                  <c:v>4.0682340544501773E-4</c:v>
                </c:pt>
                <c:pt idx="3">
                  <c:v>4.2339572953729203E-4</c:v>
                </c:pt>
                <c:pt idx="4">
                  <c:v>4.4056388932834522E-4</c:v>
                </c:pt>
                <c:pt idx="5">
                  <c:v>4.5834627803847722E-4</c:v>
                </c:pt>
                <c:pt idx="6">
                  <c:v>4.7676175540225277E-4</c:v>
                </c:pt>
                <c:pt idx="7">
                  <c:v>4.9582965665412868E-4</c:v>
                </c:pt>
                <c:pt idx="8">
                  <c:v>5.1556980162607857E-4</c:v>
                </c:pt>
                <c:pt idx="9">
                  <c:v>5.3600250395790291E-4</c:v>
                </c:pt>
                <c:pt idx="10">
                  <c:v>5.571485804210536E-4</c:v>
                </c:pt>
                <c:pt idx="11">
                  <c:v>5.7902936035691087E-4</c:v>
                </c:pt>
                <c:pt idx="12">
                  <c:v>6.0166669523025352E-4</c:v>
                </c:pt>
                <c:pt idx="13">
                  <c:v>6.2508296829904967E-4</c:v>
                </c:pt>
                <c:pt idx="14">
                  <c:v>6.4930110440131303E-4</c:v>
                </c:pt>
                <c:pt idx="15">
                  <c:v>6.7434457986033152E-4</c:v>
                </c:pt>
                <c:pt idx="16">
                  <c:v>7.0023743250907178E-4</c:v>
                </c:pt>
                <c:pt idx="17">
                  <c:v>7.2700427183503382E-4</c:v>
                </c:pt>
                <c:pt idx="18">
                  <c:v>7.5467028924683572E-4</c:v>
                </c:pt>
                <c:pt idx="19">
                  <c:v>7.8326126846349291E-4</c:v>
                </c:pt>
                <c:pt idx="20">
                  <c:v>8.1280359602800957E-4</c:v>
                </c:pt>
                <c:pt idx="21">
                  <c:v>8.4332427194648183E-4</c:v>
                </c:pt>
                <c:pt idx="22">
                  <c:v>8.7485092045415174E-4</c:v>
                </c:pt>
                <c:pt idx="23">
                  <c:v>9.0741180091009584E-4</c:v>
                </c:pt>
                <c:pt idx="24">
                  <c:v>9.4103581882185776E-4</c:v>
                </c:pt>
                <c:pt idx="25">
                  <c:v>9.7575253700206801E-4</c:v>
                </c:pt>
                <c:pt idx="26">
                  <c:v>1.011592186858521E-3</c:v>
                </c:pt>
                <c:pt idx="27">
                  <c:v>1.0485856798195582E-3</c:v>
                </c:pt>
                <c:pt idx="28">
                  <c:v>1.0867646188970673E-3</c:v>
                </c:pt>
                <c:pt idx="29">
                  <c:v>1.1261613103885661E-3</c:v>
                </c:pt>
                <c:pt idx="30">
                  <c:v>1.1668087757210018E-3</c:v>
                </c:pt>
                <c:pt idx="31">
                  <c:v>1.2087407634383213E-3</c:v>
                </c:pt>
                <c:pt idx="32">
                  <c:v>1.2519917613350324E-3</c:v>
                </c:pt>
                <c:pt idx="33">
                  <c:v>1.2965970087385496E-3</c:v>
                </c:pt>
                <c:pt idx="34">
                  <c:v>1.342592508942498E-3</c:v>
                </c:pt>
                <c:pt idx="35">
                  <c:v>1.3900150417942418E-3</c:v>
                </c:pt>
                <c:pt idx="36">
                  <c:v>1.4389021764387583E-3</c:v>
                </c:pt>
                <c:pt idx="37">
                  <c:v>1.4892922842225929E-3</c:v>
                </c:pt>
                <c:pt idx="38">
                  <c:v>1.5412245517603966E-3</c:v>
                </c:pt>
                <c:pt idx="39">
                  <c:v>1.594738994167743E-3</c:v>
                </c:pt>
                <c:pt idx="40">
                  <c:v>1.6498764684633556E-3</c:v>
                </c:pt>
                <c:pt idx="41">
                  <c:v>1.7066786871443305E-3</c:v>
                </c:pt>
                <c:pt idx="42">
                  <c:v>1.765188231938471E-3</c:v>
                </c:pt>
                <c:pt idx="43">
                  <c:v>1.8254485677370216E-3</c:v>
                </c:pt>
                <c:pt idx="44">
                  <c:v>1.8875040567123175E-3</c:v>
                </c:pt>
                <c:pt idx="45">
                  <c:v>1.9513999726246056E-3</c:v>
                </c:pt>
                <c:pt idx="46">
                  <c:v>2.0171825153220261E-3</c:v>
                </c:pt>
                <c:pt idx="47">
                  <c:v>2.0848988254391415E-3</c:v>
                </c:pt>
                <c:pt idx="48">
                  <c:v>2.1545969992981468E-3</c:v>
                </c:pt>
                <c:pt idx="49">
                  <c:v>2.226326104018168E-3</c:v>
                </c:pt>
                <c:pt idx="50">
                  <c:v>2.3001361928379127E-3</c:v>
                </c:pt>
                <c:pt idx="51">
                  <c:v>2.3760783206570961E-3</c:v>
                </c:pt>
                <c:pt idx="52">
                  <c:v>2.4542045598022716E-3</c:v>
                </c:pt>
                <c:pt idx="53">
                  <c:v>2.534568016023267E-3</c:v>
                </c:pt>
                <c:pt idx="54">
                  <c:v>2.6172228447261126E-3</c:v>
                </c:pt>
                <c:pt idx="55">
                  <c:v>2.7022242674494346E-3</c:v>
                </c:pt>
                <c:pt idx="56">
                  <c:v>2.789628588590345E-3</c:v>
                </c:pt>
                <c:pt idx="57">
                  <c:v>2.8794932123874782E-3</c:v>
                </c:pt>
                <c:pt idx="58">
                  <c:v>2.9718766601680283E-3</c:v>
                </c:pt>
                <c:pt idx="59">
                  <c:v>3.0668385878667094E-3</c:v>
                </c:pt>
                <c:pt idx="60">
                  <c:v>3.1644398038244508E-3</c:v>
                </c:pt>
                <c:pt idx="61">
                  <c:v>3.2647422868743699E-3</c:v>
                </c:pt>
                <c:pt idx="62">
                  <c:v>3.3678092047249013E-3</c:v>
                </c:pt>
                <c:pt idx="63">
                  <c:v>3.4737049326476581E-3</c:v>
                </c:pt>
                <c:pt idx="64">
                  <c:v>3.5824950724798695E-3</c:v>
                </c:pt>
                <c:pt idx="65">
                  <c:v>3.6942464719508586E-3</c:v>
                </c:pt>
                <c:pt idx="66">
                  <c:v>3.8090272443423918E-3</c:v>
                </c:pt>
                <c:pt idx="67">
                  <c:v>3.9269067884932628E-3</c:v>
                </c:pt>
                <c:pt idx="68">
                  <c:v>4.0479558091591292E-3</c:v>
                </c:pt>
                <c:pt idx="69">
                  <c:v>4.1722463377381275E-3</c:v>
                </c:pt>
                <c:pt idx="70">
                  <c:v>4.2998517533740311E-3</c:v>
                </c:pt>
                <c:pt idx="71">
                  <c:v>4.4308468044495812E-3</c:v>
                </c:pt>
                <c:pt idx="72">
                  <c:v>4.5653076304812195E-3</c:v>
                </c:pt>
                <c:pt idx="73">
                  <c:v>4.7033117844292559E-3</c:v>
                </c:pt>
                <c:pt idx="74">
                  <c:v>4.8449382554360074E-3</c:v>
                </c:pt>
                <c:pt idx="75">
                  <c:v>4.9902674920063433E-3</c:v>
                </c:pt>
                <c:pt idx="76">
                  <c:v>5.1393814256447262E-3</c:v>
                </c:pt>
                <c:pt idx="77">
                  <c:v>5.2923634949639939E-3</c:v>
                </c:pt>
                <c:pt idx="78">
                  <c:v>5.4492986702805333E-3</c:v>
                </c:pt>
                <c:pt idx="79">
                  <c:v>5.6102734787133084E-3</c:v>
                </c:pt>
                <c:pt idx="80">
                  <c:v>5.7753760298018238E-3</c:v>
                </c:pt>
                <c:pt idx="81">
                  <c:v>5.9446960416615589E-3</c:v>
                </c:pt>
                <c:pt idx="82">
                  <c:v>6.1183248676935581E-3</c:v>
                </c:pt>
                <c:pt idx="83">
                  <c:v>6.2963555238682196E-3</c:v>
                </c:pt>
                <c:pt idx="84">
                  <c:v>6.4788827166003503E-3</c:v>
                </c:pt>
                <c:pt idx="85">
                  <c:v>6.6660028712380607E-3</c:v>
                </c:pt>
                <c:pt idx="86">
                  <c:v>6.8578141611833707E-3</c:v>
                </c:pt>
                <c:pt idx="87">
                  <c:v>7.0544165376678798E-3</c:v>
                </c:pt>
                <c:pt idx="88">
                  <c:v>7.2559117602052116E-3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8-D54C-4618-9C7B-00C9B5BBCA2D}"/>
            </c:ext>
          </c:extLst>
        </c:ser>
        <c:ser>
          <c:idx val="88"/>
          <c:order val="18"/>
          <c:tx>
            <c:strRef>
              <c:f>PSY_CHART_LINES!$O$1</c:f>
              <c:strCache>
                <c:ptCount val="1"/>
                <c:pt idx="0">
                  <c:v>RELATIVE_HUMIDITY_LINES_20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PSY_CHART_LINES!$O$4:$O$92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PSY_CHART_LINES!$R$4:$R$92</c:f>
              <c:numCache>
                <c:formatCode>General</c:formatCode>
                <c:ptCount val="89"/>
                <c:pt idx="0">
                  <c:v>7.5124337877029374E-4</c:v>
                </c:pt>
                <c:pt idx="1">
                  <c:v>7.8214946383581296E-4</c:v>
                </c:pt>
                <c:pt idx="2">
                  <c:v>8.1417937736951709E-4</c:v>
                </c:pt>
                <c:pt idx="3">
                  <c:v>8.4736831385049923E-4</c:v>
                </c:pt>
                <c:pt idx="4">
                  <c:v>8.8175238060919918E-4</c:v>
                </c:pt>
                <c:pt idx="5">
                  <c:v>9.1736861630379121E-4</c:v>
                </c:pt>
                <c:pt idx="6">
                  <c:v>9.5425500967168207E-4</c:v>
                </c:pt>
                <c:pt idx="7">
                  <c:v>9.9245051856029472E-4</c:v>
                </c:pt>
                <c:pt idx="8">
                  <c:v>1.0319950892417424E-3</c:v>
                </c:pt>
                <c:pt idx="9">
                  <c:v>1.0729296760158189E-3</c:v>
                </c:pt>
                <c:pt idx="10">
                  <c:v>1.1152962611061348E-3</c:v>
                </c:pt>
                <c:pt idx="11">
                  <c:v>1.1591378748546158E-3</c:v>
                </c:pt>
                <c:pt idx="12">
                  <c:v>1.204498616219303E-3</c:v>
                </c:pt>
                <c:pt idx="13">
                  <c:v>1.2514236735813485E-3</c:v>
                </c:pt>
                <c:pt idx="14">
                  <c:v>1.2999593458664857E-3</c:v>
                </c:pt>
                <c:pt idx="15">
                  <c:v>1.3501530639875412E-3</c:v>
                </c:pt>
                <c:pt idx="16">
                  <c:v>1.4020534126137276E-3</c:v>
                </c:pt>
                <c:pt idx="17">
                  <c:v>1.4557101522735846E-3</c:v>
                </c:pt>
                <c:pt idx="18">
                  <c:v>1.5111742417986181E-3</c:v>
                </c:pt>
                <c:pt idx="19">
                  <c:v>1.5684978611142726E-3</c:v>
                </c:pt>
                <c:pt idx="20">
                  <c:v>1.6277344343863655E-3</c:v>
                </c:pt>
                <c:pt idx="21">
                  <c:v>1.6889386535304959E-3</c:v>
                </c:pt>
                <c:pt idx="22">
                  <c:v>1.7521665020926375E-3</c:v>
                </c:pt>
                <c:pt idx="23">
                  <c:v>1.8174752795098402E-3</c:v>
                </c:pt>
                <c:pt idx="24">
                  <c:v>1.884923625759457E-3</c:v>
                </c:pt>
                <c:pt idx="25">
                  <c:v>1.9545715464070264E-3</c:v>
                </c:pt>
                <c:pt idx="26">
                  <c:v>2.0264804380620486E-3</c:v>
                </c:pt>
                <c:pt idx="27">
                  <c:v>2.1007131142519245E-3</c:v>
                </c:pt>
                <c:pt idx="28">
                  <c:v>2.1773338317255106E-3</c:v>
                </c:pt>
                <c:pt idx="29">
                  <c:v>2.2564083171963743E-3</c:v>
                </c:pt>
                <c:pt idx="30">
                  <c:v>2.3380037945384276E-3</c:v>
                </c:pt>
                <c:pt idx="31">
                  <c:v>2.4221890124458E-3</c:v>
                </c:pt>
                <c:pt idx="32">
                  <c:v>2.5090342725694651E-3</c:v>
                </c:pt>
                <c:pt idx="33">
                  <c:v>2.5986114581445898E-3</c:v>
                </c:pt>
                <c:pt idx="34">
                  <c:v>2.6909940631217317E-3</c:v>
                </c:pt>
                <c:pt idx="35">
                  <c:v>2.78625722181752E-3</c:v>
                </c:pt>
                <c:pt idx="36">
                  <c:v>2.8844777390985583E-3</c:v>
                </c:pt>
                <c:pt idx="37">
                  <c:v>2.9857341211159197E-3</c:v>
                </c:pt>
                <c:pt idx="38">
                  <c:v>3.0901066066055267E-3</c:v>
                </c:pt>
                <c:pt idx="39">
                  <c:v>3.1976771987725439E-3</c:v>
                </c:pt>
                <c:pt idx="40">
                  <c:v>3.3085296977772125E-3</c:v>
                </c:pt>
                <c:pt idx="41">
                  <c:v>3.4227497338409213E-3</c:v>
                </c:pt>
                <c:pt idx="42">
                  <c:v>3.5404248009928744E-3</c:v>
                </c:pt>
                <c:pt idx="43">
                  <c:v>3.6616442914765286E-3</c:v>
                </c:pt>
                <c:pt idx="44">
                  <c:v>3.7864995308379661E-3</c:v>
                </c:pt>
                <c:pt idx="45">
                  <c:v>3.9150838137184058E-3</c:v>
                </c:pt>
                <c:pt idx="46">
                  <c:v>4.0474924403730425E-3</c:v>
                </c:pt>
                <c:pt idx="47">
                  <c:v>4.1838227539418441E-3</c:v>
                </c:pt>
                <c:pt idx="48">
                  <c:v>4.324174178495995E-3</c:v>
                </c:pt>
                <c:pt idx="49">
                  <c:v>4.4686482578868859E-3</c:v>
                </c:pt>
                <c:pt idx="50">
                  <c:v>4.6173486954249115E-3</c:v>
                </c:pt>
                <c:pt idx="51">
                  <c:v>4.7703813944163943E-3</c:v>
                </c:pt>
                <c:pt idx="52">
                  <c:v>4.927854499587987E-3</c:v>
                </c:pt>
                <c:pt idx="53">
                  <c:v>5.089878439429949E-3</c:v>
                </c:pt>
                <c:pt idx="54">
                  <c:v>5.2565659694897042E-3</c:v>
                </c:pt>
                <c:pt idx="55">
                  <c:v>5.4280322166501823E-3</c:v>
                </c:pt>
                <c:pt idx="56">
                  <c:v>5.6043947244263821E-3</c:v>
                </c:pt>
                <c:pt idx="57">
                  <c:v>5.785773499317701E-3</c:v>
                </c:pt>
                <c:pt idx="58">
                  <c:v>5.9722910582529773E-3</c:v>
                </c:pt>
                <c:pt idx="59">
                  <c:v>6.1640724771682316E-3</c:v>
                </c:pt>
                <c:pt idx="60">
                  <c:v>6.3612454407579603E-3</c:v>
                </c:pt>
                <c:pt idx="61">
                  <c:v>6.5639402934412738E-3</c:v>
                </c:pt>
                <c:pt idx="62">
                  <c:v>6.7722900915900492E-3</c:v>
                </c:pt>
                <c:pt idx="63">
                  <c:v>6.9864306570627524E-3</c:v>
                </c:pt>
                <c:pt idx="64">
                  <c:v>7.2065006320933458E-3</c:v>
                </c:pt>
                <c:pt idx="65">
                  <c:v>7.4326415355852292E-3</c:v>
                </c:pt>
                <c:pt idx="66">
                  <c:v>7.6649978208622035E-3</c:v>
                </c:pt>
                <c:pt idx="67">
                  <c:v>7.9037169349309017E-3</c:v>
                </c:pt>
                <c:pt idx="68">
                  <c:v>8.1489493793118813E-3</c:v>
                </c:pt>
                <c:pt idx="69">
                  <c:v>8.4008487724971555E-3</c:v>
                </c:pt>
                <c:pt idx="70">
                  <c:v>8.6595719140958888E-3</c:v>
                </c:pt>
                <c:pt idx="71">
                  <c:v>8.9252788507335826E-3</c:v>
                </c:pt>
                <c:pt idx="72">
                  <c:v>9.1981329437687796E-3</c:v>
                </c:pt>
                <c:pt idx="73">
                  <c:v>9.4783009388989328E-3</c:v>
                </c:pt>
                <c:pt idx="74">
                  <c:v>9.765953037725943E-3</c:v>
                </c:pt>
                <c:pt idx="75">
                  <c:v>1.006126297135765E-2</c:v>
                </c:pt>
                <c:pt idx="76">
                  <c:v>1.0364408076122999E-2</c:v>
                </c:pt>
                <c:pt idx="77">
                  <c:v>1.0675569371483165E-2</c:v>
                </c:pt>
                <c:pt idx="78">
                  <c:v>1.0994931640221957E-2</c:v>
                </c:pt>
                <c:pt idx="79">
                  <c:v>1.1322683511006945E-2</c:v>
                </c:pt>
                <c:pt idx="80">
                  <c:v>1.165901754341055E-2</c:v>
                </c:pt>
                <c:pt idx="81">
                  <c:v>1.2004130315489822E-2</c:v>
                </c:pt>
                <c:pt idx="82">
                  <c:v>1.2358222514022923E-2</c:v>
                </c:pt>
                <c:pt idx="83">
                  <c:v>1.2721499027509801E-2</c:v>
                </c:pt>
                <c:pt idx="84">
                  <c:v>1.3094169042041841E-2</c:v>
                </c:pt>
                <c:pt idx="85">
                  <c:v>1.3476446140159503E-2</c:v>
                </c:pt>
                <c:pt idx="86">
                  <c:v>1.3868548402810967E-2</c:v>
                </c:pt>
                <c:pt idx="87">
                  <c:v>1.4270698514539415E-2</c:v>
                </c:pt>
                <c:pt idx="88">
                  <c:v>1.4683123872027064E-2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9-D54C-4618-9C7B-00C9B5BBCA2D}"/>
            </c:ext>
          </c:extLst>
        </c:ser>
        <c:ser>
          <c:idx val="89"/>
          <c:order val="19"/>
          <c:tx>
            <c:strRef>
              <c:f>PSY_CHART_LINES!$S$1</c:f>
              <c:strCache>
                <c:ptCount val="1"/>
                <c:pt idx="0">
                  <c:v>RELATIVE_HUMIDITY_LINES_30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PSY_CHART_LINES!$S$4:$S$92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PSY_CHART_LINES!$V$4:$V$92</c:f>
              <c:numCache>
                <c:formatCode>General</c:formatCode>
                <c:ptCount val="89"/>
                <c:pt idx="0">
                  <c:v>1.1275460456307432E-3</c:v>
                </c:pt>
                <c:pt idx="1">
                  <c:v>1.1739623748344228E-3</c:v>
                </c:pt>
                <c:pt idx="2">
                  <c:v>1.2220689622207482E-3</c:v>
                </c:pt>
                <c:pt idx="3">
                  <c:v>1.271918932645446E-3</c:v>
                </c:pt>
                <c:pt idx="4">
                  <c:v>1.3235668030629757E-3</c:v>
                </c:pt>
                <c:pt idx="5">
                  <c:v>1.3770685116819661E-3</c:v>
                </c:pt>
                <c:pt idx="6">
                  <c:v>1.4324814476164704E-3</c:v>
                </c:pt>
                <c:pt idx="7">
                  <c:v>1.4898644810436548E-3</c:v>
                </c:pt>
                <c:pt idx="8">
                  <c:v>1.5492779938793915E-3</c:v>
                </c:pt>
                <c:pt idx="9">
                  <c:v>1.6107839109831654E-3</c:v>
                </c:pt>
                <c:pt idx="10">
                  <c:v>1.6744457319045466E-3</c:v>
                </c:pt>
                <c:pt idx="11">
                  <c:v>1.740328563184283E-3</c:v>
                </c:pt>
                <c:pt idx="12">
                  <c:v>1.8084991512229065E-3</c:v>
                </c:pt>
                <c:pt idx="13">
                  <c:v>1.8790259157314344E-3</c:v>
                </c:pt>
                <c:pt idx="14">
                  <c:v>1.9519789837780749E-3</c:v>
                </c:pt>
                <c:pt idx="15">
                  <c:v>2.0274302244470879E-3</c:v>
                </c:pt>
                <c:pt idx="16">
                  <c:v>2.105453284124972E-3</c:v>
                </c:pt>
                <c:pt idx="17">
                  <c:v>2.1861236224311512E-3</c:v>
                </c:pt>
                <c:pt idx="18">
                  <c:v>2.269518548810954E-3</c:v>
                </c:pt>
                <c:pt idx="19">
                  <c:v>2.3557172598083283E-3</c:v>
                </c:pt>
                <c:pt idx="20">
                  <c:v>2.4448008770383903E-3</c:v>
                </c:pt>
                <c:pt idx="21">
                  <c:v>2.5368524858792839E-3</c:v>
                </c:pt>
                <c:pt idx="22">
                  <c:v>2.6319571749042828E-3</c:v>
                </c:pt>
                <c:pt idx="23">
                  <c:v>2.7302020760765311E-3</c:v>
                </c:pt>
                <c:pt idx="24">
                  <c:v>2.8316764057284474E-3</c:v>
                </c:pt>
                <c:pt idx="25">
                  <c:v>2.9364715063508393E-3</c:v>
                </c:pt>
                <c:pt idx="26">
                  <c:v>3.0446808892158773E-3</c:v>
                </c:pt>
                <c:pt idx="27">
                  <c:v>3.1564002778600884E-3</c:v>
                </c:pt>
                <c:pt idx="28">
                  <c:v>3.2717276524557998E-3</c:v>
                </c:pt>
                <c:pt idx="29">
                  <c:v>3.3907632950979259E-3</c:v>
                </c:pt>
                <c:pt idx="30">
                  <c:v>3.5136098360374112E-3</c:v>
                </c:pt>
                <c:pt idx="31">
                  <c:v>3.6403723008919709E-3</c:v>
                </c:pt>
                <c:pt idx="32">
                  <c:v>3.7711581588663555E-3</c:v>
                </c:pt>
                <c:pt idx="33">
                  <c:v>3.9060773720171393E-3</c:v>
                </c:pt>
                <c:pt idx="34">
                  <c:v>4.0452424455964132E-3</c:v>
                </c:pt>
                <c:pt idx="35">
                  <c:v>4.1887684795132137E-3</c:v>
                </c:pt>
                <c:pt idx="36">
                  <c:v>4.3367732209493399E-3</c:v>
                </c:pt>
                <c:pt idx="37">
                  <c:v>4.4893771181724407E-3</c:v>
                </c:pt>
                <c:pt idx="38">
                  <c:v>4.6467033755868475E-3</c:v>
                </c:pt>
                <c:pt idx="39">
                  <c:v>4.8088780100677504E-3</c:v>
                </c:pt>
                <c:pt idx="40">
                  <c:v>4.9760299086240422E-3</c:v>
                </c:pt>
                <c:pt idx="41">
                  <c:v>5.148290887438154E-3</c:v>
                </c:pt>
                <c:pt idx="42">
                  <c:v>5.3257957523344208E-3</c:v>
                </c:pt>
                <c:pt idx="43">
                  <c:v>5.5086823607267488E-3</c:v>
                </c:pt>
                <c:pt idx="44">
                  <c:v>5.6970916851018108E-3</c:v>
                </c:pt>
                <c:pt idx="45">
                  <c:v>5.8911678780952E-3</c:v>
                </c:pt>
                <c:pt idx="46">
                  <c:v>6.0910583392189688E-3</c:v>
                </c:pt>
                <c:pt idx="47">
                  <c:v>6.2969137833053974E-3</c:v>
                </c:pt>
                <c:pt idx="48">
                  <c:v>6.5088883107301213E-3</c:v>
                </c:pt>
                <c:pt idx="49">
                  <c:v>6.7271394794838259E-3</c:v>
                </c:pt>
                <c:pt idx="50">
                  <c:v>6.9518283791637145E-3</c:v>
                </c:pt>
                <c:pt idx="51">
                  <c:v>7.1831197069588118E-3</c:v>
                </c:pt>
                <c:pt idx="52">
                  <c:v>7.4211818457063927E-3</c:v>
                </c:pt>
                <c:pt idx="53">
                  <c:v>7.6661869441013121E-3</c:v>
                </c:pt>
                <c:pt idx="54">
                  <c:v>7.9183109991417758E-3</c:v>
                </c:pt>
                <c:pt idx="55">
                  <c:v>8.1777339409014396E-3</c:v>
                </c:pt>
                <c:pt idx="56">
                  <c:v>8.4446397197179453E-3</c:v>
                </c:pt>
                <c:pt idx="57">
                  <c:v>8.719216395896158E-3</c:v>
                </c:pt>
                <c:pt idx="58">
                  <c:v>9.0016562320253558E-3</c:v>
                </c:pt>
                <c:pt idx="59">
                  <c:v>9.2921557880165043E-3</c:v>
                </c:pt>
                <c:pt idx="60">
                  <c:v>9.5909160189691211E-3</c:v>
                </c:pt>
                <c:pt idx="61">
                  <c:v>9.8981423759803514E-3</c:v>
                </c:pt>
                <c:pt idx="62">
                  <c:v>1.0214044910020195E-2</c:v>
                </c:pt>
                <c:pt idx="63">
                  <c:v>1.0538838378994097E-2</c:v>
                </c:pt>
                <c:pt idx="64">
                  <c:v>1.0872742358125626E-2</c:v>
                </c:pt>
                <c:pt idx="65">
                  <c:v>1.1215981353795602E-2</c:v>
                </c:pt>
                <c:pt idx="66">
                  <c:v>1.1568784920980233E-2</c:v>
                </c:pt>
                <c:pt idx="67">
                  <c:v>1.1931387784437687E-2</c:v>
                </c:pt>
                <c:pt idx="68">
                  <c:v>1.2304029963800202E-2</c:v>
                </c:pt>
                <c:pt idx="69">
                  <c:v>1.268695690273315E-2</c:v>
                </c:pt>
                <c:pt idx="70">
                  <c:v>1.3080419602332407E-2</c:v>
                </c:pt>
                <c:pt idx="71">
                  <c:v>1.3484674758940707E-2</c:v>
                </c:pt>
                <c:pt idx="72">
                  <c:v>1.3899984906566023E-2</c:v>
                </c:pt>
                <c:pt idx="73">
                  <c:v>1.432661856410093E-2</c:v>
                </c:pt>
                <c:pt idx="74">
                  <c:v>1.4764850387545016E-2</c:v>
                </c:pt>
                <c:pt idx="75">
                  <c:v>1.5214961327446097E-2</c:v>
                </c:pt>
                <c:pt idx="76">
                  <c:v>1.5677238791783451E-2</c:v>
                </c:pt>
                <c:pt idx="77">
                  <c:v>1.6151976814528929E-2</c:v>
                </c:pt>
                <c:pt idx="78">
                  <c:v>1.6639476230129104E-2</c:v>
                </c:pt>
                <c:pt idx="79">
                  <c:v>1.7140044854170405E-2</c:v>
                </c:pt>
                <c:pt idx="80">
                  <c:v>1.765399767049243E-2</c:v>
                </c:pt>
                <c:pt idx="81">
                  <c:v>1.8181657025036026E-2</c:v>
                </c:pt>
                <c:pt idx="82">
                  <c:v>1.8723352826719223E-2</c:v>
                </c:pt>
                <c:pt idx="83">
                  <c:v>1.9279422755656278E-2</c:v>
                </c:pt>
                <c:pt idx="84">
                  <c:v>1.9850212479039644E-2</c:v>
                </c:pt>
                <c:pt idx="85">
                  <c:v>2.0436075875034883E-2</c:v>
                </c:pt>
                <c:pt idx="86">
                  <c:v>2.1037375265039064E-2</c:v>
                </c:pt>
                <c:pt idx="87">
                  <c:v>2.1654481654685705E-2</c:v>
                </c:pt>
                <c:pt idx="88">
                  <c:v>2.228777498399015E-2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A-D54C-4618-9C7B-00C9B5BBCA2D}"/>
            </c:ext>
          </c:extLst>
        </c:ser>
        <c:ser>
          <c:idx val="90"/>
          <c:order val="20"/>
          <c:tx>
            <c:strRef>
              <c:f>PSY_CHART_LINES!$W$1</c:f>
              <c:strCache>
                <c:ptCount val="1"/>
                <c:pt idx="0">
                  <c:v>RELATIVE_HUMIDITY_LINES_40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PSY_CHART_LINES!$W$4:$W$92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PSY_CHART_LINES!$Z$4:$Z$92</c:f>
              <c:numCache>
                <c:formatCode>General</c:formatCode>
                <c:ptCount val="89"/>
                <c:pt idx="0">
                  <c:v>1.5043037955316107E-3</c:v>
                </c:pt>
                <c:pt idx="1">
                  <c:v>1.5662686445432196E-3</c:v>
                </c:pt>
                <c:pt idx="2">
                  <c:v>1.6304932091893297E-3</c:v>
                </c:pt>
                <c:pt idx="3">
                  <c:v>1.6970487688469193E-3</c:v>
                </c:pt>
                <c:pt idx="4">
                  <c:v>1.7660084896843997E-3</c:v>
                </c:pt>
                <c:pt idx="5">
                  <c:v>1.8374474654813604E-3</c:v>
                </c:pt>
                <c:pt idx="6">
                  <c:v>1.911442759222771E-3</c:v>
                </c:pt>
                <c:pt idx="7">
                  <c:v>1.9880734454878505E-3</c:v>
                </c:pt>
                <c:pt idx="8">
                  <c:v>2.0674206536552336E-3</c:v>
                </c:pt>
                <c:pt idx="9">
                  <c:v>2.1495676119463033E-3</c:v>
                </c:pt>
                <c:pt idx="10">
                  <c:v>2.234599692330007E-3</c:v>
                </c:pt>
                <c:pt idx="11">
                  <c:v>2.3226044563138732E-3</c:v>
                </c:pt>
                <c:pt idx="12">
                  <c:v>2.4136717016461102E-3</c:v>
                </c:pt>
                <c:pt idx="13">
                  <c:v>2.5078935099562627E-3</c:v>
                </c:pt>
                <c:pt idx="14">
                  <c:v>2.6053642953614326E-3</c:v>
                </c:pt>
                <c:pt idx="15">
                  <c:v>2.7061808540684313E-3</c:v>
                </c:pt>
                <c:pt idx="16">
                  <c:v>2.8104424150013859E-3</c:v>
                </c:pt>
                <c:pt idx="17">
                  <c:v>2.9182506914874279E-3</c:v>
                </c:pt>
                <c:pt idx="18">
                  <c:v>3.0297099340343748E-3</c:v>
                </c:pt>
                <c:pt idx="19">
                  <c:v>3.1449269842343838E-3</c:v>
                </c:pt>
                <c:pt idx="20">
                  <c:v>3.2640113298315621E-3</c:v>
                </c:pt>
                <c:pt idx="21">
                  <c:v>3.3870751609912813E-3</c:v>
                </c:pt>
                <c:pt idx="22">
                  <c:v>3.5142334278114159E-3</c:v>
                </c:pt>
                <c:pt idx="23">
                  <c:v>3.6456038991182901E-3</c:v>
                </c:pt>
                <c:pt idx="24">
                  <c:v>3.7813072225902551E-3</c:v>
                </c:pt>
                <c:pt idx="25">
                  <c:v>3.9214669862564881E-3</c:v>
                </c:pt>
                <c:pt idx="26">
                  <c:v>4.0662097814181085E-3</c:v>
                </c:pt>
                <c:pt idx="27">
                  <c:v>4.2156652670420919E-3</c:v>
                </c:pt>
                <c:pt idx="28">
                  <c:v>4.3699662356823012E-3</c:v>
                </c:pt>
                <c:pt idx="29">
                  <c:v>4.5292486809806005E-3</c:v>
                </c:pt>
                <c:pt idx="30">
                  <c:v>4.693651866807866E-3</c:v>
                </c:pt>
                <c:pt idx="31">
                  <c:v>4.8633183981046067E-3</c:v>
                </c:pt>
                <c:pt idx="32">
                  <c:v>5.0383942934839636E-3</c:v>
                </c:pt>
                <c:pt idx="33">
                  <c:v>5.219029059664558E-3</c:v>
                </c:pt>
                <c:pt idx="34">
                  <c:v>5.4053757678007974E-3</c:v>
                </c:pt>
                <c:pt idx="35">
                  <c:v>5.5975911317853082E-3</c:v>
                </c:pt>
                <c:pt idx="36">
                  <c:v>5.7958355885963445E-3</c:v>
                </c:pt>
                <c:pt idx="37">
                  <c:v>6.000273380772545E-3</c:v>
                </c:pt>
                <c:pt idx="38">
                  <c:v>6.2110726410954361E-3</c:v>
                </c:pt>
                <c:pt idx="39">
                  <c:v>6.4284054795682149E-3</c:v>
                </c:pt>
                <c:pt idx="40">
                  <c:v>6.6524480727803937E-3</c:v>
                </c:pt>
                <c:pt idx="41">
                  <c:v>6.8833807557533077E-3</c:v>
                </c:pt>
                <c:pt idx="42">
                  <c:v>7.1213881163673422E-3</c:v>
                </c:pt>
                <c:pt idx="43">
                  <c:v>7.3666590924722991E-3</c:v>
                </c:pt>
                <c:pt idx="44">
                  <c:v>7.6193870717913654E-3</c:v>
                </c:pt>
                <c:pt idx="45">
                  <c:v>7.8797699947324353E-3</c:v>
                </c:pt>
                <c:pt idx="46">
                  <c:v>8.1480104602238944E-3</c:v>
                </c:pt>
                <c:pt idx="47">
                  <c:v>8.4243158347024529E-3</c:v>
                </c:pt>
                <c:pt idx="48">
                  <c:v>8.7088983643804439E-3</c:v>
                </c:pt>
                <c:pt idx="49">
                  <c:v>9.0019752909304036E-3</c:v>
                </c:pt>
                <c:pt idx="50">
                  <c:v>9.3037689707296672E-3</c:v>
                </c:pt>
                <c:pt idx="51">
                  <c:v>9.6145069978141231E-3</c:v>
                </c:pt>
                <c:pt idx="52">
                  <c:v>9.9344223306971173E-3</c:v>
                </c:pt>
                <c:pt idx="53">
                  <c:v>1.0263753423218313E-2</c:v>
                </c:pt>
                <c:pt idx="54">
                  <c:v>1.0602744359592573E-2</c:v>
                </c:pt>
                <c:pt idx="55">
                  <c:v>1.0951644993840548E-2</c:v>
                </c:pt>
                <c:pt idx="56">
                  <c:v>1.1310711093786185E-2</c:v>
                </c:pt>
                <c:pt idx="57">
                  <c:v>1.1680204489820777E-2</c:v>
                </c:pt>
                <c:pt idx="58">
                  <c:v>1.2060393228638186E-2</c:v>
                </c:pt>
                <c:pt idx="59">
                  <c:v>1.2451551732158899E-2</c:v>
                </c:pt>
                <c:pt idx="60">
                  <c:v>1.2853960961869297E-2</c:v>
                </c:pt>
                <c:pt idx="61">
                  <c:v>1.326790858881096E-2</c:v>
                </c:pt>
                <c:pt idx="62">
                  <c:v>1.3693689169474743E-2</c:v>
                </c:pt>
                <c:pt idx="63">
                  <c:v>1.4131604327855445E-2</c:v>
                </c:pt>
                <c:pt idx="64">
                  <c:v>1.4581962943943672E-2</c:v>
                </c:pt>
                <c:pt idx="65">
                  <c:v>1.504508134894181E-2</c:v>
                </c:pt>
                <c:pt idx="66">
                  <c:v>1.5521283527505174E-2</c:v>
                </c:pt>
                <c:pt idx="67">
                  <c:v>1.601090132732497E-2</c:v>
                </c:pt>
                <c:pt idx="68">
                  <c:v>1.6514274676386356E-2</c:v>
                </c:pt>
                <c:pt idx="69">
                  <c:v>1.7031751808248063E-2</c:v>
                </c:pt>
                <c:pt idx="70">
                  <c:v>1.756368949571039E-2</c:v>
                </c:pt>
                <c:pt idx="71">
                  <c:v>1.8110453293259339E-2</c:v>
                </c:pt>
                <c:pt idx="72">
                  <c:v>1.8672417788685794E-2</c:v>
                </c:pt>
                <c:pt idx="73">
                  <c:v>1.9249966864309465E-2</c:v>
                </c:pt>
                <c:pt idx="74">
                  <c:v>1.9843493968250647E-2</c:v>
                </c:pt>
                <c:pt idx="75">
                  <c:v>2.0453402396221763E-2</c:v>
                </c:pt>
                <c:pt idx="76">
                  <c:v>2.1080105584331387E-2</c:v>
                </c:pt>
                <c:pt idx="77">
                  <c:v>2.1724027413421998E-2</c:v>
                </c:pt>
                <c:pt idx="78">
                  <c:v>2.2385602525484896E-2</c:v>
                </c:pt>
                <c:pt idx="79">
                  <c:v>2.3065276652734324E-2</c:v>
                </c:pt>
                <c:pt idx="80">
                  <c:v>2.3763506959940832E-2</c:v>
                </c:pt>
                <c:pt idx="81">
                  <c:v>2.4480762400668224E-2</c:v>
                </c:pt>
                <c:pt idx="82">
                  <c:v>2.521752408808263E-2</c:v>
                </c:pt>
                <c:pt idx="83">
                  <c:v>2.5974285681049883E-2</c:v>
                </c:pt>
                <c:pt idx="84">
                  <c:v>2.6751553786260887E-2</c:v>
                </c:pt>
                <c:pt idx="85">
                  <c:v>2.7549848377185864E-2</c:v>
                </c:pt>
                <c:pt idx="86">
                  <c:v>2.8369703230679347E-2</c:v>
                </c:pt>
                <c:pt idx="87">
                  <c:v>2.921166638212391E-2</c:v>
                </c:pt>
                <c:pt idx="88">
                  <c:v>3.0076300600039928E-2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B-D54C-4618-9C7B-00C9B5BBCA2D}"/>
            </c:ext>
          </c:extLst>
        </c:ser>
        <c:ser>
          <c:idx val="91"/>
          <c:order val="21"/>
          <c:tx>
            <c:strRef>
              <c:f>PSY_CHART_LINES!$AA$1</c:f>
              <c:strCache>
                <c:ptCount val="1"/>
                <c:pt idx="0">
                  <c:v>RELATIVE_HUMIDITY_LINES_50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PSY_CHART_LINES!$AA$4:$AA$92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PSY_CHART_LINES!$AD$4:$AD$92</c:f>
              <c:numCache>
                <c:formatCode>General</c:formatCode>
                <c:ptCount val="89"/>
                <c:pt idx="0">
                  <c:v>1.8815174545069497E-3</c:v>
                </c:pt>
                <c:pt idx="1">
                  <c:v>1.9590692053823035E-3</c:v>
                </c:pt>
                <c:pt idx="2">
                  <c:v>2.0394531702182445E-3</c:v>
                </c:pt>
                <c:pt idx="3">
                  <c:v>2.1227590086096539E-3</c:v>
                </c:pt>
                <c:pt idx="4">
                  <c:v>2.2090787772559108E-3</c:v>
                </c:pt>
                <c:pt idx="5">
                  <c:v>2.2985069834490076E-3</c:v>
                </c:pt>
                <c:pt idx="6">
                  <c:v>2.3911406396746144E-3</c:v>
                </c:pt>
                <c:pt idx="7">
                  <c:v>2.4870793193592332E-3</c:v>
                </c:pt>
                <c:pt idx="8">
                  <c:v>2.5864252137987398E-3</c:v>
                </c:pt>
                <c:pt idx="9">
                  <c:v>2.6892831903043207E-3</c:v>
                </c:pt>
                <c:pt idx="10">
                  <c:v>2.7957608516040867E-3</c:v>
                </c:pt>
                <c:pt idx="11">
                  <c:v>2.9059685965408277E-3</c:v>
                </c:pt>
                <c:pt idx="12">
                  <c:v>3.020019682107094E-3</c:v>
                </c:pt>
                <c:pt idx="13">
                  <c:v>3.1380302868625159E-3</c:v>
                </c:pt>
                <c:pt idx="14">
                  <c:v>3.260119575778236E-3</c:v>
                </c:pt>
                <c:pt idx="15">
                  <c:v>3.3864097665580865E-3</c:v>
                </c:pt>
                <c:pt idx="16">
                  <c:v>3.5170261974856831E-3</c:v>
                </c:pt>
                <c:pt idx="17">
                  <c:v>3.6520973968510971E-3</c:v>
                </c:pt>
                <c:pt idx="18">
                  <c:v>3.7917551540130544E-3</c:v>
                </c:pt>
                <c:pt idx="19">
                  <c:v>3.9361345921533255E-3</c:v>
                </c:pt>
                <c:pt idx="20">
                  <c:v>4.085374242785769E-3</c:v>
                </c:pt>
                <c:pt idx="21">
                  <c:v>4.2396161220828888E-3</c:v>
                </c:pt>
                <c:pt idx="22">
                  <c:v>4.3990058090867014E-3</c:v>
                </c:pt>
                <c:pt idx="23">
                  <c:v>4.5636925258747216E-3</c:v>
                </c:pt>
                <c:pt idx="24">
                  <c:v>4.7338292197529634E-3</c:v>
                </c:pt>
                <c:pt idx="25">
                  <c:v>4.9095726475545803E-3</c:v>
                </c:pt>
                <c:pt idx="26">
                  <c:v>5.0910834621231815E-3</c:v>
                </c:pt>
                <c:pt idx="27">
                  <c:v>5.2785263010650622E-3</c:v>
                </c:pt>
                <c:pt idx="28">
                  <c:v>5.4720698778605364E-3</c:v>
                </c:pt>
                <c:pt idx="29">
                  <c:v>5.6718870754239722E-3</c:v>
                </c:pt>
                <c:pt idx="30">
                  <c:v>5.8781550422119114E-3</c:v>
                </c:pt>
                <c:pt idx="31">
                  <c:v>6.0910552909798146E-3</c:v>
                </c:pt>
                <c:pt idx="32">
                  <c:v>6.3107738002931256E-3</c:v>
                </c:pt>
                <c:pt idx="33">
                  <c:v>6.5375011189056391E-3</c:v>
                </c:pt>
                <c:pt idx="34">
                  <c:v>6.7714324731198722E-3</c:v>
                </c:pt>
                <c:pt idx="35">
                  <c:v>7.0127678772544692E-3</c:v>
                </c:pt>
                <c:pt idx="36">
                  <c:v>7.2617122473431521E-3</c:v>
                </c:pt>
                <c:pt idx="37">
                  <c:v>7.5184755182033346E-3</c:v>
                </c:pt>
                <c:pt idx="38">
                  <c:v>7.7832727640119491E-3</c:v>
                </c:pt>
                <c:pt idx="39">
                  <c:v>8.0563243225381734E-3</c:v>
                </c:pt>
                <c:pt idx="40">
                  <c:v>8.3378559231861334E-3</c:v>
                </c:pt>
                <c:pt idx="41">
                  <c:v>8.6280988190096455E-3</c:v>
                </c:pt>
                <c:pt idx="42">
                  <c:v>8.9272899228707344E-3</c:v>
                </c:pt>
                <c:pt idx="43">
                  <c:v>9.2356719479168101E-3</c:v>
                </c:pt>
                <c:pt idx="44">
                  <c:v>9.5534935525653196E-3</c:v>
                </c:pt>
                <c:pt idx="45">
                  <c:v>9.8810094901916196E-3</c:v>
                </c:pt>
                <c:pt idx="46">
                  <c:v>1.021848076372287E-2</c:v>
                </c:pt>
                <c:pt idx="47">
                  <c:v>1.0566174785357063E-2</c:v>
                </c:pt>
                <c:pt idx="48">
                  <c:v>1.0924365541629304E-2</c:v>
                </c:pt>
                <c:pt idx="49">
                  <c:v>1.1293333764064026E-2</c:v>
                </c:pt>
                <c:pt idx="50">
                  <c:v>1.1673367105661697E-2</c:v>
                </c:pt>
                <c:pt idx="51">
                  <c:v>1.2064760323480502E-2</c:v>
                </c:pt>
                <c:pt idx="52">
                  <c:v>1.2467815467586249E-2</c:v>
                </c:pt>
                <c:pt idx="53">
                  <c:v>1.2882842076659261E-2</c:v>
                </c:pt>
                <c:pt idx="54">
                  <c:v>1.3310157380558312E-2</c:v>
                </c:pt>
                <c:pt idx="55">
                  <c:v>1.3750086510161191E-2</c:v>
                </c:pt>
                <c:pt idx="56">
                  <c:v>1.4202962714811328E-2</c:v>
                </c:pt>
                <c:pt idx="57">
                  <c:v>1.4669127587723511E-2</c:v>
                </c:pt>
                <c:pt idx="58">
                  <c:v>1.5148931299714223E-2</c:v>
                </c:pt>
                <c:pt idx="59">
                  <c:v>1.5642732841644674E-2</c:v>
                </c:pt>
                <c:pt idx="60">
                  <c:v>1.6150900275982556E-2</c:v>
                </c:pt>
                <c:pt idx="61">
                  <c:v>1.6673810997906387E-2</c:v>
                </c:pt>
                <c:pt idx="62">
                  <c:v>1.7211852006408852E-2</c:v>
                </c:pt>
                <c:pt idx="63">
                  <c:v>1.7765420185865639E-2</c:v>
                </c:pt>
                <c:pt idx="64">
                  <c:v>1.8334922598570648E-2</c:v>
                </c:pt>
                <c:pt idx="65">
                  <c:v>1.8920776788761182E-2</c:v>
                </c:pt>
                <c:pt idx="66">
                  <c:v>1.9523411098684482E-2</c:v>
                </c:pt>
                <c:pt idx="67">
                  <c:v>2.014326499728707E-2</c:v>
                </c:pt>
                <c:pt idx="68">
                  <c:v>2.078078942214107E-2</c:v>
                </c:pt>
                <c:pt idx="69">
                  <c:v>2.1436447135250062E-2</c:v>
                </c:pt>
                <c:pt idx="70">
                  <c:v>2.2110713093416164E-2</c:v>
                </c:pt>
                <c:pt idx="71">
                  <c:v>2.2804074833889972E-2</c:v>
                </c:pt>
                <c:pt idx="72">
                  <c:v>2.3517032876054271E-2</c:v>
                </c:pt>
                <c:pt idx="73">
                  <c:v>2.4250101139946981E-2</c:v>
                </c:pt>
                <c:pt idx="74">
                  <c:v>2.5003807382463033E-2</c:v>
                </c:pt>
                <c:pt idx="75">
                  <c:v>2.5778693652129328E-2</c:v>
                </c:pt>
                <c:pt idx="76">
                  <c:v>2.6575316763393034E-2</c:v>
                </c:pt>
                <c:pt idx="77">
                  <c:v>2.7394248791420349E-2</c:v>
                </c:pt>
                <c:pt idx="78">
                  <c:v>2.823607758845367E-2</c:v>
                </c:pt>
                <c:pt idx="79">
                  <c:v>2.9101407322847838E-2</c:v>
                </c:pt>
                <c:pt idx="80">
                  <c:v>2.9990859041955191E-2</c:v>
                </c:pt>
                <c:pt idx="81">
                  <c:v>3.0905071260112917E-2</c:v>
                </c:pt>
                <c:pt idx="82">
                  <c:v>3.184470057304687E-2</c:v>
                </c:pt>
                <c:pt idx="83">
                  <c:v>3.2810422300098577E-2</c:v>
                </c:pt>
                <c:pt idx="84">
                  <c:v>3.3802931155746771E-2</c:v>
                </c:pt>
                <c:pt idx="85">
                  <c:v>3.4822941952009419E-2</c:v>
                </c:pt>
                <c:pt idx="86">
                  <c:v>3.5871190333379044E-2</c:v>
                </c:pt>
                <c:pt idx="87">
                  <c:v>3.694843354607176E-2</c:v>
                </c:pt>
                <c:pt idx="88">
                  <c:v>3.8055451243466029E-2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C-D54C-4618-9C7B-00C9B5BBCA2D}"/>
            </c:ext>
          </c:extLst>
        </c:ser>
        <c:ser>
          <c:idx val="92"/>
          <c:order val="22"/>
          <c:tx>
            <c:strRef>
              <c:f>PSY_CHART_LINES!$AE$1</c:f>
              <c:strCache>
                <c:ptCount val="1"/>
                <c:pt idx="0">
                  <c:v>RELATIVE_HUMIDITY_LINES_60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PSY_CHART_LINES!$AE$4:$AE$92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PSY_CHART_LINES!$AH$4:$AH$92</c:f>
              <c:numCache>
                <c:formatCode>General</c:formatCode>
                <c:ptCount val="89"/>
                <c:pt idx="0">
                  <c:v>2.2591878505911693E-3</c:v>
                </c:pt>
                <c:pt idx="1">
                  <c:v>2.352364992122886E-3</c:v>
                </c:pt>
                <c:pt idx="2">
                  <c:v>2.4489499000118716E-3</c:v>
                </c:pt>
                <c:pt idx="3">
                  <c:v>2.5490508413293644E-3</c:v>
                </c:pt>
                <c:pt idx="4">
                  <c:v>2.65277900636113E-3</c:v>
                </c:pt>
                <c:pt idx="5">
                  <c:v>2.7602485757870364E-3</c:v>
                </c:pt>
                <c:pt idx="6">
                  <c:v>2.8715767893739076E-3</c:v>
                </c:pt>
                <c:pt idx="7">
                  <c:v>2.9868840162312086E-3</c:v>
                </c:pt>
                <c:pt idx="8">
                  <c:v>3.106293826682253E-3</c:v>
                </c:pt>
                <c:pt idx="9">
                  <c:v>3.229933065805015E-3</c:v>
                </c:pt>
                <c:pt idx="10">
                  <c:v>3.3579319286998937E-3</c:v>
                </c:pt>
                <c:pt idx="11">
                  <c:v>3.4904240375450563E-3</c:v>
                </c:pt>
                <c:pt idx="12">
                  <c:v>3.6275465205013973E-3</c:v>
                </c:pt>
                <c:pt idx="13">
                  <c:v>3.7694400925343814E-3</c:v>
                </c:pt>
                <c:pt idx="14">
                  <c:v>3.9162491382206035E-3</c:v>
                </c:pt>
                <c:pt idx="15">
                  <c:v>4.0681217966134229E-3</c:v>
                </c:pt>
                <c:pt idx="16">
                  <c:v>4.2252100482421838E-3</c:v>
                </c:pt>
                <c:pt idx="17">
                  <c:v>4.3876698043257886E-3</c:v>
                </c:pt>
                <c:pt idx="18">
                  <c:v>4.5556609982849846E-3</c:v>
                </c:pt>
                <c:pt idx="19">
                  <c:v>4.7293476796394637E-3</c:v>
                </c:pt>
                <c:pt idx="20">
                  <c:v>4.9088981103838532E-3</c:v>
                </c:pt>
                <c:pt idx="21">
                  <c:v>5.0944848639380902E-3</c:v>
                </c:pt>
                <c:pt idx="22">
                  <c:v>5.2862849267735195E-3</c:v>
                </c:pt>
                <c:pt idx="23">
                  <c:v>5.4844798028219933E-3</c:v>
                </c:pt>
                <c:pt idx="24">
                  <c:v>5.6892556207776921E-3</c:v>
                </c:pt>
                <c:pt idx="25">
                  <c:v>5.9008032444108011E-3</c:v>
                </c:pt>
                <c:pt idx="26">
                  <c:v>6.1193183860139165E-3</c:v>
                </c:pt>
                <c:pt idx="27">
                  <c:v>6.3450017231097867E-3</c:v>
                </c:pt>
                <c:pt idx="28">
                  <c:v>6.5780590185575156E-3</c:v>
                </c:pt>
                <c:pt idx="29">
                  <c:v>6.8187012441953392E-3</c:v>
                </c:pt>
                <c:pt idx="30">
                  <c:v>7.0671447081713809E-3</c:v>
                </c:pt>
                <c:pt idx="31">
                  <c:v>7.3236111861169914E-3</c:v>
                </c:pt>
                <c:pt idx="32">
                  <c:v>7.588328056325349E-3</c:v>
                </c:pt>
                <c:pt idx="33">
                  <c:v>7.8615284391086414E-3</c:v>
                </c:pt>
                <c:pt idx="34">
                  <c:v>8.1434513405113564E-3</c:v>
                </c:pt>
                <c:pt idx="35">
                  <c:v>8.4343418005718256E-3</c:v>
                </c:pt>
                <c:pt idx="36">
                  <c:v>8.7344510463258276E-3</c:v>
                </c:pt>
                <c:pt idx="37">
                  <c:v>9.0440366497649416E-3</c:v>
                </c:pt>
                <c:pt idx="38">
                  <c:v>9.3633626909642494E-3</c:v>
                </c:pt>
                <c:pt idx="39">
                  <c:v>9.6926999266114169E-3</c:v>
                </c:pt>
                <c:pt idx="40">
                  <c:v>1.0032325964176103E-2</c:v>
                </c:pt>
                <c:pt idx="41">
                  <c:v>1.0382525441972764E-2</c:v>
                </c:pt>
                <c:pt idx="42">
                  <c:v>1.0743590215384721E-2</c:v>
                </c:pt>
                <c:pt idx="43">
                  <c:v>1.1115819549524807E-2</c:v>
                </c:pt>
                <c:pt idx="44">
                  <c:v>1.1499520318628343E-2</c:v>
                </c:pt>
                <c:pt idx="45">
                  <c:v>1.1895007212486685E-2</c:v>
                </c:pt>
                <c:pt idx="46">
                  <c:v>1.2302602950242108E-2</c:v>
                </c:pt>
                <c:pt idx="47">
                  <c:v>1.2722638501889191E-2</c:v>
                </c:pt>
                <c:pt idx="48">
                  <c:v>1.3155453317836159E-2</c:v>
                </c:pt>
                <c:pt idx="49">
                  <c:v>1.36013955669048E-2</c:v>
                </c:pt>
                <c:pt idx="50">
                  <c:v>1.4060822383164855E-2</c:v>
                </c:pt>
                <c:pt idx="51">
                  <c:v>1.4534100122019103E-2</c:v>
                </c:pt>
                <c:pt idx="52">
                  <c:v>1.5021604625976856E-2</c:v>
                </c:pt>
                <c:pt idx="53">
                  <c:v>1.5523721500578937E-2</c:v>
                </c:pt>
                <c:pt idx="54">
                  <c:v>1.6040846400957914E-2</c:v>
                </c:pt>
                <c:pt idx="55">
                  <c:v>1.6573385329548471E-2</c:v>
                </c:pt>
                <c:pt idx="56">
                  <c:v>1.7121754945482709E-2</c:v>
                </c:pt>
                <c:pt idx="57">
                  <c:v>1.768638288624225E-2</c:v>
                </c:pt>
                <c:pt idx="58">
                  <c:v>1.8267708102163268E-2</c:v>
                </c:pt>
                <c:pt idx="59">
                  <c:v>1.8866181204427797E-2</c:v>
                </c:pt>
                <c:pt idx="60">
                  <c:v>1.9482264827206587E-2</c:v>
                </c:pt>
                <c:pt idx="61">
                  <c:v>2.0116434004651747E-2</c:v>
                </c:pt>
                <c:pt idx="62">
                  <c:v>2.076917656348885E-2</c:v>
                </c:pt>
                <c:pt idx="63">
                  <c:v>2.1440993531983036E-2</c:v>
                </c:pt>
                <c:pt idx="64">
                  <c:v>2.2132399566109275E-2</c:v>
                </c:pt>
                <c:pt idx="65">
                  <c:v>2.2843923393799086E-2</c:v>
                </c:pt>
                <c:pt idx="66">
                  <c:v>2.3576108278185556E-2</c:v>
                </c:pt>
                <c:pt idx="67">
                  <c:v>2.4329512500821913E-2</c:v>
                </c:pt>
                <c:pt idx="68">
                  <c:v>2.5104709865906835E-2</c:v>
                </c:pt>
                <c:pt idx="69">
                  <c:v>2.5902290226603661E-2</c:v>
                </c:pt>
                <c:pt idx="70">
                  <c:v>2.672286003460916E-2</c:v>
                </c:pt>
                <c:pt idx="71">
                  <c:v>2.7567042914198595E-2</c:v>
                </c:pt>
                <c:pt idx="72">
                  <c:v>2.8435480262033727E-2</c:v>
                </c:pt>
                <c:pt idx="73">
                  <c:v>2.932883187411273E-2</c:v>
                </c:pt>
                <c:pt idx="74">
                  <c:v>3.0247776601310679E-2</c:v>
                </c:pt>
                <c:pt idx="75">
                  <c:v>3.119301303505604E-2</c:v>
                </c:pt>
                <c:pt idx="76">
                  <c:v>3.2165260224776844E-2</c:v>
                </c:pt>
                <c:pt idx="77">
                  <c:v>3.3165258428855163E-2</c:v>
                </c:pt>
                <c:pt idx="78">
                  <c:v>3.4193769900927658E-2</c:v>
                </c:pt>
                <c:pt idx="79">
                  <c:v>3.5251579713500271E-2</c:v>
                </c:pt>
                <c:pt idx="80">
                  <c:v>3.6339496620948278E-2</c:v>
                </c:pt>
                <c:pt idx="81">
                  <c:v>3.7458353964123385E-2</c:v>
                </c:pt>
                <c:pt idx="82">
                  <c:v>3.8609010618914988E-2</c:v>
                </c:pt>
                <c:pt idx="83">
                  <c:v>3.9792351991281186E-2</c:v>
                </c:pt>
                <c:pt idx="84">
                  <c:v>4.1009291061404878E-2</c:v>
                </c:pt>
                <c:pt idx="85">
                  <c:v>4.2260769479835175E-2</c:v>
                </c:pt>
                <c:pt idx="86">
                  <c:v>4.3547758718627261E-2</c:v>
                </c:pt>
                <c:pt idx="87">
                  <c:v>4.4871261280726209E-2</c:v>
                </c:pt>
                <c:pt idx="88">
                  <c:v>4.6232311971040968E-2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D-D54C-4618-9C7B-00C9B5BBCA2D}"/>
            </c:ext>
          </c:extLst>
        </c:ser>
        <c:ser>
          <c:idx val="93"/>
          <c:order val="23"/>
          <c:tx>
            <c:strRef>
              <c:f>PSY_CHART_LINES!$AI$1</c:f>
              <c:strCache>
                <c:ptCount val="1"/>
                <c:pt idx="0">
                  <c:v>RELATIVE_HUMIDITY_LINES_70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PSY_CHART_LINES!$AI$4:$AI$92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PSY_CHART_LINES!$AL$4:$AL$92</c:f>
              <c:numCache>
                <c:formatCode>General</c:formatCode>
                <c:ptCount val="89"/>
                <c:pt idx="0">
                  <c:v>2.6373158138250897E-3</c:v>
                </c:pt>
                <c:pt idx="1">
                  <c:v>2.7461569418947033E-3</c:v>
                </c:pt>
                <c:pt idx="2">
                  <c:v>2.8589844560450522E-3</c:v>
                </c:pt>
                <c:pt idx="3">
                  <c:v>2.9759254596538245E-3</c:v>
                </c:pt>
                <c:pt idx="4">
                  <c:v>3.0971105213983751E-3</c:v>
                </c:pt>
                <c:pt idx="5">
                  <c:v>3.2226737571691543E-3</c:v>
                </c:pt>
                <c:pt idx="6">
                  <c:v>3.3527529139605276E-3</c:v>
                </c:pt>
                <c:pt idx="7">
                  <c:v>3.4874894558086992E-3</c:v>
                </c:pt>
                <c:pt idx="8">
                  <c:v>3.6270286518507444E-3</c:v>
                </c:pt>
                <c:pt idx="9">
                  <c:v>3.7715196665810496E-3</c:v>
                </c:pt>
                <c:pt idx="10">
                  <c:v>3.921115652385984E-3</c:v>
                </c:pt>
                <c:pt idx="11">
                  <c:v>4.0759738444422185E-3</c:v>
                </c:pt>
                <c:pt idx="12">
                  <c:v>4.2362556580665166E-3</c:v>
                </c:pt>
                <c:pt idx="13">
                  <c:v>4.4021267886118001E-3</c:v>
                </c:pt>
                <c:pt idx="14">
                  <c:v>4.5737573140058061E-3</c:v>
                </c:pt>
                <c:pt idx="15">
                  <c:v>4.7513218000372059E-3</c:v>
                </c:pt>
                <c:pt idx="16">
                  <c:v>4.9349994084952322E-3</c:v>
                </c:pt>
                <c:pt idx="17">
                  <c:v>5.1249740082772079E-3</c:v>
                </c:pt>
                <c:pt idx="18">
                  <c:v>5.3214342895836131E-3</c:v>
                </c:pt>
                <c:pt idx="19">
                  <c:v>5.5245738813236205E-3</c:v>
                </c:pt>
                <c:pt idx="20">
                  <c:v>5.7345914718644449E-3</c:v>
                </c:pt>
                <c:pt idx="21">
                  <c:v>5.9516909332609311E-3</c:v>
                </c:pt>
                <c:pt idx="22">
                  <c:v>6.1760814491099237E-3</c:v>
                </c:pt>
                <c:pt idx="23">
                  <c:v>6.4079776461823711E-3</c:v>
                </c:pt>
                <c:pt idx="24">
                  <c:v>6.6475997299905321E-3</c:v>
                </c:pt>
                <c:pt idx="25">
                  <c:v>6.8951736244602614E-3</c:v>
                </c:pt>
                <c:pt idx="26">
                  <c:v>7.1509311158821313E-3</c:v>
                </c:pt>
                <c:pt idx="27">
                  <c:v>7.4151100013259636E-3</c:v>
                </c:pt>
                <c:pt idx="28">
                  <c:v>7.6879542417153295E-3</c:v>
                </c:pt>
                <c:pt idx="29">
                  <c:v>7.9697141197616964E-3</c:v>
                </c:pt>
                <c:pt idx="30">
                  <c:v>8.2606464029756875E-3</c:v>
                </c:pt>
                <c:pt idx="31">
                  <c:v>8.5610145119789614E-3</c:v>
                </c:pt>
                <c:pt idx="32">
                  <c:v>8.8710886943520664E-3</c:v>
                </c:pt>
                <c:pt idx="33">
                  <c:v>9.1911462042688161E-3</c:v>
                </c:pt>
                <c:pt idx="34">
                  <c:v>9.5214714881752364E-3</c:v>
                </c:pt>
                <c:pt idx="35">
                  <c:v>9.8623563767914028E-3</c:v>
                </c:pt>
                <c:pt idx="36">
                  <c:v>1.0214100283719347E-2</c:v>
                </c:pt>
                <c:pt idx="37">
                  <c:v>1.0577010410965848E-2</c:v>
                </c:pt>
                <c:pt idx="38">
                  <c:v>1.0951401961694559E-2</c:v>
                </c:pt>
                <c:pt idx="39">
                  <c:v>1.1337598360546132E-2</c:v>
                </c:pt>
                <c:pt idx="40">
                  <c:v>1.1735931481877257E-2</c:v>
                </c:pt>
                <c:pt idx="41">
                  <c:v>1.2146741886290103E-2</c:v>
                </c:pt>
                <c:pt idx="42">
                  <c:v>1.2570379065845811E-2</c:v>
                </c:pt>
                <c:pt idx="43">
                  <c:v>1.3007201698369055E-2</c:v>
                </c:pt>
                <c:pt idx="44">
                  <c:v>1.3457577911280051E-2</c:v>
                </c:pt>
                <c:pt idx="45">
                  <c:v>1.3921885555410298E-2</c:v>
                </c:pt>
                <c:pt idx="46">
                  <c:v>1.4400512489279238E-2</c:v>
                </c:pt>
                <c:pt idx="47">
                  <c:v>1.4893856874343605E-2</c:v>
                </c:pt>
                <c:pt idx="48">
                  <c:v>1.5402327481748074E-2</c:v>
                </c:pt>
                <c:pt idx="49">
                  <c:v>1.5926344011142138E-2</c:v>
                </c:pt>
                <c:pt idx="50">
                  <c:v>1.6466337422156488E-2</c:v>
                </c:pt>
                <c:pt idx="51">
                  <c:v>1.7022750279164025E-2</c:v>
                </c:pt>
                <c:pt idx="52">
                  <c:v>1.7596037109984728E-2</c:v>
                </c:pt>
                <c:pt idx="53">
                  <c:v>1.8186664779232933E-2</c:v>
                </c:pt>
                <c:pt idx="54">
                  <c:v>1.8795112877039787E-2</c:v>
                </c:pt>
                <c:pt idx="55">
                  <c:v>1.9421874123931274E-2</c:v>
                </c:pt>
                <c:pt idx="56">
                  <c:v>2.0067454792676919E-2</c:v>
                </c:pt>
                <c:pt idx="57">
                  <c:v>2.0732375147980649E-2</c:v>
                </c:pt>
                <c:pt idx="58">
                  <c:v>2.1417169904926859E-2</c:v>
                </c:pt>
                <c:pt idx="59">
                  <c:v>2.2122388707152954E-2</c:v>
                </c:pt>
                <c:pt idx="60">
                  <c:v>2.2848596625772793E-2</c:v>
                </c:pt>
                <c:pt idx="61">
                  <c:v>2.3596374680130393E-2</c:v>
                </c:pt>
                <c:pt idx="62">
                  <c:v>2.4366320381541965E-2</c:v>
                </c:pt>
                <c:pt idx="63">
                  <c:v>2.5159048301232525E-2</c:v>
                </c:pt>
                <c:pt idx="64">
                  <c:v>2.5975190663759522E-2</c:v>
                </c:pt>
                <c:pt idx="65">
                  <c:v>2.6815397967287654E-2</c:v>
                </c:pt>
                <c:pt idx="66">
                  <c:v>2.7680339632161363E-2</c:v>
                </c:pt>
                <c:pt idx="67">
                  <c:v>2.8570704679310138E-2</c:v>
                </c:pt>
                <c:pt idx="68">
                  <c:v>2.9487202440117804E-2</c:v>
                </c:pt>
                <c:pt idx="69">
                  <c:v>3.0430563299480597E-2</c:v>
                </c:pt>
                <c:pt idx="70">
                  <c:v>3.14015394738918E-2</c:v>
                </c:pt>
                <c:pt idx="71">
                  <c:v>3.2400905826509716E-2</c:v>
                </c:pt>
                <c:pt idx="72">
                  <c:v>3.3429460721273889E-2</c:v>
                </c:pt>
                <c:pt idx="73">
                  <c:v>3.4488026918284398E-2</c:v>
                </c:pt>
                <c:pt idx="74">
                  <c:v>3.5577452512785629E-2</c:v>
                </c:pt>
                <c:pt idx="75">
                  <c:v>3.6698611920257397E-2</c:v>
                </c:pt>
                <c:pt idx="76">
                  <c:v>3.7852406910273091E-2</c:v>
                </c:pt>
                <c:pt idx="77">
                  <c:v>3.9039767691963705E-2</c:v>
                </c:pt>
                <c:pt idx="78">
                  <c:v>4.0261654054105561E-2</c:v>
                </c:pt>
                <c:pt idx="79">
                  <c:v>4.1519056563068348E-2</c:v>
                </c:pt>
                <c:pt idx="80">
                  <c:v>4.2812997822054999E-2</c:v>
                </c:pt>
                <c:pt idx="81">
                  <c:v>4.4144533795319747E-2</c:v>
                </c:pt>
                <c:pt idx="82">
                  <c:v>4.5514755201283973E-2</c:v>
                </c:pt>
                <c:pt idx="83">
                  <c:v>4.6924788978761324E-2</c:v>
                </c:pt>
                <c:pt idx="84">
                  <c:v>4.8375799830768194E-2</c:v>
                </c:pt>
                <c:pt idx="85">
                  <c:v>4.9868991850748591E-2</c:v>
                </c:pt>
                <c:pt idx="86">
                  <c:v>5.1405610236341236E-2</c:v>
                </c:pt>
                <c:pt idx="87">
                  <c:v>5.298694309622274E-2</c:v>
                </c:pt>
                <c:pt idx="88">
                  <c:v>5.461432335593959E-2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E-D54C-4618-9C7B-00C9B5BBCA2D}"/>
            </c:ext>
          </c:extLst>
        </c:ser>
        <c:ser>
          <c:idx val="94"/>
          <c:order val="24"/>
          <c:tx>
            <c:strRef>
              <c:f>PSY_CHART_LINES!$AM$1</c:f>
              <c:strCache>
                <c:ptCount val="1"/>
                <c:pt idx="0">
                  <c:v>RELATIVE_HUMIDITY_LINES_80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PSY_CHART_LINES!$AM$4:$AM$92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PSY_CHART_LINES!$AP$4:$AP$92</c:f>
              <c:numCache>
                <c:formatCode>General</c:formatCode>
                <c:ptCount val="89"/>
                <c:pt idx="0">
                  <c:v>3.0159021762620262E-3</c:v>
                </c:pt>
                <c:pt idx="1">
                  <c:v>3.1404459941934589E-3</c:v>
                </c:pt>
                <c:pt idx="2">
                  <c:v>3.269557898572193E-3</c:v>
                </c:pt>
                <c:pt idx="3">
                  <c:v>3.4033840594939854E-3</c:v>
                </c:pt>
                <c:pt idx="4">
                  <c:v>3.5420746705942456E-3</c:v>
                </c:pt>
                <c:pt idx="5">
                  <c:v>3.6857840467572167E-3</c:v>
                </c:pt>
                <c:pt idx="6">
                  <c:v>3.8346707243325034E-3</c:v>
                </c:pt>
                <c:pt idx="7">
                  <c:v>3.9888975639527169E-3</c:v>
                </c:pt>
                <c:pt idx="8">
                  <c:v>4.1486318560517094E-3</c:v>
                </c:pt>
                <c:pt idx="9">
                  <c:v>4.3140454291863061E-3</c:v>
                </c:pt>
                <c:pt idx="10">
                  <c:v>4.4853147612705143E-3</c:v>
                </c:pt>
                <c:pt idx="11">
                  <c:v>4.6626210938373065E-3</c:v>
                </c:pt>
                <c:pt idx="12">
                  <c:v>4.8461505494468773E-3</c:v>
                </c:pt>
                <c:pt idx="13">
                  <c:v>5.0360942523691946E-3</c:v>
                </c:pt>
                <c:pt idx="14">
                  <c:v>5.2326484526715768E-3</c:v>
                </c:pt>
                <c:pt idx="15">
                  <c:v>5.4360146538528853E-3</c:v>
                </c:pt>
                <c:pt idx="16">
                  <c:v>5.646399744168553E-3</c:v>
                </c:pt>
                <c:pt idx="17">
                  <c:v>5.8640161318014462E-3</c:v>
                </c:pt>
                <c:pt idx="18">
                  <c:v>6.0890818840409746E-3</c:v>
                </c:pt>
                <c:pt idx="19">
                  <c:v>6.3218208706380752E-3</c:v>
                </c:pt>
                <c:pt idx="20">
                  <c:v>6.5624629115171029E-3</c:v>
                </c:pt>
                <c:pt idx="21">
                  <c:v>6.8112439290308954E-3</c:v>
                </c:pt>
                <c:pt idx="22">
                  <c:v>7.068406104956208E-3</c:v>
                </c:pt>
                <c:pt idx="23">
                  <c:v>7.3341980424382657E-3</c:v>
                </c:pt>
                <c:pt idx="24">
                  <c:v>7.6088749331000918E-3</c:v>
                </c:pt>
                <c:pt idx="25">
                  <c:v>7.8926987295488658E-3</c:v>
                </c:pt>
                <c:pt idx="26">
                  <c:v>8.1859383235179713E-3</c:v>
                </c:pt>
                <c:pt idx="27">
                  <c:v>8.4888697298982629E-3</c:v>
                </c:pt>
                <c:pt idx="28">
                  <c:v>8.8017762769281426E-3</c:v>
                </c:pt>
                <c:pt idx="29">
                  <c:v>9.1249488028183143E-3</c:v>
                </c:pt>
                <c:pt idx="30">
                  <c:v>9.4586858591103034E-3</c:v>
                </c:pt>
                <c:pt idx="31">
                  <c:v>9.8032939210776476E-3</c:v>
                </c:pt>
                <c:pt idx="32">
                  <c:v>1.0159087605495479E-2</c:v>
                </c:pt>
                <c:pt idx="33">
                  <c:v>1.0526389896124998E-2</c:v>
                </c:pt>
                <c:pt idx="34">
                  <c:v>1.0905532377271553E-2</c:v>
                </c:pt>
                <c:pt idx="35">
                  <c:v>1.1296855475802092E-2</c:v>
                </c:pt>
                <c:pt idx="36">
                  <c:v>1.1700708712017461E-2</c:v>
                </c:pt>
                <c:pt idx="37">
                  <c:v>1.2117450959808746E-2</c:v>
                </c:pt>
                <c:pt idx="38">
                  <c:v>1.2547450716538074E-2</c:v>
                </c:pt>
                <c:pt idx="39">
                  <c:v>1.2991086383116919E-2</c:v>
                </c:pt>
                <c:pt idx="40">
                  <c:v>1.3448746554774441E-2</c:v>
                </c:pt>
                <c:pt idx="41">
                  <c:v>1.392083032303763E-2</c:v>
                </c:pt>
                <c:pt idx="42">
                  <c:v>1.4407747589476551E-2</c:v>
                </c:pt>
                <c:pt idx="43">
                  <c:v>1.4909919391789841E-2</c:v>
                </c:pt>
                <c:pt idx="44">
                  <c:v>1.5427778242846262E-2</c:v>
                </c:pt>
                <c:pt idx="45">
                  <c:v>1.5961768483328406E-2</c:v>
                </c:pt>
                <c:pt idx="46">
                  <c:v>1.6512346648656633E-2</c:v>
                </c:pt>
                <c:pt idx="47">
                  <c:v>1.7079981850919704E-2</c:v>
                </c:pt>
                <c:pt idx="48">
                  <c:v>1.7665156176566787E-2</c:v>
                </c:pt>
                <c:pt idx="49">
                  <c:v>1.8268365100667466E-2</c:v>
                </c:pt>
                <c:pt idx="50">
                  <c:v>1.8890117918589144E-2</c:v>
                </c:pt>
                <c:pt idx="51">
                  <c:v>1.9530938195989327E-2</c:v>
                </c:pt>
                <c:pt idx="52">
                  <c:v>2.0191364238071746E-2</c:v>
                </c:pt>
                <c:pt idx="53">
                  <c:v>2.0871949579113154E-2</c:v>
                </c:pt>
                <c:pt idx="54">
                  <c:v>2.1573263493321553E-2</c:v>
                </c:pt>
                <c:pt idx="55">
                  <c:v>2.2295891528155996E-2</c:v>
                </c:pt>
                <c:pt idx="56">
                  <c:v>2.304043606129462E-2</c:v>
                </c:pt>
                <c:pt idx="57">
                  <c:v>2.3807516882519725E-2</c:v>
                </c:pt>
                <c:pt idx="58">
                  <c:v>2.4597771801855513E-2</c:v>
                </c:pt>
                <c:pt idx="59">
                  <c:v>2.5411857285381437E-2</c:v>
                </c:pt>
                <c:pt idx="60">
                  <c:v>2.6250449120226896E-2</c:v>
                </c:pt>
                <c:pt idx="61">
                  <c:v>2.7114243110340414E-2</c:v>
                </c:pt>
                <c:pt idx="62">
                  <c:v>2.8003955804742124E-2</c:v>
                </c:pt>
                <c:pt idx="63">
                  <c:v>2.8920325260051574E-2</c:v>
                </c:pt>
                <c:pt idx="64">
                  <c:v>2.9864111839211945E-2</c:v>
                </c:pt>
                <c:pt idx="65">
                  <c:v>3.0836099048446631E-2</c:v>
                </c:pt>
                <c:pt idx="66">
                  <c:v>3.1837094414613576E-2</c:v>
                </c:pt>
                <c:pt idx="67">
                  <c:v>3.2867930405262952E-2</c:v>
                </c:pt>
                <c:pt idx="68">
                  <c:v>3.3929465393854996E-2</c:v>
                </c:pt>
                <c:pt idx="69">
                  <c:v>3.5022584672747055E-2</c:v>
                </c:pt>
                <c:pt idx="70">
                  <c:v>3.6148201516737352E-2</c:v>
                </c:pt>
                <c:pt idx="71">
                  <c:v>3.730725830014181E-2</c:v>
                </c:pt>
                <c:pt idx="72">
                  <c:v>3.8500727670561952E-2</c:v>
                </c:pt>
                <c:pt idx="73">
                  <c:v>3.9729613782736026E-2</c:v>
                </c:pt>
                <c:pt idx="74">
                  <c:v>4.0994953596078063E-2</c:v>
                </c:pt>
                <c:pt idx="75">
                  <c:v>4.2297818239768928E-2</c:v>
                </c:pt>
                <c:pt idx="76">
                  <c:v>4.3639314449523112E-2</c:v>
                </c:pt>
                <c:pt idx="77">
                  <c:v>4.5020586080447837E-2</c:v>
                </c:pt>
                <c:pt idx="78">
                  <c:v>4.6442815700711487E-2</c:v>
                </c:pt>
                <c:pt idx="79">
                  <c:v>4.7907226271093749E-2</c:v>
                </c:pt>
                <c:pt idx="80">
                  <c:v>4.9415082915825602E-2</c:v>
                </c:pt>
                <c:pt idx="81">
                  <c:v>5.0967694790544624E-2</c:v>
                </c:pt>
                <c:pt idx="82">
                  <c:v>5.2566417053593058E-2</c:v>
                </c:pt>
                <c:pt idx="83">
                  <c:v>5.4212652947369488E-2</c:v>
                </c:pt>
                <c:pt idx="84">
                  <c:v>5.5907855996909894E-2</c:v>
                </c:pt>
                <c:pt idx="85">
                  <c:v>5.7653532333457165E-2</c:v>
                </c:pt>
                <c:pt idx="86">
                  <c:v>5.945124315131458E-2</c:v>
                </c:pt>
                <c:pt idx="87">
                  <c:v>6.130260730695844E-2</c:v>
                </c:pt>
                <c:pt idx="88">
                  <c:v>6.3209304070054401E-2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FF-D54C-4618-9C7B-00C9B5BBCA2D}"/>
            </c:ext>
          </c:extLst>
        </c:ser>
        <c:ser>
          <c:idx val="95"/>
          <c:order val="25"/>
          <c:tx>
            <c:strRef>
              <c:f>PSY_CHART_LINES!$AQ$1</c:f>
              <c:strCache>
                <c:ptCount val="1"/>
                <c:pt idx="0">
                  <c:v>RELATIVE_HUMIDITY_LINES_90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PSY_CHART_LINES!$AQ$4:$AQ$92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PSY_CHART_LINES!$AT$4:$AT$92</c:f>
              <c:numCache>
                <c:formatCode>General</c:formatCode>
                <c:ptCount val="89"/>
                <c:pt idx="0">
                  <c:v>3.394947771973889E-3</c:v>
                </c:pt>
                <c:pt idx="1">
                  <c:v>3.5352330908882939E-3</c:v>
                </c:pt>
                <c:pt idx="2">
                  <c:v>3.6806712906364042E-3</c:v>
                </c:pt>
                <c:pt idx="3">
                  <c:v>3.8314278400351474E-3</c:v>
                </c:pt>
                <c:pt idx="4">
                  <c:v>3.9876728060172515E-3</c:v>
                </c:pt>
                <c:pt idx="5">
                  <c:v>4.149580968217853E-3</c:v>
                </c:pt>
                <c:pt idx="6">
                  <c:v>4.3173319366662929E-3</c:v>
                </c:pt>
                <c:pt idx="7">
                  <c:v>4.4911102727050664E-3</c:v>
                </c:pt>
                <c:pt idx="8">
                  <c:v>4.6711056132652251E-3</c:v>
                </c:pt>
                <c:pt idx="9">
                  <c:v>4.8575127986324237E-3</c:v>
                </c:pt>
                <c:pt idx="10">
                  <c:v>5.0505320038456269E-3</c:v>
                </c:pt>
                <c:pt idx="11">
                  <c:v>5.2503688738785269E-3</c:v>
                </c:pt>
                <c:pt idx="12">
                  <c:v>5.4572346627591879E-3</c:v>
                </c:pt>
                <c:pt idx="13">
                  <c:v>5.67134637679467E-3</c:v>
                </c:pt>
                <c:pt idx="14">
                  <c:v>5.8929269220720174E-3</c:v>
                </c:pt>
                <c:pt idx="15">
                  <c:v>6.1222052564206524E-3</c:v>
                </c:pt>
                <c:pt idx="16">
                  <c:v>6.3594165460255604E-3</c:v>
                </c:pt>
                <c:pt idx="17">
                  <c:v>6.6048023268944836E-3</c:v>
                </c:pt>
                <c:pt idx="18">
                  <c:v>6.8586106713922962E-3</c:v>
                </c:pt>
                <c:pt idx="19">
                  <c:v>7.1210963600633736E-3</c:v>
                </c:pt>
                <c:pt idx="20">
                  <c:v>7.3925210589798158E-3</c:v>
                </c:pt>
                <c:pt idx="21">
                  <c:v>7.6731535028612078E-3</c:v>
                </c:pt>
                <c:pt idx="22">
                  <c:v>7.9632696842261291E-3</c:v>
                </c:pt>
                <c:pt idx="23">
                  <c:v>8.2631530488508267E-3</c:v>
                </c:pt>
                <c:pt idx="24">
                  <c:v>8.5730946978207264E-3</c:v>
                </c:pt>
                <c:pt idx="25">
                  <c:v>8.8933935964817107E-3</c:v>
                </c:pt>
                <c:pt idx="26">
                  <c:v>9.2243567906080143E-3</c:v>
                </c:pt>
                <c:pt idx="27">
                  <c:v>9.5662996301233132E-3</c:v>
                </c:pt>
                <c:pt idx="28">
                  <c:v>9.9195460007327745E-3</c:v>
                </c:pt>
                <c:pt idx="29">
                  <c:v>1.02844285638342E-2</c:v>
                </c:pt>
                <c:pt idx="30">
                  <c:v>1.0661289005106132E-2</c:v>
                </c:pt>
                <c:pt idx="31">
                  <c:v>1.1050478292185634E-2</c:v>
                </c:pt>
                <c:pt idx="32">
                  <c:v>1.1452356941871435E-2</c:v>
                </c:pt>
                <c:pt idx="33">
                  <c:v>1.1867295297315833E-2</c:v>
                </c:pt>
                <c:pt idx="34">
                  <c:v>1.2295673815687184E-2</c:v>
                </c:pt>
                <c:pt idx="35">
                  <c:v>1.2737883366820172E-2</c:v>
                </c:pt>
                <c:pt idx="36">
                  <c:v>1.3194325543387257E-2</c:v>
                </c:pt>
                <c:pt idx="37">
                  <c:v>1.3665412983168448E-2</c:v>
                </c:pt>
                <c:pt idx="38">
                  <c:v>1.4151569704015043E-2</c:v>
                </c:pt>
                <c:pt idx="39">
                  <c:v>1.4653231452146451E-2</c:v>
                </c:pt>
                <c:pt idx="40">
                  <c:v>1.5170846064447961E-2</c:v>
                </c:pt>
                <c:pt idx="41">
                  <c:v>1.5704873845477686E-2</c:v>
                </c:pt>
                <c:pt idx="42">
                  <c:v>1.6255787959934608E-2</c:v>
                </c:pt>
                <c:pt idx="43">
                  <c:v>1.6824074841372685E-2</c:v>
                </c:pt>
                <c:pt idx="44">
                  <c:v>1.7410234618000901E-2</c:v>
                </c:pt>
                <c:pt idx="45">
                  <c:v>1.8014781556453547E-2</c:v>
                </c:pt>
                <c:pt idx="46">
                  <c:v>1.8638244524461181E-2</c:v>
                </c:pt>
                <c:pt idx="47">
                  <c:v>1.9281167473419066E-2</c:v>
                </c:pt>
                <c:pt idx="48">
                  <c:v>1.9944109941893714E-2</c:v>
                </c:pt>
                <c:pt idx="49">
                  <c:v>2.0627647581180061E-2</c:v>
                </c:pt>
                <c:pt idx="50">
                  <c:v>2.1332372704084186E-2</c:v>
                </c:pt>
                <c:pt idx="51">
                  <c:v>2.2058894858176022E-2</c:v>
                </c:pt>
                <c:pt idx="52">
                  <c:v>2.2807841424830975E-2</c:v>
                </c:pt>
                <c:pt idx="53">
                  <c:v>2.3579858245462618E-2</c:v>
                </c:pt>
                <c:pt idx="54">
                  <c:v>2.4375610276428421E-2</c:v>
                </c:pt>
                <c:pt idx="55">
                  <c:v>2.5195782274189501E-2</c:v>
                </c:pt>
                <c:pt idx="56">
                  <c:v>2.6041079512391565E-2</c:v>
                </c:pt>
                <c:pt idx="57">
                  <c:v>2.6912228532651048E-2</c:v>
                </c:pt>
                <c:pt idx="58">
                  <c:v>2.7809977930931755E-2</c:v>
                </c:pt>
                <c:pt idx="59">
                  <c:v>2.8735099181524337E-2</c:v>
                </c:pt>
                <c:pt idx="60">
                  <c:v>2.9688387500764902E-2</c:v>
                </c:pt>
                <c:pt idx="61">
                  <c:v>3.0670662752760515E-2</c:v>
                </c:pt>
                <c:pt idx="62">
                  <c:v>3.1682770399556248E-2</c:v>
                </c:pt>
                <c:pt idx="63">
                  <c:v>3.2725582498310736E-2</c:v>
                </c:pt>
                <c:pt idx="64">
                  <c:v>3.3799998748235548E-2</c:v>
                </c:pt>
                <c:pt idx="65">
                  <c:v>3.4906947590228672E-2</c:v>
                </c:pt>
                <c:pt idx="66">
                  <c:v>3.6047387362328848E-2</c:v>
                </c:pt>
                <c:pt idx="67">
                  <c:v>3.7222307514329173E-2</c:v>
                </c:pt>
                <c:pt idx="68">
                  <c:v>3.8432729885118574E-2</c:v>
                </c:pt>
                <c:pt idx="69">
                  <c:v>3.9679710046555218E-2</c:v>
                </c:pt>
                <c:pt idx="70">
                  <c:v>4.0964338717947232E-2</c:v>
                </c:pt>
                <c:pt idx="71">
                  <c:v>4.228774325550546E-2</c:v>
                </c:pt>
                <c:pt idx="72">
                  <c:v>4.3651089221420643E-2</c:v>
                </c:pt>
                <c:pt idx="73">
                  <c:v>4.5055582037572449E-2</c:v>
                </c:pt>
                <c:pt idx="74">
                  <c:v>4.6502468729216449E-2</c:v>
                </c:pt>
                <c:pt idx="75">
                  <c:v>4.7993039764395819E-2</c:v>
                </c:pt>
                <c:pt idx="76">
                  <c:v>4.9528630995235641E-2</c:v>
                </c:pt>
                <c:pt idx="77">
                  <c:v>5.1110625707738104E-2</c:v>
                </c:pt>
                <c:pt idx="78">
                  <c:v>5.2740456787176586E-2</c:v>
                </c:pt>
                <c:pt idx="79">
                  <c:v>5.4419609006743884E-2</c:v>
                </c:pt>
                <c:pt idx="80">
                  <c:v>5.61496214476584E-2</c:v>
                </c:pt>
                <c:pt idx="81">
                  <c:v>5.7932090059590262E-2</c:v>
                </c:pt>
                <c:pt idx="82">
                  <c:v>5.9768670370928416E-2</c:v>
                </c:pt>
                <c:pt idx="83">
                  <c:v>6.1661080359181004E-2</c:v>
                </c:pt>
                <c:pt idx="84">
                  <c:v>6.3611103492574539E-2</c:v>
                </c:pt>
                <c:pt idx="85">
                  <c:v>6.5620591954849511E-2</c:v>
                </c:pt>
                <c:pt idx="86">
                  <c:v>6.7691470066156653E-2</c:v>
                </c:pt>
                <c:pt idx="87">
                  <c:v>6.9825737914059133E-2</c:v>
                </c:pt>
                <c:pt idx="88">
                  <c:v>7.2025475209767487E-2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0-D54C-4618-9C7B-00C9B5BBCA2D}"/>
            </c:ext>
          </c:extLst>
        </c:ser>
        <c:ser>
          <c:idx val="96"/>
          <c:order val="26"/>
          <c:tx>
            <c:strRef>
              <c:f>PSY_CHART_LINES!$G$1</c:f>
              <c:strCache>
                <c:ptCount val="1"/>
                <c:pt idx="0">
                  <c:v>LEFT_BORDER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127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02-D54C-4618-9C7B-00C9B5BBCA2D}"/>
              </c:ext>
            </c:extLst>
          </c:dPt>
          <c:xVal>
            <c:numRef>
              <c:f>PSY_CHART_LINES!$G$4:$G$5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xVal>
          <c:yVal>
            <c:numRef>
              <c:f>PSY_CHART_LINES!$H$4:$H$5</c:f>
              <c:numCache>
                <c:formatCode>General</c:formatCode>
                <c:ptCount val="2"/>
                <c:pt idx="0">
                  <c:v>0</c:v>
                </c:pt>
                <c:pt idx="1">
                  <c:v>3.7744534370573114E-3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1-D54C-4618-9C7B-00C9B5BBCA2D}"/>
            </c:ext>
          </c:extLst>
        </c:ser>
        <c:ser>
          <c:idx val="97"/>
          <c:order val="27"/>
          <c:tx>
            <c:strRef>
              <c:f>PSY_CHART_LINES!$AU$6</c:f>
              <c:strCache>
                <c:ptCount val="1"/>
                <c:pt idx="0">
                  <c:v>35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PSY_CHART_LINES!$AU$6:$AU$7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PSY_CHART_LINES!$AV$6:$AV$7</c:f>
              <c:numCache>
                <c:formatCode>General</c:formatCode>
                <c:ptCount val="2"/>
                <c:pt idx="0">
                  <c:v>0</c:v>
                </c:pt>
                <c:pt idx="1">
                  <c:v>4.2600580037481708E-3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3-D54C-4618-9C7B-00C9B5BBCA2D}"/>
            </c:ext>
          </c:extLst>
        </c:ser>
        <c:ser>
          <c:idx val="98"/>
          <c:order val="28"/>
          <c:tx>
            <c:strRef>
              <c:f>PSY_CHART_LINES!$AU$8</c:f>
              <c:strCache>
                <c:ptCount val="1"/>
                <c:pt idx="0">
                  <c:v>40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PSY_CHART_LINES!$AU$8:$AU$9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xVal>
          <c:yVal>
            <c:numRef>
              <c:f>PSY_CHART_LINES!$AV$8:$AV$9</c:f>
              <c:numCache>
                <c:formatCode>General</c:formatCode>
                <c:ptCount val="2"/>
                <c:pt idx="0">
                  <c:v>0</c:v>
                </c:pt>
                <c:pt idx="1">
                  <c:v>5.1944521047341524E-3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4-D54C-4618-9C7B-00C9B5BBCA2D}"/>
            </c:ext>
          </c:extLst>
        </c:ser>
        <c:ser>
          <c:idx val="99"/>
          <c:order val="29"/>
          <c:tx>
            <c:strRef>
              <c:f>PSY_CHART_LINES!$AU$10</c:f>
              <c:strCache>
                <c:ptCount val="1"/>
                <c:pt idx="0">
                  <c:v>45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PSY_CHART_LINES!$AU$10:$AU$11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PSY_CHART_LINES!$AV$10:$AV$11</c:f>
              <c:numCache>
                <c:formatCode>General</c:formatCode>
                <c:ptCount val="2"/>
                <c:pt idx="0">
                  <c:v>0</c:v>
                </c:pt>
                <c:pt idx="1">
                  <c:v>6.3078870706696974E-3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5-D54C-4618-9C7B-00C9B5BBCA2D}"/>
            </c:ext>
          </c:extLst>
        </c:ser>
        <c:ser>
          <c:idx val="100"/>
          <c:order val="30"/>
          <c:tx>
            <c:strRef>
              <c:f>PSY_CHART_LINES!$AU$12</c:f>
              <c:strCache>
                <c:ptCount val="1"/>
                <c:pt idx="0">
                  <c:v>50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PSY_CHART_LINES!$AU$12:$AU$13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PSY_CHART_LINES!$AV$12:$AV$13</c:f>
              <c:numCache>
                <c:formatCode>General</c:formatCode>
                <c:ptCount val="2"/>
                <c:pt idx="0">
                  <c:v>0</c:v>
                </c:pt>
                <c:pt idx="1">
                  <c:v>7.6300275751821269E-3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6-D54C-4618-9C7B-00C9B5BBCA2D}"/>
            </c:ext>
          </c:extLst>
        </c:ser>
        <c:ser>
          <c:idx val="101"/>
          <c:order val="31"/>
          <c:tx>
            <c:strRef>
              <c:f>PSY_CHART_LINES!$AU$14</c:f>
              <c:strCache>
                <c:ptCount val="1"/>
                <c:pt idx="0">
                  <c:v>55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PSY_CHART_LINES!$AU$14:$AU$15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PSY_CHART_LINES!$AV$14:$AV$15</c:f>
              <c:numCache>
                <c:formatCode>General</c:formatCode>
                <c:ptCount val="2"/>
                <c:pt idx="0">
                  <c:v>0</c:v>
                </c:pt>
                <c:pt idx="1">
                  <c:v>9.1948547939831385E-3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7-D54C-4618-9C7B-00C9B5BBCA2D}"/>
            </c:ext>
          </c:extLst>
        </c:ser>
        <c:ser>
          <c:idx val="102"/>
          <c:order val="32"/>
          <c:tx>
            <c:strRef>
              <c:f>PSY_CHART_LINES!$AU$16</c:f>
              <c:strCache>
                <c:ptCount val="1"/>
                <c:pt idx="0">
                  <c:v>60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PSY_CHART_LINES!$AU$16:$AU$17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PSY_CHART_LINES!$AV$16:$AV$17</c:f>
              <c:numCache>
                <c:formatCode>General</c:formatCode>
                <c:ptCount val="2"/>
                <c:pt idx="0">
                  <c:v>0</c:v>
                </c:pt>
                <c:pt idx="1">
                  <c:v>1.1041284437913019E-2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8-D54C-4618-9C7B-00C9B5BBCA2D}"/>
            </c:ext>
          </c:extLst>
        </c:ser>
        <c:ser>
          <c:idx val="103"/>
          <c:order val="33"/>
          <c:tx>
            <c:strRef>
              <c:f>PSY_CHART_LINES!$AU$18</c:f>
              <c:strCache>
                <c:ptCount val="1"/>
                <c:pt idx="0">
                  <c:v>65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PSY_CHART_LINES!$AU$18:$AU$19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xVal>
          <c:yVal>
            <c:numRef>
              <c:f>PSY_CHART_LINES!$AV$18:$AV$19</c:f>
              <c:numCache>
                <c:formatCode>General</c:formatCode>
                <c:ptCount val="2"/>
                <c:pt idx="0">
                  <c:v>0</c:v>
                </c:pt>
                <c:pt idx="1">
                  <c:v>1.321389849457626E-2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9-D54C-4618-9C7B-00C9B5BBCA2D}"/>
            </c:ext>
          </c:extLst>
        </c:ser>
        <c:ser>
          <c:idx val="104"/>
          <c:order val="34"/>
          <c:tx>
            <c:strRef>
              <c:f>PSY_CHART_LINES!$AU$20</c:f>
              <c:strCache>
                <c:ptCount val="1"/>
                <c:pt idx="0">
                  <c:v>70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PSY_CHART_LINES!$AU$20:$AU$21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PSY_CHART_LINES!$AV$20:$AV$21</c:f>
              <c:numCache>
                <c:formatCode>General</c:formatCode>
                <c:ptCount val="2"/>
                <c:pt idx="0">
                  <c:v>0</c:v>
                </c:pt>
                <c:pt idx="1">
                  <c:v>1.5763820288538288E-2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A-D54C-4618-9C7B-00C9B5BBCA2D}"/>
            </c:ext>
          </c:extLst>
        </c:ser>
        <c:ser>
          <c:idx val="105"/>
          <c:order val="35"/>
          <c:tx>
            <c:strRef>
              <c:f>PSY_CHART_LINES!$AU$22</c:f>
              <c:strCache>
                <c:ptCount val="1"/>
                <c:pt idx="0">
                  <c:v>75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PSY_CHART_LINES!$AU$22:$AU$23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PSY_CHART_LINES!$AV$22:$AV$23</c:f>
              <c:numCache>
                <c:formatCode>General</c:formatCode>
                <c:ptCount val="2"/>
                <c:pt idx="0">
                  <c:v>0</c:v>
                </c:pt>
                <c:pt idx="1">
                  <c:v>1.874977149125126E-2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B-D54C-4618-9C7B-00C9B5BBCA2D}"/>
            </c:ext>
          </c:extLst>
        </c:ser>
        <c:ser>
          <c:idx val="106"/>
          <c:order val="36"/>
          <c:tx>
            <c:strRef>
              <c:f>PSY_CHART_LINES!$AU$24</c:f>
              <c:strCache>
                <c:ptCount val="1"/>
                <c:pt idx="0">
                  <c:v>80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PSY_CHART_LINES!$AU$24:$AU$25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xVal>
          <c:yVal>
            <c:numRef>
              <c:f>PSY_CHART_LINES!$AV$24:$AV$25</c:f>
              <c:numCache>
                <c:formatCode>General</c:formatCode>
                <c:ptCount val="2"/>
                <c:pt idx="0">
                  <c:v>0</c:v>
                </c:pt>
                <c:pt idx="1">
                  <c:v>2.2239361756574878E-2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C-D54C-4618-9C7B-00C9B5BBCA2D}"/>
            </c:ext>
          </c:extLst>
        </c:ser>
        <c:ser>
          <c:idx val="107"/>
          <c:order val="37"/>
          <c:tx>
            <c:strRef>
              <c:f>PSY_CHART_LINES!$AU$26</c:f>
              <c:strCache>
                <c:ptCount val="1"/>
                <c:pt idx="0">
                  <c:v>85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PSY_CHART_LINES!$AU$26:$AU$27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xVal>
          <c:yVal>
            <c:numRef>
              <c:f>PSY_CHART_LINES!$AV$26:$AV$27</c:f>
              <c:numCache>
                <c:formatCode>General</c:formatCode>
                <c:ptCount val="2"/>
                <c:pt idx="0">
                  <c:v>0</c:v>
                </c:pt>
                <c:pt idx="1">
                  <c:v>2.6310677901240059E-2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D-D54C-4618-9C7B-00C9B5BBCA2D}"/>
            </c:ext>
          </c:extLst>
        </c:ser>
        <c:ser>
          <c:idx val="108"/>
          <c:order val="38"/>
          <c:tx>
            <c:strRef>
              <c:f>PSY_CHART_LINES!$AU$28</c:f>
              <c:strCache>
                <c:ptCount val="1"/>
                <c:pt idx="0">
                  <c:v>90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PSY_CHART_LINES!$AU$28:$AU$29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PSY_CHART_LINES!$AV$28:$AV$29</c:f>
              <c:numCache>
                <c:formatCode>General</c:formatCode>
                <c:ptCount val="2"/>
                <c:pt idx="0">
                  <c:v>0</c:v>
                </c:pt>
                <c:pt idx="1">
                  <c:v>3.1054261700060724E-2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E-D54C-4618-9C7B-00C9B5BBCA2D}"/>
            </c:ext>
          </c:extLst>
        </c:ser>
        <c:ser>
          <c:idx val="109"/>
          <c:order val="39"/>
          <c:tx>
            <c:strRef>
              <c:f>PSY_CHART_LINES!$AU$30</c:f>
              <c:strCache>
                <c:ptCount val="1"/>
                <c:pt idx="0">
                  <c:v>95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PSY_CHART_LINES!$AU$30:$AU$31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xVal>
          <c:yVal>
            <c:numRef>
              <c:f>PSY_CHART_LINES!$AV$30:$AV$31</c:f>
              <c:numCache>
                <c:formatCode>General</c:formatCode>
                <c:ptCount val="2"/>
                <c:pt idx="0">
                  <c:v>0</c:v>
                </c:pt>
                <c:pt idx="1">
                  <c:v>3.6575595938695249E-2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0F-D54C-4618-9C7B-00C9B5BBCA2D}"/>
            </c:ext>
          </c:extLst>
        </c:ser>
        <c:ser>
          <c:idx val="110"/>
          <c:order val="40"/>
          <c:tx>
            <c:strRef>
              <c:f>PSY_CHART_LINES!$AU$32</c:f>
              <c:strCache>
                <c:ptCount val="1"/>
                <c:pt idx="0">
                  <c:v>100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PSY_CHART_LINES!$AU$32:$AU$33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PSY_CHART_LINES!$AV$32:$AV$33</c:f>
              <c:numCache>
                <c:formatCode>General</c:formatCode>
                <c:ptCount val="2"/>
                <c:pt idx="0">
                  <c:v>0</c:v>
                </c:pt>
                <c:pt idx="1">
                  <c:v>4.2998261118408897E-2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0-D54C-4618-9C7B-00C9B5BBCA2D}"/>
            </c:ext>
          </c:extLst>
        </c:ser>
        <c:ser>
          <c:idx val="111"/>
          <c:order val="41"/>
          <c:tx>
            <c:strRef>
              <c:f>PSY_CHART_LINES!$AU$34</c:f>
              <c:strCache>
                <c:ptCount val="1"/>
                <c:pt idx="0">
                  <c:v>105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PSY_CHART_LINES!$AU$34:$AU$35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PSY_CHART_LINES!$AV$34:$AV$35</c:f>
              <c:numCache>
                <c:formatCode>General</c:formatCode>
                <c:ptCount val="2"/>
                <c:pt idx="0">
                  <c:v>0</c:v>
                </c:pt>
                <c:pt idx="1">
                  <c:v>5.0467985830663357E-2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1-D54C-4618-9C7B-00C9B5BBCA2D}"/>
            </c:ext>
          </c:extLst>
        </c:ser>
        <c:ser>
          <c:idx val="112"/>
          <c:order val="42"/>
          <c:tx>
            <c:strRef>
              <c:f>PSY_CHART_LINES!$AU$36</c:f>
              <c:strCache>
                <c:ptCount val="1"/>
                <c:pt idx="0">
                  <c:v>110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PSY_CHART_LINES!$AU$36:$AU$37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PSY_CHART_LINES!$AV$36:$AV$37</c:f>
              <c:numCache>
                <c:formatCode>General</c:formatCode>
                <c:ptCount val="2"/>
                <c:pt idx="0">
                  <c:v>0</c:v>
                </c:pt>
                <c:pt idx="1">
                  <c:v>5.9157901084424029E-2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2-D54C-4618-9C7B-00C9B5BBCA2D}"/>
            </c:ext>
          </c:extLst>
        </c:ser>
        <c:ser>
          <c:idx val="113"/>
          <c:order val="43"/>
          <c:tx>
            <c:strRef>
              <c:f>PSY_CHART_LINES!$AU$38</c:f>
              <c:strCache>
                <c:ptCount val="1"/>
                <c:pt idx="0">
                  <c:v>115</c:v>
                </c:pt>
              </c:strCache>
            </c:strRef>
          </c:tx>
          <c:spPr>
            <a:ln w="635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PSY_CHART_LINES!$AU$38:$AU$39</c:f>
              <c:numCache>
                <c:formatCode>General</c:formatCode>
                <c:ptCount val="2"/>
                <c:pt idx="0">
                  <c:v>115</c:v>
                </c:pt>
                <c:pt idx="1">
                  <c:v>115</c:v>
                </c:pt>
              </c:numCache>
            </c:numRef>
          </c:xVal>
          <c:yVal>
            <c:numRef>
              <c:f>PSY_CHART_LINES!$AV$38:$AV$39</c:f>
              <c:numCache>
                <c:formatCode>General</c:formatCode>
                <c:ptCount val="2"/>
                <c:pt idx="0">
                  <c:v>0</c:v>
                </c:pt>
                <c:pt idx="1">
                  <c:v>6.9275436526392786E-2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3-D54C-4618-9C7B-00C9B5BBCA2D}"/>
            </c:ext>
          </c:extLst>
        </c:ser>
        <c:ser>
          <c:idx val="114"/>
          <c:order val="44"/>
          <c:tx>
            <c:strRef>
              <c:f>PSY_CHART_LINES!$E$1</c:f>
              <c:strCache>
                <c:ptCount val="1"/>
                <c:pt idx="0">
                  <c:v>BOTTOM_BORDER</c:v>
                </c:pt>
              </c:strCache>
            </c:strRef>
          </c:tx>
          <c:spPr>
            <a:ln w="127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PSY_CHART_LINES!$E$4:$E$5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PSY_CHART_LINES!$F$4:$F$5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4-D54C-4618-9C7B-00C9B5BBCA2D}"/>
            </c:ext>
          </c:extLst>
        </c:ser>
        <c:ser>
          <c:idx val="115"/>
          <c:order val="45"/>
          <c:tx>
            <c:strRef>
              <c:f>PSY_CHART_LINES!$BE$4</c:f>
              <c:strCache>
                <c:ptCount val="1"/>
                <c:pt idx="0">
                  <c:v>32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PSY_CHART_LINES!$BE$4:$BE$5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PSY_CHART_LINES!$BF$4:$BF$5</c:f>
              <c:numCache>
                <c:formatCode>General</c:formatCode>
                <c:ptCount val="2"/>
                <c:pt idx="0">
                  <c:v>1.3408435720166155E-3</c:v>
                </c:pt>
                <c:pt idx="1">
                  <c:v>-1.5964661793559223E-2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5-D54C-4618-9C7B-00C9B5BBCA2D}"/>
            </c:ext>
          </c:extLst>
        </c:ser>
        <c:ser>
          <c:idx val="116"/>
          <c:order val="46"/>
          <c:tx>
            <c:strRef>
              <c:f>PSY_CHART_LINES!$BE$6</c:f>
              <c:strCache>
                <c:ptCount val="1"/>
                <c:pt idx="0">
                  <c:v>32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PSY_CHART_LINES!$BE$6:$BE$7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PSY_CHART_LINES!$BF$6:$BF$7</c:f>
              <c:numCache>
                <c:formatCode>General</c:formatCode>
                <c:ptCount val="2"/>
                <c:pt idx="0">
                  <c:v>3.044614978323478E-3</c:v>
                </c:pt>
                <c:pt idx="1">
                  <c:v>-1.5964661793559223E-2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6-D54C-4618-9C7B-00C9B5BBCA2D}"/>
            </c:ext>
          </c:extLst>
        </c:ser>
        <c:ser>
          <c:idx val="117"/>
          <c:order val="47"/>
          <c:tx>
            <c:strRef>
              <c:f>PSY_CHART_LINES!$BE$8</c:f>
              <c:strCache>
                <c:ptCount val="1"/>
                <c:pt idx="0">
                  <c:v>35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PSY_CHART_LINES!$BE$8:$BE$9</c:f>
              <c:numCache>
                <c:formatCode>General</c:formatCode>
                <c:ptCount val="2"/>
                <c:pt idx="0">
                  <c:v>35</c:v>
                </c:pt>
                <c:pt idx="1">
                  <c:v>120</c:v>
                </c:pt>
              </c:numCache>
            </c:numRef>
          </c:xVal>
          <c:yVal>
            <c:numRef>
              <c:f>PSY_CHART_LINES!$BF$8:$BF$9</c:f>
              <c:numCache>
                <c:formatCode>General</c:formatCode>
                <c:ptCount val="2"/>
                <c:pt idx="0">
                  <c:v>4.2600580037481708E-3</c:v>
                </c:pt>
                <c:pt idx="1">
                  <c:v>-1.4852731641768917E-2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7-D54C-4618-9C7B-00C9B5BBCA2D}"/>
            </c:ext>
          </c:extLst>
        </c:ser>
        <c:ser>
          <c:idx val="118"/>
          <c:order val="48"/>
          <c:tx>
            <c:strRef>
              <c:f>PSY_CHART_LINES!$BE$10</c:f>
              <c:strCache>
                <c:ptCount val="1"/>
                <c:pt idx="0">
                  <c:v>40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PSY_CHART_LINES!$BE$10:$BE$11</c:f>
              <c:numCache>
                <c:formatCode>General</c:formatCode>
                <c:ptCount val="2"/>
                <c:pt idx="0">
                  <c:v>40</c:v>
                </c:pt>
                <c:pt idx="1">
                  <c:v>120</c:v>
                </c:pt>
              </c:numCache>
            </c:numRef>
          </c:xVal>
          <c:yVal>
            <c:numRef>
              <c:f>PSY_CHART_LINES!$BF$10:$BF$11</c:f>
              <c:numCache>
                <c:formatCode>General</c:formatCode>
                <c:ptCount val="2"/>
                <c:pt idx="0">
                  <c:v>5.1944521047341524E-3</c:v>
                </c:pt>
                <c:pt idx="1">
                  <c:v>-1.2871594735617164E-2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8-D54C-4618-9C7B-00C9B5BBCA2D}"/>
            </c:ext>
          </c:extLst>
        </c:ser>
        <c:ser>
          <c:idx val="119"/>
          <c:order val="49"/>
          <c:tx>
            <c:strRef>
              <c:f>PSY_CHART_LINES!$BE$12</c:f>
              <c:strCache>
                <c:ptCount val="1"/>
                <c:pt idx="0">
                  <c:v>45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PSY_CHART_LINES!$BE$12:$BE$13</c:f>
              <c:numCache>
                <c:formatCode>General</c:formatCode>
                <c:ptCount val="2"/>
                <c:pt idx="0">
                  <c:v>45</c:v>
                </c:pt>
                <c:pt idx="1">
                  <c:v>120</c:v>
                </c:pt>
              </c:numCache>
            </c:numRef>
          </c:xVal>
          <c:yVal>
            <c:numRef>
              <c:f>PSY_CHART_LINES!$BF$12:$BF$13</c:f>
              <c:numCache>
                <c:formatCode>General</c:formatCode>
                <c:ptCount val="2"/>
                <c:pt idx="0">
                  <c:v>6.3078870706696974E-3</c:v>
                </c:pt>
                <c:pt idx="1">
                  <c:v>-1.0707673235304228E-2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9-D54C-4618-9C7B-00C9B5BBCA2D}"/>
            </c:ext>
          </c:extLst>
        </c:ser>
        <c:ser>
          <c:idx val="120"/>
          <c:order val="50"/>
          <c:tx>
            <c:strRef>
              <c:f>PSY_CHART_LINES!$BE$14</c:f>
              <c:strCache>
                <c:ptCount val="1"/>
                <c:pt idx="0">
                  <c:v>50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PSY_CHART_LINES!$BE$14:$BE$15</c:f>
              <c:numCache>
                <c:formatCode>General</c:formatCode>
                <c:ptCount val="2"/>
                <c:pt idx="0">
                  <c:v>50</c:v>
                </c:pt>
                <c:pt idx="1">
                  <c:v>120</c:v>
                </c:pt>
              </c:numCache>
            </c:numRef>
          </c:xVal>
          <c:yVal>
            <c:numRef>
              <c:f>PSY_CHART_LINES!$BF$14:$BF$15</c:f>
              <c:numCache>
                <c:formatCode>General</c:formatCode>
                <c:ptCount val="2"/>
                <c:pt idx="0">
                  <c:v>7.6300275751821269E-3</c:v>
                </c:pt>
                <c:pt idx="1">
                  <c:v>-8.3310198635361508E-3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A-D54C-4618-9C7B-00C9B5BBCA2D}"/>
            </c:ext>
          </c:extLst>
        </c:ser>
        <c:ser>
          <c:idx val="121"/>
          <c:order val="51"/>
          <c:tx>
            <c:strRef>
              <c:f>PSY_CHART_LINES!$BE$16</c:f>
              <c:strCache>
                <c:ptCount val="1"/>
                <c:pt idx="0">
                  <c:v>55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PSY_CHART_LINES!$BE$16:$BE$17</c:f>
              <c:numCache>
                <c:formatCode>General</c:formatCode>
                <c:ptCount val="2"/>
                <c:pt idx="0">
                  <c:v>55</c:v>
                </c:pt>
                <c:pt idx="1">
                  <c:v>120</c:v>
                </c:pt>
              </c:numCache>
            </c:numRef>
          </c:xVal>
          <c:yVal>
            <c:numRef>
              <c:f>PSY_CHART_LINES!$BF$16:$BF$17</c:f>
              <c:numCache>
                <c:formatCode>General</c:formatCode>
                <c:ptCount val="2"/>
                <c:pt idx="0">
                  <c:v>9.1948547939831385E-3</c:v>
                </c:pt>
                <c:pt idx="1">
                  <c:v>-5.7072374713406718E-3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B-D54C-4618-9C7B-00C9B5BBCA2D}"/>
            </c:ext>
          </c:extLst>
        </c:ser>
        <c:ser>
          <c:idx val="122"/>
          <c:order val="52"/>
          <c:tx>
            <c:strRef>
              <c:f>PSY_CHART_LINES!$BE$18</c:f>
              <c:strCache>
                <c:ptCount val="1"/>
                <c:pt idx="0">
                  <c:v>60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PSY_CHART_LINES!$BE$18:$BE$19</c:f>
              <c:numCache>
                <c:formatCode>General</c:formatCode>
                <c:ptCount val="2"/>
                <c:pt idx="0">
                  <c:v>60</c:v>
                </c:pt>
                <c:pt idx="1">
                  <c:v>120</c:v>
                </c:pt>
              </c:numCache>
            </c:numRef>
          </c:xVal>
          <c:yVal>
            <c:numRef>
              <c:f>PSY_CHART_LINES!$BF$18:$BF$19</c:f>
              <c:numCache>
                <c:formatCode>General</c:formatCode>
                <c:ptCount val="2"/>
                <c:pt idx="0">
                  <c:v>1.1041284437913019E-2</c:v>
                </c:pt>
                <c:pt idx="1">
                  <c:v>-2.7968296424986851E-3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C-D54C-4618-9C7B-00C9B5BBCA2D}"/>
            </c:ext>
          </c:extLst>
        </c:ser>
        <c:ser>
          <c:idx val="123"/>
          <c:order val="53"/>
          <c:tx>
            <c:strRef>
              <c:f>PSY_CHART_LINES!$BE$20</c:f>
              <c:strCache>
                <c:ptCount val="1"/>
                <c:pt idx="0">
                  <c:v>65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PSY_CHART_LINES!$BE$20:$BE$21</c:f>
              <c:numCache>
                <c:formatCode>General</c:formatCode>
                <c:ptCount val="2"/>
                <c:pt idx="0">
                  <c:v>65</c:v>
                </c:pt>
                <c:pt idx="1">
                  <c:v>120</c:v>
                </c:pt>
              </c:numCache>
            </c:numRef>
          </c:xVal>
          <c:yVal>
            <c:numRef>
              <c:f>PSY_CHART_LINES!$BF$20:$BF$21</c:f>
              <c:numCache>
                <c:formatCode>General</c:formatCode>
                <c:ptCount val="2"/>
                <c:pt idx="0">
                  <c:v>1.321389849457626E-2</c:v>
                </c:pt>
                <c:pt idx="1">
                  <c:v>4.4556805566932887E-4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D-D54C-4618-9C7B-00C9B5BBCA2D}"/>
            </c:ext>
          </c:extLst>
        </c:ser>
        <c:ser>
          <c:idx val="124"/>
          <c:order val="54"/>
          <c:tx>
            <c:strRef>
              <c:f>PSY_CHART_LINES!$BE$22</c:f>
              <c:strCache>
                <c:ptCount val="1"/>
                <c:pt idx="0">
                  <c:v>70</c:v>
                </c:pt>
              </c:strCache>
            </c:strRef>
          </c:tx>
          <c:spPr>
            <a:ln w="6350">
              <a:prstDash val="sysDash"/>
            </a:ln>
          </c:spPr>
          <c:marker>
            <c:symbol val="none"/>
          </c:marker>
          <c:xVal>
            <c:numRef>
              <c:f>PSY_CHART_LINES!$BE$22:$BE$23</c:f>
              <c:numCache>
                <c:formatCode>General</c:formatCode>
                <c:ptCount val="2"/>
                <c:pt idx="0">
                  <c:v>70</c:v>
                </c:pt>
                <c:pt idx="1">
                  <c:v>120</c:v>
                </c:pt>
              </c:numCache>
            </c:numRef>
          </c:xVal>
          <c:yVal>
            <c:numRef>
              <c:f>PSY_CHART_LINES!$BF$22:$BF$23</c:f>
              <c:numCache>
                <c:formatCode>General</c:formatCode>
                <c:ptCount val="2"/>
                <c:pt idx="0">
                  <c:v>1.5763820288538288E-2</c:v>
                </c:pt>
                <c:pt idx="1">
                  <c:v>4.072106939673803E-3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E-D54C-4618-9C7B-00C9B5BBCA2D}"/>
            </c:ext>
          </c:extLst>
        </c:ser>
        <c:ser>
          <c:idx val="125"/>
          <c:order val="55"/>
          <c:tx>
            <c:strRef>
              <c:f>PSY_CHART_LINES!$BE$24</c:f>
              <c:strCache>
                <c:ptCount val="1"/>
                <c:pt idx="0">
                  <c:v>75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PSY_CHART_LINES!$BE$24:$BE$25</c:f>
              <c:numCache>
                <c:formatCode>General</c:formatCode>
                <c:ptCount val="2"/>
                <c:pt idx="0">
                  <c:v>75</c:v>
                </c:pt>
                <c:pt idx="1">
                  <c:v>120</c:v>
                </c:pt>
              </c:numCache>
            </c:numRef>
          </c:xVal>
          <c:yVal>
            <c:numRef>
              <c:f>PSY_CHART_LINES!$BF$24:$BF$25</c:f>
              <c:numCache>
                <c:formatCode>General</c:formatCode>
                <c:ptCount val="2"/>
                <c:pt idx="0">
                  <c:v>1.874977149125126E-2</c:v>
                </c:pt>
                <c:pt idx="1">
                  <c:v>8.1428343335369288E-3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1F-D54C-4618-9C7B-00C9B5BBCA2D}"/>
            </c:ext>
          </c:extLst>
        </c:ser>
        <c:ser>
          <c:idx val="126"/>
          <c:order val="56"/>
          <c:tx>
            <c:strRef>
              <c:f>PSY_CHART_LINES!$BE$26</c:f>
              <c:strCache>
                <c:ptCount val="1"/>
                <c:pt idx="0">
                  <c:v>80</c:v>
                </c:pt>
              </c:strCache>
            </c:strRef>
          </c:tx>
          <c:spPr>
            <a:ln w="635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PSY_CHART_LINES!$BE$26:$BE$27</c:f>
              <c:numCache>
                <c:formatCode>General</c:formatCode>
                <c:ptCount val="2"/>
                <c:pt idx="0">
                  <c:v>80</c:v>
                </c:pt>
                <c:pt idx="1">
                  <c:v>120</c:v>
                </c:pt>
              </c:numCache>
            </c:numRef>
          </c:xVal>
          <c:yVal>
            <c:numRef>
              <c:f>PSY_CHART_LINES!$BF$26:$BF$27</c:f>
              <c:numCache>
                <c:formatCode>General</c:formatCode>
                <c:ptCount val="2"/>
                <c:pt idx="0">
                  <c:v>2.2239361756574878E-2</c:v>
                </c:pt>
                <c:pt idx="1">
                  <c:v>1.2727045612907779E-2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0-D54C-4618-9C7B-00C9B5BBCA2D}"/>
            </c:ext>
          </c:extLst>
        </c:ser>
        <c:ser>
          <c:idx val="127"/>
          <c:order val="57"/>
          <c:tx>
            <c:strRef>
              <c:f>PSY_CHART_LINES!$BE$28</c:f>
              <c:strCache>
                <c:ptCount val="1"/>
                <c:pt idx="0">
                  <c:v>85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6350" cap="rnd">
                <a:solidFill>
                  <a:schemeClr val="accent1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2-D54C-4618-9C7B-00C9B5BBCA2D}"/>
              </c:ext>
            </c:extLst>
          </c:dPt>
          <c:xVal>
            <c:numRef>
              <c:f>PSY_CHART_LINES!$BE$28:$BE$29</c:f>
              <c:numCache>
                <c:formatCode>General</c:formatCode>
                <c:ptCount val="2"/>
                <c:pt idx="0">
                  <c:v>85</c:v>
                </c:pt>
                <c:pt idx="1">
                  <c:v>120</c:v>
                </c:pt>
              </c:numCache>
            </c:numRef>
          </c:xVal>
          <c:yVal>
            <c:numRef>
              <c:f>PSY_CHART_LINES!$BF$28:$BF$29</c:f>
              <c:numCache>
                <c:formatCode>General</c:formatCode>
                <c:ptCount val="2"/>
                <c:pt idx="0">
                  <c:v>2.6310677901240059E-2</c:v>
                </c:pt>
                <c:pt idx="1">
                  <c:v>1.7904948737354719E-2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1-D54C-4618-9C7B-00C9B5BBCA2D}"/>
            </c:ext>
          </c:extLst>
        </c:ser>
        <c:ser>
          <c:idx val="128"/>
          <c:order val="58"/>
          <c:tx>
            <c:strRef>
              <c:f>PSY_CHART_LINES!$BE$30</c:f>
              <c:strCache>
                <c:ptCount val="1"/>
                <c:pt idx="0">
                  <c:v>90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6350" cap="rnd">
                <a:solidFill>
                  <a:schemeClr val="accent1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4-D54C-4618-9C7B-00C9B5BBCA2D}"/>
              </c:ext>
            </c:extLst>
          </c:dPt>
          <c:xVal>
            <c:numRef>
              <c:f>PSY_CHART_LINES!$BE$30:$BE$31</c:f>
              <c:numCache>
                <c:formatCode>General</c:formatCode>
                <c:ptCount val="2"/>
                <c:pt idx="0">
                  <c:v>90</c:v>
                </c:pt>
                <c:pt idx="1">
                  <c:v>120</c:v>
                </c:pt>
              </c:numCache>
            </c:numRef>
          </c:xVal>
          <c:yVal>
            <c:numRef>
              <c:f>PSY_CHART_LINES!$BF$30:$BF$31</c:f>
              <c:numCache>
                <c:formatCode>General</c:formatCode>
                <c:ptCount val="2"/>
                <c:pt idx="0">
                  <c:v>3.1054261700060724E-2</c:v>
                </c:pt>
                <c:pt idx="1">
                  <c:v>2.3769733900213044E-2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3-D54C-4618-9C7B-00C9B5BBCA2D}"/>
            </c:ext>
          </c:extLst>
        </c:ser>
        <c:ser>
          <c:idx val="129"/>
          <c:order val="59"/>
          <c:tx>
            <c:strRef>
              <c:f>PSY_CHART_LINES!$BG$4</c:f>
              <c:strCache>
                <c:ptCount val="1"/>
                <c:pt idx="0">
                  <c:v>10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PSY_CHART_LINES!$BH$4:$BH$5</c:f>
              <c:numCache>
                <c:formatCode>General</c:formatCode>
                <c:ptCount val="2"/>
                <c:pt idx="0">
                  <c:v>120</c:v>
                </c:pt>
                <c:pt idx="1">
                  <c:v>32</c:v>
                </c:pt>
              </c:numCache>
            </c:numRef>
          </c:xVal>
          <c:yVal>
            <c:numRef>
              <c:f>PSY_CHART_LINES!$BI$4:$BI$5</c:f>
              <c:numCache>
                <c:formatCode>General</c:formatCode>
                <c:ptCount val="2"/>
                <c:pt idx="0">
                  <c:v>-1.6871881394263558E-2</c:v>
                </c:pt>
                <c:pt idx="1">
                  <c:v>2.1577220407586256E-3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5-D54C-4618-9C7B-00C9B5BBCA2D}"/>
            </c:ext>
          </c:extLst>
        </c:ser>
        <c:ser>
          <c:idx val="130"/>
          <c:order val="60"/>
          <c:tx>
            <c:strRef>
              <c:f>PSY_CHART_LINES!$BG$6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dPt>
            <c:idx val="1"/>
            <c:bubble3D val="0"/>
            <c:spPr>
              <a:ln w="63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127-D54C-4618-9C7B-00C9B5BBCA2D}"/>
              </c:ext>
            </c:extLst>
          </c:dPt>
          <c:xVal>
            <c:numRef>
              <c:f>PSY_CHART_LINES!$BH$6:$BH$7</c:f>
              <c:numCache>
                <c:formatCode>General</c:formatCode>
                <c:ptCount val="2"/>
                <c:pt idx="0">
                  <c:v>120</c:v>
                </c:pt>
                <c:pt idx="1">
                  <c:v>40.190038508916196</c:v>
                </c:pt>
              </c:numCache>
            </c:numRef>
          </c:xVal>
          <c:yVal>
            <c:numRef>
              <c:f>PSY_CHART_LINES!$BI$6:$BI$7</c:f>
              <c:numCache>
                <c:formatCode>General</c:formatCode>
                <c:ptCount val="2"/>
                <c:pt idx="0">
                  <c:v>-1.2384678895789206E-2</c:v>
                </c:pt>
                <c:pt idx="1">
                  <c:v>4.9630798208942558E-3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6-D54C-4618-9C7B-00C9B5BBCA2D}"/>
            </c:ext>
          </c:extLst>
        </c:ser>
        <c:ser>
          <c:idx val="131"/>
          <c:order val="61"/>
          <c:tx>
            <c:strRef>
              <c:f>PSY_CHART_LINES!$BG$8</c:f>
              <c:strCache>
                <c:ptCount val="1"/>
                <c:pt idx="0">
                  <c:v>20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PSY_CHART_LINES!$BH$8:$BH$9</c:f>
              <c:numCache>
                <c:formatCode>General</c:formatCode>
                <c:ptCount val="2"/>
                <c:pt idx="0">
                  <c:v>120</c:v>
                </c:pt>
                <c:pt idx="1">
                  <c:v>50.443540912425284</c:v>
                </c:pt>
              </c:numCache>
            </c:numRef>
          </c:xVal>
          <c:yVal>
            <c:numRef>
              <c:f>PSY_CHART_LINES!$BI$8:$BI$9</c:f>
              <c:numCache>
                <c:formatCode>General</c:formatCode>
                <c:ptCount val="2"/>
                <c:pt idx="0">
                  <c:v>-7.8974763973148551E-3</c:v>
                </c:pt>
                <c:pt idx="1">
                  <c:v>7.2859262811858358E-3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8-D54C-4618-9C7B-00C9B5BBCA2D}"/>
            </c:ext>
          </c:extLst>
        </c:ser>
        <c:ser>
          <c:idx val="132"/>
          <c:order val="62"/>
          <c:tx>
            <c:strRef>
              <c:f>PSY_CHART_LINES!$BG$10</c:f>
              <c:strCache>
                <c:ptCount val="1"/>
                <c:pt idx="0">
                  <c:v>25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PSY_CHART_LINES!$BH$10:$BH$11</c:f>
              <c:numCache>
                <c:formatCode>General</c:formatCode>
                <c:ptCount val="2"/>
                <c:pt idx="0">
                  <c:v>120</c:v>
                </c:pt>
                <c:pt idx="1">
                  <c:v>59.134594328751731</c:v>
                </c:pt>
              </c:numCache>
            </c:numRef>
          </c:xVal>
          <c:yVal>
            <c:numRef>
              <c:f>PSY_CHART_LINES!$BI$10:$BI$11</c:f>
              <c:numCache>
                <c:formatCode>General</c:formatCode>
                <c:ptCount val="2"/>
                <c:pt idx="0">
                  <c:v>-3.4102738988405043E-3</c:v>
                </c:pt>
                <c:pt idx="1">
                  <c:v>9.9403450042636569E-3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9-D54C-4618-9C7B-00C9B5BBCA2D}"/>
            </c:ext>
          </c:extLst>
        </c:ser>
        <c:ser>
          <c:idx val="133"/>
          <c:order val="63"/>
          <c:tx>
            <c:strRef>
              <c:f>PSY_CHART_LINES!$BG$12</c:f>
              <c:strCache>
                <c:ptCount val="1"/>
                <c:pt idx="0">
                  <c:v>30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PSY_CHART_LINES!$BH$12:$BH$13</c:f>
              <c:numCache>
                <c:formatCode>General</c:formatCode>
                <c:ptCount val="2"/>
                <c:pt idx="0">
                  <c:v>120</c:v>
                </c:pt>
                <c:pt idx="1">
                  <c:v>66.609096011509422</c:v>
                </c:pt>
              </c:numCache>
            </c:numRef>
          </c:xVal>
          <c:yVal>
            <c:numRef>
              <c:f>PSY_CHART_LINES!$BI$12:$BI$13</c:f>
              <c:numCache>
                <c:formatCode>General</c:formatCode>
                <c:ptCount val="2"/>
                <c:pt idx="0">
                  <c:v>1.0769285996338469E-3</c:v>
                </c:pt>
                <c:pt idx="1">
                  <c:v>1.2849940784283918E-2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A-D54C-4618-9C7B-00C9B5BBCA2D}"/>
            </c:ext>
          </c:extLst>
        </c:ser>
        <c:ser>
          <c:idx val="134"/>
          <c:order val="64"/>
          <c:tx>
            <c:strRef>
              <c:f>PSY_CHART_LINES!$BG$14</c:f>
              <c:strCache>
                <c:ptCount val="1"/>
                <c:pt idx="0">
                  <c:v>35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PSY_CHART_LINES!$BH$14:$BH$15</c:f>
              <c:numCache>
                <c:formatCode>General</c:formatCode>
                <c:ptCount val="2"/>
                <c:pt idx="0">
                  <c:v>120</c:v>
                </c:pt>
                <c:pt idx="1">
                  <c:v>73.132647135890124</c:v>
                </c:pt>
              </c:numCache>
            </c:numRef>
          </c:xVal>
          <c:yVal>
            <c:numRef>
              <c:f>PSY_CHART_LINES!$BI$14:$BI$15</c:f>
              <c:numCache>
                <c:formatCode>General</c:formatCode>
                <c:ptCount val="2"/>
                <c:pt idx="0">
                  <c:v>5.5641310981081977E-3</c:v>
                </c:pt>
                <c:pt idx="1">
                  <c:v>1.5956679562236752E-2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B-D54C-4618-9C7B-00C9B5BBCA2D}"/>
            </c:ext>
          </c:extLst>
        </c:ser>
        <c:ser>
          <c:idx val="135"/>
          <c:order val="65"/>
          <c:tx>
            <c:strRef>
              <c:f>PSY_CHART_LINES!$BG$16</c:f>
              <c:strCache>
                <c:ptCount val="1"/>
                <c:pt idx="0">
                  <c:v>40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PSY_CHART_LINES!$BH$16:$BH$17</c:f>
              <c:numCache>
                <c:formatCode>General</c:formatCode>
                <c:ptCount val="2"/>
                <c:pt idx="0">
                  <c:v>120</c:v>
                </c:pt>
                <c:pt idx="1">
                  <c:v>78.905399446168573</c:v>
                </c:pt>
              </c:numCache>
            </c:numRef>
          </c:xVal>
          <c:yVal>
            <c:numRef>
              <c:f>PSY_CHART_LINES!$BI$16:$BI$17</c:f>
              <c:numCache>
                <c:formatCode>General</c:formatCode>
                <c:ptCount val="2"/>
                <c:pt idx="0">
                  <c:v>1.005133359658255E-2</c:v>
                </c:pt>
                <c:pt idx="1">
                  <c:v>1.9217199634104738E-2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C-D54C-4618-9C7B-00C9B5BBCA2D}"/>
            </c:ext>
          </c:extLst>
        </c:ser>
        <c:ser>
          <c:idx val="136"/>
          <c:order val="66"/>
          <c:tx>
            <c:strRef>
              <c:f>PSY_CHART_LINES!$BG$18</c:f>
              <c:strCache>
                <c:ptCount val="1"/>
                <c:pt idx="0">
                  <c:v>45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PSY_CHART_LINES!$BH$18:$BH$19</c:f>
              <c:numCache>
                <c:formatCode>General</c:formatCode>
                <c:ptCount val="2"/>
                <c:pt idx="0">
                  <c:v>120</c:v>
                </c:pt>
                <c:pt idx="1">
                  <c:v>84.077580251007063</c:v>
                </c:pt>
              </c:numCache>
            </c:numRef>
          </c:xVal>
          <c:yVal>
            <c:numRef>
              <c:f>PSY_CHART_LINES!$BI$18:$BI$19</c:f>
              <c:numCache>
                <c:formatCode>General</c:formatCode>
                <c:ptCount val="2"/>
                <c:pt idx="0">
                  <c:v>1.4538536095056901E-2</c:v>
                </c:pt>
                <c:pt idx="1">
                  <c:v>2.2599192108790273E-2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D-D54C-4618-9C7B-00C9B5BBCA2D}"/>
            </c:ext>
          </c:extLst>
        </c:ser>
        <c:ser>
          <c:idx val="137"/>
          <c:order val="67"/>
          <c:tx>
            <c:strRef>
              <c:f>PSY_CHART_LINES!$BG$20</c:f>
              <c:strCache>
                <c:ptCount val="1"/>
                <c:pt idx="0">
                  <c:v>50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PSY_CHART_LINES!$BH$20:$BH$21</c:f>
              <c:numCache>
                <c:formatCode>General</c:formatCode>
                <c:ptCount val="2"/>
                <c:pt idx="0">
                  <c:v>120</c:v>
                </c:pt>
                <c:pt idx="1">
                  <c:v>88.754686502881938</c:v>
                </c:pt>
              </c:numCache>
            </c:numRef>
          </c:xVal>
          <c:yVal>
            <c:numRef>
              <c:f>PSY_CHART_LINES!$BI$20:$BI$21</c:f>
              <c:numCache>
                <c:formatCode>General</c:formatCode>
                <c:ptCount val="2"/>
                <c:pt idx="0">
                  <c:v>1.9025738593531252E-2</c:v>
                </c:pt>
                <c:pt idx="1">
                  <c:v>2.6080234978363006E-2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E-D54C-4618-9C7B-00C9B5BBCA2D}"/>
            </c:ext>
          </c:extLst>
        </c:ser>
        <c:ser>
          <c:idx val="138"/>
          <c:order val="68"/>
          <c:tx>
            <c:strRef>
              <c:f>PSY_CHART_LINES!$BG$22</c:f>
              <c:strCache>
                <c:ptCount val="1"/>
                <c:pt idx="0">
                  <c:v>55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PSY_CHART_LINES!$BH$22:$BH$23</c:f>
              <c:numCache>
                <c:formatCode>General</c:formatCode>
                <c:ptCount val="2"/>
                <c:pt idx="0">
                  <c:v>120</c:v>
                </c:pt>
                <c:pt idx="1">
                  <c:v>93.027401646516253</c:v>
                </c:pt>
              </c:numCache>
            </c:numRef>
          </c:xVal>
          <c:yVal>
            <c:numRef>
              <c:f>PSY_CHART_LINES!$BI$22:$BI$23</c:f>
              <c:numCache>
                <c:formatCode>General</c:formatCode>
                <c:ptCount val="2"/>
                <c:pt idx="0">
                  <c:v>2.3512941092005604E-2</c:v>
                </c:pt>
                <c:pt idx="1">
                  <c:v>2.9641023415149959E-2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2F-D54C-4618-9C7B-00C9B5BBCA2D}"/>
            </c:ext>
          </c:extLst>
        </c:ser>
        <c:ser>
          <c:idx val="139"/>
          <c:order val="69"/>
          <c:tx>
            <c:strRef>
              <c:f>PSY_CHART_LINES!$BG$24</c:f>
              <c:strCache>
                <c:ptCount val="1"/>
                <c:pt idx="0">
                  <c:v>60</c:v>
                </c:pt>
              </c:strCache>
            </c:strRef>
          </c:tx>
          <c:spPr>
            <a:ln w="63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PSY_CHART_LINES!$BH$24:$BH$25</c:f>
              <c:numCache>
                <c:formatCode>General</c:formatCode>
                <c:ptCount val="2"/>
                <c:pt idx="0">
                  <c:v>120</c:v>
                </c:pt>
                <c:pt idx="1">
                  <c:v>96.957015344400219</c:v>
                </c:pt>
              </c:numCache>
            </c:numRef>
          </c:xVal>
          <c:yVal>
            <c:numRef>
              <c:f>PSY_CHART_LINES!$BI$24:$BI$25</c:f>
              <c:numCache>
                <c:formatCode>General</c:formatCode>
                <c:ptCount val="2"/>
                <c:pt idx="0">
                  <c:v>2.8000143590479955E-2</c:v>
                </c:pt>
                <c:pt idx="1">
                  <c:v>3.3268740020969162E-2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0-D54C-4618-9C7B-00C9B5BBCA2D}"/>
            </c:ext>
          </c:extLst>
        </c:ser>
        <c:ser>
          <c:idx val="0"/>
          <c:order val="70"/>
          <c:tx>
            <c:v>Saturation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THERMO_WATER_SAT!$A$15:$A$103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THERMO_WATER_SAT!$D$15:$D$103</c:f>
              <c:numCache>
                <c:formatCode>0.0000000</c:formatCode>
                <c:ptCount val="89"/>
                <c:pt idx="0">
                  <c:v>3.7744534370573114E-3</c:v>
                </c:pt>
                <c:pt idx="1">
                  <c:v>3.9305191762292928E-3</c:v>
                </c:pt>
                <c:pt idx="2">
                  <c:v>4.0923256980786747E-3</c:v>
                </c:pt>
                <c:pt idx="3">
                  <c:v>4.2600580037481708E-3</c:v>
                </c:pt>
                <c:pt idx="4">
                  <c:v>4.4339062835915145E-3</c:v>
                </c:pt>
                <c:pt idx="5">
                  <c:v>4.6140660497391876E-3</c:v>
                </c:pt>
                <c:pt idx="6">
                  <c:v>4.8007382724371628E-3</c:v>
                </c:pt>
                <c:pt idx="7">
                  <c:v>4.9941295203131536E-3</c:v>
                </c:pt>
                <c:pt idx="8">
                  <c:v>5.1944521047341524E-3</c:v>
                </c:pt>
                <c:pt idx="9">
                  <c:v>5.4019242284255318E-3</c:v>
                </c:pt>
                <c:pt idx="10">
                  <c:v>5.6167701385320887E-3</c:v>
                </c:pt>
                <c:pt idx="11">
                  <c:v>5.8392202843114928E-3</c:v>
                </c:pt>
                <c:pt idx="12">
                  <c:v>6.0695114796581844E-3</c:v>
                </c:pt>
                <c:pt idx="13">
                  <c:v>6.3078870706696974E-3</c:v>
                </c:pt>
                <c:pt idx="14">
                  <c:v>6.5545971084741191E-3</c:v>
                </c:pt>
                <c:pt idx="15">
                  <c:v>6.8098985275542451E-3</c:v>
                </c:pt>
                <c:pt idx="16">
                  <c:v>7.0740553298106155E-3</c:v>
                </c:pt>
                <c:pt idx="17">
                  <c:v>7.3473387746228946E-3</c:v>
                </c:pt>
                <c:pt idx="18">
                  <c:v>7.6300275751821269E-3</c:v>
                </c:pt>
                <c:pt idx="19">
                  <c:v>7.9224081013770393E-3</c:v>
                </c:pt>
                <c:pt idx="20">
                  <c:v>8.2247745895388472E-3</c:v>
                </c:pt>
                <c:pt idx="21">
                  <c:v>8.537429359360086E-3</c:v>
                </c:pt>
                <c:pt idx="22">
                  <c:v>8.8606830383218104E-3</c:v>
                </c:pt>
                <c:pt idx="23">
                  <c:v>9.1948547939831385E-3</c:v>
                </c:pt>
                <c:pt idx="24">
                  <c:v>9.5402725745014905E-3</c:v>
                </c:pt>
                <c:pt idx="25">
                  <c:v>9.897273357778659E-3</c:v>
                </c:pt>
                <c:pt idx="26">
                  <c:v>1.0266203409642282E-2</c:v>
                </c:pt>
                <c:pt idx="27">
                  <c:v>1.064741855149774E-2</c:v>
                </c:pt>
                <c:pt idx="28">
                  <c:v>1.1041284437913019E-2</c:v>
                </c:pt>
                <c:pt idx="29">
                  <c:v>1.1448176844614608E-2</c:v>
                </c:pt>
                <c:pt idx="30">
                  <c:v>1.1868481967410062E-2</c:v>
                </c:pt>
                <c:pt idx="31">
                  <c:v>1.2302596732573988E-2</c:v>
                </c:pt>
                <c:pt idx="32">
                  <c:v>1.275092911926486E-2</c:v>
                </c:pt>
                <c:pt idx="33">
                  <c:v>1.321389849457626E-2</c:v>
                </c:pt>
                <c:pt idx="34">
                  <c:v>1.3691935961852393E-2</c:v>
                </c:pt>
                <c:pt idx="35">
                  <c:v>1.4185484722943261E-2</c:v>
                </c:pt>
                <c:pt idx="36">
                  <c:v>1.4695000455099619E-2</c:v>
                </c:pt>
                <c:pt idx="37">
                  <c:v>1.5220951703263479E-2</c:v>
                </c:pt>
                <c:pt idx="38">
                  <c:v>1.5763820288538288E-2</c:v>
                </c:pt>
                <c:pt idx="39">
                  <c:v>1.6324101733679396E-2</c:v>
                </c:pt>
                <c:pt idx="40">
                  <c:v>1.6902305706486258E-2</c:v>
                </c:pt>
                <c:pt idx="41">
                  <c:v>1.749895648203224E-2</c:v>
                </c:pt>
                <c:pt idx="42">
                  <c:v>1.8114593424726634E-2</c:v>
                </c:pt>
                <c:pt idx="43">
                  <c:v>1.874977149125126E-2</c:v>
                </c:pt>
                <c:pt idx="44">
                  <c:v>1.9405061755487025E-2</c:v>
                </c:pt>
                <c:pt idx="45">
                  <c:v>2.0081051956607816E-2</c:v>
                </c:pt>
                <c:pt idx="46">
                  <c:v>2.0778347071584206E-2</c:v>
                </c:pt>
                <c:pt idx="47">
                  <c:v>2.1497569913428213E-2</c:v>
                </c:pt>
                <c:pt idx="48">
                  <c:v>2.2239361756574878E-2</c:v>
                </c:pt>
                <c:pt idx="49">
                  <c:v>2.3004382990893742E-2</c:v>
                </c:pt>
                <c:pt idx="50">
                  <c:v>2.3793313805911352E-2</c:v>
                </c:pt>
                <c:pt idx="51">
                  <c:v>2.4606854906923388E-2</c:v>
                </c:pt>
                <c:pt idx="52">
                  <c:v>2.544572826477946E-2</c:v>
                </c:pt>
                <c:pt idx="53">
                  <c:v>2.6310677901240059E-2</c:v>
                </c:pt>
                <c:pt idx="54">
                  <c:v>2.7202470711919006E-2</c:v>
                </c:pt>
                <c:pt idx="55">
                  <c:v>2.812189732896285E-2</c:v>
                </c:pt>
                <c:pt idx="56">
                  <c:v>2.9069773025744206E-2</c:v>
                </c:pt>
                <c:pt idx="57">
                  <c:v>3.0046938666008372E-2</c:v>
                </c:pt>
                <c:pt idx="58">
                  <c:v>3.1054261700060724E-2</c:v>
                </c:pt>
                <c:pt idx="59">
                  <c:v>3.2092637210761416E-2</c:v>
                </c:pt>
                <c:pt idx="60">
                  <c:v>3.3162989012273672E-2</c:v>
                </c:pt>
                <c:pt idx="61">
                  <c:v>3.4266270804702993E-2</c:v>
                </c:pt>
                <c:pt idx="62">
                  <c:v>3.5403467387999377E-2</c:v>
                </c:pt>
                <c:pt idx="63">
                  <c:v>3.6575595938695249E-2</c:v>
                </c:pt>
                <c:pt idx="64">
                  <c:v>3.7783707353319089E-2</c:v>
                </c:pt>
                <c:pt idx="65">
                  <c:v>3.9028887662583063E-2</c:v>
                </c:pt>
                <c:pt idx="66">
                  <c:v>4.0312259520730129E-2</c:v>
                </c:pt>
                <c:pt idx="67">
                  <c:v>4.1634983774737212E-2</c:v>
                </c:pt>
                <c:pt idx="68">
                  <c:v>4.2998261118408897E-2</c:v>
                </c:pt>
                <c:pt idx="69">
                  <c:v>4.4403333836748195E-2</c:v>
                </c:pt>
                <c:pt idx="70">
                  <c:v>4.5851487646390597E-2</c:v>
                </c:pt>
                <c:pt idx="71">
                  <c:v>4.7344053638317452E-2</c:v>
                </c:pt>
                <c:pt idx="72">
                  <c:v>4.8882410329501663E-2</c:v>
                </c:pt>
                <c:pt idx="73">
                  <c:v>5.0467985830663357E-2</c:v>
                </c:pt>
                <c:pt idx="74">
                  <c:v>5.2102260137830571E-2</c:v>
                </c:pt>
                <c:pt idx="75">
                  <c:v>5.3786767556001501E-2</c:v>
                </c:pt>
                <c:pt idx="76">
                  <c:v>5.5523099263832386E-2</c:v>
                </c:pt>
                <c:pt idx="77">
                  <c:v>5.7312906028974576E-2</c:v>
                </c:pt>
                <c:pt idx="78">
                  <c:v>5.9157901084424029E-2</c:v>
                </c:pt>
                <c:pt idx="79">
                  <c:v>6.1059863177093908E-2</c:v>
                </c:pt>
                <c:pt idx="80">
                  <c:v>6.3020639800680595E-2</c:v>
                </c:pt>
                <c:pt idx="81">
                  <c:v>6.5042150625902115E-2</c:v>
                </c:pt>
                <c:pt idx="82">
                  <c:v>6.7126391142225253E-2</c:v>
                </c:pt>
                <c:pt idx="83">
                  <c:v>6.9275436526392786E-2</c:v>
                </c:pt>
                <c:pt idx="84">
                  <c:v>7.1491445754293892E-2</c:v>
                </c:pt>
                <c:pt idx="85">
                  <c:v>7.3776665974170846E-2</c:v>
                </c:pt>
                <c:pt idx="86">
                  <c:v>7.6133437160619349E-2</c:v>
                </c:pt>
                <c:pt idx="87">
                  <c:v>7.8564197070571662E-2</c:v>
                </c:pt>
                <c:pt idx="88">
                  <c:v>8.1071486524262604E-2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D54C-4618-9C7B-00C9B5BBCA2D}"/>
            </c:ext>
          </c:extLst>
        </c:ser>
        <c:ser>
          <c:idx val="1"/>
          <c:order val="71"/>
          <c:tx>
            <c:v>0.002</c:v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PSY_CHART_LINES!$A$4:$A$5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PSY_CHART_LINES!$B$4:$B$5</c:f>
              <c:numCache>
                <c:formatCode>General</c:formatCode>
                <c:ptCount val="2"/>
                <c:pt idx="0">
                  <c:v>2E-3</c:v>
                </c:pt>
                <c:pt idx="1">
                  <c:v>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D54C-4618-9C7B-00C9B5BBCA2D}"/>
            </c:ext>
          </c:extLst>
        </c:ser>
        <c:ser>
          <c:idx val="2"/>
          <c:order val="72"/>
          <c:tx>
            <c:strRef>
              <c:f>PSY_CHART_LINES!$B$6</c:f>
              <c:strCache>
                <c:ptCount val="1"/>
                <c:pt idx="0">
                  <c:v>0.004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PSY_CHART_LINES!$A$6:$A$7</c:f>
              <c:numCache>
                <c:formatCode>General</c:formatCode>
                <c:ptCount val="2"/>
                <c:pt idx="0">
                  <c:v>33.405316924704131</c:v>
                </c:pt>
                <c:pt idx="1">
                  <c:v>120</c:v>
                </c:pt>
              </c:numCache>
            </c:numRef>
          </c:xVal>
          <c:yVal>
            <c:numRef>
              <c:f>PSY_CHART_LINES!$B$6:$B$7</c:f>
              <c:numCache>
                <c:formatCode>General</c:formatCode>
                <c:ptCount val="2"/>
                <c:pt idx="0">
                  <c:v>4.0000000000000001E-3</c:v>
                </c:pt>
                <c:pt idx="1">
                  <c:v>4.0000000000000001E-3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D54C-4618-9C7B-00C9B5BBCA2D}"/>
            </c:ext>
          </c:extLst>
        </c:ser>
        <c:ser>
          <c:idx val="3"/>
          <c:order val="73"/>
          <c:tx>
            <c:strRef>
              <c:f>PSY_CHART_LINES!$B$8</c:f>
              <c:strCache>
                <c:ptCount val="1"/>
                <c:pt idx="0">
                  <c:v>0.006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PSY_CHART_LINES!$A$8:$A$9</c:f>
              <c:numCache>
                <c:formatCode>General</c:formatCode>
                <c:ptCount val="2"/>
                <c:pt idx="0">
                  <c:v>43.750685644415476</c:v>
                </c:pt>
                <c:pt idx="1">
                  <c:v>120</c:v>
                </c:pt>
              </c:numCache>
            </c:numRef>
          </c:xVal>
          <c:yVal>
            <c:numRef>
              <c:f>PSY_CHART_LINES!$B$8:$B$9</c:f>
              <c:numCache>
                <c:formatCode>General</c:formatCode>
                <c:ptCount val="2"/>
                <c:pt idx="0">
                  <c:v>6.0000000000000001E-3</c:v>
                </c:pt>
                <c:pt idx="1">
                  <c:v>6.0000000000000001E-3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D54C-4618-9C7B-00C9B5BBCA2D}"/>
            </c:ext>
          </c:extLst>
        </c:ser>
        <c:ser>
          <c:idx val="4"/>
          <c:order val="74"/>
          <c:tx>
            <c:strRef>
              <c:f>PSY_CHART_LINES!$B$10</c:f>
              <c:strCache>
                <c:ptCount val="1"/>
                <c:pt idx="0">
                  <c:v>0.008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PSY_CHART_LINES!$A$10:$A$11</c:f>
              <c:numCache>
                <c:formatCode>General</c:formatCode>
                <c:ptCount val="2"/>
                <c:pt idx="0">
                  <c:v>51.32309587203374</c:v>
                </c:pt>
                <c:pt idx="1">
                  <c:v>120</c:v>
                </c:pt>
              </c:numCache>
            </c:numRef>
          </c:xVal>
          <c:yVal>
            <c:numRef>
              <c:f>PSY_CHART_LINES!$B$10:$B$11</c:f>
              <c:numCache>
                <c:formatCode>General</c:formatCode>
                <c:ptCount val="2"/>
                <c:pt idx="0">
                  <c:v>8.0000000000000002E-3</c:v>
                </c:pt>
                <c:pt idx="1">
                  <c:v>8.0000000000000002E-3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D54C-4618-9C7B-00C9B5BBCA2D}"/>
            </c:ext>
          </c:extLst>
        </c:ser>
        <c:ser>
          <c:idx val="5"/>
          <c:order val="75"/>
          <c:tx>
            <c:strRef>
              <c:f>PSY_CHART_LINES!$B$12</c:f>
              <c:strCache>
                <c:ptCount val="1"/>
                <c:pt idx="0">
                  <c:v>0.01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PSY_CHART_LINES!$A$12:$A$13</c:f>
              <c:numCache>
                <c:formatCode>General</c:formatCode>
                <c:ptCount val="2"/>
                <c:pt idx="0">
                  <c:v>57.340579436377475</c:v>
                </c:pt>
                <c:pt idx="1">
                  <c:v>120</c:v>
                </c:pt>
              </c:numCache>
            </c:numRef>
          </c:xVal>
          <c:yVal>
            <c:numRef>
              <c:f>PSY_CHART_LINES!$B$12:$B$13</c:f>
              <c:numCache>
                <c:formatCode>General</c:formatCode>
                <c:ptCount val="2"/>
                <c:pt idx="0">
                  <c:v>0.01</c:v>
                </c:pt>
                <c:pt idx="1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D54C-4618-9C7B-00C9B5BBCA2D}"/>
            </c:ext>
          </c:extLst>
        </c:ser>
        <c:ser>
          <c:idx val="6"/>
          <c:order val="76"/>
          <c:tx>
            <c:strRef>
              <c:f>PSY_CHART_LINES!$B$14</c:f>
              <c:strCache>
                <c:ptCount val="1"/>
                <c:pt idx="0">
                  <c:v>0.012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PSY_CHART_LINES!$A$14:$A$15</c:f>
              <c:numCache>
                <c:formatCode>General</c:formatCode>
                <c:ptCount val="2"/>
                <c:pt idx="0">
                  <c:v>62.354804783149675</c:v>
                </c:pt>
                <c:pt idx="1">
                  <c:v>120</c:v>
                </c:pt>
              </c:numCache>
            </c:numRef>
          </c:xVal>
          <c:yVal>
            <c:numRef>
              <c:f>PSY_CHART_LINES!$B$14:$B$15</c:f>
              <c:numCache>
                <c:formatCode>General</c:formatCode>
                <c:ptCount val="2"/>
                <c:pt idx="0">
                  <c:v>1.2E-2</c:v>
                </c:pt>
                <c:pt idx="1">
                  <c:v>1.2E-2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D54C-4618-9C7B-00C9B5BBCA2D}"/>
            </c:ext>
          </c:extLst>
        </c:ser>
        <c:ser>
          <c:idx val="7"/>
          <c:order val="77"/>
          <c:tx>
            <c:strRef>
              <c:f>PSY_CHART_LINES!$B$16</c:f>
              <c:strCache>
                <c:ptCount val="1"/>
                <c:pt idx="0">
                  <c:v>0.014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PSY_CHART_LINES!$A$16:$A$17</c:f>
              <c:numCache>
                <c:formatCode>General</c:formatCode>
                <c:ptCount val="2"/>
                <c:pt idx="0">
                  <c:v>66.664502843541584</c:v>
                </c:pt>
                <c:pt idx="1">
                  <c:v>120</c:v>
                </c:pt>
              </c:numCache>
            </c:numRef>
          </c:xVal>
          <c:yVal>
            <c:numRef>
              <c:f>PSY_CHART_LINES!$B$16:$B$17</c:f>
              <c:numCache>
                <c:formatCode>General</c:formatCode>
                <c:ptCount val="2"/>
                <c:pt idx="0">
                  <c:v>1.4E-2</c:v>
                </c:pt>
                <c:pt idx="1">
                  <c:v>1.4E-2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D54C-4618-9C7B-00C9B5BBCA2D}"/>
            </c:ext>
          </c:extLst>
        </c:ser>
        <c:ser>
          <c:idx val="8"/>
          <c:order val="78"/>
          <c:tx>
            <c:strRef>
              <c:f>PSY_CHART_LINES!$B$18</c:f>
              <c:strCache>
                <c:ptCount val="1"/>
                <c:pt idx="0">
                  <c:v>0.016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PSY_CHART_LINES!$A$18:$A$19</c:f>
              <c:numCache>
                <c:formatCode>General</c:formatCode>
                <c:ptCount val="2"/>
                <c:pt idx="0">
                  <c:v>70.450434764908323</c:v>
                </c:pt>
                <c:pt idx="1">
                  <c:v>120</c:v>
                </c:pt>
              </c:numCache>
            </c:numRef>
          </c:xVal>
          <c:yVal>
            <c:numRef>
              <c:f>PSY_CHART_LINES!$B$18:$B$19</c:f>
              <c:numCache>
                <c:formatCode>General</c:formatCode>
                <c:ptCount val="2"/>
                <c:pt idx="0">
                  <c:v>1.6E-2</c:v>
                </c:pt>
                <c:pt idx="1">
                  <c:v>1.6E-2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D54C-4618-9C7B-00C9B5BBCA2D}"/>
            </c:ext>
          </c:extLst>
        </c:ser>
        <c:ser>
          <c:idx val="9"/>
          <c:order val="79"/>
          <c:tx>
            <c:strRef>
              <c:f>PSY_CHART_LINES!$B$20</c:f>
              <c:strCache>
                <c:ptCount val="1"/>
                <c:pt idx="0">
                  <c:v>0.018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PSY_CHART_LINES!$A$20:$A$21</c:f>
              <c:numCache>
                <c:formatCode>General</c:formatCode>
                <c:ptCount val="2"/>
                <c:pt idx="0">
                  <c:v>73.830656601565948</c:v>
                </c:pt>
                <c:pt idx="1">
                  <c:v>120</c:v>
                </c:pt>
              </c:numCache>
            </c:numRef>
          </c:xVal>
          <c:yVal>
            <c:numRef>
              <c:f>PSY_CHART_LINES!$B$20:$B$21</c:f>
              <c:numCache>
                <c:formatCode>General</c:formatCode>
                <c:ptCount val="2"/>
                <c:pt idx="0">
                  <c:v>1.8000000000000002E-2</c:v>
                </c:pt>
                <c:pt idx="1">
                  <c:v>1.8000000000000002E-2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D54C-4618-9C7B-00C9B5BBCA2D}"/>
            </c:ext>
          </c:extLst>
        </c:ser>
        <c:ser>
          <c:idx val="10"/>
          <c:order val="80"/>
          <c:tx>
            <c:strRef>
              <c:f>PSY_CHART_LINES!$B$22</c:f>
              <c:strCache>
                <c:ptCount val="1"/>
                <c:pt idx="0">
                  <c:v>0.02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PSY_CHART_LINES!$A$22:$A$23</c:f>
              <c:numCache>
                <c:formatCode>General</c:formatCode>
                <c:ptCount val="2"/>
                <c:pt idx="0">
                  <c:v>76.886707011543947</c:v>
                </c:pt>
                <c:pt idx="1">
                  <c:v>120</c:v>
                </c:pt>
              </c:numCache>
            </c:numRef>
          </c:xVal>
          <c:yVal>
            <c:numRef>
              <c:f>PSY_CHART_LINES!$B$22:$B$23</c:f>
              <c:numCache>
                <c:formatCode>General</c:formatCode>
                <c:ptCount val="2"/>
                <c:pt idx="0">
                  <c:v>2.0000000000000004E-2</c:v>
                </c:pt>
                <c:pt idx="1">
                  <c:v>2.0000000000000004E-2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D54C-4618-9C7B-00C9B5BBCA2D}"/>
            </c:ext>
          </c:extLst>
        </c:ser>
        <c:ser>
          <c:idx val="11"/>
          <c:order val="81"/>
          <c:tx>
            <c:strRef>
              <c:f>PSY_CHART_LINES!$B$24</c:f>
              <c:strCache>
                <c:ptCount val="1"/>
                <c:pt idx="0">
                  <c:v>0.022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PSY_CHART_LINES!$A$24:$A$25</c:f>
              <c:numCache>
                <c:formatCode>General</c:formatCode>
                <c:ptCount val="2"/>
                <c:pt idx="0">
                  <c:v>79.677367191070132</c:v>
                </c:pt>
                <c:pt idx="1">
                  <c:v>120</c:v>
                </c:pt>
              </c:numCache>
            </c:numRef>
          </c:xVal>
          <c:yVal>
            <c:numRef>
              <c:f>PSY_CHART_LINES!$B$24:$B$25</c:f>
              <c:numCache>
                <c:formatCode>General</c:formatCode>
                <c:ptCount val="2"/>
                <c:pt idx="0">
                  <c:v>2.2000000000000006E-2</c:v>
                </c:pt>
                <c:pt idx="1">
                  <c:v>2.2000000000000006E-2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D54C-4618-9C7B-00C9B5BBCA2D}"/>
            </c:ext>
          </c:extLst>
        </c:ser>
        <c:ser>
          <c:idx val="12"/>
          <c:order val="82"/>
          <c:tx>
            <c:strRef>
              <c:f>PSY_CHART_LINES!$B$26</c:f>
              <c:strCache>
                <c:ptCount val="1"/>
                <c:pt idx="0">
                  <c:v>0.024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PSY_CHART_LINES!$A$26:$A$27</c:f>
              <c:numCache>
                <c:formatCode>General</c:formatCode>
                <c:ptCount val="2"/>
                <c:pt idx="0">
                  <c:v>82.246472840717956</c:v>
                </c:pt>
                <c:pt idx="1">
                  <c:v>120</c:v>
                </c:pt>
              </c:numCache>
            </c:numRef>
          </c:xVal>
          <c:yVal>
            <c:numRef>
              <c:f>PSY_CHART_LINES!$B$26:$B$27</c:f>
              <c:numCache>
                <c:formatCode>General</c:formatCode>
                <c:ptCount val="2"/>
                <c:pt idx="0">
                  <c:v>2.4000000000000007E-2</c:v>
                </c:pt>
                <c:pt idx="1">
                  <c:v>2.4000000000000007E-2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D54C-4618-9C7B-00C9B5BBCA2D}"/>
            </c:ext>
          </c:extLst>
        </c:ser>
        <c:ser>
          <c:idx val="13"/>
          <c:order val="83"/>
          <c:tx>
            <c:strRef>
              <c:f>PSY_CHART_LINES!$B$28</c:f>
              <c:strCache>
                <c:ptCount val="1"/>
                <c:pt idx="0">
                  <c:v>0.026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PSY_CHART_LINES!$A$28:$A$29</c:f>
              <c:numCache>
                <c:formatCode>General</c:formatCode>
                <c:ptCount val="2"/>
                <c:pt idx="0">
                  <c:v>84.627625365568477</c:v>
                </c:pt>
                <c:pt idx="1">
                  <c:v>120</c:v>
                </c:pt>
              </c:numCache>
            </c:numRef>
          </c:xVal>
          <c:yVal>
            <c:numRef>
              <c:f>PSY_CHART_LINES!$B$28:$B$29</c:f>
              <c:numCache>
                <c:formatCode>General</c:formatCode>
                <c:ptCount val="2"/>
                <c:pt idx="0">
                  <c:v>2.6000000000000009E-2</c:v>
                </c:pt>
                <c:pt idx="1">
                  <c:v>2.6000000000000009E-2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D54C-4618-9C7B-00C9B5BBCA2D}"/>
            </c:ext>
          </c:extLst>
        </c:ser>
        <c:ser>
          <c:idx val="14"/>
          <c:order val="84"/>
          <c:tx>
            <c:strRef>
              <c:f>PSY_CHART_LINES!$B$30</c:f>
              <c:strCache>
                <c:ptCount val="1"/>
                <c:pt idx="0">
                  <c:v>0.028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PSY_CHART_LINES!$A$30:$A$31</c:f>
              <c:numCache>
                <c:formatCode>General</c:formatCode>
                <c:ptCount val="2"/>
                <c:pt idx="0">
                  <c:v>86.847174341144594</c:v>
                </c:pt>
                <c:pt idx="1">
                  <c:v>120</c:v>
                </c:pt>
              </c:numCache>
            </c:numRef>
          </c:xVal>
          <c:yVal>
            <c:numRef>
              <c:f>PSY_CHART_LINES!$B$30:$B$31</c:f>
              <c:numCache>
                <c:formatCode>General</c:formatCode>
                <c:ptCount val="2"/>
                <c:pt idx="0">
                  <c:v>2.8000000000000011E-2</c:v>
                </c:pt>
                <c:pt idx="1">
                  <c:v>2.8000000000000011E-2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D54C-4618-9C7B-00C9B5BBCA2D}"/>
            </c:ext>
          </c:extLst>
        </c:ser>
        <c:ser>
          <c:idx val="15"/>
          <c:order val="85"/>
          <c:tx>
            <c:strRef>
              <c:f>PSY_CHART_LINES!$B$32</c:f>
              <c:strCache>
                <c:ptCount val="1"/>
                <c:pt idx="0">
                  <c:v>0.03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PSY_CHART_LINES!$A$32:$A$33</c:f>
              <c:numCache>
                <c:formatCode>General</c:formatCode>
                <c:ptCount val="2"/>
                <c:pt idx="0">
                  <c:v>88.926182430883316</c:v>
                </c:pt>
                <c:pt idx="1">
                  <c:v>120</c:v>
                </c:pt>
              </c:numCache>
            </c:numRef>
          </c:xVal>
          <c:yVal>
            <c:numRef>
              <c:f>PSY_CHART_LINES!$B$32:$B$33</c:f>
              <c:numCache>
                <c:formatCode>General</c:formatCode>
                <c:ptCount val="2"/>
                <c:pt idx="0">
                  <c:v>3.0000000000000013E-2</c:v>
                </c:pt>
                <c:pt idx="1">
                  <c:v>3.0000000000000013E-2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D54C-4618-9C7B-00C9B5BBCA2D}"/>
            </c:ext>
          </c:extLst>
        </c:ser>
        <c:ser>
          <c:idx val="16"/>
          <c:order val="86"/>
          <c:tx>
            <c:strRef>
              <c:f>PSY_CHART_LINES!$I$1</c:f>
              <c:strCache>
                <c:ptCount val="1"/>
                <c:pt idx="0">
                  <c:v>RIGHT_BORDER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27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72-D54C-4618-9C7B-00C9B5BBCA2D}"/>
              </c:ext>
            </c:extLst>
          </c:dPt>
          <c:xVal>
            <c:numRef>
              <c:f>PSY_CHART_LINES!$I$4:$I$5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PSY_CHART_LINES!$J$4:$J$5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D54C-4618-9C7B-00C9B5BBCA2D}"/>
            </c:ext>
          </c:extLst>
        </c:ser>
        <c:ser>
          <c:idx val="17"/>
          <c:order val="87"/>
          <c:tx>
            <c:strRef>
              <c:f>PSY_CHART_LINES!$K$1</c:f>
              <c:strCache>
                <c:ptCount val="1"/>
                <c:pt idx="0">
                  <c:v>RELATIVE_HUMIDITY_LINES_10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PSY_CHART_LINES!$K$4:$K$92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PSY_CHART_LINES!$N$4:$N$92</c:f>
              <c:numCache>
                <c:formatCode>General</c:formatCode>
                <c:ptCount val="89"/>
                <c:pt idx="0">
                  <c:v>3.7539497091052437E-4</c:v>
                </c:pt>
                <c:pt idx="1">
                  <c:v>3.9082898147101055E-4</c:v>
                </c:pt>
                <c:pt idx="2">
                  <c:v>4.0682340544501773E-4</c:v>
                </c:pt>
                <c:pt idx="3">
                  <c:v>4.2339572953729203E-4</c:v>
                </c:pt>
                <c:pt idx="4">
                  <c:v>4.4056388932834522E-4</c:v>
                </c:pt>
                <c:pt idx="5">
                  <c:v>4.5834627803847722E-4</c:v>
                </c:pt>
                <c:pt idx="6">
                  <c:v>4.7676175540225277E-4</c:v>
                </c:pt>
                <c:pt idx="7">
                  <c:v>4.9582965665412868E-4</c:v>
                </c:pt>
                <c:pt idx="8">
                  <c:v>5.1556980162607857E-4</c:v>
                </c:pt>
                <c:pt idx="9">
                  <c:v>5.3600250395790291E-4</c:v>
                </c:pt>
                <c:pt idx="10">
                  <c:v>5.571485804210536E-4</c:v>
                </c:pt>
                <c:pt idx="11">
                  <c:v>5.7902936035691087E-4</c:v>
                </c:pt>
                <c:pt idx="12">
                  <c:v>6.0166669523025352E-4</c:v>
                </c:pt>
                <c:pt idx="13">
                  <c:v>6.2508296829904967E-4</c:v>
                </c:pt>
                <c:pt idx="14">
                  <c:v>6.4930110440131303E-4</c:v>
                </c:pt>
                <c:pt idx="15">
                  <c:v>6.7434457986033152E-4</c:v>
                </c:pt>
                <c:pt idx="16">
                  <c:v>7.0023743250907178E-4</c:v>
                </c:pt>
                <c:pt idx="17">
                  <c:v>7.2700427183503382E-4</c:v>
                </c:pt>
                <c:pt idx="18">
                  <c:v>7.5467028924683572E-4</c:v>
                </c:pt>
                <c:pt idx="19">
                  <c:v>7.8326126846349291E-4</c:v>
                </c:pt>
                <c:pt idx="20">
                  <c:v>8.1280359602800957E-4</c:v>
                </c:pt>
                <c:pt idx="21">
                  <c:v>8.4332427194648183E-4</c:v>
                </c:pt>
                <c:pt idx="22">
                  <c:v>8.7485092045415174E-4</c:v>
                </c:pt>
                <c:pt idx="23">
                  <c:v>9.0741180091009584E-4</c:v>
                </c:pt>
                <c:pt idx="24">
                  <c:v>9.4103581882185776E-4</c:v>
                </c:pt>
                <c:pt idx="25">
                  <c:v>9.7575253700206801E-4</c:v>
                </c:pt>
                <c:pt idx="26">
                  <c:v>1.011592186858521E-3</c:v>
                </c:pt>
                <c:pt idx="27">
                  <c:v>1.0485856798195582E-3</c:v>
                </c:pt>
                <c:pt idx="28">
                  <c:v>1.0867646188970673E-3</c:v>
                </c:pt>
                <c:pt idx="29">
                  <c:v>1.1261613103885661E-3</c:v>
                </c:pt>
                <c:pt idx="30">
                  <c:v>1.1668087757210018E-3</c:v>
                </c:pt>
                <c:pt idx="31">
                  <c:v>1.2087407634383213E-3</c:v>
                </c:pt>
                <c:pt idx="32">
                  <c:v>1.2519917613350324E-3</c:v>
                </c:pt>
                <c:pt idx="33">
                  <c:v>1.2965970087385496E-3</c:v>
                </c:pt>
                <c:pt idx="34">
                  <c:v>1.342592508942498E-3</c:v>
                </c:pt>
                <c:pt idx="35">
                  <c:v>1.3900150417942418E-3</c:v>
                </c:pt>
                <c:pt idx="36">
                  <c:v>1.4389021764387583E-3</c:v>
                </c:pt>
                <c:pt idx="37">
                  <c:v>1.4892922842225929E-3</c:v>
                </c:pt>
                <c:pt idx="38">
                  <c:v>1.5412245517603966E-3</c:v>
                </c:pt>
                <c:pt idx="39">
                  <c:v>1.594738994167743E-3</c:v>
                </c:pt>
                <c:pt idx="40">
                  <c:v>1.6498764684633556E-3</c:v>
                </c:pt>
                <c:pt idx="41">
                  <c:v>1.7066786871443305E-3</c:v>
                </c:pt>
                <c:pt idx="42">
                  <c:v>1.765188231938471E-3</c:v>
                </c:pt>
                <c:pt idx="43">
                  <c:v>1.8254485677370216E-3</c:v>
                </c:pt>
                <c:pt idx="44">
                  <c:v>1.8875040567123175E-3</c:v>
                </c:pt>
                <c:pt idx="45">
                  <c:v>1.9513999726246056E-3</c:v>
                </c:pt>
                <c:pt idx="46">
                  <c:v>2.0171825153220261E-3</c:v>
                </c:pt>
                <c:pt idx="47">
                  <c:v>2.0848988254391415E-3</c:v>
                </c:pt>
                <c:pt idx="48">
                  <c:v>2.1545969992981468E-3</c:v>
                </c:pt>
                <c:pt idx="49">
                  <c:v>2.226326104018168E-3</c:v>
                </c:pt>
                <c:pt idx="50">
                  <c:v>2.3001361928379127E-3</c:v>
                </c:pt>
                <c:pt idx="51">
                  <c:v>2.3760783206570961E-3</c:v>
                </c:pt>
                <c:pt idx="52">
                  <c:v>2.4542045598022716E-3</c:v>
                </c:pt>
                <c:pt idx="53">
                  <c:v>2.534568016023267E-3</c:v>
                </c:pt>
                <c:pt idx="54">
                  <c:v>2.6172228447261126E-3</c:v>
                </c:pt>
                <c:pt idx="55">
                  <c:v>2.7022242674494346E-3</c:v>
                </c:pt>
                <c:pt idx="56">
                  <c:v>2.789628588590345E-3</c:v>
                </c:pt>
                <c:pt idx="57">
                  <c:v>2.8794932123874782E-3</c:v>
                </c:pt>
                <c:pt idx="58">
                  <c:v>2.9718766601680283E-3</c:v>
                </c:pt>
                <c:pt idx="59">
                  <c:v>3.0668385878667094E-3</c:v>
                </c:pt>
                <c:pt idx="60">
                  <c:v>3.1644398038244508E-3</c:v>
                </c:pt>
                <c:pt idx="61">
                  <c:v>3.2647422868743699E-3</c:v>
                </c:pt>
                <c:pt idx="62">
                  <c:v>3.3678092047249013E-3</c:v>
                </c:pt>
                <c:pt idx="63">
                  <c:v>3.4737049326476581E-3</c:v>
                </c:pt>
                <c:pt idx="64">
                  <c:v>3.5824950724798695E-3</c:v>
                </c:pt>
                <c:pt idx="65">
                  <c:v>3.6942464719508586E-3</c:v>
                </c:pt>
                <c:pt idx="66">
                  <c:v>3.8090272443423918E-3</c:v>
                </c:pt>
                <c:pt idx="67">
                  <c:v>3.9269067884932628E-3</c:v>
                </c:pt>
                <c:pt idx="68">
                  <c:v>4.0479558091591292E-3</c:v>
                </c:pt>
                <c:pt idx="69">
                  <c:v>4.1722463377381275E-3</c:v>
                </c:pt>
                <c:pt idx="70">
                  <c:v>4.2998517533740311E-3</c:v>
                </c:pt>
                <c:pt idx="71">
                  <c:v>4.4308468044495812E-3</c:v>
                </c:pt>
                <c:pt idx="72">
                  <c:v>4.5653076304812195E-3</c:v>
                </c:pt>
                <c:pt idx="73">
                  <c:v>4.7033117844292559E-3</c:v>
                </c:pt>
                <c:pt idx="74">
                  <c:v>4.8449382554360074E-3</c:v>
                </c:pt>
                <c:pt idx="75">
                  <c:v>4.9902674920063433E-3</c:v>
                </c:pt>
                <c:pt idx="76">
                  <c:v>5.1393814256447262E-3</c:v>
                </c:pt>
                <c:pt idx="77">
                  <c:v>5.2923634949639939E-3</c:v>
                </c:pt>
                <c:pt idx="78">
                  <c:v>5.4492986702805333E-3</c:v>
                </c:pt>
                <c:pt idx="79">
                  <c:v>5.6102734787133084E-3</c:v>
                </c:pt>
                <c:pt idx="80">
                  <c:v>5.7753760298018238E-3</c:v>
                </c:pt>
                <c:pt idx="81">
                  <c:v>5.9446960416615589E-3</c:v>
                </c:pt>
                <c:pt idx="82">
                  <c:v>6.1183248676935581E-3</c:v>
                </c:pt>
                <c:pt idx="83">
                  <c:v>6.2963555238682196E-3</c:v>
                </c:pt>
                <c:pt idx="84">
                  <c:v>6.4788827166003503E-3</c:v>
                </c:pt>
                <c:pt idx="85">
                  <c:v>6.6660028712380607E-3</c:v>
                </c:pt>
                <c:pt idx="86">
                  <c:v>6.8578141611833707E-3</c:v>
                </c:pt>
                <c:pt idx="87">
                  <c:v>7.0544165376678798E-3</c:v>
                </c:pt>
                <c:pt idx="88">
                  <c:v>7.2559117602052116E-3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D54C-4618-9C7B-00C9B5BBCA2D}"/>
            </c:ext>
          </c:extLst>
        </c:ser>
        <c:ser>
          <c:idx val="18"/>
          <c:order val="88"/>
          <c:tx>
            <c:strRef>
              <c:f>PSY_CHART_LINES!$O$1</c:f>
              <c:strCache>
                <c:ptCount val="1"/>
                <c:pt idx="0">
                  <c:v>RELATIVE_HUMIDITY_LINES_20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PSY_CHART_LINES!$O$4:$O$92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PSY_CHART_LINES!$R$4:$R$92</c:f>
              <c:numCache>
                <c:formatCode>General</c:formatCode>
                <c:ptCount val="89"/>
                <c:pt idx="0">
                  <c:v>7.5124337877029374E-4</c:v>
                </c:pt>
                <c:pt idx="1">
                  <c:v>7.8214946383581296E-4</c:v>
                </c:pt>
                <c:pt idx="2">
                  <c:v>8.1417937736951709E-4</c:v>
                </c:pt>
                <c:pt idx="3">
                  <c:v>8.4736831385049923E-4</c:v>
                </c:pt>
                <c:pt idx="4">
                  <c:v>8.8175238060919918E-4</c:v>
                </c:pt>
                <c:pt idx="5">
                  <c:v>9.1736861630379121E-4</c:v>
                </c:pt>
                <c:pt idx="6">
                  <c:v>9.5425500967168207E-4</c:v>
                </c:pt>
                <c:pt idx="7">
                  <c:v>9.9245051856029472E-4</c:v>
                </c:pt>
                <c:pt idx="8">
                  <c:v>1.0319950892417424E-3</c:v>
                </c:pt>
                <c:pt idx="9">
                  <c:v>1.0729296760158189E-3</c:v>
                </c:pt>
                <c:pt idx="10">
                  <c:v>1.1152962611061348E-3</c:v>
                </c:pt>
                <c:pt idx="11">
                  <c:v>1.1591378748546158E-3</c:v>
                </c:pt>
                <c:pt idx="12">
                  <c:v>1.204498616219303E-3</c:v>
                </c:pt>
                <c:pt idx="13">
                  <c:v>1.2514236735813485E-3</c:v>
                </c:pt>
                <c:pt idx="14">
                  <c:v>1.2999593458664857E-3</c:v>
                </c:pt>
                <c:pt idx="15">
                  <c:v>1.3501530639875412E-3</c:v>
                </c:pt>
                <c:pt idx="16">
                  <c:v>1.4020534126137276E-3</c:v>
                </c:pt>
                <c:pt idx="17">
                  <c:v>1.4557101522735846E-3</c:v>
                </c:pt>
                <c:pt idx="18">
                  <c:v>1.5111742417986181E-3</c:v>
                </c:pt>
                <c:pt idx="19">
                  <c:v>1.5684978611142726E-3</c:v>
                </c:pt>
                <c:pt idx="20">
                  <c:v>1.6277344343863655E-3</c:v>
                </c:pt>
                <c:pt idx="21">
                  <c:v>1.6889386535304959E-3</c:v>
                </c:pt>
                <c:pt idx="22">
                  <c:v>1.7521665020926375E-3</c:v>
                </c:pt>
                <c:pt idx="23">
                  <c:v>1.8174752795098402E-3</c:v>
                </c:pt>
                <c:pt idx="24">
                  <c:v>1.884923625759457E-3</c:v>
                </c:pt>
                <c:pt idx="25">
                  <c:v>1.9545715464070264E-3</c:v>
                </c:pt>
                <c:pt idx="26">
                  <c:v>2.0264804380620486E-3</c:v>
                </c:pt>
                <c:pt idx="27">
                  <c:v>2.1007131142519245E-3</c:v>
                </c:pt>
                <c:pt idx="28">
                  <c:v>2.1773338317255106E-3</c:v>
                </c:pt>
                <c:pt idx="29">
                  <c:v>2.2564083171963743E-3</c:v>
                </c:pt>
                <c:pt idx="30">
                  <c:v>2.3380037945384276E-3</c:v>
                </c:pt>
                <c:pt idx="31">
                  <c:v>2.4221890124458E-3</c:v>
                </c:pt>
                <c:pt idx="32">
                  <c:v>2.5090342725694651E-3</c:v>
                </c:pt>
                <c:pt idx="33">
                  <c:v>2.5986114581445898E-3</c:v>
                </c:pt>
                <c:pt idx="34">
                  <c:v>2.6909940631217317E-3</c:v>
                </c:pt>
                <c:pt idx="35">
                  <c:v>2.78625722181752E-3</c:v>
                </c:pt>
                <c:pt idx="36">
                  <c:v>2.8844777390985583E-3</c:v>
                </c:pt>
                <c:pt idx="37">
                  <c:v>2.9857341211159197E-3</c:v>
                </c:pt>
                <c:pt idx="38">
                  <c:v>3.0901066066055267E-3</c:v>
                </c:pt>
                <c:pt idx="39">
                  <c:v>3.1976771987725439E-3</c:v>
                </c:pt>
                <c:pt idx="40">
                  <c:v>3.3085296977772125E-3</c:v>
                </c:pt>
                <c:pt idx="41">
                  <c:v>3.4227497338409213E-3</c:v>
                </c:pt>
                <c:pt idx="42">
                  <c:v>3.5404248009928744E-3</c:v>
                </c:pt>
                <c:pt idx="43">
                  <c:v>3.6616442914765286E-3</c:v>
                </c:pt>
                <c:pt idx="44">
                  <c:v>3.7864995308379661E-3</c:v>
                </c:pt>
                <c:pt idx="45">
                  <c:v>3.9150838137184058E-3</c:v>
                </c:pt>
                <c:pt idx="46">
                  <c:v>4.0474924403730425E-3</c:v>
                </c:pt>
                <c:pt idx="47">
                  <c:v>4.1838227539418441E-3</c:v>
                </c:pt>
                <c:pt idx="48">
                  <c:v>4.324174178495995E-3</c:v>
                </c:pt>
                <c:pt idx="49">
                  <c:v>4.4686482578868859E-3</c:v>
                </c:pt>
                <c:pt idx="50">
                  <c:v>4.6173486954249115E-3</c:v>
                </c:pt>
                <c:pt idx="51">
                  <c:v>4.7703813944163943E-3</c:v>
                </c:pt>
                <c:pt idx="52">
                  <c:v>4.927854499587987E-3</c:v>
                </c:pt>
                <c:pt idx="53">
                  <c:v>5.089878439429949E-3</c:v>
                </c:pt>
                <c:pt idx="54">
                  <c:v>5.2565659694897042E-3</c:v>
                </c:pt>
                <c:pt idx="55">
                  <c:v>5.4280322166501823E-3</c:v>
                </c:pt>
                <c:pt idx="56">
                  <c:v>5.6043947244263821E-3</c:v>
                </c:pt>
                <c:pt idx="57">
                  <c:v>5.785773499317701E-3</c:v>
                </c:pt>
                <c:pt idx="58">
                  <c:v>5.9722910582529773E-3</c:v>
                </c:pt>
                <c:pt idx="59">
                  <c:v>6.1640724771682316E-3</c:v>
                </c:pt>
                <c:pt idx="60">
                  <c:v>6.3612454407579603E-3</c:v>
                </c:pt>
                <c:pt idx="61">
                  <c:v>6.5639402934412738E-3</c:v>
                </c:pt>
                <c:pt idx="62">
                  <c:v>6.7722900915900492E-3</c:v>
                </c:pt>
                <c:pt idx="63">
                  <c:v>6.9864306570627524E-3</c:v>
                </c:pt>
                <c:pt idx="64">
                  <c:v>7.2065006320933458E-3</c:v>
                </c:pt>
                <c:pt idx="65">
                  <c:v>7.4326415355852292E-3</c:v>
                </c:pt>
                <c:pt idx="66">
                  <c:v>7.6649978208622035E-3</c:v>
                </c:pt>
                <c:pt idx="67">
                  <c:v>7.9037169349309017E-3</c:v>
                </c:pt>
                <c:pt idx="68">
                  <c:v>8.1489493793118813E-3</c:v>
                </c:pt>
                <c:pt idx="69">
                  <c:v>8.4008487724971555E-3</c:v>
                </c:pt>
                <c:pt idx="70">
                  <c:v>8.6595719140958888E-3</c:v>
                </c:pt>
                <c:pt idx="71">
                  <c:v>8.9252788507335826E-3</c:v>
                </c:pt>
                <c:pt idx="72">
                  <c:v>9.1981329437687796E-3</c:v>
                </c:pt>
                <c:pt idx="73">
                  <c:v>9.4783009388989328E-3</c:v>
                </c:pt>
                <c:pt idx="74">
                  <c:v>9.765953037725943E-3</c:v>
                </c:pt>
                <c:pt idx="75">
                  <c:v>1.006126297135765E-2</c:v>
                </c:pt>
                <c:pt idx="76">
                  <c:v>1.0364408076122999E-2</c:v>
                </c:pt>
                <c:pt idx="77">
                  <c:v>1.0675569371483165E-2</c:v>
                </c:pt>
                <c:pt idx="78">
                  <c:v>1.0994931640221957E-2</c:v>
                </c:pt>
                <c:pt idx="79">
                  <c:v>1.1322683511006945E-2</c:v>
                </c:pt>
                <c:pt idx="80">
                  <c:v>1.165901754341055E-2</c:v>
                </c:pt>
                <c:pt idx="81">
                  <c:v>1.2004130315489822E-2</c:v>
                </c:pt>
                <c:pt idx="82">
                  <c:v>1.2358222514022923E-2</c:v>
                </c:pt>
                <c:pt idx="83">
                  <c:v>1.2721499027509801E-2</c:v>
                </c:pt>
                <c:pt idx="84">
                  <c:v>1.3094169042041841E-2</c:v>
                </c:pt>
                <c:pt idx="85">
                  <c:v>1.3476446140159503E-2</c:v>
                </c:pt>
                <c:pt idx="86">
                  <c:v>1.3868548402810967E-2</c:v>
                </c:pt>
                <c:pt idx="87">
                  <c:v>1.4270698514539415E-2</c:v>
                </c:pt>
                <c:pt idx="88">
                  <c:v>1.4683123872027064E-2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D54C-4618-9C7B-00C9B5BBCA2D}"/>
            </c:ext>
          </c:extLst>
        </c:ser>
        <c:ser>
          <c:idx val="19"/>
          <c:order val="89"/>
          <c:tx>
            <c:strRef>
              <c:f>PSY_CHART_LINES!$S$1</c:f>
              <c:strCache>
                <c:ptCount val="1"/>
                <c:pt idx="0">
                  <c:v>RELATIVE_HUMIDITY_LINES_30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PSY_CHART_LINES!$S$4:$S$92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PSY_CHART_LINES!$V$4:$V$92</c:f>
              <c:numCache>
                <c:formatCode>General</c:formatCode>
                <c:ptCount val="89"/>
                <c:pt idx="0">
                  <c:v>1.1275460456307432E-3</c:v>
                </c:pt>
                <c:pt idx="1">
                  <c:v>1.1739623748344228E-3</c:v>
                </c:pt>
                <c:pt idx="2">
                  <c:v>1.2220689622207482E-3</c:v>
                </c:pt>
                <c:pt idx="3">
                  <c:v>1.271918932645446E-3</c:v>
                </c:pt>
                <c:pt idx="4">
                  <c:v>1.3235668030629757E-3</c:v>
                </c:pt>
                <c:pt idx="5">
                  <c:v>1.3770685116819661E-3</c:v>
                </c:pt>
                <c:pt idx="6">
                  <c:v>1.4324814476164704E-3</c:v>
                </c:pt>
                <c:pt idx="7">
                  <c:v>1.4898644810436548E-3</c:v>
                </c:pt>
                <c:pt idx="8">
                  <c:v>1.5492779938793915E-3</c:v>
                </c:pt>
                <c:pt idx="9">
                  <c:v>1.6107839109831654E-3</c:v>
                </c:pt>
                <c:pt idx="10">
                  <c:v>1.6744457319045466E-3</c:v>
                </c:pt>
                <c:pt idx="11">
                  <c:v>1.740328563184283E-3</c:v>
                </c:pt>
                <c:pt idx="12">
                  <c:v>1.8084991512229065E-3</c:v>
                </c:pt>
                <c:pt idx="13">
                  <c:v>1.8790259157314344E-3</c:v>
                </c:pt>
                <c:pt idx="14">
                  <c:v>1.9519789837780749E-3</c:v>
                </c:pt>
                <c:pt idx="15">
                  <c:v>2.0274302244470879E-3</c:v>
                </c:pt>
                <c:pt idx="16">
                  <c:v>2.105453284124972E-3</c:v>
                </c:pt>
                <c:pt idx="17">
                  <c:v>2.1861236224311512E-3</c:v>
                </c:pt>
                <c:pt idx="18">
                  <c:v>2.269518548810954E-3</c:v>
                </c:pt>
                <c:pt idx="19">
                  <c:v>2.3557172598083283E-3</c:v>
                </c:pt>
                <c:pt idx="20">
                  <c:v>2.4448008770383903E-3</c:v>
                </c:pt>
                <c:pt idx="21">
                  <c:v>2.5368524858792839E-3</c:v>
                </c:pt>
                <c:pt idx="22">
                  <c:v>2.6319571749042828E-3</c:v>
                </c:pt>
                <c:pt idx="23">
                  <c:v>2.7302020760765311E-3</c:v>
                </c:pt>
                <c:pt idx="24">
                  <c:v>2.8316764057284474E-3</c:v>
                </c:pt>
                <c:pt idx="25">
                  <c:v>2.9364715063508393E-3</c:v>
                </c:pt>
                <c:pt idx="26">
                  <c:v>3.0446808892158773E-3</c:v>
                </c:pt>
                <c:pt idx="27">
                  <c:v>3.1564002778600884E-3</c:v>
                </c:pt>
                <c:pt idx="28">
                  <c:v>3.2717276524557998E-3</c:v>
                </c:pt>
                <c:pt idx="29">
                  <c:v>3.3907632950979259E-3</c:v>
                </c:pt>
                <c:pt idx="30">
                  <c:v>3.5136098360374112E-3</c:v>
                </c:pt>
                <c:pt idx="31">
                  <c:v>3.6403723008919709E-3</c:v>
                </c:pt>
                <c:pt idx="32">
                  <c:v>3.7711581588663555E-3</c:v>
                </c:pt>
                <c:pt idx="33">
                  <c:v>3.9060773720171393E-3</c:v>
                </c:pt>
                <c:pt idx="34">
                  <c:v>4.0452424455964132E-3</c:v>
                </c:pt>
                <c:pt idx="35">
                  <c:v>4.1887684795132137E-3</c:v>
                </c:pt>
                <c:pt idx="36">
                  <c:v>4.3367732209493399E-3</c:v>
                </c:pt>
                <c:pt idx="37">
                  <c:v>4.4893771181724407E-3</c:v>
                </c:pt>
                <c:pt idx="38">
                  <c:v>4.6467033755868475E-3</c:v>
                </c:pt>
                <c:pt idx="39">
                  <c:v>4.8088780100677504E-3</c:v>
                </c:pt>
                <c:pt idx="40">
                  <c:v>4.9760299086240422E-3</c:v>
                </c:pt>
                <c:pt idx="41">
                  <c:v>5.148290887438154E-3</c:v>
                </c:pt>
                <c:pt idx="42">
                  <c:v>5.3257957523344208E-3</c:v>
                </c:pt>
                <c:pt idx="43">
                  <c:v>5.5086823607267488E-3</c:v>
                </c:pt>
                <c:pt idx="44">
                  <c:v>5.6970916851018108E-3</c:v>
                </c:pt>
                <c:pt idx="45">
                  <c:v>5.8911678780952E-3</c:v>
                </c:pt>
                <c:pt idx="46">
                  <c:v>6.0910583392189688E-3</c:v>
                </c:pt>
                <c:pt idx="47">
                  <c:v>6.2969137833053974E-3</c:v>
                </c:pt>
                <c:pt idx="48">
                  <c:v>6.5088883107301213E-3</c:v>
                </c:pt>
                <c:pt idx="49">
                  <c:v>6.7271394794838259E-3</c:v>
                </c:pt>
                <c:pt idx="50">
                  <c:v>6.9518283791637145E-3</c:v>
                </c:pt>
                <c:pt idx="51">
                  <c:v>7.1831197069588118E-3</c:v>
                </c:pt>
                <c:pt idx="52">
                  <c:v>7.4211818457063927E-3</c:v>
                </c:pt>
                <c:pt idx="53">
                  <c:v>7.6661869441013121E-3</c:v>
                </c:pt>
                <c:pt idx="54">
                  <c:v>7.9183109991417758E-3</c:v>
                </c:pt>
                <c:pt idx="55">
                  <c:v>8.1777339409014396E-3</c:v>
                </c:pt>
                <c:pt idx="56">
                  <c:v>8.4446397197179453E-3</c:v>
                </c:pt>
                <c:pt idx="57">
                  <c:v>8.719216395896158E-3</c:v>
                </c:pt>
                <c:pt idx="58">
                  <c:v>9.0016562320253558E-3</c:v>
                </c:pt>
                <c:pt idx="59">
                  <c:v>9.2921557880165043E-3</c:v>
                </c:pt>
                <c:pt idx="60">
                  <c:v>9.5909160189691211E-3</c:v>
                </c:pt>
                <c:pt idx="61">
                  <c:v>9.8981423759803514E-3</c:v>
                </c:pt>
                <c:pt idx="62">
                  <c:v>1.0214044910020195E-2</c:v>
                </c:pt>
                <c:pt idx="63">
                  <c:v>1.0538838378994097E-2</c:v>
                </c:pt>
                <c:pt idx="64">
                  <c:v>1.0872742358125626E-2</c:v>
                </c:pt>
                <c:pt idx="65">
                  <c:v>1.1215981353795602E-2</c:v>
                </c:pt>
                <c:pt idx="66">
                  <c:v>1.1568784920980233E-2</c:v>
                </c:pt>
                <c:pt idx="67">
                  <c:v>1.1931387784437687E-2</c:v>
                </c:pt>
                <c:pt idx="68">
                  <c:v>1.2304029963800202E-2</c:v>
                </c:pt>
                <c:pt idx="69">
                  <c:v>1.268695690273315E-2</c:v>
                </c:pt>
                <c:pt idx="70">
                  <c:v>1.3080419602332407E-2</c:v>
                </c:pt>
                <c:pt idx="71">
                  <c:v>1.3484674758940707E-2</c:v>
                </c:pt>
                <c:pt idx="72">
                  <c:v>1.3899984906566023E-2</c:v>
                </c:pt>
                <c:pt idx="73">
                  <c:v>1.432661856410093E-2</c:v>
                </c:pt>
                <c:pt idx="74">
                  <c:v>1.4764850387545016E-2</c:v>
                </c:pt>
                <c:pt idx="75">
                  <c:v>1.5214961327446097E-2</c:v>
                </c:pt>
                <c:pt idx="76">
                  <c:v>1.5677238791783451E-2</c:v>
                </c:pt>
                <c:pt idx="77">
                  <c:v>1.6151976814528929E-2</c:v>
                </c:pt>
                <c:pt idx="78">
                  <c:v>1.6639476230129104E-2</c:v>
                </c:pt>
                <c:pt idx="79">
                  <c:v>1.7140044854170405E-2</c:v>
                </c:pt>
                <c:pt idx="80">
                  <c:v>1.765399767049243E-2</c:v>
                </c:pt>
                <c:pt idx="81">
                  <c:v>1.8181657025036026E-2</c:v>
                </c:pt>
                <c:pt idx="82">
                  <c:v>1.8723352826719223E-2</c:v>
                </c:pt>
                <c:pt idx="83">
                  <c:v>1.9279422755656278E-2</c:v>
                </c:pt>
                <c:pt idx="84">
                  <c:v>1.9850212479039644E-2</c:v>
                </c:pt>
                <c:pt idx="85">
                  <c:v>2.0436075875034883E-2</c:v>
                </c:pt>
                <c:pt idx="86">
                  <c:v>2.1037375265039064E-2</c:v>
                </c:pt>
                <c:pt idx="87">
                  <c:v>2.1654481654685705E-2</c:v>
                </c:pt>
                <c:pt idx="88">
                  <c:v>2.228777498399015E-2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D54C-4618-9C7B-00C9B5BBCA2D}"/>
            </c:ext>
          </c:extLst>
        </c:ser>
        <c:ser>
          <c:idx val="20"/>
          <c:order val="90"/>
          <c:tx>
            <c:strRef>
              <c:f>PSY_CHART_LINES!$W$1</c:f>
              <c:strCache>
                <c:ptCount val="1"/>
                <c:pt idx="0">
                  <c:v>RELATIVE_HUMIDITY_LINES_40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PSY_CHART_LINES!$W$4:$W$92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PSY_CHART_LINES!$Z$4:$Z$92</c:f>
              <c:numCache>
                <c:formatCode>General</c:formatCode>
                <c:ptCount val="89"/>
                <c:pt idx="0">
                  <c:v>1.5043037955316107E-3</c:v>
                </c:pt>
                <c:pt idx="1">
                  <c:v>1.5662686445432196E-3</c:v>
                </c:pt>
                <c:pt idx="2">
                  <c:v>1.6304932091893297E-3</c:v>
                </c:pt>
                <c:pt idx="3">
                  <c:v>1.6970487688469193E-3</c:v>
                </c:pt>
                <c:pt idx="4">
                  <c:v>1.7660084896843997E-3</c:v>
                </c:pt>
                <c:pt idx="5">
                  <c:v>1.8374474654813604E-3</c:v>
                </c:pt>
                <c:pt idx="6">
                  <c:v>1.911442759222771E-3</c:v>
                </c:pt>
                <c:pt idx="7">
                  <c:v>1.9880734454878505E-3</c:v>
                </c:pt>
                <c:pt idx="8">
                  <c:v>2.0674206536552336E-3</c:v>
                </c:pt>
                <c:pt idx="9">
                  <c:v>2.1495676119463033E-3</c:v>
                </c:pt>
                <c:pt idx="10">
                  <c:v>2.234599692330007E-3</c:v>
                </c:pt>
                <c:pt idx="11">
                  <c:v>2.3226044563138732E-3</c:v>
                </c:pt>
                <c:pt idx="12">
                  <c:v>2.4136717016461102E-3</c:v>
                </c:pt>
                <c:pt idx="13">
                  <c:v>2.5078935099562627E-3</c:v>
                </c:pt>
                <c:pt idx="14">
                  <c:v>2.6053642953614326E-3</c:v>
                </c:pt>
                <c:pt idx="15">
                  <c:v>2.7061808540684313E-3</c:v>
                </c:pt>
                <c:pt idx="16">
                  <c:v>2.8104424150013859E-3</c:v>
                </c:pt>
                <c:pt idx="17">
                  <c:v>2.9182506914874279E-3</c:v>
                </c:pt>
                <c:pt idx="18">
                  <c:v>3.0297099340343748E-3</c:v>
                </c:pt>
                <c:pt idx="19">
                  <c:v>3.1449269842343838E-3</c:v>
                </c:pt>
                <c:pt idx="20">
                  <c:v>3.2640113298315621E-3</c:v>
                </c:pt>
                <c:pt idx="21">
                  <c:v>3.3870751609912813E-3</c:v>
                </c:pt>
                <c:pt idx="22">
                  <c:v>3.5142334278114159E-3</c:v>
                </c:pt>
                <c:pt idx="23">
                  <c:v>3.6456038991182901E-3</c:v>
                </c:pt>
                <c:pt idx="24">
                  <c:v>3.7813072225902551E-3</c:v>
                </c:pt>
                <c:pt idx="25">
                  <c:v>3.9214669862564881E-3</c:v>
                </c:pt>
                <c:pt idx="26">
                  <c:v>4.0662097814181085E-3</c:v>
                </c:pt>
                <c:pt idx="27">
                  <c:v>4.2156652670420919E-3</c:v>
                </c:pt>
                <c:pt idx="28">
                  <c:v>4.3699662356823012E-3</c:v>
                </c:pt>
                <c:pt idx="29">
                  <c:v>4.5292486809806005E-3</c:v>
                </c:pt>
                <c:pt idx="30">
                  <c:v>4.693651866807866E-3</c:v>
                </c:pt>
                <c:pt idx="31">
                  <c:v>4.8633183981046067E-3</c:v>
                </c:pt>
                <c:pt idx="32">
                  <c:v>5.0383942934839636E-3</c:v>
                </c:pt>
                <c:pt idx="33">
                  <c:v>5.219029059664558E-3</c:v>
                </c:pt>
                <c:pt idx="34">
                  <c:v>5.4053757678007974E-3</c:v>
                </c:pt>
                <c:pt idx="35">
                  <c:v>5.5975911317853082E-3</c:v>
                </c:pt>
                <c:pt idx="36">
                  <c:v>5.7958355885963445E-3</c:v>
                </c:pt>
                <c:pt idx="37">
                  <c:v>6.000273380772545E-3</c:v>
                </c:pt>
                <c:pt idx="38">
                  <c:v>6.2110726410954361E-3</c:v>
                </c:pt>
                <c:pt idx="39">
                  <c:v>6.4284054795682149E-3</c:v>
                </c:pt>
                <c:pt idx="40">
                  <c:v>6.6524480727803937E-3</c:v>
                </c:pt>
                <c:pt idx="41">
                  <c:v>6.8833807557533077E-3</c:v>
                </c:pt>
                <c:pt idx="42">
                  <c:v>7.1213881163673422E-3</c:v>
                </c:pt>
                <c:pt idx="43">
                  <c:v>7.3666590924722991E-3</c:v>
                </c:pt>
                <c:pt idx="44">
                  <c:v>7.6193870717913654E-3</c:v>
                </c:pt>
                <c:pt idx="45">
                  <c:v>7.8797699947324353E-3</c:v>
                </c:pt>
                <c:pt idx="46">
                  <c:v>8.1480104602238944E-3</c:v>
                </c:pt>
                <c:pt idx="47">
                  <c:v>8.4243158347024529E-3</c:v>
                </c:pt>
                <c:pt idx="48">
                  <c:v>8.7088983643804439E-3</c:v>
                </c:pt>
                <c:pt idx="49">
                  <c:v>9.0019752909304036E-3</c:v>
                </c:pt>
                <c:pt idx="50">
                  <c:v>9.3037689707296672E-3</c:v>
                </c:pt>
                <c:pt idx="51">
                  <c:v>9.6145069978141231E-3</c:v>
                </c:pt>
                <c:pt idx="52">
                  <c:v>9.9344223306971173E-3</c:v>
                </c:pt>
                <c:pt idx="53">
                  <c:v>1.0263753423218313E-2</c:v>
                </c:pt>
                <c:pt idx="54">
                  <c:v>1.0602744359592573E-2</c:v>
                </c:pt>
                <c:pt idx="55">
                  <c:v>1.0951644993840548E-2</c:v>
                </c:pt>
                <c:pt idx="56">
                  <c:v>1.1310711093786185E-2</c:v>
                </c:pt>
                <c:pt idx="57">
                  <c:v>1.1680204489820777E-2</c:v>
                </c:pt>
                <c:pt idx="58">
                  <c:v>1.2060393228638186E-2</c:v>
                </c:pt>
                <c:pt idx="59">
                  <c:v>1.2451551732158899E-2</c:v>
                </c:pt>
                <c:pt idx="60">
                  <c:v>1.2853960961869297E-2</c:v>
                </c:pt>
                <c:pt idx="61">
                  <c:v>1.326790858881096E-2</c:v>
                </c:pt>
                <c:pt idx="62">
                  <c:v>1.3693689169474743E-2</c:v>
                </c:pt>
                <c:pt idx="63">
                  <c:v>1.4131604327855445E-2</c:v>
                </c:pt>
                <c:pt idx="64">
                  <c:v>1.4581962943943672E-2</c:v>
                </c:pt>
                <c:pt idx="65">
                  <c:v>1.504508134894181E-2</c:v>
                </c:pt>
                <c:pt idx="66">
                  <c:v>1.5521283527505174E-2</c:v>
                </c:pt>
                <c:pt idx="67">
                  <c:v>1.601090132732497E-2</c:v>
                </c:pt>
                <c:pt idx="68">
                  <c:v>1.6514274676386356E-2</c:v>
                </c:pt>
                <c:pt idx="69">
                  <c:v>1.7031751808248063E-2</c:v>
                </c:pt>
                <c:pt idx="70">
                  <c:v>1.756368949571039E-2</c:v>
                </c:pt>
                <c:pt idx="71">
                  <c:v>1.8110453293259339E-2</c:v>
                </c:pt>
                <c:pt idx="72">
                  <c:v>1.8672417788685794E-2</c:v>
                </c:pt>
                <c:pt idx="73">
                  <c:v>1.9249966864309465E-2</c:v>
                </c:pt>
                <c:pt idx="74">
                  <c:v>1.9843493968250647E-2</c:v>
                </c:pt>
                <c:pt idx="75">
                  <c:v>2.0453402396221763E-2</c:v>
                </c:pt>
                <c:pt idx="76">
                  <c:v>2.1080105584331387E-2</c:v>
                </c:pt>
                <c:pt idx="77">
                  <c:v>2.1724027413421998E-2</c:v>
                </c:pt>
                <c:pt idx="78">
                  <c:v>2.2385602525484896E-2</c:v>
                </c:pt>
                <c:pt idx="79">
                  <c:v>2.3065276652734324E-2</c:v>
                </c:pt>
                <c:pt idx="80">
                  <c:v>2.3763506959940832E-2</c:v>
                </c:pt>
                <c:pt idx="81">
                  <c:v>2.4480762400668224E-2</c:v>
                </c:pt>
                <c:pt idx="82">
                  <c:v>2.521752408808263E-2</c:v>
                </c:pt>
                <c:pt idx="83">
                  <c:v>2.5974285681049883E-2</c:v>
                </c:pt>
                <c:pt idx="84">
                  <c:v>2.6751553786260887E-2</c:v>
                </c:pt>
                <c:pt idx="85">
                  <c:v>2.7549848377185864E-2</c:v>
                </c:pt>
                <c:pt idx="86">
                  <c:v>2.8369703230679347E-2</c:v>
                </c:pt>
                <c:pt idx="87">
                  <c:v>2.921166638212391E-2</c:v>
                </c:pt>
                <c:pt idx="88">
                  <c:v>3.0076300600039928E-2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D54C-4618-9C7B-00C9B5BBCA2D}"/>
            </c:ext>
          </c:extLst>
        </c:ser>
        <c:ser>
          <c:idx val="21"/>
          <c:order val="91"/>
          <c:tx>
            <c:strRef>
              <c:f>PSY_CHART_LINES!$AA$1</c:f>
              <c:strCache>
                <c:ptCount val="1"/>
                <c:pt idx="0">
                  <c:v>RELATIVE_HUMIDITY_LINES_50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PSY_CHART_LINES!$AA$4:$AA$92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PSY_CHART_LINES!$AD$4:$AD$92</c:f>
              <c:numCache>
                <c:formatCode>General</c:formatCode>
                <c:ptCount val="89"/>
                <c:pt idx="0">
                  <c:v>1.8815174545069497E-3</c:v>
                </c:pt>
                <c:pt idx="1">
                  <c:v>1.9590692053823035E-3</c:v>
                </c:pt>
                <c:pt idx="2">
                  <c:v>2.0394531702182445E-3</c:v>
                </c:pt>
                <c:pt idx="3">
                  <c:v>2.1227590086096539E-3</c:v>
                </c:pt>
                <c:pt idx="4">
                  <c:v>2.2090787772559108E-3</c:v>
                </c:pt>
                <c:pt idx="5">
                  <c:v>2.2985069834490076E-3</c:v>
                </c:pt>
                <c:pt idx="6">
                  <c:v>2.3911406396746144E-3</c:v>
                </c:pt>
                <c:pt idx="7">
                  <c:v>2.4870793193592332E-3</c:v>
                </c:pt>
                <c:pt idx="8">
                  <c:v>2.5864252137987398E-3</c:v>
                </c:pt>
                <c:pt idx="9">
                  <c:v>2.6892831903043207E-3</c:v>
                </c:pt>
                <c:pt idx="10">
                  <c:v>2.7957608516040867E-3</c:v>
                </c:pt>
                <c:pt idx="11">
                  <c:v>2.9059685965408277E-3</c:v>
                </c:pt>
                <c:pt idx="12">
                  <c:v>3.020019682107094E-3</c:v>
                </c:pt>
                <c:pt idx="13">
                  <c:v>3.1380302868625159E-3</c:v>
                </c:pt>
                <c:pt idx="14">
                  <c:v>3.260119575778236E-3</c:v>
                </c:pt>
                <c:pt idx="15">
                  <c:v>3.3864097665580865E-3</c:v>
                </c:pt>
                <c:pt idx="16">
                  <c:v>3.5170261974856831E-3</c:v>
                </c:pt>
                <c:pt idx="17">
                  <c:v>3.6520973968510971E-3</c:v>
                </c:pt>
                <c:pt idx="18">
                  <c:v>3.7917551540130544E-3</c:v>
                </c:pt>
                <c:pt idx="19">
                  <c:v>3.9361345921533255E-3</c:v>
                </c:pt>
                <c:pt idx="20">
                  <c:v>4.085374242785769E-3</c:v>
                </c:pt>
                <c:pt idx="21">
                  <c:v>4.2396161220828888E-3</c:v>
                </c:pt>
                <c:pt idx="22">
                  <c:v>4.3990058090867014E-3</c:v>
                </c:pt>
                <c:pt idx="23">
                  <c:v>4.5636925258747216E-3</c:v>
                </c:pt>
                <c:pt idx="24">
                  <c:v>4.7338292197529634E-3</c:v>
                </c:pt>
                <c:pt idx="25">
                  <c:v>4.9095726475545803E-3</c:v>
                </c:pt>
                <c:pt idx="26">
                  <c:v>5.0910834621231815E-3</c:v>
                </c:pt>
                <c:pt idx="27">
                  <c:v>5.2785263010650622E-3</c:v>
                </c:pt>
                <c:pt idx="28">
                  <c:v>5.4720698778605364E-3</c:v>
                </c:pt>
                <c:pt idx="29">
                  <c:v>5.6718870754239722E-3</c:v>
                </c:pt>
                <c:pt idx="30">
                  <c:v>5.8781550422119114E-3</c:v>
                </c:pt>
                <c:pt idx="31">
                  <c:v>6.0910552909798146E-3</c:v>
                </c:pt>
                <c:pt idx="32">
                  <c:v>6.3107738002931256E-3</c:v>
                </c:pt>
                <c:pt idx="33">
                  <c:v>6.5375011189056391E-3</c:v>
                </c:pt>
                <c:pt idx="34">
                  <c:v>6.7714324731198722E-3</c:v>
                </c:pt>
                <c:pt idx="35">
                  <c:v>7.0127678772544692E-3</c:v>
                </c:pt>
                <c:pt idx="36">
                  <c:v>7.2617122473431521E-3</c:v>
                </c:pt>
                <c:pt idx="37">
                  <c:v>7.5184755182033346E-3</c:v>
                </c:pt>
                <c:pt idx="38">
                  <c:v>7.7832727640119491E-3</c:v>
                </c:pt>
                <c:pt idx="39">
                  <c:v>8.0563243225381734E-3</c:v>
                </c:pt>
                <c:pt idx="40">
                  <c:v>8.3378559231861334E-3</c:v>
                </c:pt>
                <c:pt idx="41">
                  <c:v>8.6280988190096455E-3</c:v>
                </c:pt>
                <c:pt idx="42">
                  <c:v>8.9272899228707344E-3</c:v>
                </c:pt>
                <c:pt idx="43">
                  <c:v>9.2356719479168101E-3</c:v>
                </c:pt>
                <c:pt idx="44">
                  <c:v>9.5534935525653196E-3</c:v>
                </c:pt>
                <c:pt idx="45">
                  <c:v>9.8810094901916196E-3</c:v>
                </c:pt>
                <c:pt idx="46">
                  <c:v>1.021848076372287E-2</c:v>
                </c:pt>
                <c:pt idx="47">
                  <c:v>1.0566174785357063E-2</c:v>
                </c:pt>
                <c:pt idx="48">
                  <c:v>1.0924365541629304E-2</c:v>
                </c:pt>
                <c:pt idx="49">
                  <c:v>1.1293333764064026E-2</c:v>
                </c:pt>
                <c:pt idx="50">
                  <c:v>1.1673367105661697E-2</c:v>
                </c:pt>
                <c:pt idx="51">
                  <c:v>1.2064760323480502E-2</c:v>
                </c:pt>
                <c:pt idx="52">
                  <c:v>1.2467815467586249E-2</c:v>
                </c:pt>
                <c:pt idx="53">
                  <c:v>1.2882842076659261E-2</c:v>
                </c:pt>
                <c:pt idx="54">
                  <c:v>1.3310157380558312E-2</c:v>
                </c:pt>
                <c:pt idx="55">
                  <c:v>1.3750086510161191E-2</c:v>
                </c:pt>
                <c:pt idx="56">
                  <c:v>1.4202962714811328E-2</c:v>
                </c:pt>
                <c:pt idx="57">
                  <c:v>1.4669127587723511E-2</c:v>
                </c:pt>
                <c:pt idx="58">
                  <c:v>1.5148931299714223E-2</c:v>
                </c:pt>
                <c:pt idx="59">
                  <c:v>1.5642732841644674E-2</c:v>
                </c:pt>
                <c:pt idx="60">
                  <c:v>1.6150900275982556E-2</c:v>
                </c:pt>
                <c:pt idx="61">
                  <c:v>1.6673810997906387E-2</c:v>
                </c:pt>
                <c:pt idx="62">
                  <c:v>1.7211852006408852E-2</c:v>
                </c:pt>
                <c:pt idx="63">
                  <c:v>1.7765420185865639E-2</c:v>
                </c:pt>
                <c:pt idx="64">
                  <c:v>1.8334922598570648E-2</c:v>
                </c:pt>
                <c:pt idx="65">
                  <c:v>1.8920776788761182E-2</c:v>
                </c:pt>
                <c:pt idx="66">
                  <c:v>1.9523411098684482E-2</c:v>
                </c:pt>
                <c:pt idx="67">
                  <c:v>2.014326499728707E-2</c:v>
                </c:pt>
                <c:pt idx="68">
                  <c:v>2.078078942214107E-2</c:v>
                </c:pt>
                <c:pt idx="69">
                  <c:v>2.1436447135250062E-2</c:v>
                </c:pt>
                <c:pt idx="70">
                  <c:v>2.2110713093416164E-2</c:v>
                </c:pt>
                <c:pt idx="71">
                  <c:v>2.2804074833889972E-2</c:v>
                </c:pt>
                <c:pt idx="72">
                  <c:v>2.3517032876054271E-2</c:v>
                </c:pt>
                <c:pt idx="73">
                  <c:v>2.4250101139946981E-2</c:v>
                </c:pt>
                <c:pt idx="74">
                  <c:v>2.5003807382463033E-2</c:v>
                </c:pt>
                <c:pt idx="75">
                  <c:v>2.5778693652129328E-2</c:v>
                </c:pt>
                <c:pt idx="76">
                  <c:v>2.6575316763393034E-2</c:v>
                </c:pt>
                <c:pt idx="77">
                  <c:v>2.7394248791420349E-2</c:v>
                </c:pt>
                <c:pt idx="78">
                  <c:v>2.823607758845367E-2</c:v>
                </c:pt>
                <c:pt idx="79">
                  <c:v>2.9101407322847838E-2</c:v>
                </c:pt>
                <c:pt idx="80">
                  <c:v>2.9990859041955191E-2</c:v>
                </c:pt>
                <c:pt idx="81">
                  <c:v>3.0905071260112917E-2</c:v>
                </c:pt>
                <c:pt idx="82">
                  <c:v>3.184470057304687E-2</c:v>
                </c:pt>
                <c:pt idx="83">
                  <c:v>3.2810422300098577E-2</c:v>
                </c:pt>
                <c:pt idx="84">
                  <c:v>3.3802931155746771E-2</c:v>
                </c:pt>
                <c:pt idx="85">
                  <c:v>3.4822941952009419E-2</c:v>
                </c:pt>
                <c:pt idx="86">
                  <c:v>3.5871190333379044E-2</c:v>
                </c:pt>
                <c:pt idx="87">
                  <c:v>3.694843354607176E-2</c:v>
                </c:pt>
                <c:pt idx="88">
                  <c:v>3.8055451243466029E-2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D54C-4618-9C7B-00C9B5BBCA2D}"/>
            </c:ext>
          </c:extLst>
        </c:ser>
        <c:ser>
          <c:idx val="22"/>
          <c:order val="92"/>
          <c:tx>
            <c:strRef>
              <c:f>PSY_CHART_LINES!$AE$1</c:f>
              <c:strCache>
                <c:ptCount val="1"/>
                <c:pt idx="0">
                  <c:v>RELATIVE_HUMIDITY_LINES_60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PSY_CHART_LINES!$AE$4:$AE$92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PSY_CHART_LINES!$AH$4:$AH$92</c:f>
              <c:numCache>
                <c:formatCode>General</c:formatCode>
                <c:ptCount val="89"/>
                <c:pt idx="0">
                  <c:v>2.2591878505911693E-3</c:v>
                </c:pt>
                <c:pt idx="1">
                  <c:v>2.352364992122886E-3</c:v>
                </c:pt>
                <c:pt idx="2">
                  <c:v>2.4489499000118716E-3</c:v>
                </c:pt>
                <c:pt idx="3">
                  <c:v>2.5490508413293644E-3</c:v>
                </c:pt>
                <c:pt idx="4">
                  <c:v>2.65277900636113E-3</c:v>
                </c:pt>
                <c:pt idx="5">
                  <c:v>2.7602485757870364E-3</c:v>
                </c:pt>
                <c:pt idx="6">
                  <c:v>2.8715767893739076E-3</c:v>
                </c:pt>
                <c:pt idx="7">
                  <c:v>2.9868840162312086E-3</c:v>
                </c:pt>
                <c:pt idx="8">
                  <c:v>3.106293826682253E-3</c:v>
                </c:pt>
                <c:pt idx="9">
                  <c:v>3.229933065805015E-3</c:v>
                </c:pt>
                <c:pt idx="10">
                  <c:v>3.3579319286998937E-3</c:v>
                </c:pt>
                <c:pt idx="11">
                  <c:v>3.4904240375450563E-3</c:v>
                </c:pt>
                <c:pt idx="12">
                  <c:v>3.6275465205013973E-3</c:v>
                </c:pt>
                <c:pt idx="13">
                  <c:v>3.7694400925343814E-3</c:v>
                </c:pt>
                <c:pt idx="14">
                  <c:v>3.9162491382206035E-3</c:v>
                </c:pt>
                <c:pt idx="15">
                  <c:v>4.0681217966134229E-3</c:v>
                </c:pt>
                <c:pt idx="16">
                  <c:v>4.2252100482421838E-3</c:v>
                </c:pt>
                <c:pt idx="17">
                  <c:v>4.3876698043257886E-3</c:v>
                </c:pt>
                <c:pt idx="18">
                  <c:v>4.5556609982849846E-3</c:v>
                </c:pt>
                <c:pt idx="19">
                  <c:v>4.7293476796394637E-3</c:v>
                </c:pt>
                <c:pt idx="20">
                  <c:v>4.9088981103838532E-3</c:v>
                </c:pt>
                <c:pt idx="21">
                  <c:v>5.0944848639380902E-3</c:v>
                </c:pt>
                <c:pt idx="22">
                  <c:v>5.2862849267735195E-3</c:v>
                </c:pt>
                <c:pt idx="23">
                  <c:v>5.4844798028219933E-3</c:v>
                </c:pt>
                <c:pt idx="24">
                  <c:v>5.6892556207776921E-3</c:v>
                </c:pt>
                <c:pt idx="25">
                  <c:v>5.9008032444108011E-3</c:v>
                </c:pt>
                <c:pt idx="26">
                  <c:v>6.1193183860139165E-3</c:v>
                </c:pt>
                <c:pt idx="27">
                  <c:v>6.3450017231097867E-3</c:v>
                </c:pt>
                <c:pt idx="28">
                  <c:v>6.5780590185575156E-3</c:v>
                </c:pt>
                <c:pt idx="29">
                  <c:v>6.8187012441953392E-3</c:v>
                </c:pt>
                <c:pt idx="30">
                  <c:v>7.0671447081713809E-3</c:v>
                </c:pt>
                <c:pt idx="31">
                  <c:v>7.3236111861169914E-3</c:v>
                </c:pt>
                <c:pt idx="32">
                  <c:v>7.588328056325349E-3</c:v>
                </c:pt>
                <c:pt idx="33">
                  <c:v>7.8615284391086414E-3</c:v>
                </c:pt>
                <c:pt idx="34">
                  <c:v>8.1434513405113564E-3</c:v>
                </c:pt>
                <c:pt idx="35">
                  <c:v>8.4343418005718256E-3</c:v>
                </c:pt>
                <c:pt idx="36">
                  <c:v>8.7344510463258276E-3</c:v>
                </c:pt>
                <c:pt idx="37">
                  <c:v>9.0440366497649416E-3</c:v>
                </c:pt>
                <c:pt idx="38">
                  <c:v>9.3633626909642494E-3</c:v>
                </c:pt>
                <c:pt idx="39">
                  <c:v>9.6926999266114169E-3</c:v>
                </c:pt>
                <c:pt idx="40">
                  <c:v>1.0032325964176103E-2</c:v>
                </c:pt>
                <c:pt idx="41">
                  <c:v>1.0382525441972764E-2</c:v>
                </c:pt>
                <c:pt idx="42">
                  <c:v>1.0743590215384721E-2</c:v>
                </c:pt>
                <c:pt idx="43">
                  <c:v>1.1115819549524807E-2</c:v>
                </c:pt>
                <c:pt idx="44">
                  <c:v>1.1499520318628343E-2</c:v>
                </c:pt>
                <c:pt idx="45">
                  <c:v>1.1895007212486685E-2</c:v>
                </c:pt>
                <c:pt idx="46">
                  <c:v>1.2302602950242108E-2</c:v>
                </c:pt>
                <c:pt idx="47">
                  <c:v>1.2722638501889191E-2</c:v>
                </c:pt>
                <c:pt idx="48">
                  <c:v>1.3155453317836159E-2</c:v>
                </c:pt>
                <c:pt idx="49">
                  <c:v>1.36013955669048E-2</c:v>
                </c:pt>
                <c:pt idx="50">
                  <c:v>1.4060822383164855E-2</c:v>
                </c:pt>
                <c:pt idx="51">
                  <c:v>1.4534100122019103E-2</c:v>
                </c:pt>
                <c:pt idx="52">
                  <c:v>1.5021604625976856E-2</c:v>
                </c:pt>
                <c:pt idx="53">
                  <c:v>1.5523721500578937E-2</c:v>
                </c:pt>
                <c:pt idx="54">
                  <c:v>1.6040846400957914E-2</c:v>
                </c:pt>
                <c:pt idx="55">
                  <c:v>1.6573385329548471E-2</c:v>
                </c:pt>
                <c:pt idx="56">
                  <c:v>1.7121754945482709E-2</c:v>
                </c:pt>
                <c:pt idx="57">
                  <c:v>1.768638288624225E-2</c:v>
                </c:pt>
                <c:pt idx="58">
                  <c:v>1.8267708102163268E-2</c:v>
                </c:pt>
                <c:pt idx="59">
                  <c:v>1.8866181204427797E-2</c:v>
                </c:pt>
                <c:pt idx="60">
                  <c:v>1.9482264827206587E-2</c:v>
                </c:pt>
                <c:pt idx="61">
                  <c:v>2.0116434004651747E-2</c:v>
                </c:pt>
                <c:pt idx="62">
                  <c:v>2.076917656348885E-2</c:v>
                </c:pt>
                <c:pt idx="63">
                  <c:v>2.1440993531983036E-2</c:v>
                </c:pt>
                <c:pt idx="64">
                  <c:v>2.2132399566109275E-2</c:v>
                </c:pt>
                <c:pt idx="65">
                  <c:v>2.2843923393799086E-2</c:v>
                </c:pt>
                <c:pt idx="66">
                  <c:v>2.3576108278185556E-2</c:v>
                </c:pt>
                <c:pt idx="67">
                  <c:v>2.4329512500821913E-2</c:v>
                </c:pt>
                <c:pt idx="68">
                  <c:v>2.5104709865906835E-2</c:v>
                </c:pt>
                <c:pt idx="69">
                  <c:v>2.5902290226603661E-2</c:v>
                </c:pt>
                <c:pt idx="70">
                  <c:v>2.672286003460916E-2</c:v>
                </c:pt>
                <c:pt idx="71">
                  <c:v>2.7567042914198595E-2</c:v>
                </c:pt>
                <c:pt idx="72">
                  <c:v>2.8435480262033727E-2</c:v>
                </c:pt>
                <c:pt idx="73">
                  <c:v>2.932883187411273E-2</c:v>
                </c:pt>
                <c:pt idx="74">
                  <c:v>3.0247776601310679E-2</c:v>
                </c:pt>
                <c:pt idx="75">
                  <c:v>3.119301303505604E-2</c:v>
                </c:pt>
                <c:pt idx="76">
                  <c:v>3.2165260224776844E-2</c:v>
                </c:pt>
                <c:pt idx="77">
                  <c:v>3.3165258428855163E-2</c:v>
                </c:pt>
                <c:pt idx="78">
                  <c:v>3.4193769900927658E-2</c:v>
                </c:pt>
                <c:pt idx="79">
                  <c:v>3.5251579713500271E-2</c:v>
                </c:pt>
                <c:pt idx="80">
                  <c:v>3.6339496620948278E-2</c:v>
                </c:pt>
                <c:pt idx="81">
                  <c:v>3.7458353964123385E-2</c:v>
                </c:pt>
                <c:pt idx="82">
                  <c:v>3.8609010618914988E-2</c:v>
                </c:pt>
                <c:pt idx="83">
                  <c:v>3.9792351991281186E-2</c:v>
                </c:pt>
                <c:pt idx="84">
                  <c:v>4.1009291061404878E-2</c:v>
                </c:pt>
                <c:pt idx="85">
                  <c:v>4.2260769479835175E-2</c:v>
                </c:pt>
                <c:pt idx="86">
                  <c:v>4.3547758718627261E-2</c:v>
                </c:pt>
                <c:pt idx="87">
                  <c:v>4.4871261280726209E-2</c:v>
                </c:pt>
                <c:pt idx="88">
                  <c:v>4.6232311971040968E-2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D54C-4618-9C7B-00C9B5BBCA2D}"/>
            </c:ext>
          </c:extLst>
        </c:ser>
        <c:ser>
          <c:idx val="23"/>
          <c:order val="93"/>
          <c:tx>
            <c:strRef>
              <c:f>PSY_CHART_LINES!$AI$1</c:f>
              <c:strCache>
                <c:ptCount val="1"/>
                <c:pt idx="0">
                  <c:v>RELATIVE_HUMIDITY_LINES_70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PSY_CHART_LINES!$AI$4:$AI$92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PSY_CHART_LINES!$AL$4:$AL$92</c:f>
              <c:numCache>
                <c:formatCode>General</c:formatCode>
                <c:ptCount val="89"/>
                <c:pt idx="0">
                  <c:v>2.6373158138250897E-3</c:v>
                </c:pt>
                <c:pt idx="1">
                  <c:v>2.7461569418947033E-3</c:v>
                </c:pt>
                <c:pt idx="2">
                  <c:v>2.8589844560450522E-3</c:v>
                </c:pt>
                <c:pt idx="3">
                  <c:v>2.9759254596538245E-3</c:v>
                </c:pt>
                <c:pt idx="4">
                  <c:v>3.0971105213983751E-3</c:v>
                </c:pt>
                <c:pt idx="5">
                  <c:v>3.2226737571691543E-3</c:v>
                </c:pt>
                <c:pt idx="6">
                  <c:v>3.3527529139605276E-3</c:v>
                </c:pt>
                <c:pt idx="7">
                  <c:v>3.4874894558086992E-3</c:v>
                </c:pt>
                <c:pt idx="8">
                  <c:v>3.6270286518507444E-3</c:v>
                </c:pt>
                <c:pt idx="9">
                  <c:v>3.7715196665810496E-3</c:v>
                </c:pt>
                <c:pt idx="10">
                  <c:v>3.921115652385984E-3</c:v>
                </c:pt>
                <c:pt idx="11">
                  <c:v>4.0759738444422185E-3</c:v>
                </c:pt>
                <c:pt idx="12">
                  <c:v>4.2362556580665166E-3</c:v>
                </c:pt>
                <c:pt idx="13">
                  <c:v>4.4021267886118001E-3</c:v>
                </c:pt>
                <c:pt idx="14">
                  <c:v>4.5737573140058061E-3</c:v>
                </c:pt>
                <c:pt idx="15">
                  <c:v>4.7513218000372059E-3</c:v>
                </c:pt>
                <c:pt idx="16">
                  <c:v>4.9349994084952322E-3</c:v>
                </c:pt>
                <c:pt idx="17">
                  <c:v>5.1249740082772079E-3</c:v>
                </c:pt>
                <c:pt idx="18">
                  <c:v>5.3214342895836131E-3</c:v>
                </c:pt>
                <c:pt idx="19">
                  <c:v>5.5245738813236205E-3</c:v>
                </c:pt>
                <c:pt idx="20">
                  <c:v>5.7345914718644449E-3</c:v>
                </c:pt>
                <c:pt idx="21">
                  <c:v>5.9516909332609311E-3</c:v>
                </c:pt>
                <c:pt idx="22">
                  <c:v>6.1760814491099237E-3</c:v>
                </c:pt>
                <c:pt idx="23">
                  <c:v>6.4079776461823711E-3</c:v>
                </c:pt>
                <c:pt idx="24">
                  <c:v>6.6475997299905321E-3</c:v>
                </c:pt>
                <c:pt idx="25">
                  <c:v>6.8951736244602614E-3</c:v>
                </c:pt>
                <c:pt idx="26">
                  <c:v>7.1509311158821313E-3</c:v>
                </c:pt>
                <c:pt idx="27">
                  <c:v>7.4151100013259636E-3</c:v>
                </c:pt>
                <c:pt idx="28">
                  <c:v>7.6879542417153295E-3</c:v>
                </c:pt>
                <c:pt idx="29">
                  <c:v>7.9697141197616964E-3</c:v>
                </c:pt>
                <c:pt idx="30">
                  <c:v>8.2606464029756875E-3</c:v>
                </c:pt>
                <c:pt idx="31">
                  <c:v>8.5610145119789614E-3</c:v>
                </c:pt>
                <c:pt idx="32">
                  <c:v>8.8710886943520664E-3</c:v>
                </c:pt>
                <c:pt idx="33">
                  <c:v>9.1911462042688161E-3</c:v>
                </c:pt>
                <c:pt idx="34">
                  <c:v>9.5214714881752364E-3</c:v>
                </c:pt>
                <c:pt idx="35">
                  <c:v>9.8623563767914028E-3</c:v>
                </c:pt>
                <c:pt idx="36">
                  <c:v>1.0214100283719347E-2</c:v>
                </c:pt>
                <c:pt idx="37">
                  <c:v>1.0577010410965848E-2</c:v>
                </c:pt>
                <c:pt idx="38">
                  <c:v>1.0951401961694559E-2</c:v>
                </c:pt>
                <c:pt idx="39">
                  <c:v>1.1337598360546132E-2</c:v>
                </c:pt>
                <c:pt idx="40">
                  <c:v>1.1735931481877257E-2</c:v>
                </c:pt>
                <c:pt idx="41">
                  <c:v>1.2146741886290103E-2</c:v>
                </c:pt>
                <c:pt idx="42">
                  <c:v>1.2570379065845811E-2</c:v>
                </c:pt>
                <c:pt idx="43">
                  <c:v>1.3007201698369055E-2</c:v>
                </c:pt>
                <c:pt idx="44">
                  <c:v>1.3457577911280051E-2</c:v>
                </c:pt>
                <c:pt idx="45">
                  <c:v>1.3921885555410298E-2</c:v>
                </c:pt>
                <c:pt idx="46">
                  <c:v>1.4400512489279238E-2</c:v>
                </c:pt>
                <c:pt idx="47">
                  <c:v>1.4893856874343605E-2</c:v>
                </c:pt>
                <c:pt idx="48">
                  <c:v>1.5402327481748074E-2</c:v>
                </c:pt>
                <c:pt idx="49">
                  <c:v>1.5926344011142138E-2</c:v>
                </c:pt>
                <c:pt idx="50">
                  <c:v>1.6466337422156488E-2</c:v>
                </c:pt>
                <c:pt idx="51">
                  <c:v>1.7022750279164025E-2</c:v>
                </c:pt>
                <c:pt idx="52">
                  <c:v>1.7596037109984728E-2</c:v>
                </c:pt>
                <c:pt idx="53">
                  <c:v>1.8186664779232933E-2</c:v>
                </c:pt>
                <c:pt idx="54">
                  <c:v>1.8795112877039787E-2</c:v>
                </c:pt>
                <c:pt idx="55">
                  <c:v>1.9421874123931274E-2</c:v>
                </c:pt>
                <c:pt idx="56">
                  <c:v>2.0067454792676919E-2</c:v>
                </c:pt>
                <c:pt idx="57">
                  <c:v>2.0732375147980649E-2</c:v>
                </c:pt>
                <c:pt idx="58">
                  <c:v>2.1417169904926859E-2</c:v>
                </c:pt>
                <c:pt idx="59">
                  <c:v>2.2122388707152954E-2</c:v>
                </c:pt>
                <c:pt idx="60">
                  <c:v>2.2848596625772793E-2</c:v>
                </c:pt>
                <c:pt idx="61">
                  <c:v>2.3596374680130393E-2</c:v>
                </c:pt>
                <c:pt idx="62">
                  <c:v>2.4366320381541965E-2</c:v>
                </c:pt>
                <c:pt idx="63">
                  <c:v>2.5159048301232525E-2</c:v>
                </c:pt>
                <c:pt idx="64">
                  <c:v>2.5975190663759522E-2</c:v>
                </c:pt>
                <c:pt idx="65">
                  <c:v>2.6815397967287654E-2</c:v>
                </c:pt>
                <c:pt idx="66">
                  <c:v>2.7680339632161363E-2</c:v>
                </c:pt>
                <c:pt idx="67">
                  <c:v>2.8570704679310138E-2</c:v>
                </c:pt>
                <c:pt idx="68">
                  <c:v>2.9487202440117804E-2</c:v>
                </c:pt>
                <c:pt idx="69">
                  <c:v>3.0430563299480597E-2</c:v>
                </c:pt>
                <c:pt idx="70">
                  <c:v>3.14015394738918E-2</c:v>
                </c:pt>
                <c:pt idx="71">
                  <c:v>3.2400905826509716E-2</c:v>
                </c:pt>
                <c:pt idx="72">
                  <c:v>3.3429460721273889E-2</c:v>
                </c:pt>
                <c:pt idx="73">
                  <c:v>3.4488026918284398E-2</c:v>
                </c:pt>
                <c:pt idx="74">
                  <c:v>3.5577452512785629E-2</c:v>
                </c:pt>
                <c:pt idx="75">
                  <c:v>3.6698611920257397E-2</c:v>
                </c:pt>
                <c:pt idx="76">
                  <c:v>3.7852406910273091E-2</c:v>
                </c:pt>
                <c:pt idx="77">
                  <c:v>3.9039767691963705E-2</c:v>
                </c:pt>
                <c:pt idx="78">
                  <c:v>4.0261654054105561E-2</c:v>
                </c:pt>
                <c:pt idx="79">
                  <c:v>4.1519056563068348E-2</c:v>
                </c:pt>
                <c:pt idx="80">
                  <c:v>4.2812997822054999E-2</c:v>
                </c:pt>
                <c:pt idx="81">
                  <c:v>4.4144533795319747E-2</c:v>
                </c:pt>
                <c:pt idx="82">
                  <c:v>4.5514755201283973E-2</c:v>
                </c:pt>
                <c:pt idx="83">
                  <c:v>4.6924788978761324E-2</c:v>
                </c:pt>
                <c:pt idx="84">
                  <c:v>4.8375799830768194E-2</c:v>
                </c:pt>
                <c:pt idx="85">
                  <c:v>4.9868991850748591E-2</c:v>
                </c:pt>
                <c:pt idx="86">
                  <c:v>5.1405610236341236E-2</c:v>
                </c:pt>
                <c:pt idx="87">
                  <c:v>5.298694309622274E-2</c:v>
                </c:pt>
                <c:pt idx="88">
                  <c:v>5.461432335593959E-2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D54C-4618-9C7B-00C9B5BBCA2D}"/>
            </c:ext>
          </c:extLst>
        </c:ser>
        <c:ser>
          <c:idx val="24"/>
          <c:order val="94"/>
          <c:tx>
            <c:strRef>
              <c:f>PSY_CHART_LINES!$AM$1</c:f>
              <c:strCache>
                <c:ptCount val="1"/>
                <c:pt idx="0">
                  <c:v>RELATIVE_HUMIDITY_LINES_80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PSY_CHART_LINES!$AM$4:$AM$92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PSY_CHART_LINES!$AP$4:$AP$92</c:f>
              <c:numCache>
                <c:formatCode>General</c:formatCode>
                <c:ptCount val="89"/>
                <c:pt idx="0">
                  <c:v>3.0159021762620262E-3</c:v>
                </c:pt>
                <c:pt idx="1">
                  <c:v>3.1404459941934589E-3</c:v>
                </c:pt>
                <c:pt idx="2">
                  <c:v>3.269557898572193E-3</c:v>
                </c:pt>
                <c:pt idx="3">
                  <c:v>3.4033840594939854E-3</c:v>
                </c:pt>
                <c:pt idx="4">
                  <c:v>3.5420746705942456E-3</c:v>
                </c:pt>
                <c:pt idx="5">
                  <c:v>3.6857840467572167E-3</c:v>
                </c:pt>
                <c:pt idx="6">
                  <c:v>3.8346707243325034E-3</c:v>
                </c:pt>
                <c:pt idx="7">
                  <c:v>3.9888975639527169E-3</c:v>
                </c:pt>
                <c:pt idx="8">
                  <c:v>4.1486318560517094E-3</c:v>
                </c:pt>
                <c:pt idx="9">
                  <c:v>4.3140454291863061E-3</c:v>
                </c:pt>
                <c:pt idx="10">
                  <c:v>4.4853147612705143E-3</c:v>
                </c:pt>
                <c:pt idx="11">
                  <c:v>4.6626210938373065E-3</c:v>
                </c:pt>
                <c:pt idx="12">
                  <c:v>4.8461505494468773E-3</c:v>
                </c:pt>
                <c:pt idx="13">
                  <c:v>5.0360942523691946E-3</c:v>
                </c:pt>
                <c:pt idx="14">
                  <c:v>5.2326484526715768E-3</c:v>
                </c:pt>
                <c:pt idx="15">
                  <c:v>5.4360146538528853E-3</c:v>
                </c:pt>
                <c:pt idx="16">
                  <c:v>5.646399744168553E-3</c:v>
                </c:pt>
                <c:pt idx="17">
                  <c:v>5.8640161318014462E-3</c:v>
                </c:pt>
                <c:pt idx="18">
                  <c:v>6.0890818840409746E-3</c:v>
                </c:pt>
                <c:pt idx="19">
                  <c:v>6.3218208706380752E-3</c:v>
                </c:pt>
                <c:pt idx="20">
                  <c:v>6.5624629115171029E-3</c:v>
                </c:pt>
                <c:pt idx="21">
                  <c:v>6.8112439290308954E-3</c:v>
                </c:pt>
                <c:pt idx="22">
                  <c:v>7.068406104956208E-3</c:v>
                </c:pt>
                <c:pt idx="23">
                  <c:v>7.3341980424382657E-3</c:v>
                </c:pt>
                <c:pt idx="24">
                  <c:v>7.6088749331000918E-3</c:v>
                </c:pt>
                <c:pt idx="25">
                  <c:v>7.8926987295488658E-3</c:v>
                </c:pt>
                <c:pt idx="26">
                  <c:v>8.1859383235179713E-3</c:v>
                </c:pt>
                <c:pt idx="27">
                  <c:v>8.4888697298982629E-3</c:v>
                </c:pt>
                <c:pt idx="28">
                  <c:v>8.8017762769281426E-3</c:v>
                </c:pt>
                <c:pt idx="29">
                  <c:v>9.1249488028183143E-3</c:v>
                </c:pt>
                <c:pt idx="30">
                  <c:v>9.4586858591103034E-3</c:v>
                </c:pt>
                <c:pt idx="31">
                  <c:v>9.8032939210776476E-3</c:v>
                </c:pt>
                <c:pt idx="32">
                  <c:v>1.0159087605495479E-2</c:v>
                </c:pt>
                <c:pt idx="33">
                  <c:v>1.0526389896124998E-2</c:v>
                </c:pt>
                <c:pt idx="34">
                  <c:v>1.0905532377271553E-2</c:v>
                </c:pt>
                <c:pt idx="35">
                  <c:v>1.1296855475802092E-2</c:v>
                </c:pt>
                <c:pt idx="36">
                  <c:v>1.1700708712017461E-2</c:v>
                </c:pt>
                <c:pt idx="37">
                  <c:v>1.2117450959808746E-2</c:v>
                </c:pt>
                <c:pt idx="38">
                  <c:v>1.2547450716538074E-2</c:v>
                </c:pt>
                <c:pt idx="39">
                  <c:v>1.2991086383116919E-2</c:v>
                </c:pt>
                <c:pt idx="40">
                  <c:v>1.3448746554774441E-2</c:v>
                </c:pt>
                <c:pt idx="41">
                  <c:v>1.392083032303763E-2</c:v>
                </c:pt>
                <c:pt idx="42">
                  <c:v>1.4407747589476551E-2</c:v>
                </c:pt>
                <c:pt idx="43">
                  <c:v>1.4909919391789841E-2</c:v>
                </c:pt>
                <c:pt idx="44">
                  <c:v>1.5427778242846262E-2</c:v>
                </c:pt>
                <c:pt idx="45">
                  <c:v>1.5961768483328406E-2</c:v>
                </c:pt>
                <c:pt idx="46">
                  <c:v>1.6512346648656633E-2</c:v>
                </c:pt>
                <c:pt idx="47">
                  <c:v>1.7079981850919704E-2</c:v>
                </c:pt>
                <c:pt idx="48">
                  <c:v>1.7665156176566787E-2</c:v>
                </c:pt>
                <c:pt idx="49">
                  <c:v>1.8268365100667466E-2</c:v>
                </c:pt>
                <c:pt idx="50">
                  <c:v>1.8890117918589144E-2</c:v>
                </c:pt>
                <c:pt idx="51">
                  <c:v>1.9530938195989327E-2</c:v>
                </c:pt>
                <c:pt idx="52">
                  <c:v>2.0191364238071746E-2</c:v>
                </c:pt>
                <c:pt idx="53">
                  <c:v>2.0871949579113154E-2</c:v>
                </c:pt>
                <c:pt idx="54">
                  <c:v>2.1573263493321553E-2</c:v>
                </c:pt>
                <c:pt idx="55">
                  <c:v>2.2295891528155996E-2</c:v>
                </c:pt>
                <c:pt idx="56">
                  <c:v>2.304043606129462E-2</c:v>
                </c:pt>
                <c:pt idx="57">
                  <c:v>2.3807516882519725E-2</c:v>
                </c:pt>
                <c:pt idx="58">
                  <c:v>2.4597771801855513E-2</c:v>
                </c:pt>
                <c:pt idx="59">
                  <c:v>2.5411857285381437E-2</c:v>
                </c:pt>
                <c:pt idx="60">
                  <c:v>2.6250449120226896E-2</c:v>
                </c:pt>
                <c:pt idx="61">
                  <c:v>2.7114243110340414E-2</c:v>
                </c:pt>
                <c:pt idx="62">
                  <c:v>2.8003955804742124E-2</c:v>
                </c:pt>
                <c:pt idx="63">
                  <c:v>2.8920325260051574E-2</c:v>
                </c:pt>
                <c:pt idx="64">
                  <c:v>2.9864111839211945E-2</c:v>
                </c:pt>
                <c:pt idx="65">
                  <c:v>3.0836099048446631E-2</c:v>
                </c:pt>
                <c:pt idx="66">
                  <c:v>3.1837094414613576E-2</c:v>
                </c:pt>
                <c:pt idx="67">
                  <c:v>3.2867930405262952E-2</c:v>
                </c:pt>
                <c:pt idx="68">
                  <c:v>3.3929465393854996E-2</c:v>
                </c:pt>
                <c:pt idx="69">
                  <c:v>3.5022584672747055E-2</c:v>
                </c:pt>
                <c:pt idx="70">
                  <c:v>3.6148201516737352E-2</c:v>
                </c:pt>
                <c:pt idx="71">
                  <c:v>3.730725830014181E-2</c:v>
                </c:pt>
                <c:pt idx="72">
                  <c:v>3.8500727670561952E-2</c:v>
                </c:pt>
                <c:pt idx="73">
                  <c:v>3.9729613782736026E-2</c:v>
                </c:pt>
                <c:pt idx="74">
                  <c:v>4.0994953596078063E-2</c:v>
                </c:pt>
                <c:pt idx="75">
                  <c:v>4.2297818239768928E-2</c:v>
                </c:pt>
                <c:pt idx="76">
                  <c:v>4.3639314449523112E-2</c:v>
                </c:pt>
                <c:pt idx="77">
                  <c:v>4.5020586080447837E-2</c:v>
                </c:pt>
                <c:pt idx="78">
                  <c:v>4.6442815700711487E-2</c:v>
                </c:pt>
                <c:pt idx="79">
                  <c:v>4.7907226271093749E-2</c:v>
                </c:pt>
                <c:pt idx="80">
                  <c:v>4.9415082915825602E-2</c:v>
                </c:pt>
                <c:pt idx="81">
                  <c:v>5.0967694790544624E-2</c:v>
                </c:pt>
                <c:pt idx="82">
                  <c:v>5.2566417053593058E-2</c:v>
                </c:pt>
                <c:pt idx="83">
                  <c:v>5.4212652947369488E-2</c:v>
                </c:pt>
                <c:pt idx="84">
                  <c:v>5.5907855996909894E-2</c:v>
                </c:pt>
                <c:pt idx="85">
                  <c:v>5.7653532333457165E-2</c:v>
                </c:pt>
                <c:pt idx="86">
                  <c:v>5.945124315131458E-2</c:v>
                </c:pt>
                <c:pt idx="87">
                  <c:v>6.130260730695844E-2</c:v>
                </c:pt>
                <c:pt idx="88">
                  <c:v>6.3209304070054401E-2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D54C-4618-9C7B-00C9B5BBCA2D}"/>
            </c:ext>
          </c:extLst>
        </c:ser>
        <c:ser>
          <c:idx val="25"/>
          <c:order val="95"/>
          <c:tx>
            <c:strRef>
              <c:f>PSY_CHART_LINES!$AQ$1</c:f>
              <c:strCache>
                <c:ptCount val="1"/>
                <c:pt idx="0">
                  <c:v>RELATIVE_HUMIDITY_LINES_90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PSY_CHART_LINES!$AQ$4:$AQ$92</c:f>
              <c:numCache>
                <c:formatCode>General</c:formatCode>
                <c:ptCount val="89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35</c:v>
                </c:pt>
                <c:pt idx="4">
                  <c:v>36</c:v>
                </c:pt>
                <c:pt idx="5">
                  <c:v>37</c:v>
                </c:pt>
                <c:pt idx="6">
                  <c:v>38</c:v>
                </c:pt>
                <c:pt idx="7">
                  <c:v>39</c:v>
                </c:pt>
                <c:pt idx="8">
                  <c:v>40</c:v>
                </c:pt>
                <c:pt idx="9">
                  <c:v>41</c:v>
                </c:pt>
                <c:pt idx="10">
                  <c:v>42</c:v>
                </c:pt>
                <c:pt idx="11">
                  <c:v>43</c:v>
                </c:pt>
                <c:pt idx="12">
                  <c:v>44</c:v>
                </c:pt>
                <c:pt idx="13">
                  <c:v>45</c:v>
                </c:pt>
                <c:pt idx="14">
                  <c:v>46</c:v>
                </c:pt>
                <c:pt idx="15">
                  <c:v>47</c:v>
                </c:pt>
                <c:pt idx="16">
                  <c:v>48</c:v>
                </c:pt>
                <c:pt idx="17">
                  <c:v>49</c:v>
                </c:pt>
                <c:pt idx="18">
                  <c:v>50</c:v>
                </c:pt>
                <c:pt idx="19">
                  <c:v>51</c:v>
                </c:pt>
                <c:pt idx="20">
                  <c:v>52</c:v>
                </c:pt>
                <c:pt idx="21">
                  <c:v>53</c:v>
                </c:pt>
                <c:pt idx="22">
                  <c:v>54</c:v>
                </c:pt>
                <c:pt idx="23">
                  <c:v>55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59</c:v>
                </c:pt>
                <c:pt idx="28">
                  <c:v>60</c:v>
                </c:pt>
                <c:pt idx="29">
                  <c:v>61</c:v>
                </c:pt>
                <c:pt idx="30">
                  <c:v>62</c:v>
                </c:pt>
                <c:pt idx="31">
                  <c:v>63</c:v>
                </c:pt>
                <c:pt idx="32">
                  <c:v>64</c:v>
                </c:pt>
                <c:pt idx="33">
                  <c:v>65</c:v>
                </c:pt>
                <c:pt idx="34">
                  <c:v>66</c:v>
                </c:pt>
                <c:pt idx="35">
                  <c:v>67</c:v>
                </c:pt>
                <c:pt idx="36">
                  <c:v>68</c:v>
                </c:pt>
                <c:pt idx="37">
                  <c:v>69</c:v>
                </c:pt>
                <c:pt idx="38">
                  <c:v>70</c:v>
                </c:pt>
                <c:pt idx="39">
                  <c:v>71</c:v>
                </c:pt>
                <c:pt idx="40">
                  <c:v>72</c:v>
                </c:pt>
                <c:pt idx="41">
                  <c:v>73</c:v>
                </c:pt>
                <c:pt idx="42">
                  <c:v>74</c:v>
                </c:pt>
                <c:pt idx="43">
                  <c:v>75</c:v>
                </c:pt>
                <c:pt idx="44">
                  <c:v>76</c:v>
                </c:pt>
                <c:pt idx="45">
                  <c:v>77</c:v>
                </c:pt>
                <c:pt idx="46">
                  <c:v>78</c:v>
                </c:pt>
                <c:pt idx="47">
                  <c:v>79</c:v>
                </c:pt>
                <c:pt idx="48">
                  <c:v>80</c:v>
                </c:pt>
                <c:pt idx="49">
                  <c:v>81</c:v>
                </c:pt>
                <c:pt idx="50">
                  <c:v>82</c:v>
                </c:pt>
                <c:pt idx="51">
                  <c:v>83</c:v>
                </c:pt>
                <c:pt idx="52">
                  <c:v>84</c:v>
                </c:pt>
                <c:pt idx="53">
                  <c:v>85</c:v>
                </c:pt>
                <c:pt idx="54">
                  <c:v>86</c:v>
                </c:pt>
                <c:pt idx="55">
                  <c:v>87</c:v>
                </c:pt>
                <c:pt idx="56">
                  <c:v>88</c:v>
                </c:pt>
                <c:pt idx="57">
                  <c:v>89</c:v>
                </c:pt>
                <c:pt idx="58">
                  <c:v>90</c:v>
                </c:pt>
                <c:pt idx="59">
                  <c:v>91</c:v>
                </c:pt>
                <c:pt idx="60">
                  <c:v>92</c:v>
                </c:pt>
                <c:pt idx="61">
                  <c:v>93</c:v>
                </c:pt>
                <c:pt idx="62">
                  <c:v>94</c:v>
                </c:pt>
                <c:pt idx="63">
                  <c:v>95</c:v>
                </c:pt>
                <c:pt idx="64">
                  <c:v>96</c:v>
                </c:pt>
                <c:pt idx="65">
                  <c:v>97</c:v>
                </c:pt>
                <c:pt idx="66">
                  <c:v>98</c:v>
                </c:pt>
                <c:pt idx="67">
                  <c:v>99</c:v>
                </c:pt>
                <c:pt idx="68">
                  <c:v>100</c:v>
                </c:pt>
                <c:pt idx="69">
                  <c:v>101</c:v>
                </c:pt>
                <c:pt idx="70">
                  <c:v>102</c:v>
                </c:pt>
                <c:pt idx="71">
                  <c:v>103</c:v>
                </c:pt>
                <c:pt idx="72">
                  <c:v>104</c:v>
                </c:pt>
                <c:pt idx="73">
                  <c:v>105</c:v>
                </c:pt>
                <c:pt idx="74">
                  <c:v>106</c:v>
                </c:pt>
                <c:pt idx="75">
                  <c:v>107</c:v>
                </c:pt>
                <c:pt idx="76">
                  <c:v>108</c:v>
                </c:pt>
                <c:pt idx="77">
                  <c:v>109</c:v>
                </c:pt>
                <c:pt idx="78">
                  <c:v>110</c:v>
                </c:pt>
                <c:pt idx="79">
                  <c:v>111</c:v>
                </c:pt>
                <c:pt idx="80">
                  <c:v>112</c:v>
                </c:pt>
                <c:pt idx="81">
                  <c:v>113</c:v>
                </c:pt>
                <c:pt idx="82">
                  <c:v>114</c:v>
                </c:pt>
                <c:pt idx="83">
                  <c:v>115</c:v>
                </c:pt>
                <c:pt idx="84">
                  <c:v>116</c:v>
                </c:pt>
                <c:pt idx="85">
                  <c:v>117</c:v>
                </c:pt>
                <c:pt idx="86">
                  <c:v>118</c:v>
                </c:pt>
                <c:pt idx="87">
                  <c:v>119</c:v>
                </c:pt>
                <c:pt idx="88">
                  <c:v>120</c:v>
                </c:pt>
              </c:numCache>
            </c:numRef>
          </c:xVal>
          <c:yVal>
            <c:numRef>
              <c:f>PSY_CHART_LINES!$AT$4:$AT$92</c:f>
              <c:numCache>
                <c:formatCode>General</c:formatCode>
                <c:ptCount val="89"/>
                <c:pt idx="0">
                  <c:v>3.394947771973889E-3</c:v>
                </c:pt>
                <c:pt idx="1">
                  <c:v>3.5352330908882939E-3</c:v>
                </c:pt>
                <c:pt idx="2">
                  <c:v>3.6806712906364042E-3</c:v>
                </c:pt>
                <c:pt idx="3">
                  <c:v>3.8314278400351474E-3</c:v>
                </c:pt>
                <c:pt idx="4">
                  <c:v>3.9876728060172515E-3</c:v>
                </c:pt>
                <c:pt idx="5">
                  <c:v>4.149580968217853E-3</c:v>
                </c:pt>
                <c:pt idx="6">
                  <c:v>4.3173319366662929E-3</c:v>
                </c:pt>
                <c:pt idx="7">
                  <c:v>4.4911102727050664E-3</c:v>
                </c:pt>
                <c:pt idx="8">
                  <c:v>4.6711056132652251E-3</c:v>
                </c:pt>
                <c:pt idx="9">
                  <c:v>4.8575127986324237E-3</c:v>
                </c:pt>
                <c:pt idx="10">
                  <c:v>5.0505320038456269E-3</c:v>
                </c:pt>
                <c:pt idx="11">
                  <c:v>5.2503688738785269E-3</c:v>
                </c:pt>
                <c:pt idx="12">
                  <c:v>5.4572346627591879E-3</c:v>
                </c:pt>
                <c:pt idx="13">
                  <c:v>5.67134637679467E-3</c:v>
                </c:pt>
                <c:pt idx="14">
                  <c:v>5.8929269220720174E-3</c:v>
                </c:pt>
                <c:pt idx="15">
                  <c:v>6.1222052564206524E-3</c:v>
                </c:pt>
                <c:pt idx="16">
                  <c:v>6.3594165460255604E-3</c:v>
                </c:pt>
                <c:pt idx="17">
                  <c:v>6.6048023268944836E-3</c:v>
                </c:pt>
                <c:pt idx="18">
                  <c:v>6.8586106713922962E-3</c:v>
                </c:pt>
                <c:pt idx="19">
                  <c:v>7.1210963600633736E-3</c:v>
                </c:pt>
                <c:pt idx="20">
                  <c:v>7.3925210589798158E-3</c:v>
                </c:pt>
                <c:pt idx="21">
                  <c:v>7.6731535028612078E-3</c:v>
                </c:pt>
                <c:pt idx="22">
                  <c:v>7.9632696842261291E-3</c:v>
                </c:pt>
                <c:pt idx="23">
                  <c:v>8.2631530488508267E-3</c:v>
                </c:pt>
                <c:pt idx="24">
                  <c:v>8.5730946978207264E-3</c:v>
                </c:pt>
                <c:pt idx="25">
                  <c:v>8.8933935964817107E-3</c:v>
                </c:pt>
                <c:pt idx="26">
                  <c:v>9.2243567906080143E-3</c:v>
                </c:pt>
                <c:pt idx="27">
                  <c:v>9.5662996301233132E-3</c:v>
                </c:pt>
                <c:pt idx="28">
                  <c:v>9.9195460007327745E-3</c:v>
                </c:pt>
                <c:pt idx="29">
                  <c:v>1.02844285638342E-2</c:v>
                </c:pt>
                <c:pt idx="30">
                  <c:v>1.0661289005106132E-2</c:v>
                </c:pt>
                <c:pt idx="31">
                  <c:v>1.1050478292185634E-2</c:v>
                </c:pt>
                <c:pt idx="32">
                  <c:v>1.1452356941871435E-2</c:v>
                </c:pt>
                <c:pt idx="33">
                  <c:v>1.1867295297315833E-2</c:v>
                </c:pt>
                <c:pt idx="34">
                  <c:v>1.2295673815687184E-2</c:v>
                </c:pt>
                <c:pt idx="35">
                  <c:v>1.2737883366820172E-2</c:v>
                </c:pt>
                <c:pt idx="36">
                  <c:v>1.3194325543387257E-2</c:v>
                </c:pt>
                <c:pt idx="37">
                  <c:v>1.3665412983168448E-2</c:v>
                </c:pt>
                <c:pt idx="38">
                  <c:v>1.4151569704015043E-2</c:v>
                </c:pt>
                <c:pt idx="39">
                  <c:v>1.4653231452146451E-2</c:v>
                </c:pt>
                <c:pt idx="40">
                  <c:v>1.5170846064447961E-2</c:v>
                </c:pt>
                <c:pt idx="41">
                  <c:v>1.5704873845477686E-2</c:v>
                </c:pt>
                <c:pt idx="42">
                  <c:v>1.6255787959934608E-2</c:v>
                </c:pt>
                <c:pt idx="43">
                  <c:v>1.6824074841372685E-2</c:v>
                </c:pt>
                <c:pt idx="44">
                  <c:v>1.7410234618000901E-2</c:v>
                </c:pt>
                <c:pt idx="45">
                  <c:v>1.8014781556453547E-2</c:v>
                </c:pt>
                <c:pt idx="46">
                  <c:v>1.8638244524461181E-2</c:v>
                </c:pt>
                <c:pt idx="47">
                  <c:v>1.9281167473419066E-2</c:v>
                </c:pt>
                <c:pt idx="48">
                  <c:v>1.9944109941893714E-2</c:v>
                </c:pt>
                <c:pt idx="49">
                  <c:v>2.0627647581180061E-2</c:v>
                </c:pt>
                <c:pt idx="50">
                  <c:v>2.1332372704084186E-2</c:v>
                </c:pt>
                <c:pt idx="51">
                  <c:v>2.2058894858176022E-2</c:v>
                </c:pt>
                <c:pt idx="52">
                  <c:v>2.2807841424830975E-2</c:v>
                </c:pt>
                <c:pt idx="53">
                  <c:v>2.3579858245462618E-2</c:v>
                </c:pt>
                <c:pt idx="54">
                  <c:v>2.4375610276428421E-2</c:v>
                </c:pt>
                <c:pt idx="55">
                  <c:v>2.5195782274189501E-2</c:v>
                </c:pt>
                <c:pt idx="56">
                  <c:v>2.6041079512391565E-2</c:v>
                </c:pt>
                <c:pt idx="57">
                  <c:v>2.6912228532651048E-2</c:v>
                </c:pt>
                <c:pt idx="58">
                  <c:v>2.7809977930931755E-2</c:v>
                </c:pt>
                <c:pt idx="59">
                  <c:v>2.8735099181524337E-2</c:v>
                </c:pt>
                <c:pt idx="60">
                  <c:v>2.9688387500764902E-2</c:v>
                </c:pt>
                <c:pt idx="61">
                  <c:v>3.0670662752760515E-2</c:v>
                </c:pt>
                <c:pt idx="62">
                  <c:v>3.1682770399556248E-2</c:v>
                </c:pt>
                <c:pt idx="63">
                  <c:v>3.2725582498310736E-2</c:v>
                </c:pt>
                <c:pt idx="64">
                  <c:v>3.3799998748235548E-2</c:v>
                </c:pt>
                <c:pt idx="65">
                  <c:v>3.4906947590228672E-2</c:v>
                </c:pt>
                <c:pt idx="66">
                  <c:v>3.6047387362328848E-2</c:v>
                </c:pt>
                <c:pt idx="67">
                  <c:v>3.7222307514329173E-2</c:v>
                </c:pt>
                <c:pt idx="68">
                  <c:v>3.8432729885118574E-2</c:v>
                </c:pt>
                <c:pt idx="69">
                  <c:v>3.9679710046555218E-2</c:v>
                </c:pt>
                <c:pt idx="70">
                  <c:v>4.0964338717947232E-2</c:v>
                </c:pt>
                <c:pt idx="71">
                  <c:v>4.228774325550546E-2</c:v>
                </c:pt>
                <c:pt idx="72">
                  <c:v>4.3651089221420643E-2</c:v>
                </c:pt>
                <c:pt idx="73">
                  <c:v>4.5055582037572449E-2</c:v>
                </c:pt>
                <c:pt idx="74">
                  <c:v>4.6502468729216449E-2</c:v>
                </c:pt>
                <c:pt idx="75">
                  <c:v>4.7993039764395819E-2</c:v>
                </c:pt>
                <c:pt idx="76">
                  <c:v>4.9528630995235641E-2</c:v>
                </c:pt>
                <c:pt idx="77">
                  <c:v>5.1110625707738104E-2</c:v>
                </c:pt>
                <c:pt idx="78">
                  <c:v>5.2740456787176586E-2</c:v>
                </c:pt>
                <c:pt idx="79">
                  <c:v>5.4419609006743884E-2</c:v>
                </c:pt>
                <c:pt idx="80">
                  <c:v>5.61496214476584E-2</c:v>
                </c:pt>
                <c:pt idx="81">
                  <c:v>5.7932090059590262E-2</c:v>
                </c:pt>
                <c:pt idx="82">
                  <c:v>5.9768670370928416E-2</c:v>
                </c:pt>
                <c:pt idx="83">
                  <c:v>6.1661080359181004E-2</c:v>
                </c:pt>
                <c:pt idx="84">
                  <c:v>6.3611103492574539E-2</c:v>
                </c:pt>
                <c:pt idx="85">
                  <c:v>6.5620591954849511E-2</c:v>
                </c:pt>
                <c:pt idx="86">
                  <c:v>6.7691470066156653E-2</c:v>
                </c:pt>
                <c:pt idx="87">
                  <c:v>6.9825737914059133E-2</c:v>
                </c:pt>
                <c:pt idx="88">
                  <c:v>7.2025475209767487E-2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D54C-4618-9C7B-00C9B5BBCA2D}"/>
            </c:ext>
          </c:extLst>
        </c:ser>
        <c:ser>
          <c:idx val="26"/>
          <c:order val="96"/>
          <c:tx>
            <c:strRef>
              <c:f>PSY_CHART_LINES!$G$1</c:f>
              <c:strCache>
                <c:ptCount val="1"/>
                <c:pt idx="0">
                  <c:v>LEFT_BORDER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270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88-D54C-4618-9C7B-00C9B5BBCA2D}"/>
              </c:ext>
            </c:extLst>
          </c:dPt>
          <c:xVal>
            <c:numRef>
              <c:f>PSY_CHART_LINES!$G$4:$G$5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xVal>
          <c:yVal>
            <c:numRef>
              <c:f>PSY_CHART_LINES!$H$4:$H$5</c:f>
              <c:numCache>
                <c:formatCode>General</c:formatCode>
                <c:ptCount val="2"/>
                <c:pt idx="0">
                  <c:v>0</c:v>
                </c:pt>
                <c:pt idx="1">
                  <c:v>3.7744534370573114E-3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D54C-4618-9C7B-00C9B5BBCA2D}"/>
            </c:ext>
          </c:extLst>
        </c:ser>
        <c:ser>
          <c:idx val="27"/>
          <c:order val="97"/>
          <c:tx>
            <c:strRef>
              <c:f>PSY_CHART_LINES!$AU$6</c:f>
              <c:strCache>
                <c:ptCount val="1"/>
                <c:pt idx="0">
                  <c:v>35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PSY_CHART_LINES!$AU$6:$AU$7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xVal>
          <c:yVal>
            <c:numRef>
              <c:f>PSY_CHART_LINES!$AV$6:$AV$7</c:f>
              <c:numCache>
                <c:formatCode>General</c:formatCode>
                <c:ptCount val="2"/>
                <c:pt idx="0">
                  <c:v>0</c:v>
                </c:pt>
                <c:pt idx="1">
                  <c:v>4.2600580037481708E-3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D54C-4618-9C7B-00C9B5BBCA2D}"/>
            </c:ext>
          </c:extLst>
        </c:ser>
        <c:ser>
          <c:idx val="28"/>
          <c:order val="98"/>
          <c:tx>
            <c:strRef>
              <c:f>PSY_CHART_LINES!$AU$8</c:f>
              <c:strCache>
                <c:ptCount val="1"/>
                <c:pt idx="0">
                  <c:v>40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PSY_CHART_LINES!$AU$8:$AU$9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xVal>
          <c:yVal>
            <c:numRef>
              <c:f>PSY_CHART_LINES!$AV$8:$AV$9</c:f>
              <c:numCache>
                <c:formatCode>General</c:formatCode>
                <c:ptCount val="2"/>
                <c:pt idx="0">
                  <c:v>0</c:v>
                </c:pt>
                <c:pt idx="1">
                  <c:v>5.1944521047341524E-3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D54C-4618-9C7B-00C9B5BBCA2D}"/>
            </c:ext>
          </c:extLst>
        </c:ser>
        <c:ser>
          <c:idx val="29"/>
          <c:order val="99"/>
          <c:tx>
            <c:strRef>
              <c:f>PSY_CHART_LINES!$AU$10</c:f>
              <c:strCache>
                <c:ptCount val="1"/>
                <c:pt idx="0">
                  <c:v>45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PSY_CHART_LINES!$AU$10:$AU$11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PSY_CHART_LINES!$AV$10:$AV$11</c:f>
              <c:numCache>
                <c:formatCode>General</c:formatCode>
                <c:ptCount val="2"/>
                <c:pt idx="0">
                  <c:v>0</c:v>
                </c:pt>
                <c:pt idx="1">
                  <c:v>6.3078870706696974E-3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D54C-4618-9C7B-00C9B5BBCA2D}"/>
            </c:ext>
          </c:extLst>
        </c:ser>
        <c:ser>
          <c:idx val="30"/>
          <c:order val="100"/>
          <c:tx>
            <c:strRef>
              <c:f>PSY_CHART_LINES!$AU$12</c:f>
              <c:strCache>
                <c:ptCount val="1"/>
                <c:pt idx="0">
                  <c:v>50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PSY_CHART_LINES!$AU$12:$AU$13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xVal>
          <c:yVal>
            <c:numRef>
              <c:f>PSY_CHART_LINES!$AV$12:$AV$13</c:f>
              <c:numCache>
                <c:formatCode>General</c:formatCode>
                <c:ptCount val="2"/>
                <c:pt idx="0">
                  <c:v>0</c:v>
                </c:pt>
                <c:pt idx="1">
                  <c:v>7.6300275751821269E-3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D54C-4618-9C7B-00C9B5BBCA2D}"/>
            </c:ext>
          </c:extLst>
        </c:ser>
        <c:ser>
          <c:idx val="31"/>
          <c:order val="101"/>
          <c:tx>
            <c:strRef>
              <c:f>PSY_CHART_LINES!$AU$14</c:f>
              <c:strCache>
                <c:ptCount val="1"/>
                <c:pt idx="0">
                  <c:v>55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PSY_CHART_LINES!$AU$14:$AU$15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xVal>
          <c:yVal>
            <c:numRef>
              <c:f>PSY_CHART_LINES!$AV$14:$AV$15</c:f>
              <c:numCache>
                <c:formatCode>General</c:formatCode>
                <c:ptCount val="2"/>
                <c:pt idx="0">
                  <c:v>0</c:v>
                </c:pt>
                <c:pt idx="1">
                  <c:v>9.1948547939831385E-3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D54C-4618-9C7B-00C9B5BBCA2D}"/>
            </c:ext>
          </c:extLst>
        </c:ser>
        <c:ser>
          <c:idx val="32"/>
          <c:order val="102"/>
          <c:tx>
            <c:strRef>
              <c:f>PSY_CHART_LINES!$AU$16</c:f>
              <c:strCache>
                <c:ptCount val="1"/>
                <c:pt idx="0">
                  <c:v>60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PSY_CHART_LINES!$AU$16:$AU$17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xVal>
          <c:yVal>
            <c:numRef>
              <c:f>PSY_CHART_LINES!$AV$16:$AV$17</c:f>
              <c:numCache>
                <c:formatCode>General</c:formatCode>
                <c:ptCount val="2"/>
                <c:pt idx="0">
                  <c:v>0</c:v>
                </c:pt>
                <c:pt idx="1">
                  <c:v>1.1041284437913019E-2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D54C-4618-9C7B-00C9B5BBCA2D}"/>
            </c:ext>
          </c:extLst>
        </c:ser>
        <c:ser>
          <c:idx val="33"/>
          <c:order val="103"/>
          <c:tx>
            <c:strRef>
              <c:f>PSY_CHART_LINES!$AU$18</c:f>
              <c:strCache>
                <c:ptCount val="1"/>
                <c:pt idx="0">
                  <c:v>65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PSY_CHART_LINES!$AU$18:$AU$19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xVal>
          <c:yVal>
            <c:numRef>
              <c:f>PSY_CHART_LINES!$AV$18:$AV$19</c:f>
              <c:numCache>
                <c:formatCode>General</c:formatCode>
                <c:ptCount val="2"/>
                <c:pt idx="0">
                  <c:v>0</c:v>
                </c:pt>
                <c:pt idx="1">
                  <c:v>1.321389849457626E-2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D54C-4618-9C7B-00C9B5BBCA2D}"/>
            </c:ext>
          </c:extLst>
        </c:ser>
        <c:ser>
          <c:idx val="34"/>
          <c:order val="104"/>
          <c:tx>
            <c:strRef>
              <c:f>PSY_CHART_LINES!$AU$20</c:f>
              <c:strCache>
                <c:ptCount val="1"/>
                <c:pt idx="0">
                  <c:v>70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PSY_CHART_LINES!$AU$20:$AU$21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PSY_CHART_LINES!$AV$20:$AV$21</c:f>
              <c:numCache>
                <c:formatCode>General</c:formatCode>
                <c:ptCount val="2"/>
                <c:pt idx="0">
                  <c:v>0</c:v>
                </c:pt>
                <c:pt idx="1">
                  <c:v>1.5763820288538288E-2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D54C-4618-9C7B-00C9B5BBCA2D}"/>
            </c:ext>
          </c:extLst>
        </c:ser>
        <c:ser>
          <c:idx val="35"/>
          <c:order val="105"/>
          <c:tx>
            <c:strRef>
              <c:f>PSY_CHART_LINES!$AU$22</c:f>
              <c:strCache>
                <c:ptCount val="1"/>
                <c:pt idx="0">
                  <c:v>75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PSY_CHART_LINES!$AU$22:$AU$23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PSY_CHART_LINES!$AV$22:$AV$23</c:f>
              <c:numCache>
                <c:formatCode>General</c:formatCode>
                <c:ptCount val="2"/>
                <c:pt idx="0">
                  <c:v>0</c:v>
                </c:pt>
                <c:pt idx="1">
                  <c:v>1.874977149125126E-2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D54C-4618-9C7B-00C9B5BBCA2D}"/>
            </c:ext>
          </c:extLst>
        </c:ser>
        <c:ser>
          <c:idx val="36"/>
          <c:order val="106"/>
          <c:tx>
            <c:strRef>
              <c:f>PSY_CHART_LINES!$AU$24</c:f>
              <c:strCache>
                <c:ptCount val="1"/>
                <c:pt idx="0">
                  <c:v>80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PSY_CHART_LINES!$AU$24:$AU$25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xVal>
          <c:yVal>
            <c:numRef>
              <c:f>PSY_CHART_LINES!$AV$24:$AV$25</c:f>
              <c:numCache>
                <c:formatCode>General</c:formatCode>
                <c:ptCount val="2"/>
                <c:pt idx="0">
                  <c:v>0</c:v>
                </c:pt>
                <c:pt idx="1">
                  <c:v>2.2239361756574878E-2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D54C-4618-9C7B-00C9B5BBCA2D}"/>
            </c:ext>
          </c:extLst>
        </c:ser>
        <c:ser>
          <c:idx val="37"/>
          <c:order val="107"/>
          <c:tx>
            <c:strRef>
              <c:f>PSY_CHART_LINES!$AU$26</c:f>
              <c:strCache>
                <c:ptCount val="1"/>
                <c:pt idx="0">
                  <c:v>85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PSY_CHART_LINES!$AU$26:$AU$27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xVal>
          <c:yVal>
            <c:numRef>
              <c:f>PSY_CHART_LINES!$AV$26:$AV$27</c:f>
              <c:numCache>
                <c:formatCode>General</c:formatCode>
                <c:ptCount val="2"/>
                <c:pt idx="0">
                  <c:v>0</c:v>
                </c:pt>
                <c:pt idx="1">
                  <c:v>2.6310677901240059E-2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D54C-4618-9C7B-00C9B5BBCA2D}"/>
            </c:ext>
          </c:extLst>
        </c:ser>
        <c:ser>
          <c:idx val="38"/>
          <c:order val="108"/>
          <c:tx>
            <c:strRef>
              <c:f>PSY_CHART_LINES!$AU$28</c:f>
              <c:strCache>
                <c:ptCount val="1"/>
                <c:pt idx="0">
                  <c:v>90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PSY_CHART_LINES!$AU$28:$AU$29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PSY_CHART_LINES!$AV$28:$AV$29</c:f>
              <c:numCache>
                <c:formatCode>General</c:formatCode>
                <c:ptCount val="2"/>
                <c:pt idx="0">
                  <c:v>0</c:v>
                </c:pt>
                <c:pt idx="1">
                  <c:v>3.1054261700060724E-2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D54C-4618-9C7B-00C9B5BBCA2D}"/>
            </c:ext>
          </c:extLst>
        </c:ser>
        <c:ser>
          <c:idx val="39"/>
          <c:order val="109"/>
          <c:tx>
            <c:strRef>
              <c:f>PSY_CHART_LINES!$AU$30</c:f>
              <c:strCache>
                <c:ptCount val="1"/>
                <c:pt idx="0">
                  <c:v>95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PSY_CHART_LINES!$AU$30:$AU$31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xVal>
          <c:yVal>
            <c:numRef>
              <c:f>PSY_CHART_LINES!$AV$30:$AV$31</c:f>
              <c:numCache>
                <c:formatCode>General</c:formatCode>
                <c:ptCount val="2"/>
                <c:pt idx="0">
                  <c:v>0</c:v>
                </c:pt>
                <c:pt idx="1">
                  <c:v>3.6575595938695249E-2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D54C-4618-9C7B-00C9B5BBCA2D}"/>
            </c:ext>
          </c:extLst>
        </c:ser>
        <c:ser>
          <c:idx val="40"/>
          <c:order val="110"/>
          <c:tx>
            <c:strRef>
              <c:f>PSY_CHART_LINES!$AU$32</c:f>
              <c:strCache>
                <c:ptCount val="1"/>
                <c:pt idx="0">
                  <c:v>100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PSY_CHART_LINES!$AU$32:$AU$33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PSY_CHART_LINES!$AV$32:$AV$33</c:f>
              <c:numCache>
                <c:formatCode>General</c:formatCode>
                <c:ptCount val="2"/>
                <c:pt idx="0">
                  <c:v>0</c:v>
                </c:pt>
                <c:pt idx="1">
                  <c:v>4.2998261118408897E-2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D54C-4618-9C7B-00C9B5BBCA2D}"/>
            </c:ext>
          </c:extLst>
        </c:ser>
        <c:ser>
          <c:idx val="41"/>
          <c:order val="111"/>
          <c:tx>
            <c:strRef>
              <c:f>PSY_CHART_LINES!$AU$34</c:f>
              <c:strCache>
                <c:ptCount val="1"/>
                <c:pt idx="0">
                  <c:v>105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PSY_CHART_LINES!$AU$34:$AU$35</c:f>
              <c:numCache>
                <c:formatCode>General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PSY_CHART_LINES!$AV$34:$AV$35</c:f>
              <c:numCache>
                <c:formatCode>General</c:formatCode>
                <c:ptCount val="2"/>
                <c:pt idx="0">
                  <c:v>0</c:v>
                </c:pt>
                <c:pt idx="1">
                  <c:v>5.0467985830663357E-2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D54C-4618-9C7B-00C9B5BBCA2D}"/>
            </c:ext>
          </c:extLst>
        </c:ser>
        <c:ser>
          <c:idx val="42"/>
          <c:order val="112"/>
          <c:tx>
            <c:strRef>
              <c:f>PSY_CHART_LINES!$AU$36</c:f>
              <c:strCache>
                <c:ptCount val="1"/>
                <c:pt idx="0">
                  <c:v>110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PSY_CHART_LINES!$AU$36:$AU$37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PSY_CHART_LINES!$AV$36:$AV$37</c:f>
              <c:numCache>
                <c:formatCode>General</c:formatCode>
                <c:ptCount val="2"/>
                <c:pt idx="0">
                  <c:v>0</c:v>
                </c:pt>
                <c:pt idx="1">
                  <c:v>5.9157901084424029E-2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D54C-4618-9C7B-00C9B5BBCA2D}"/>
            </c:ext>
          </c:extLst>
        </c:ser>
        <c:ser>
          <c:idx val="43"/>
          <c:order val="113"/>
          <c:tx>
            <c:strRef>
              <c:f>PSY_CHART_LINES!$AU$38</c:f>
              <c:strCache>
                <c:ptCount val="1"/>
                <c:pt idx="0">
                  <c:v>115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PSY_CHART_LINES!$AU$38:$AU$39</c:f>
              <c:numCache>
                <c:formatCode>General</c:formatCode>
                <c:ptCount val="2"/>
                <c:pt idx="0">
                  <c:v>115</c:v>
                </c:pt>
                <c:pt idx="1">
                  <c:v>115</c:v>
                </c:pt>
              </c:numCache>
            </c:numRef>
          </c:xVal>
          <c:yVal>
            <c:numRef>
              <c:f>PSY_CHART_LINES!$AV$38:$AV$39</c:f>
              <c:numCache>
                <c:formatCode>General</c:formatCode>
                <c:ptCount val="2"/>
                <c:pt idx="0">
                  <c:v>0</c:v>
                </c:pt>
                <c:pt idx="1">
                  <c:v>6.9275436526392786E-2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D54C-4618-9C7B-00C9B5BBCA2D}"/>
            </c:ext>
          </c:extLst>
        </c:ser>
        <c:ser>
          <c:idx val="44"/>
          <c:order val="114"/>
          <c:tx>
            <c:strRef>
              <c:f>PSY_CHART_LINES!$E$1</c:f>
              <c:strCache>
                <c:ptCount val="1"/>
                <c:pt idx="0">
                  <c:v>BOTTOM_BORDER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PSY_CHART_LINES!$E$4:$E$5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PSY_CHART_LINES!$F$4:$F$5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D54C-4618-9C7B-00C9B5BBCA2D}"/>
            </c:ext>
          </c:extLst>
        </c:ser>
        <c:ser>
          <c:idx val="45"/>
          <c:order val="115"/>
          <c:tx>
            <c:strRef>
              <c:f>PSY_CHART_LINES!$BE$4</c:f>
              <c:strCache>
                <c:ptCount val="1"/>
                <c:pt idx="0">
                  <c:v>32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PSY_CHART_LINES!$BE$4:$BE$5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PSY_CHART_LINES!$BF$4:$BF$5</c:f>
              <c:numCache>
                <c:formatCode>General</c:formatCode>
                <c:ptCount val="2"/>
                <c:pt idx="0">
                  <c:v>1.3408435720166155E-3</c:v>
                </c:pt>
                <c:pt idx="1">
                  <c:v>-1.5964661793559223E-2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D54C-4618-9C7B-00C9B5BBCA2D}"/>
            </c:ext>
          </c:extLst>
        </c:ser>
        <c:ser>
          <c:idx val="46"/>
          <c:order val="116"/>
          <c:tx>
            <c:strRef>
              <c:f>PSY_CHART_LINES!$BE$6</c:f>
              <c:strCache>
                <c:ptCount val="1"/>
                <c:pt idx="0">
                  <c:v>32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PSY_CHART_LINES!$BE$6:$BE$7</c:f>
              <c:numCache>
                <c:formatCode>General</c:formatCode>
                <c:ptCount val="2"/>
                <c:pt idx="0">
                  <c:v>32</c:v>
                </c:pt>
                <c:pt idx="1">
                  <c:v>120</c:v>
                </c:pt>
              </c:numCache>
            </c:numRef>
          </c:xVal>
          <c:yVal>
            <c:numRef>
              <c:f>PSY_CHART_LINES!$BF$6:$BF$7</c:f>
              <c:numCache>
                <c:formatCode>General</c:formatCode>
                <c:ptCount val="2"/>
                <c:pt idx="0">
                  <c:v>3.044614978323478E-3</c:v>
                </c:pt>
                <c:pt idx="1">
                  <c:v>-1.5964661793559223E-2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D54C-4618-9C7B-00C9B5BBCA2D}"/>
            </c:ext>
          </c:extLst>
        </c:ser>
        <c:ser>
          <c:idx val="47"/>
          <c:order val="117"/>
          <c:tx>
            <c:strRef>
              <c:f>PSY_CHART_LINES!$BE$8</c:f>
              <c:strCache>
                <c:ptCount val="1"/>
                <c:pt idx="0">
                  <c:v>35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PSY_CHART_LINES!$BE$8:$BE$9</c:f>
              <c:numCache>
                <c:formatCode>General</c:formatCode>
                <c:ptCount val="2"/>
                <c:pt idx="0">
                  <c:v>35</c:v>
                </c:pt>
                <c:pt idx="1">
                  <c:v>120</c:v>
                </c:pt>
              </c:numCache>
            </c:numRef>
          </c:xVal>
          <c:yVal>
            <c:numRef>
              <c:f>PSY_CHART_LINES!$BF$8:$BF$9</c:f>
              <c:numCache>
                <c:formatCode>General</c:formatCode>
                <c:ptCount val="2"/>
                <c:pt idx="0">
                  <c:v>4.2600580037481708E-3</c:v>
                </c:pt>
                <c:pt idx="1">
                  <c:v>-1.4852731641768917E-2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D54C-4618-9C7B-00C9B5BBCA2D}"/>
            </c:ext>
          </c:extLst>
        </c:ser>
        <c:ser>
          <c:idx val="48"/>
          <c:order val="118"/>
          <c:tx>
            <c:strRef>
              <c:f>PSY_CHART_LINES!$BE$10</c:f>
              <c:strCache>
                <c:ptCount val="1"/>
                <c:pt idx="0">
                  <c:v>40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PSY_CHART_LINES!$BE$10:$BE$11</c:f>
              <c:numCache>
                <c:formatCode>General</c:formatCode>
                <c:ptCount val="2"/>
                <c:pt idx="0">
                  <c:v>40</c:v>
                </c:pt>
                <c:pt idx="1">
                  <c:v>120</c:v>
                </c:pt>
              </c:numCache>
            </c:numRef>
          </c:xVal>
          <c:yVal>
            <c:numRef>
              <c:f>PSY_CHART_LINES!$BF$10:$BF$11</c:f>
              <c:numCache>
                <c:formatCode>General</c:formatCode>
                <c:ptCount val="2"/>
                <c:pt idx="0">
                  <c:v>5.1944521047341524E-3</c:v>
                </c:pt>
                <c:pt idx="1">
                  <c:v>-1.2871594735617164E-2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D54C-4618-9C7B-00C9B5BBCA2D}"/>
            </c:ext>
          </c:extLst>
        </c:ser>
        <c:ser>
          <c:idx val="50"/>
          <c:order val="119"/>
          <c:tx>
            <c:strRef>
              <c:f>PSY_CHART_LINES!$BE$12</c:f>
              <c:strCache>
                <c:ptCount val="1"/>
                <c:pt idx="0">
                  <c:v>45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PSY_CHART_LINES!$BE$12:$BE$13</c:f>
              <c:numCache>
                <c:formatCode>General</c:formatCode>
                <c:ptCount val="2"/>
                <c:pt idx="0">
                  <c:v>45</c:v>
                </c:pt>
                <c:pt idx="1">
                  <c:v>120</c:v>
                </c:pt>
              </c:numCache>
            </c:numRef>
          </c:xVal>
          <c:yVal>
            <c:numRef>
              <c:f>PSY_CHART_LINES!$BF$12:$BF$13</c:f>
              <c:numCache>
                <c:formatCode>General</c:formatCode>
                <c:ptCount val="2"/>
                <c:pt idx="0">
                  <c:v>6.3078870706696974E-3</c:v>
                </c:pt>
                <c:pt idx="1">
                  <c:v>-1.0707673235304228E-2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D54C-4618-9C7B-00C9B5BBCA2D}"/>
            </c:ext>
          </c:extLst>
        </c:ser>
        <c:ser>
          <c:idx val="49"/>
          <c:order val="120"/>
          <c:tx>
            <c:strRef>
              <c:f>PSY_CHART_LINES!$BE$14</c:f>
              <c:strCache>
                <c:ptCount val="1"/>
                <c:pt idx="0">
                  <c:v>50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PSY_CHART_LINES!$BE$14:$BE$15</c:f>
              <c:numCache>
                <c:formatCode>General</c:formatCode>
                <c:ptCount val="2"/>
                <c:pt idx="0">
                  <c:v>50</c:v>
                </c:pt>
                <c:pt idx="1">
                  <c:v>120</c:v>
                </c:pt>
              </c:numCache>
            </c:numRef>
          </c:xVal>
          <c:yVal>
            <c:numRef>
              <c:f>PSY_CHART_LINES!$BF$14:$BF$15</c:f>
              <c:numCache>
                <c:formatCode>General</c:formatCode>
                <c:ptCount val="2"/>
                <c:pt idx="0">
                  <c:v>7.6300275751821269E-3</c:v>
                </c:pt>
                <c:pt idx="1">
                  <c:v>-8.3310198635361508E-3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D54C-4618-9C7B-00C9B5BBCA2D}"/>
            </c:ext>
          </c:extLst>
        </c:ser>
        <c:ser>
          <c:idx val="51"/>
          <c:order val="121"/>
          <c:tx>
            <c:strRef>
              <c:f>PSY_CHART_LINES!$BE$16</c:f>
              <c:strCache>
                <c:ptCount val="1"/>
                <c:pt idx="0">
                  <c:v>55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PSY_CHART_LINES!$BE$16:$BE$17</c:f>
              <c:numCache>
                <c:formatCode>General</c:formatCode>
                <c:ptCount val="2"/>
                <c:pt idx="0">
                  <c:v>55</c:v>
                </c:pt>
                <c:pt idx="1">
                  <c:v>120</c:v>
                </c:pt>
              </c:numCache>
            </c:numRef>
          </c:xVal>
          <c:yVal>
            <c:numRef>
              <c:f>PSY_CHART_LINES!$BF$16:$BF$17</c:f>
              <c:numCache>
                <c:formatCode>General</c:formatCode>
                <c:ptCount val="2"/>
                <c:pt idx="0">
                  <c:v>9.1948547939831385E-3</c:v>
                </c:pt>
                <c:pt idx="1">
                  <c:v>-5.7072374713406718E-3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D54C-4618-9C7B-00C9B5BBCA2D}"/>
            </c:ext>
          </c:extLst>
        </c:ser>
        <c:ser>
          <c:idx val="52"/>
          <c:order val="122"/>
          <c:tx>
            <c:strRef>
              <c:f>PSY_CHART_LINES!$BE$18</c:f>
              <c:strCache>
                <c:ptCount val="1"/>
                <c:pt idx="0">
                  <c:v>60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PSY_CHART_LINES!$BE$18:$BE$19</c:f>
              <c:numCache>
                <c:formatCode>General</c:formatCode>
                <c:ptCount val="2"/>
                <c:pt idx="0">
                  <c:v>60</c:v>
                </c:pt>
                <c:pt idx="1">
                  <c:v>120</c:v>
                </c:pt>
              </c:numCache>
            </c:numRef>
          </c:xVal>
          <c:yVal>
            <c:numRef>
              <c:f>PSY_CHART_LINES!$BF$18:$BF$19</c:f>
              <c:numCache>
                <c:formatCode>General</c:formatCode>
                <c:ptCount val="2"/>
                <c:pt idx="0">
                  <c:v>1.1041284437913019E-2</c:v>
                </c:pt>
                <c:pt idx="1">
                  <c:v>-2.7968296424986851E-3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D54C-4618-9C7B-00C9B5BBCA2D}"/>
            </c:ext>
          </c:extLst>
        </c:ser>
        <c:ser>
          <c:idx val="53"/>
          <c:order val="123"/>
          <c:tx>
            <c:strRef>
              <c:f>PSY_CHART_LINES!$BE$20</c:f>
              <c:strCache>
                <c:ptCount val="1"/>
                <c:pt idx="0">
                  <c:v>65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PSY_CHART_LINES!$BE$20:$BE$21</c:f>
              <c:numCache>
                <c:formatCode>General</c:formatCode>
                <c:ptCount val="2"/>
                <c:pt idx="0">
                  <c:v>65</c:v>
                </c:pt>
                <c:pt idx="1">
                  <c:v>120</c:v>
                </c:pt>
              </c:numCache>
            </c:numRef>
          </c:xVal>
          <c:yVal>
            <c:numRef>
              <c:f>PSY_CHART_LINES!$BF$20:$BF$21</c:f>
              <c:numCache>
                <c:formatCode>General</c:formatCode>
                <c:ptCount val="2"/>
                <c:pt idx="0">
                  <c:v>1.321389849457626E-2</c:v>
                </c:pt>
                <c:pt idx="1">
                  <c:v>4.4556805566932887E-4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D54C-4618-9C7B-00C9B5BBCA2D}"/>
            </c:ext>
          </c:extLst>
        </c:ser>
        <c:ser>
          <c:idx val="54"/>
          <c:order val="124"/>
          <c:tx>
            <c:strRef>
              <c:f>PSY_CHART_LINES!$BE$22</c:f>
              <c:strCache>
                <c:ptCount val="1"/>
                <c:pt idx="0">
                  <c:v>70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PSY_CHART_LINES!$BE$22:$BE$23</c:f>
              <c:numCache>
                <c:formatCode>General</c:formatCode>
                <c:ptCount val="2"/>
                <c:pt idx="0">
                  <c:v>70</c:v>
                </c:pt>
                <c:pt idx="1">
                  <c:v>120</c:v>
                </c:pt>
              </c:numCache>
            </c:numRef>
          </c:xVal>
          <c:yVal>
            <c:numRef>
              <c:f>PSY_CHART_LINES!$BF$22:$BF$23</c:f>
              <c:numCache>
                <c:formatCode>General</c:formatCode>
                <c:ptCount val="2"/>
                <c:pt idx="0">
                  <c:v>1.5763820288538288E-2</c:v>
                </c:pt>
                <c:pt idx="1">
                  <c:v>4.072106939673803E-3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D54C-4618-9C7B-00C9B5BBCA2D}"/>
            </c:ext>
          </c:extLst>
        </c:ser>
        <c:ser>
          <c:idx val="55"/>
          <c:order val="125"/>
          <c:tx>
            <c:strRef>
              <c:f>PSY_CHART_LINES!$BE$24</c:f>
              <c:strCache>
                <c:ptCount val="1"/>
                <c:pt idx="0">
                  <c:v>75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PSY_CHART_LINES!$BE$24:$BE$25</c:f>
              <c:numCache>
                <c:formatCode>General</c:formatCode>
                <c:ptCount val="2"/>
                <c:pt idx="0">
                  <c:v>75</c:v>
                </c:pt>
                <c:pt idx="1">
                  <c:v>120</c:v>
                </c:pt>
              </c:numCache>
            </c:numRef>
          </c:xVal>
          <c:yVal>
            <c:numRef>
              <c:f>PSY_CHART_LINES!$BF$24:$BF$25</c:f>
              <c:numCache>
                <c:formatCode>General</c:formatCode>
                <c:ptCount val="2"/>
                <c:pt idx="0">
                  <c:v>1.874977149125126E-2</c:v>
                </c:pt>
                <c:pt idx="1">
                  <c:v>8.1428343335369288E-3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3-D54C-4618-9C7B-00C9B5BBCA2D}"/>
            </c:ext>
          </c:extLst>
        </c:ser>
        <c:ser>
          <c:idx val="56"/>
          <c:order val="126"/>
          <c:tx>
            <c:strRef>
              <c:f>PSY_CHART_LINES!$BE$26</c:f>
              <c:strCache>
                <c:ptCount val="1"/>
                <c:pt idx="0">
                  <c:v>80</c:v>
                </c:pt>
              </c:strCache>
            </c:strRef>
          </c:tx>
          <c:spPr>
            <a:ln w="63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PSY_CHART_LINES!$BE$26:$BE$27</c:f>
              <c:numCache>
                <c:formatCode>General</c:formatCode>
                <c:ptCount val="2"/>
                <c:pt idx="0">
                  <c:v>80</c:v>
                </c:pt>
                <c:pt idx="1">
                  <c:v>120</c:v>
                </c:pt>
              </c:numCache>
            </c:numRef>
          </c:xVal>
          <c:yVal>
            <c:numRef>
              <c:f>PSY_CHART_LINES!$BF$26:$BF$27</c:f>
              <c:numCache>
                <c:formatCode>General</c:formatCode>
                <c:ptCount val="2"/>
                <c:pt idx="0">
                  <c:v>2.2239361756574878E-2</c:v>
                </c:pt>
                <c:pt idx="1">
                  <c:v>1.2727045612907779E-2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5-D54C-4618-9C7B-00C9B5BBCA2D}"/>
            </c:ext>
          </c:extLst>
        </c:ser>
        <c:ser>
          <c:idx val="57"/>
          <c:order val="127"/>
          <c:tx>
            <c:strRef>
              <c:f>PSY_CHART_LINES!$BE$28</c:f>
              <c:strCache>
                <c:ptCount val="1"/>
                <c:pt idx="0">
                  <c:v>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6350" cap="rnd">
                <a:solidFill>
                  <a:schemeClr val="accent1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8-D54C-4618-9C7B-00C9B5BBCA2D}"/>
              </c:ext>
            </c:extLst>
          </c:dPt>
          <c:xVal>
            <c:numRef>
              <c:f>PSY_CHART_LINES!$BE$28:$BE$29</c:f>
              <c:numCache>
                <c:formatCode>General</c:formatCode>
                <c:ptCount val="2"/>
                <c:pt idx="0">
                  <c:v>85</c:v>
                </c:pt>
                <c:pt idx="1">
                  <c:v>120</c:v>
                </c:pt>
              </c:numCache>
            </c:numRef>
          </c:xVal>
          <c:yVal>
            <c:numRef>
              <c:f>PSY_CHART_LINES!$BF$28:$BF$29</c:f>
              <c:numCache>
                <c:formatCode>General</c:formatCode>
                <c:ptCount val="2"/>
                <c:pt idx="0">
                  <c:v>2.6310677901240059E-2</c:v>
                </c:pt>
                <c:pt idx="1">
                  <c:v>1.7904948737354719E-2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9-D54C-4618-9C7B-00C9B5BBCA2D}"/>
            </c:ext>
          </c:extLst>
        </c:ser>
        <c:ser>
          <c:idx val="58"/>
          <c:order val="128"/>
          <c:tx>
            <c:strRef>
              <c:f>PSY_CHART_LINES!$BE$30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6350" cap="rnd">
                <a:solidFill>
                  <a:schemeClr val="accent1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CC-D54C-4618-9C7B-00C9B5BBCA2D}"/>
              </c:ext>
            </c:extLst>
          </c:dPt>
          <c:xVal>
            <c:numRef>
              <c:f>PSY_CHART_LINES!$BE$30:$BE$31</c:f>
              <c:numCache>
                <c:formatCode>General</c:formatCode>
                <c:ptCount val="2"/>
                <c:pt idx="0">
                  <c:v>90</c:v>
                </c:pt>
                <c:pt idx="1">
                  <c:v>120</c:v>
                </c:pt>
              </c:numCache>
            </c:numRef>
          </c:xVal>
          <c:yVal>
            <c:numRef>
              <c:f>PSY_CHART_LINES!$BF$30:$BF$31</c:f>
              <c:numCache>
                <c:formatCode>General</c:formatCode>
                <c:ptCount val="2"/>
                <c:pt idx="0">
                  <c:v>3.1054261700060724E-2</c:v>
                </c:pt>
                <c:pt idx="1">
                  <c:v>2.3769733900213044E-2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D-D54C-4618-9C7B-00C9B5BBCA2D}"/>
            </c:ext>
          </c:extLst>
        </c:ser>
        <c:ser>
          <c:idx val="59"/>
          <c:order val="129"/>
          <c:tx>
            <c:strRef>
              <c:f>PSY_CHART_LINES!$BG$4</c:f>
              <c:strCache>
                <c:ptCount val="1"/>
                <c:pt idx="0">
                  <c:v>10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PSY_CHART_LINES!$BH$4:$BH$5</c:f>
              <c:numCache>
                <c:formatCode>General</c:formatCode>
                <c:ptCount val="2"/>
                <c:pt idx="0">
                  <c:v>120</c:v>
                </c:pt>
                <c:pt idx="1">
                  <c:v>32</c:v>
                </c:pt>
              </c:numCache>
            </c:numRef>
          </c:xVal>
          <c:yVal>
            <c:numRef>
              <c:f>PSY_CHART_LINES!$BI$4:$BI$5</c:f>
              <c:numCache>
                <c:formatCode>General</c:formatCode>
                <c:ptCount val="2"/>
                <c:pt idx="0">
                  <c:v>-1.6871881394263558E-2</c:v>
                </c:pt>
                <c:pt idx="1">
                  <c:v>2.1577220407586256E-3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F-D54C-4618-9C7B-00C9B5BBCA2D}"/>
            </c:ext>
          </c:extLst>
        </c:ser>
        <c:ser>
          <c:idx val="60"/>
          <c:order val="130"/>
          <c:tx>
            <c:strRef>
              <c:f>PSY_CHART_LINES!$BG$6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6350" cap="rnd">
                <a:solidFill>
                  <a:schemeClr val="tx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D2-D54C-4618-9C7B-00C9B5BBCA2D}"/>
              </c:ext>
            </c:extLst>
          </c:dPt>
          <c:xVal>
            <c:numRef>
              <c:f>PSY_CHART_LINES!$BH$6:$BH$7</c:f>
              <c:numCache>
                <c:formatCode>General</c:formatCode>
                <c:ptCount val="2"/>
                <c:pt idx="0">
                  <c:v>120</c:v>
                </c:pt>
                <c:pt idx="1">
                  <c:v>40.190038508916196</c:v>
                </c:pt>
              </c:numCache>
            </c:numRef>
          </c:xVal>
          <c:yVal>
            <c:numRef>
              <c:f>PSY_CHART_LINES!$BI$6:$BI$7</c:f>
              <c:numCache>
                <c:formatCode>General</c:formatCode>
                <c:ptCount val="2"/>
                <c:pt idx="0">
                  <c:v>-1.2384678895789206E-2</c:v>
                </c:pt>
                <c:pt idx="1">
                  <c:v>4.9630798208942558E-3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3-D54C-4618-9C7B-00C9B5BBCA2D}"/>
            </c:ext>
          </c:extLst>
        </c:ser>
        <c:ser>
          <c:idx val="61"/>
          <c:order val="131"/>
          <c:tx>
            <c:strRef>
              <c:f>PSY_CHART_LINES!$BG$8</c:f>
              <c:strCache>
                <c:ptCount val="1"/>
                <c:pt idx="0">
                  <c:v>20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PSY_CHART_LINES!$BH$8:$BH$9</c:f>
              <c:numCache>
                <c:formatCode>General</c:formatCode>
                <c:ptCount val="2"/>
                <c:pt idx="0">
                  <c:v>120</c:v>
                </c:pt>
                <c:pt idx="1">
                  <c:v>50.443540912425284</c:v>
                </c:pt>
              </c:numCache>
            </c:numRef>
          </c:xVal>
          <c:yVal>
            <c:numRef>
              <c:f>PSY_CHART_LINES!$BI$8:$BI$9</c:f>
              <c:numCache>
                <c:formatCode>General</c:formatCode>
                <c:ptCount val="2"/>
                <c:pt idx="0">
                  <c:v>-7.8974763973148551E-3</c:v>
                </c:pt>
                <c:pt idx="1">
                  <c:v>7.2859262811858358E-3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5-D54C-4618-9C7B-00C9B5BBCA2D}"/>
            </c:ext>
          </c:extLst>
        </c:ser>
        <c:ser>
          <c:idx val="62"/>
          <c:order val="132"/>
          <c:tx>
            <c:strRef>
              <c:f>PSY_CHART_LINES!$BG$10</c:f>
              <c:strCache>
                <c:ptCount val="1"/>
                <c:pt idx="0">
                  <c:v>25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PSY_CHART_LINES!$BH$10:$BH$11</c:f>
              <c:numCache>
                <c:formatCode>General</c:formatCode>
                <c:ptCount val="2"/>
                <c:pt idx="0">
                  <c:v>120</c:v>
                </c:pt>
                <c:pt idx="1">
                  <c:v>59.134594328751731</c:v>
                </c:pt>
              </c:numCache>
            </c:numRef>
          </c:xVal>
          <c:yVal>
            <c:numRef>
              <c:f>PSY_CHART_LINES!$BI$10:$BI$11</c:f>
              <c:numCache>
                <c:formatCode>General</c:formatCode>
                <c:ptCount val="2"/>
                <c:pt idx="0">
                  <c:v>-3.4102738988405043E-3</c:v>
                </c:pt>
                <c:pt idx="1">
                  <c:v>9.9403450042636569E-3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7-D54C-4618-9C7B-00C9B5BBCA2D}"/>
            </c:ext>
          </c:extLst>
        </c:ser>
        <c:ser>
          <c:idx val="63"/>
          <c:order val="133"/>
          <c:tx>
            <c:strRef>
              <c:f>PSY_CHART_LINES!$BG$12</c:f>
              <c:strCache>
                <c:ptCount val="1"/>
                <c:pt idx="0">
                  <c:v>30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PSY_CHART_LINES!$BH$12:$BH$13</c:f>
              <c:numCache>
                <c:formatCode>General</c:formatCode>
                <c:ptCount val="2"/>
                <c:pt idx="0">
                  <c:v>120</c:v>
                </c:pt>
                <c:pt idx="1">
                  <c:v>66.609096011509422</c:v>
                </c:pt>
              </c:numCache>
            </c:numRef>
          </c:xVal>
          <c:yVal>
            <c:numRef>
              <c:f>PSY_CHART_LINES!$BI$12:$BI$13</c:f>
              <c:numCache>
                <c:formatCode>General</c:formatCode>
                <c:ptCount val="2"/>
                <c:pt idx="0">
                  <c:v>1.0769285996338469E-3</c:v>
                </c:pt>
                <c:pt idx="1">
                  <c:v>1.2849940784283918E-2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9-D54C-4618-9C7B-00C9B5BBCA2D}"/>
            </c:ext>
          </c:extLst>
        </c:ser>
        <c:ser>
          <c:idx val="64"/>
          <c:order val="134"/>
          <c:tx>
            <c:strRef>
              <c:f>PSY_CHART_LINES!$BG$14</c:f>
              <c:strCache>
                <c:ptCount val="1"/>
                <c:pt idx="0">
                  <c:v>35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PSY_CHART_LINES!$BH$14:$BH$15</c:f>
              <c:numCache>
                <c:formatCode>General</c:formatCode>
                <c:ptCount val="2"/>
                <c:pt idx="0">
                  <c:v>120</c:v>
                </c:pt>
                <c:pt idx="1">
                  <c:v>73.132647135890124</c:v>
                </c:pt>
              </c:numCache>
            </c:numRef>
          </c:xVal>
          <c:yVal>
            <c:numRef>
              <c:f>PSY_CHART_LINES!$BI$14:$BI$15</c:f>
              <c:numCache>
                <c:formatCode>General</c:formatCode>
                <c:ptCount val="2"/>
                <c:pt idx="0">
                  <c:v>5.5641310981081977E-3</c:v>
                </c:pt>
                <c:pt idx="1">
                  <c:v>1.5956679562236752E-2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B-D54C-4618-9C7B-00C9B5BBCA2D}"/>
            </c:ext>
          </c:extLst>
        </c:ser>
        <c:ser>
          <c:idx val="65"/>
          <c:order val="135"/>
          <c:tx>
            <c:strRef>
              <c:f>PSY_CHART_LINES!$BG$16</c:f>
              <c:strCache>
                <c:ptCount val="1"/>
                <c:pt idx="0">
                  <c:v>40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PSY_CHART_LINES!$BH$16:$BH$17</c:f>
              <c:numCache>
                <c:formatCode>General</c:formatCode>
                <c:ptCount val="2"/>
                <c:pt idx="0">
                  <c:v>120</c:v>
                </c:pt>
                <c:pt idx="1">
                  <c:v>78.905399446168573</c:v>
                </c:pt>
              </c:numCache>
            </c:numRef>
          </c:xVal>
          <c:yVal>
            <c:numRef>
              <c:f>PSY_CHART_LINES!$BI$16:$BI$17</c:f>
              <c:numCache>
                <c:formatCode>General</c:formatCode>
                <c:ptCount val="2"/>
                <c:pt idx="0">
                  <c:v>1.005133359658255E-2</c:v>
                </c:pt>
                <c:pt idx="1">
                  <c:v>1.9217199634104738E-2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D-D54C-4618-9C7B-00C9B5BBCA2D}"/>
            </c:ext>
          </c:extLst>
        </c:ser>
        <c:ser>
          <c:idx val="66"/>
          <c:order val="136"/>
          <c:tx>
            <c:strRef>
              <c:f>PSY_CHART_LINES!$BG$18</c:f>
              <c:strCache>
                <c:ptCount val="1"/>
                <c:pt idx="0">
                  <c:v>45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PSY_CHART_LINES!$BH$18:$BH$19</c:f>
              <c:numCache>
                <c:formatCode>General</c:formatCode>
                <c:ptCount val="2"/>
                <c:pt idx="0">
                  <c:v>120</c:v>
                </c:pt>
                <c:pt idx="1">
                  <c:v>84.077580251007063</c:v>
                </c:pt>
              </c:numCache>
            </c:numRef>
          </c:xVal>
          <c:yVal>
            <c:numRef>
              <c:f>PSY_CHART_LINES!$BI$18:$BI$19</c:f>
              <c:numCache>
                <c:formatCode>General</c:formatCode>
                <c:ptCount val="2"/>
                <c:pt idx="0">
                  <c:v>1.4538536095056901E-2</c:v>
                </c:pt>
                <c:pt idx="1">
                  <c:v>2.2599192108790273E-2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DF-D54C-4618-9C7B-00C9B5BBCA2D}"/>
            </c:ext>
          </c:extLst>
        </c:ser>
        <c:ser>
          <c:idx val="67"/>
          <c:order val="137"/>
          <c:tx>
            <c:strRef>
              <c:f>PSY_CHART_LINES!$BG$20</c:f>
              <c:strCache>
                <c:ptCount val="1"/>
                <c:pt idx="0">
                  <c:v>50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PSY_CHART_LINES!$BH$20:$BH$21</c:f>
              <c:numCache>
                <c:formatCode>General</c:formatCode>
                <c:ptCount val="2"/>
                <c:pt idx="0">
                  <c:v>120</c:v>
                </c:pt>
                <c:pt idx="1">
                  <c:v>88.754686502881938</c:v>
                </c:pt>
              </c:numCache>
            </c:numRef>
          </c:xVal>
          <c:yVal>
            <c:numRef>
              <c:f>PSY_CHART_LINES!$BI$20:$BI$21</c:f>
              <c:numCache>
                <c:formatCode>General</c:formatCode>
                <c:ptCount val="2"/>
                <c:pt idx="0">
                  <c:v>1.9025738593531252E-2</c:v>
                </c:pt>
                <c:pt idx="1">
                  <c:v>2.6080234978363006E-2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1-D54C-4618-9C7B-00C9B5BBCA2D}"/>
            </c:ext>
          </c:extLst>
        </c:ser>
        <c:ser>
          <c:idx val="68"/>
          <c:order val="138"/>
          <c:tx>
            <c:strRef>
              <c:f>PSY_CHART_LINES!$BG$22</c:f>
              <c:strCache>
                <c:ptCount val="1"/>
                <c:pt idx="0">
                  <c:v>55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PSY_CHART_LINES!$BH$22:$BH$23</c:f>
              <c:numCache>
                <c:formatCode>General</c:formatCode>
                <c:ptCount val="2"/>
                <c:pt idx="0">
                  <c:v>120</c:v>
                </c:pt>
                <c:pt idx="1">
                  <c:v>93.027401646516253</c:v>
                </c:pt>
              </c:numCache>
            </c:numRef>
          </c:xVal>
          <c:yVal>
            <c:numRef>
              <c:f>PSY_CHART_LINES!$BI$22:$BI$23</c:f>
              <c:numCache>
                <c:formatCode>General</c:formatCode>
                <c:ptCount val="2"/>
                <c:pt idx="0">
                  <c:v>2.3512941092005604E-2</c:v>
                </c:pt>
                <c:pt idx="1">
                  <c:v>2.9641023415149959E-2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3-D54C-4618-9C7B-00C9B5BBCA2D}"/>
            </c:ext>
          </c:extLst>
        </c:ser>
        <c:ser>
          <c:idx val="69"/>
          <c:order val="139"/>
          <c:tx>
            <c:strRef>
              <c:f>PSY_CHART_LINES!$BG$24</c:f>
              <c:strCache>
                <c:ptCount val="1"/>
                <c:pt idx="0">
                  <c:v>60</c:v>
                </c:pt>
              </c:strCache>
            </c:strRef>
          </c:tx>
          <c:spPr>
            <a:ln w="6350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PSY_CHART_LINES!$BH$24:$BH$25</c:f>
              <c:numCache>
                <c:formatCode>General</c:formatCode>
                <c:ptCount val="2"/>
                <c:pt idx="0">
                  <c:v>120</c:v>
                </c:pt>
                <c:pt idx="1">
                  <c:v>96.957015344400219</c:v>
                </c:pt>
              </c:numCache>
            </c:numRef>
          </c:xVal>
          <c:yVal>
            <c:numRef>
              <c:f>PSY_CHART_LINES!$BI$24:$BI$25</c:f>
              <c:numCache>
                <c:formatCode>General</c:formatCode>
                <c:ptCount val="2"/>
                <c:pt idx="0">
                  <c:v>2.8000143590479955E-2</c:v>
                </c:pt>
                <c:pt idx="1">
                  <c:v>3.3268740020969162E-2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E5-D54C-4618-9C7B-00C9B5BBCA2D}"/>
            </c:ext>
          </c:extLst>
        </c:ser>
        <c:ser>
          <c:idx val="143"/>
          <c:order val="140"/>
          <c:tx>
            <c:strRef>
              <c:f>ATMOSPHERIC_VARIABLES!$E$58</c:f>
              <c:strCache>
                <c:ptCount val="1"/>
                <c:pt idx="0">
                  <c:v>Línea de mezcla</c:v>
                </c:pt>
              </c:strCache>
            </c:strRef>
          </c:tx>
          <c:spPr>
            <a:ln>
              <a:gradFill>
                <a:gsLst>
                  <a:gs pos="0">
                    <a:srgbClr val="FF0000"/>
                  </a:gs>
                  <a:gs pos="100000">
                    <a:schemeClr val="accent1"/>
                  </a:gs>
                </a:gsLst>
                <a:lin ang="5400000" scaled="1"/>
              </a:gradFill>
            </a:ln>
          </c:spPr>
          <c:marker>
            <c:symbol val="none"/>
          </c:marker>
          <c:xVal>
            <c:numRef>
              <c:f>ATMOSPHERIC_VARIABLES!$F$59:$F$60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xVal>
          <c:yVal>
            <c:numRef>
              <c:f>ATMOSPHERIC_VARIABLES!$G$59:$G$60</c:f>
              <c:numCache>
                <c:formatCode>General</c:formatCode>
                <c:ptCount val="2"/>
                <c:pt idx="0">
                  <c:v>1.7640311835520036E-3</c:v>
                </c:pt>
                <c:pt idx="1">
                  <c:v>9.3343173708877736E-4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8-D54C-4618-9C7B-00C9B5BBCA2D}"/>
            </c:ext>
          </c:extLst>
        </c:ser>
        <c:ser>
          <c:idx val="140"/>
          <c:order val="141"/>
          <c:tx>
            <c:strRef>
              <c:f>ATMOSPHERIC_VARIABLES!$A$6</c:f>
              <c:strCache>
                <c:ptCount val="1"/>
                <c:pt idx="0">
                  <c:v>Exterior</c:v>
                </c:pt>
              </c:strCache>
            </c:strRef>
          </c:tx>
          <c:marker>
            <c:symbol val="circle"/>
            <c:size val="6"/>
            <c:spPr>
              <a:solidFill>
                <a:srgbClr val="FF0000"/>
              </a:solidFill>
              <a:ln>
                <a:noFill/>
              </a:ln>
            </c:spPr>
          </c:marker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600"/>
                  </a:pPr>
                  <a:endParaRPr lang="es-MX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132-D54C-4618-9C7B-00C9B5BBCA2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ATMOSPHERIC_VARIABLES!$B$7</c:f>
              <c:numCache>
                <c:formatCode>General</c:formatCode>
                <c:ptCount val="1"/>
                <c:pt idx="0">
                  <c:v>14</c:v>
                </c:pt>
              </c:numCache>
            </c:numRef>
          </c:xVal>
          <c:yVal>
            <c:numRef>
              <c:f>ATMOSPHERIC_VARIABLES!$B$13</c:f>
              <c:numCache>
                <c:formatCode>General</c:formatCode>
                <c:ptCount val="1"/>
                <c:pt idx="0">
                  <c:v>1.7640311835520036E-3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1-D54C-4618-9C7B-00C9B5BBCA2D}"/>
            </c:ext>
          </c:extLst>
        </c:ser>
        <c:ser>
          <c:idx val="141"/>
          <c:order val="142"/>
          <c:tx>
            <c:strRef>
              <c:f>ATMOSPHERIC_VARIABLES!$A$23</c:f>
              <c:strCache>
                <c:ptCount val="1"/>
                <c:pt idx="0">
                  <c:v>Retorno</c:v>
                </c:pt>
              </c:strCache>
            </c:strRef>
          </c:tx>
          <c:marker>
            <c:symbol val="circle"/>
            <c:size val="6"/>
            <c:spPr>
              <a:solidFill>
                <a:schemeClr val="accent1"/>
              </a:solidFill>
              <a:ln>
                <a:noFill/>
              </a:ln>
            </c:spPr>
          </c:marker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65000"/>
                      <a:lumOff val="3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600"/>
                  </a:pPr>
                  <a:endParaRPr lang="es-MX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134-D54C-4618-9C7B-00C9B5BBCA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/>
                </a:pPr>
                <a:endParaRPr lang="es-MX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ATMOSPHERIC_VARIABLES!$J$30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ATMOSPHERIC_VARIABLES!$J$33</c:f>
              <c:numCache>
                <c:formatCode>General</c:formatCode>
                <c:ptCount val="1"/>
                <c:pt idx="0">
                  <c:v>9.3343173708877736E-4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3-D54C-4618-9C7B-00C9B5BBCA2D}"/>
            </c:ext>
          </c:extLst>
        </c:ser>
        <c:ser>
          <c:idx val="142"/>
          <c:order val="143"/>
          <c:tx>
            <c:strRef>
              <c:f>ATMOSPHERIC_VARIABLES!$A$46</c:f>
              <c:strCache>
                <c:ptCount val="1"/>
                <c:pt idx="0">
                  <c:v>Mezcla</c:v>
                </c:pt>
              </c:strCache>
            </c:strRef>
          </c:tx>
          <c:marker>
            <c:symbol val="circle"/>
            <c:size val="6"/>
            <c:spPr>
              <a:solidFill>
                <a:srgbClr val="7030A0"/>
              </a:solidFill>
              <a:ln>
                <a:noFill/>
              </a:ln>
            </c:spPr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/>
              <a:lstStyle/>
              <a:p>
                <a:pPr>
                  <a:defRPr sz="600"/>
                </a:pPr>
                <a:endParaRPr lang="es-MX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ATMOSPHERIC_VARIABLES!$B$61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ATMOSPHERIC_VARIABLES!$B$62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135-D54C-4618-9C7B-00C9B5BBC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390648"/>
        <c:axId val="532392944"/>
      </c:scatterChart>
      <c:valAx>
        <c:axId val="532390648"/>
        <c:scaling>
          <c:orientation val="minMax"/>
          <c:max val="120"/>
          <c:min val="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2392944"/>
        <c:crosses val="autoZero"/>
        <c:crossBetween val="midCat"/>
        <c:majorUnit val="5"/>
        <c:minorUnit val="1"/>
      </c:valAx>
      <c:valAx>
        <c:axId val="532392944"/>
        <c:scaling>
          <c:orientation val="minMax"/>
          <c:max val="3.0000000000000006E-2"/>
          <c:min val="0"/>
        </c:scaling>
        <c:delete val="0"/>
        <c:axPos val="l"/>
        <c:majorGridlines>
          <c:spPr>
            <a:ln w="6350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#,##0.000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32390648"/>
        <c:crosses val="autoZero"/>
        <c:crossBetween val="midCat"/>
        <c:majorUnit val="2.0000000000000005E-3"/>
        <c:minorUnit val="2.0000000000000006E-4"/>
      </c:valAx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Chart9"/>
  <sheetViews>
    <sheetView zoomScale="85" workbookViewId="0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G$18" lockText="1" noThreeD="1"/>
</file>

<file path=xl/ctrlProps/ctrlProp3.xml><?xml version="1.0" encoding="utf-8"?>
<formControlPr xmlns="http://schemas.microsoft.com/office/spreadsheetml/2009/9/main" objectType="CheckBox" fmlaLink="$EF$18" lockText="1" noThreeD="1"/>
</file>

<file path=xl/ctrlProps/ctrlProp4.xml><?xml version="1.0" encoding="utf-8"?>
<formControlPr xmlns="http://schemas.microsoft.com/office/spreadsheetml/2009/9/main" objectType="CheckBox" fmlaLink="$EG$19" lockText="1" noThreeD="1"/>
</file>

<file path=xl/ctrlProps/ctrlProp5.xml><?xml version="1.0" encoding="utf-8"?>
<formControlPr xmlns="http://schemas.microsoft.com/office/spreadsheetml/2009/9/main" objectType="CheckBox" fmlaLink="$EF$19" lockText="1" noThreeD="1"/>
</file>

<file path=xl/ctrlProps/ctrlProp6.xml><?xml version="1.0" encoding="utf-8"?>
<formControlPr xmlns="http://schemas.microsoft.com/office/spreadsheetml/2009/9/main" objectType="CheckBox" fmlaLink="$EG$20" lockText="1" noThreeD="1"/>
</file>

<file path=xl/ctrlProps/ctrlProp7.xml><?xml version="1.0" encoding="utf-8"?>
<formControlPr xmlns="http://schemas.microsoft.com/office/spreadsheetml/2009/9/main" objectType="CheckBox" fmlaLink="$EF$20" lockText="1" noThreeD="1"/>
</file>

<file path=xl/ctrlProps/ctrlProp8.xml><?xml version="1.0" encoding="utf-8"?>
<formControlPr xmlns="http://schemas.microsoft.com/office/spreadsheetml/2009/9/main" objectType="CheckBox" fmlaLink="$EG$21" lockText="1" noThreeD="1"/>
</file>

<file path=xl/ctrlProps/ctrlProp9.xml><?xml version="1.0" encoding="utf-8"?>
<formControlPr xmlns="http://schemas.microsoft.com/office/spreadsheetml/2009/9/main" objectType="CheckBox" fmlaLink="$EF$21" lockText="1" noThreeD="1"/>
</file>

<file path=xl/ctrlProps/ctrlProp10.xml><?xml version="1.0" encoding="utf-8"?>
<formControlPr xmlns="http://schemas.microsoft.com/office/spreadsheetml/2009/9/main" objectType="CheckBox" fmlaLink="$EG$22" lockText="1" noThreeD="1"/>
</file>

<file path=xl/ctrlProps/ctrlProp11.xml><?xml version="1.0" encoding="utf-8"?>
<formControlPr xmlns="http://schemas.microsoft.com/office/spreadsheetml/2009/9/main" objectType="CheckBox" fmlaLink="$EF$22" lockText="1" noThreeD="1"/>
</file>

<file path=xl/ctrlProps/ctrlProp12.xml><?xml version="1.0" encoding="utf-8"?>
<formControlPr xmlns="http://schemas.microsoft.com/office/spreadsheetml/2009/9/main" objectType="CheckBox" fmlaLink="$EG$23" lockText="1" noThreeD="1"/>
</file>

<file path=xl/ctrlProps/ctrlProp13.xml><?xml version="1.0" encoding="utf-8"?>
<formControlPr xmlns="http://schemas.microsoft.com/office/spreadsheetml/2009/9/main" objectType="CheckBox" fmlaLink="$EF$23" lockText="1" noThreeD="1"/>
</file>

<file path=xl/ctrlProps/ctrlProp14.xml><?xml version="1.0" encoding="utf-8"?>
<formControlPr xmlns="http://schemas.microsoft.com/office/spreadsheetml/2009/9/main" objectType="CheckBox" fmlaLink="$EG$24" lockText="1" noThreeD="1"/>
</file>

<file path=xl/ctrlProps/ctrlProp15.xml><?xml version="1.0" encoding="utf-8"?>
<formControlPr xmlns="http://schemas.microsoft.com/office/spreadsheetml/2009/9/main" objectType="CheckBox" fmlaLink="$EF$24" lockText="1" noThreeD="1"/>
</file>

<file path=xl/ctrlProps/ctrlProp16.xml><?xml version="1.0" encoding="utf-8"?>
<formControlPr xmlns="http://schemas.microsoft.com/office/spreadsheetml/2009/9/main" objectType="CheckBox" fmlaLink="$EG$25" lockText="1" noThreeD="1"/>
</file>

<file path=xl/ctrlProps/ctrlProp17.xml><?xml version="1.0" encoding="utf-8"?>
<formControlPr xmlns="http://schemas.microsoft.com/office/spreadsheetml/2009/9/main" objectType="CheckBox" fmlaLink="$EF$25" lockText="1" noThreeD="1"/>
</file>

<file path=xl/ctrlProps/ctrlProp18.xml><?xml version="1.0" encoding="utf-8"?>
<formControlPr xmlns="http://schemas.microsoft.com/office/spreadsheetml/2009/9/main" objectType="CheckBox" fmlaLink="$EG$26" lockText="1" noThreeD="1"/>
</file>

<file path=xl/ctrlProps/ctrlProp19.xml><?xml version="1.0" encoding="utf-8"?>
<formControlPr xmlns="http://schemas.microsoft.com/office/spreadsheetml/2009/9/main" objectType="CheckBox" fmlaLink="$EF$26" lockText="1" noThreeD="1"/>
</file>

<file path=xl/ctrlProps/ctrlProp20.xml><?xml version="1.0" encoding="utf-8"?>
<formControlPr xmlns="http://schemas.microsoft.com/office/spreadsheetml/2009/9/main" objectType="CheckBox" fmlaLink="$EG$27" lockText="1" noThreeD="1"/>
</file>

<file path=xl/ctrlProps/ctrlProp21.xml><?xml version="1.0" encoding="utf-8"?>
<formControlPr xmlns="http://schemas.microsoft.com/office/spreadsheetml/2009/9/main" objectType="CheckBox" fmlaLink="$EF$27" lockText="1" noThreeD="1"/>
</file>

<file path=xl/ctrlProps/ctrlProp22.xml><?xml version="1.0" encoding="utf-8"?>
<formControlPr xmlns="http://schemas.microsoft.com/office/spreadsheetml/2009/9/main" objectType="CheckBox" fmlaLink="$EG$17" lockText="1" noThreeD="1"/>
</file>

<file path=xl/ctrlProps/ctrlProp23.xml><?xml version="1.0" encoding="utf-8"?>
<formControlPr xmlns="http://schemas.microsoft.com/office/spreadsheetml/2009/9/main" objectType="CheckBox" fmlaLink="$EF$17" lockText="1" noThreeD="1"/>
</file>

<file path=xl/ctrlProps/ctrlProp24.xml><?xml version="1.0" encoding="utf-8"?>
<formControlPr xmlns="http://schemas.microsoft.com/office/spreadsheetml/2009/9/main" objectType="CheckBox" fmlaLink="$EG$33" lockText="1" noThreeD="1"/>
</file>

<file path=xl/ctrlProps/ctrlProp25.xml><?xml version="1.0" encoding="utf-8"?>
<formControlPr xmlns="http://schemas.microsoft.com/office/spreadsheetml/2009/9/main" objectType="CheckBox" fmlaLink="$EF$33" lockText="1" noThreeD="1"/>
</file>

<file path=xl/ctrlProps/ctrlProp26.xml><?xml version="1.0" encoding="utf-8"?>
<formControlPr xmlns="http://schemas.microsoft.com/office/spreadsheetml/2009/9/main" objectType="CheckBox" fmlaLink="$EG$34" lockText="1" noThreeD="1"/>
</file>

<file path=xl/ctrlProps/ctrlProp27.xml><?xml version="1.0" encoding="utf-8"?>
<formControlPr xmlns="http://schemas.microsoft.com/office/spreadsheetml/2009/9/main" objectType="CheckBox" fmlaLink="$EF$34" lockText="1" noThreeD="1"/>
</file>

<file path=xl/ctrlProps/ctrlProp28.xml><?xml version="1.0" encoding="utf-8"?>
<formControlPr xmlns="http://schemas.microsoft.com/office/spreadsheetml/2009/9/main" objectType="CheckBox" fmlaLink="$EG$35" lockText="1" noThreeD="1"/>
</file>

<file path=xl/ctrlProps/ctrlProp29.xml><?xml version="1.0" encoding="utf-8"?>
<formControlPr xmlns="http://schemas.microsoft.com/office/spreadsheetml/2009/9/main" objectType="CheckBox" fmlaLink="$EF$35" lockText="1" noThreeD="1"/>
</file>

<file path=xl/ctrlProps/ctrlProp30.xml><?xml version="1.0" encoding="utf-8"?>
<formControlPr xmlns="http://schemas.microsoft.com/office/spreadsheetml/2009/9/main" objectType="CheckBox" fmlaLink="$EG$36" lockText="1" noThreeD="1"/>
</file>

<file path=xl/ctrlProps/ctrlProp31.xml><?xml version="1.0" encoding="utf-8"?>
<formControlPr xmlns="http://schemas.microsoft.com/office/spreadsheetml/2009/9/main" objectType="CheckBox" fmlaLink="$EF$36" lockText="1" noThreeD="1"/>
</file>

<file path=xl/ctrlProps/ctrlProp32.xml><?xml version="1.0" encoding="utf-8"?>
<formControlPr xmlns="http://schemas.microsoft.com/office/spreadsheetml/2009/9/main" objectType="CheckBox" fmlaLink="$EG$37" lockText="1" noThreeD="1"/>
</file>

<file path=xl/ctrlProps/ctrlProp33.xml><?xml version="1.0" encoding="utf-8"?>
<formControlPr xmlns="http://schemas.microsoft.com/office/spreadsheetml/2009/9/main" objectType="CheckBox" fmlaLink="$EF$37" lockText="1" noThreeD="1"/>
</file>

<file path=xl/ctrlProps/ctrlProp34.xml><?xml version="1.0" encoding="utf-8"?>
<formControlPr xmlns="http://schemas.microsoft.com/office/spreadsheetml/2009/9/main" objectType="CheckBox" fmlaLink="$EG$38" lockText="1" noThreeD="1"/>
</file>

<file path=xl/ctrlProps/ctrlProp35.xml><?xml version="1.0" encoding="utf-8"?>
<formControlPr xmlns="http://schemas.microsoft.com/office/spreadsheetml/2009/9/main" objectType="CheckBox" fmlaLink="$EF$38" lockText="1" noThreeD="1"/>
</file>

<file path=xl/ctrlProps/ctrlProp36.xml><?xml version="1.0" encoding="utf-8"?>
<formControlPr xmlns="http://schemas.microsoft.com/office/spreadsheetml/2009/9/main" objectType="CheckBox" fmlaLink="$EG$39" lockText="1" noThreeD="1"/>
</file>

<file path=xl/ctrlProps/ctrlProp37.xml><?xml version="1.0" encoding="utf-8"?>
<formControlPr xmlns="http://schemas.microsoft.com/office/spreadsheetml/2009/9/main" objectType="CheckBox" fmlaLink="$EF$39" lockText="1" noThreeD="1"/>
</file>

<file path=xl/ctrlProps/ctrlProp38.xml><?xml version="1.0" encoding="utf-8"?>
<formControlPr xmlns="http://schemas.microsoft.com/office/spreadsheetml/2009/9/main" objectType="CheckBox" fmlaLink="$EG$40" lockText="1" noThreeD="1"/>
</file>

<file path=xl/ctrlProps/ctrlProp39.xml><?xml version="1.0" encoding="utf-8"?>
<formControlPr xmlns="http://schemas.microsoft.com/office/spreadsheetml/2009/9/main" objectType="CheckBox" fmlaLink="$EF$40" lockText="1" noThreeD="1"/>
</file>

<file path=xl/ctrlProps/ctrlProp40.xml><?xml version="1.0" encoding="utf-8"?>
<formControlPr xmlns="http://schemas.microsoft.com/office/spreadsheetml/2009/9/main" objectType="CheckBox" fmlaLink="$EG$41" lockText="1" noThreeD="1"/>
</file>

<file path=xl/ctrlProps/ctrlProp41.xml><?xml version="1.0" encoding="utf-8"?>
<formControlPr xmlns="http://schemas.microsoft.com/office/spreadsheetml/2009/9/main" objectType="CheckBox" fmlaLink="$EF$41" lockText="1" noThreeD="1"/>
</file>

<file path=xl/ctrlProps/ctrlProp42.xml><?xml version="1.0" encoding="utf-8"?>
<formControlPr xmlns="http://schemas.microsoft.com/office/spreadsheetml/2009/9/main" objectType="CheckBox" fmlaLink="$EG$42" lockText="1" noThreeD="1"/>
</file>

<file path=xl/ctrlProps/ctrlProp43.xml><?xml version="1.0" encoding="utf-8"?>
<formControlPr xmlns="http://schemas.microsoft.com/office/spreadsheetml/2009/9/main" objectType="CheckBox" fmlaLink="$EF$42" lockText="1" noThreeD="1"/>
</file>

<file path=xl/ctrlProps/ctrlProp44.xml><?xml version="1.0" encoding="utf-8"?>
<formControlPr xmlns="http://schemas.microsoft.com/office/spreadsheetml/2009/9/main" objectType="CheckBox" fmlaLink="$EG$43" lockText="1" noThreeD="1"/>
</file>

<file path=xl/ctrlProps/ctrlProp45.xml><?xml version="1.0" encoding="utf-8"?>
<formControlPr xmlns="http://schemas.microsoft.com/office/spreadsheetml/2009/9/main" objectType="CheckBox" fmlaLink="$EF$43" lockText="1" noThreeD="1"/>
</file>

<file path=xl/ctrlProps/ctrlProp46.xml><?xml version="1.0" encoding="utf-8"?>
<formControlPr xmlns="http://schemas.microsoft.com/office/spreadsheetml/2009/9/main" objectType="CheckBox" fmlaLink="$EG$44" lockText="1" noThreeD="1"/>
</file>

<file path=xl/ctrlProps/ctrlProp47.xml><?xml version="1.0" encoding="utf-8"?>
<formControlPr xmlns="http://schemas.microsoft.com/office/spreadsheetml/2009/9/main" objectType="CheckBox" fmlaLink="$EF$44" lockText="1" noThreeD="1"/>
</file>

<file path=xl/ctrlProps/ctrlProp48.xml><?xml version="1.0" encoding="utf-8"?>
<formControlPr xmlns="http://schemas.microsoft.com/office/spreadsheetml/2009/9/main" objectType="CheckBox" fmlaLink="$EG$45" lockText="1" noThreeD="1"/>
</file>

<file path=xl/ctrlProps/ctrlProp49.xml><?xml version="1.0" encoding="utf-8"?>
<formControlPr xmlns="http://schemas.microsoft.com/office/spreadsheetml/2009/9/main" objectType="CheckBox" fmlaLink="$EF$45" lockText="1" noThreeD="1"/>
</file>

<file path=xl/ctrlProps/ctrlProp50.xml><?xml version="1.0" encoding="utf-8"?>
<formControlPr xmlns="http://schemas.microsoft.com/office/spreadsheetml/2009/9/main" objectType="CheckBox" fmlaLink="$EG$46" lockText="1" noThreeD="1"/>
</file>

<file path=xl/ctrlProps/ctrlProp51.xml><?xml version="1.0" encoding="utf-8"?>
<formControlPr xmlns="http://schemas.microsoft.com/office/spreadsheetml/2009/9/main" objectType="CheckBox" fmlaLink="$EF$46" lockText="1" noThreeD="1"/>
</file>

<file path=xl/ctrlProps/ctrlProp52.xml><?xml version="1.0" encoding="utf-8"?>
<formControlPr xmlns="http://schemas.microsoft.com/office/spreadsheetml/2009/9/main" objectType="CheckBox" fmlaLink="$EG$47" lockText="1" noThreeD="1"/>
</file>

<file path=xl/ctrlProps/ctrlProp53.xml><?xml version="1.0" encoding="utf-8"?>
<formControlPr xmlns="http://schemas.microsoft.com/office/spreadsheetml/2009/9/main" objectType="CheckBox" fmlaLink="$EF$47" lockText="1" noThreeD="1"/>
</file>

<file path=xl/ctrlProps/ctrlProp54.xml><?xml version="1.0" encoding="utf-8"?>
<formControlPr xmlns="http://schemas.microsoft.com/office/spreadsheetml/2009/9/main" objectType="CheckBox" fmlaLink="$EG$53" lockText="1" noThreeD="1"/>
</file>

<file path=xl/ctrlProps/ctrlProp55.xml><?xml version="1.0" encoding="utf-8"?>
<formControlPr xmlns="http://schemas.microsoft.com/office/spreadsheetml/2009/9/main" objectType="CheckBox" fmlaLink="$EF$53" lockText="1" noThreeD="1"/>
</file>

<file path=xl/ctrlProps/ctrlProp56.xml><?xml version="1.0" encoding="utf-8"?>
<formControlPr xmlns="http://schemas.microsoft.com/office/spreadsheetml/2009/9/main" objectType="CheckBox" fmlaLink="$EG$54" lockText="1" noThreeD="1"/>
</file>

<file path=xl/ctrlProps/ctrlProp57.xml><?xml version="1.0" encoding="utf-8"?>
<formControlPr xmlns="http://schemas.microsoft.com/office/spreadsheetml/2009/9/main" objectType="CheckBox" fmlaLink="$EF$54" lockText="1" noThreeD="1"/>
</file>

<file path=xl/ctrlProps/ctrlProp58.xml><?xml version="1.0" encoding="utf-8"?>
<formControlPr xmlns="http://schemas.microsoft.com/office/spreadsheetml/2009/9/main" objectType="CheckBox" fmlaLink="$EG$55" lockText="1" noThreeD="1"/>
</file>

<file path=xl/ctrlProps/ctrlProp59.xml><?xml version="1.0" encoding="utf-8"?>
<formControlPr xmlns="http://schemas.microsoft.com/office/spreadsheetml/2009/9/main" objectType="CheckBox" fmlaLink="$EF$55" lockText="1" noThreeD="1"/>
</file>

<file path=xl/ctrlProps/ctrlProp60.xml><?xml version="1.0" encoding="utf-8"?>
<formControlPr xmlns="http://schemas.microsoft.com/office/spreadsheetml/2009/9/main" objectType="CheckBox" fmlaLink="$EG$56" lockText="1" noThreeD="1"/>
</file>

<file path=xl/ctrlProps/ctrlProp61.xml><?xml version="1.0" encoding="utf-8"?>
<formControlPr xmlns="http://schemas.microsoft.com/office/spreadsheetml/2009/9/main" objectType="CheckBox" fmlaLink="$EF$56" lockText="1" noThreeD="1"/>
</file>

<file path=xl/ctrlProps/ctrlProp62.xml><?xml version="1.0" encoding="utf-8"?>
<formControlPr xmlns="http://schemas.microsoft.com/office/spreadsheetml/2009/9/main" objectType="CheckBox" fmlaLink="$EG$57" lockText="1" noThreeD="1"/>
</file>

<file path=xl/ctrlProps/ctrlProp63.xml><?xml version="1.0" encoding="utf-8"?>
<formControlPr xmlns="http://schemas.microsoft.com/office/spreadsheetml/2009/9/main" objectType="CheckBox" fmlaLink="$EF$57" lockText="1" noThreeD="1"/>
</file>

<file path=xl/ctrlProps/ctrlProp64.xml><?xml version="1.0" encoding="utf-8"?>
<formControlPr xmlns="http://schemas.microsoft.com/office/spreadsheetml/2009/9/main" objectType="CheckBox" fmlaLink="$EG$58" lockText="1" noThreeD="1"/>
</file>

<file path=xl/ctrlProps/ctrlProp65.xml><?xml version="1.0" encoding="utf-8"?>
<formControlPr xmlns="http://schemas.microsoft.com/office/spreadsheetml/2009/9/main" objectType="CheckBox" fmlaLink="$EF$58" lockText="1" noThreeD="1"/>
</file>

<file path=xl/ctrlProps/ctrlProp66.xml><?xml version="1.0" encoding="utf-8"?>
<formControlPr xmlns="http://schemas.microsoft.com/office/spreadsheetml/2009/9/main" objectType="CheckBox" fmlaLink="$EG$59" lockText="1" noThreeD="1"/>
</file>

<file path=xl/ctrlProps/ctrlProp67.xml><?xml version="1.0" encoding="utf-8"?>
<formControlPr xmlns="http://schemas.microsoft.com/office/spreadsheetml/2009/9/main" objectType="CheckBox" fmlaLink="$EF$59" lockText="1" noThreeD="1"/>
</file>

<file path=xl/ctrlProps/ctrlProp68.xml><?xml version="1.0" encoding="utf-8"?>
<formControlPr xmlns="http://schemas.microsoft.com/office/spreadsheetml/2009/9/main" objectType="CheckBox" fmlaLink="$EG$60" lockText="1" noThreeD="1"/>
</file>

<file path=xl/ctrlProps/ctrlProp69.xml><?xml version="1.0" encoding="utf-8"?>
<formControlPr xmlns="http://schemas.microsoft.com/office/spreadsheetml/2009/9/main" objectType="CheckBox" fmlaLink="$EF$60" lockText="1" noThreeD="1"/>
</file>

<file path=xl/ctrlProps/ctrlProp70.xml><?xml version="1.0" encoding="utf-8"?>
<formControlPr xmlns="http://schemas.microsoft.com/office/spreadsheetml/2009/9/main" objectType="CheckBox" fmlaLink="$EG$61" lockText="1" noThreeD="1"/>
</file>

<file path=xl/ctrlProps/ctrlProp71.xml><?xml version="1.0" encoding="utf-8"?>
<formControlPr xmlns="http://schemas.microsoft.com/office/spreadsheetml/2009/9/main" objectType="CheckBox" fmlaLink="$EF$61" lockText="1" noThreeD="1"/>
</file>

<file path=xl/ctrlProps/ctrlProp72.xml><?xml version="1.0" encoding="utf-8"?>
<formControlPr xmlns="http://schemas.microsoft.com/office/spreadsheetml/2009/9/main" objectType="CheckBox" fmlaLink="$EG$62" lockText="1" noThreeD="1"/>
</file>

<file path=xl/ctrlProps/ctrlProp73.xml><?xml version="1.0" encoding="utf-8"?>
<formControlPr xmlns="http://schemas.microsoft.com/office/spreadsheetml/2009/9/main" objectType="CheckBox" fmlaLink="$EF$62" lockText="1" noThreeD="1"/>
</file>

<file path=xl/ctrlProps/ctrlProp74.xml><?xml version="1.0" encoding="utf-8"?>
<formControlPr xmlns="http://schemas.microsoft.com/office/spreadsheetml/2009/9/main" objectType="CheckBox" fmlaLink="$EG$63" lockText="1" noThreeD="1"/>
</file>

<file path=xl/ctrlProps/ctrlProp75.xml><?xml version="1.0" encoding="utf-8"?>
<formControlPr xmlns="http://schemas.microsoft.com/office/spreadsheetml/2009/9/main" objectType="CheckBox" fmlaLink="$EF$63" lockText="1" noThreeD="1"/>
</file>

<file path=xl/ctrlProps/ctrlProp76.xml><?xml version="1.0" encoding="utf-8"?>
<formControlPr xmlns="http://schemas.microsoft.com/office/spreadsheetml/2009/9/main" objectType="CheckBox" fmlaLink="$EG$64" lockText="1" noThreeD="1"/>
</file>

<file path=xl/ctrlProps/ctrlProp77.xml><?xml version="1.0" encoding="utf-8"?>
<formControlPr xmlns="http://schemas.microsoft.com/office/spreadsheetml/2009/9/main" objectType="CheckBox" fmlaLink="$EF$64" lockText="1" noThreeD="1"/>
</file>

<file path=xl/ctrlProps/ctrlProp78.xml><?xml version="1.0" encoding="utf-8"?>
<formControlPr xmlns="http://schemas.microsoft.com/office/spreadsheetml/2009/9/main" objectType="CheckBox" fmlaLink="$EG$65" lockText="1" noThreeD="1"/>
</file>

<file path=xl/ctrlProps/ctrlProp79.xml><?xml version="1.0" encoding="utf-8"?>
<formControlPr xmlns="http://schemas.microsoft.com/office/spreadsheetml/2009/9/main" objectType="CheckBox" fmlaLink="$EF$65" lockText="1" noThreeD="1"/>
</file>

<file path=xl/ctrlProps/ctrlProp80.xml><?xml version="1.0" encoding="utf-8"?>
<formControlPr xmlns="http://schemas.microsoft.com/office/spreadsheetml/2009/9/main" objectType="CheckBox" fmlaLink="$EG$66" lockText="1" noThreeD="1"/>
</file>

<file path=xl/ctrlProps/ctrlProp81.xml><?xml version="1.0" encoding="utf-8"?>
<formControlPr xmlns="http://schemas.microsoft.com/office/spreadsheetml/2009/9/main" objectType="CheckBox" fmlaLink="$EF$66" lockText="1" noThreeD="1"/>
</file>

<file path=xl/ctrlProps/ctrlProp82.xml><?xml version="1.0" encoding="utf-8"?>
<formControlPr xmlns="http://schemas.microsoft.com/office/spreadsheetml/2009/9/main" objectType="CheckBox" fmlaLink="$EG$67" lockText="1" noThreeD="1"/>
</file>

<file path=xl/ctrlProps/ctrlProp83.xml><?xml version="1.0" encoding="utf-8"?>
<formControlPr xmlns="http://schemas.microsoft.com/office/spreadsheetml/2009/9/main" objectType="CheckBox" fmlaLink="$EF$67" lockText="1" noThreeD="1"/>
</file>

<file path=xl/ctrlProps/ctrlProp84.xml><?xml version="1.0" encoding="utf-8"?>
<formControlPr xmlns="http://schemas.microsoft.com/office/spreadsheetml/2009/9/main" objectType="CheckBox" fmlaLink="$EG$68" lockText="1" noThreeD="1"/>
</file>

<file path=xl/ctrlProps/ctrlProp85.xml><?xml version="1.0" encoding="utf-8"?>
<formControlPr xmlns="http://schemas.microsoft.com/office/spreadsheetml/2009/9/main" objectType="CheckBox" fmlaLink="$EF$68" lockText="1" noThreeD="1"/>
</file>

<file path=xl/ctrlProps/ctrlProp86.xml><?xml version="1.0" encoding="utf-8"?>
<formControlPr xmlns="http://schemas.microsoft.com/office/spreadsheetml/2009/9/main" objectType="CheckBox" fmlaLink="$EG$69" lockText="1" noThreeD="1"/>
</file>

<file path=xl/ctrlProps/ctrlProp87.xml><?xml version="1.0" encoding="utf-8"?>
<formControlPr xmlns="http://schemas.microsoft.com/office/spreadsheetml/2009/9/main" objectType="CheckBox" fmlaLink="$EF$69" lockText="1" noThreeD="1"/>
</file>

<file path=xl/ctrlProps/ctrlProp88.xml><?xml version="1.0" encoding="utf-8"?>
<formControlPr xmlns="http://schemas.microsoft.com/office/spreadsheetml/2009/9/main" objectType="CheckBox" fmlaLink="$EG$70" lockText="1" noThreeD="1"/>
</file>

<file path=xl/ctrlProps/ctrlProp89.xml><?xml version="1.0" encoding="utf-8"?>
<formControlPr xmlns="http://schemas.microsoft.com/office/spreadsheetml/2009/9/main" objectType="CheckBox" fmlaLink="$EF$70" lockText="1" noThreeD="1"/>
</file>

<file path=xl/ctrlProps/ctrlProp90.xml><?xml version="1.0" encoding="utf-8"?>
<formControlPr xmlns="http://schemas.microsoft.com/office/spreadsheetml/2009/9/main" objectType="CheckBox" fmlaLink="$EG$71" lockText="1" noThreeD="1"/>
</file>

<file path=xl/ctrlProps/ctrlProp91.xml><?xml version="1.0" encoding="utf-8"?>
<formControlPr xmlns="http://schemas.microsoft.com/office/spreadsheetml/2009/9/main" objectType="CheckBox" fmlaLink="$EF$71" lockText="1" noThreeD="1"/>
</file>

<file path=xl/ctrlProps/ctrlProp92.xml><?xml version="1.0" encoding="utf-8"?>
<formControlPr xmlns="http://schemas.microsoft.com/office/spreadsheetml/2009/9/main" objectType="CheckBox" fmlaLink="$EG$72" lockText="1" noThreeD="1"/>
</file>

<file path=xl/ctrlProps/ctrlProp93.xml><?xml version="1.0" encoding="utf-8"?>
<formControlPr xmlns="http://schemas.microsoft.com/office/spreadsheetml/2009/9/main" objectType="CheckBox" fmlaLink="$EF$72" lockText="1" noThreeD="1"/>
</file>

<file path=xl/ctrlProps/ctrlProp94.xml><?xml version="1.0" encoding="utf-8"?>
<formControlPr xmlns="http://schemas.microsoft.com/office/spreadsheetml/2009/9/main" objectType="CheckBox" fmlaLink="$EG$73" lockText="1" noThreeD="1"/>
</file>

<file path=xl/ctrlProps/ctrlProp95.xml><?xml version="1.0" encoding="utf-8"?>
<formControlPr xmlns="http://schemas.microsoft.com/office/spreadsheetml/2009/9/main" objectType="CheckBox" fmlaLink="$EF$73" lockText="1" noThreeD="1"/>
</file>

<file path=xl/ctrlProps/ctrlProp96.xml><?xml version="1.0" encoding="utf-8"?>
<formControlPr xmlns="http://schemas.microsoft.com/office/spreadsheetml/2009/9/main" objectType="CheckBox" fmlaLink="$EG$74" lockText="1" noThreeD="1"/>
</file>

<file path=xl/ctrlProps/ctrlProp97.xml><?xml version="1.0" encoding="utf-8"?>
<formControlPr xmlns="http://schemas.microsoft.com/office/spreadsheetml/2009/9/main" objectType="CheckBox" fmlaLink="$EF$74" lockText="1" noThreeD="1"/>
</file>

<file path=xl/ctrlProps/ctrlProp98.xml><?xml version="1.0" encoding="utf-8"?>
<formControlPr xmlns="http://schemas.microsoft.com/office/spreadsheetml/2009/9/main" objectType="CheckBox" fmlaLink="$EG$75" lockText="1" noThreeD="1"/>
</file>

<file path=xl/ctrlProps/ctrlProp99.xml><?xml version="1.0" encoding="utf-8"?>
<formControlPr xmlns="http://schemas.microsoft.com/office/spreadsheetml/2009/9/main" objectType="CheckBox" fmlaLink="$EF$75" lockText="1" noThreeD="1"/>
</file>

<file path=xl/ctrlProps/ctrlProp100.xml><?xml version="1.0" encoding="utf-8"?>
<formControlPr xmlns="http://schemas.microsoft.com/office/spreadsheetml/2009/9/main" objectType="CheckBox" fmlaLink="$EG$76" lockText="1" noThreeD="1"/>
</file>

<file path=xl/ctrlProps/ctrlProp101.xml><?xml version="1.0" encoding="utf-8"?>
<formControlPr xmlns="http://schemas.microsoft.com/office/spreadsheetml/2009/9/main" objectType="CheckBox" fmlaLink="$EF$76" lockText="1" noThreeD="1"/>
</file>

<file path=xl/ctrlProps/ctrlProp102.xml><?xml version="1.0" encoding="utf-8"?>
<formControlPr xmlns="http://schemas.microsoft.com/office/spreadsheetml/2009/9/main" objectType="CheckBox" fmlaLink="$EG$77" lockText="1" noThreeD="1"/>
</file>

<file path=xl/ctrlProps/ctrlProp103.xml><?xml version="1.0" encoding="utf-8"?>
<formControlPr xmlns="http://schemas.microsoft.com/office/spreadsheetml/2009/9/main" objectType="CheckBox" fmlaLink="$EF$77" lockText="1" noThreeD="1"/>
</file>

<file path=xl/ctrlProps/ctrlProp104.xml><?xml version="1.0" encoding="utf-8"?>
<formControlPr xmlns="http://schemas.microsoft.com/office/spreadsheetml/2009/9/main" objectType="CheckBox" fmlaLink="$EG$78" lockText="1" noThreeD="1"/>
</file>

<file path=xl/ctrlProps/ctrlProp105.xml><?xml version="1.0" encoding="utf-8"?>
<formControlPr xmlns="http://schemas.microsoft.com/office/spreadsheetml/2009/9/main" objectType="CheckBox" fmlaLink="$EF$78" lockText="1" noThreeD="1"/>
</file>

<file path=xl/ctrlProps/ctrlProp106.xml><?xml version="1.0" encoding="utf-8"?>
<formControlPr xmlns="http://schemas.microsoft.com/office/spreadsheetml/2009/9/main" objectType="CheckBox" fmlaLink="$EG$79" lockText="1" noThreeD="1"/>
</file>

<file path=xl/ctrlProps/ctrlProp107.xml><?xml version="1.0" encoding="utf-8"?>
<formControlPr xmlns="http://schemas.microsoft.com/office/spreadsheetml/2009/9/main" objectType="CheckBox" fmlaLink="$EF$79" lockText="1" noThreeD="1"/>
</file>

<file path=xl/ctrlProps/ctrlProp108.xml><?xml version="1.0" encoding="utf-8"?>
<formControlPr xmlns="http://schemas.microsoft.com/office/spreadsheetml/2009/9/main" objectType="CheckBox" fmlaLink="$EG$80" lockText="1" noThreeD="1"/>
</file>

<file path=xl/ctrlProps/ctrlProp109.xml><?xml version="1.0" encoding="utf-8"?>
<formControlPr xmlns="http://schemas.microsoft.com/office/spreadsheetml/2009/9/main" objectType="CheckBox" fmlaLink="$EF$80" lockText="1" noThreeD="1"/>
</file>

<file path=xl/ctrlProps/ctrlProp110.xml><?xml version="1.0" encoding="utf-8"?>
<formControlPr xmlns="http://schemas.microsoft.com/office/spreadsheetml/2009/9/main" objectType="CheckBox" fmlaLink="$EG$81" lockText="1" noThreeD="1"/>
</file>

<file path=xl/ctrlProps/ctrlProp111.xml><?xml version="1.0" encoding="utf-8"?>
<formControlPr xmlns="http://schemas.microsoft.com/office/spreadsheetml/2009/9/main" objectType="CheckBox" fmlaLink="$EF$81" lockText="1" noThreeD="1"/>
</file>

<file path=xl/ctrlProps/ctrlProp112.xml><?xml version="1.0" encoding="utf-8"?>
<formControlPr xmlns="http://schemas.microsoft.com/office/spreadsheetml/2009/9/main" objectType="CheckBox" fmlaLink="$EG$82" lockText="1" noThreeD="1"/>
</file>

<file path=xl/ctrlProps/ctrlProp113.xml><?xml version="1.0" encoding="utf-8"?>
<formControlPr xmlns="http://schemas.microsoft.com/office/spreadsheetml/2009/9/main" objectType="CheckBox" fmlaLink="$EF$82" lockText="1" noThreeD="1"/>
</file>

<file path=xl/ctrlProps/ctrlProp114.xml><?xml version="1.0" encoding="utf-8"?>
<formControlPr xmlns="http://schemas.microsoft.com/office/spreadsheetml/2009/9/main" objectType="CheckBox" fmlaLink="$EG$83" lockText="1" noThreeD="1"/>
</file>

<file path=xl/ctrlProps/ctrlProp115.xml><?xml version="1.0" encoding="utf-8"?>
<formControlPr xmlns="http://schemas.microsoft.com/office/spreadsheetml/2009/9/main" objectType="CheckBox" fmlaLink="$EF$83" lockText="1" noThreeD="1"/>
</file>

<file path=xl/ctrlProps/ctrlProp116.xml><?xml version="1.0" encoding="utf-8"?>
<formControlPr xmlns="http://schemas.microsoft.com/office/spreadsheetml/2009/9/main" objectType="CheckBox" fmlaLink="$EG$84" lockText="1" noThreeD="1"/>
</file>

<file path=xl/ctrlProps/ctrlProp117.xml><?xml version="1.0" encoding="utf-8"?>
<formControlPr xmlns="http://schemas.microsoft.com/office/spreadsheetml/2009/9/main" objectType="CheckBox" fmlaLink="$EF$84" lockText="1" noThreeD="1"/>
</file>

<file path=xl/ctrlProps/ctrlProp118.xml><?xml version="1.0" encoding="utf-8"?>
<formControlPr xmlns="http://schemas.microsoft.com/office/spreadsheetml/2009/9/main" objectType="CheckBox" fmlaLink="$EG$85" lockText="1" noThreeD="1"/>
</file>

<file path=xl/ctrlProps/ctrlProp119.xml><?xml version="1.0" encoding="utf-8"?>
<formControlPr xmlns="http://schemas.microsoft.com/office/spreadsheetml/2009/9/main" objectType="CheckBox" fmlaLink="$EF$85" lockText="1" noThreeD="1"/>
</file>

<file path=xl/ctrlProps/ctrlProp120.xml><?xml version="1.0" encoding="utf-8"?>
<formControlPr xmlns="http://schemas.microsoft.com/office/spreadsheetml/2009/9/main" objectType="CheckBox" fmlaLink="$EG$86" lockText="1" noThreeD="1"/>
</file>

<file path=xl/ctrlProps/ctrlProp121.xml><?xml version="1.0" encoding="utf-8"?>
<formControlPr xmlns="http://schemas.microsoft.com/office/spreadsheetml/2009/9/main" objectType="CheckBox" fmlaLink="$EF$86" lockText="1" noThreeD="1"/>
</file>

<file path=xl/ctrlProps/ctrlProp122.xml><?xml version="1.0" encoding="utf-8"?>
<formControlPr xmlns="http://schemas.microsoft.com/office/spreadsheetml/2009/9/main" objectType="CheckBox" fmlaLink="$EG$87" lockText="1" noThreeD="1"/>
</file>

<file path=xl/ctrlProps/ctrlProp123.xml><?xml version="1.0" encoding="utf-8"?>
<formControlPr xmlns="http://schemas.microsoft.com/office/spreadsheetml/2009/9/main" objectType="CheckBox" fmlaLink="$EF$87" lockText="1" noThreeD="1"/>
</file>

<file path=xl/ctrlProps/ctrlProp124.xml><?xml version="1.0" encoding="utf-8"?>
<formControlPr xmlns="http://schemas.microsoft.com/office/spreadsheetml/2009/9/main" objectType="CheckBox" fmlaLink="$EG$88" lockText="1" noThreeD="1"/>
</file>

<file path=xl/ctrlProps/ctrlProp125.xml><?xml version="1.0" encoding="utf-8"?>
<formControlPr xmlns="http://schemas.microsoft.com/office/spreadsheetml/2009/9/main" objectType="CheckBox" fmlaLink="$EF$88" lockText="1" noThreeD="1"/>
</file>

<file path=xl/ctrlProps/ctrlProp126.xml><?xml version="1.0" encoding="utf-8"?>
<formControlPr xmlns="http://schemas.microsoft.com/office/spreadsheetml/2009/9/main" objectType="CheckBox" fmlaLink="$EG$89" lockText="1" noThreeD="1"/>
</file>

<file path=xl/ctrlProps/ctrlProp127.xml><?xml version="1.0" encoding="utf-8"?>
<formControlPr xmlns="http://schemas.microsoft.com/office/spreadsheetml/2009/9/main" objectType="CheckBox" fmlaLink="$EF$89" lockText="1" noThreeD="1"/>
</file>

<file path=xl/ctrlProps/ctrlProp128.xml><?xml version="1.0" encoding="utf-8"?>
<formControlPr xmlns="http://schemas.microsoft.com/office/spreadsheetml/2009/9/main" objectType="CheckBox" fmlaLink="$EG$90" lockText="1" noThreeD="1"/>
</file>

<file path=xl/ctrlProps/ctrlProp129.xml><?xml version="1.0" encoding="utf-8"?>
<formControlPr xmlns="http://schemas.microsoft.com/office/spreadsheetml/2009/9/main" objectType="CheckBox" fmlaLink="$EF$90" lockText="1" noThreeD="1"/>
</file>

<file path=xl/ctrlProps/ctrlProp130.xml><?xml version="1.0" encoding="utf-8"?>
<formControlPr xmlns="http://schemas.microsoft.com/office/spreadsheetml/2009/9/main" objectType="CheckBox" fmlaLink="$EG$91" lockText="1" noThreeD="1"/>
</file>

<file path=xl/ctrlProps/ctrlProp131.xml><?xml version="1.0" encoding="utf-8"?>
<formControlPr xmlns="http://schemas.microsoft.com/office/spreadsheetml/2009/9/main" objectType="CheckBox" fmlaLink="$EF$91" lockText="1" noThreeD="1"/>
</file>

<file path=xl/ctrlProps/ctrlProp132.xml><?xml version="1.0" encoding="utf-8"?>
<formControlPr xmlns="http://schemas.microsoft.com/office/spreadsheetml/2009/9/main" objectType="CheckBox" fmlaLink="$EG$92" lockText="1" noThreeD="1"/>
</file>

<file path=xl/ctrlProps/ctrlProp133.xml><?xml version="1.0" encoding="utf-8"?>
<formControlPr xmlns="http://schemas.microsoft.com/office/spreadsheetml/2009/9/main" objectType="CheckBox" fmlaLink="$EF$92" lockText="1" noThreeD="1"/>
</file>

<file path=xl/ctrlProps/ctrlProp134.xml><?xml version="1.0" encoding="utf-8"?>
<formControlPr xmlns="http://schemas.microsoft.com/office/spreadsheetml/2009/9/main" objectType="CheckBox" fmlaLink="$EG$93" lockText="1" noThreeD="1"/>
</file>

<file path=xl/ctrlProps/ctrlProp135.xml><?xml version="1.0" encoding="utf-8"?>
<formControlPr xmlns="http://schemas.microsoft.com/office/spreadsheetml/2009/9/main" objectType="CheckBox" fmlaLink="$EF$93" lockText="1" noThreeD="1"/>
</file>

<file path=xl/ctrlProps/ctrlProp136.xml><?xml version="1.0" encoding="utf-8"?>
<formControlPr xmlns="http://schemas.microsoft.com/office/spreadsheetml/2009/9/main" objectType="CheckBox" fmlaLink="$EG$94" lockText="1" noThreeD="1"/>
</file>

<file path=xl/ctrlProps/ctrlProp137.xml><?xml version="1.0" encoding="utf-8"?>
<formControlPr xmlns="http://schemas.microsoft.com/office/spreadsheetml/2009/9/main" objectType="CheckBox" fmlaLink="$EF$94" lockText="1" noThreeD="1"/>
</file>

<file path=xl/ctrlProps/ctrlProp138.xml><?xml version="1.0" encoding="utf-8"?>
<formControlPr xmlns="http://schemas.microsoft.com/office/spreadsheetml/2009/9/main" objectType="CheckBox" fmlaLink="$EG$95" lockText="1" noThreeD="1"/>
</file>

<file path=xl/ctrlProps/ctrlProp139.xml><?xml version="1.0" encoding="utf-8"?>
<formControlPr xmlns="http://schemas.microsoft.com/office/spreadsheetml/2009/9/main" objectType="CheckBox" fmlaLink="$EF$95" lockText="1" noThreeD="1"/>
</file>

<file path=xl/ctrlProps/ctrlProp140.xml><?xml version="1.0" encoding="utf-8"?>
<formControlPr xmlns="http://schemas.microsoft.com/office/spreadsheetml/2009/9/main" objectType="CheckBox" fmlaLink="$EG$96" lockText="1" noThreeD="1"/>
</file>

<file path=xl/ctrlProps/ctrlProp141.xml><?xml version="1.0" encoding="utf-8"?>
<formControlPr xmlns="http://schemas.microsoft.com/office/spreadsheetml/2009/9/main" objectType="CheckBox" fmlaLink="$EF$96" lockText="1" noThreeD="1"/>
</file>

<file path=xl/ctrlProps/ctrlProp142.xml><?xml version="1.0" encoding="utf-8"?>
<formControlPr xmlns="http://schemas.microsoft.com/office/spreadsheetml/2009/9/main" objectType="CheckBox" fmlaLink="$EG$97" lockText="1" noThreeD="1"/>
</file>

<file path=xl/ctrlProps/ctrlProp143.xml><?xml version="1.0" encoding="utf-8"?>
<formControlPr xmlns="http://schemas.microsoft.com/office/spreadsheetml/2009/9/main" objectType="CheckBox" fmlaLink="$EF$97" lockText="1" noThreeD="1"/>
</file>

<file path=xl/ctrlProps/ctrlProp144.xml><?xml version="1.0" encoding="utf-8"?>
<formControlPr xmlns="http://schemas.microsoft.com/office/spreadsheetml/2009/9/main" objectType="CheckBox" fmlaLink="$EG$98" lockText="1" noThreeD="1"/>
</file>

<file path=xl/ctrlProps/ctrlProp145.xml><?xml version="1.0" encoding="utf-8"?>
<formControlPr xmlns="http://schemas.microsoft.com/office/spreadsheetml/2009/9/main" objectType="CheckBox" fmlaLink="$EF$98" lockText="1" noThreeD="1"/>
</file>

<file path=xl/ctrlProps/ctrlProp146.xml><?xml version="1.0" encoding="utf-8"?>
<formControlPr xmlns="http://schemas.microsoft.com/office/spreadsheetml/2009/9/main" objectType="CheckBox" fmlaLink="$EG$99" lockText="1" noThreeD="1"/>
</file>

<file path=xl/ctrlProps/ctrlProp147.xml><?xml version="1.0" encoding="utf-8"?>
<formControlPr xmlns="http://schemas.microsoft.com/office/spreadsheetml/2009/9/main" objectType="CheckBox" fmlaLink="$EF$99" lockText="1" noThreeD="1"/>
</file>

<file path=xl/ctrlProps/ctrlProp148.xml><?xml version="1.0" encoding="utf-8"?>
<formControlPr xmlns="http://schemas.microsoft.com/office/spreadsheetml/2009/9/main" objectType="CheckBox" fmlaLink="$EG$100" lockText="1" noThreeD="1"/>
</file>

<file path=xl/ctrlProps/ctrlProp149.xml><?xml version="1.0" encoding="utf-8"?>
<formControlPr xmlns="http://schemas.microsoft.com/office/spreadsheetml/2009/9/main" objectType="CheckBox" fmlaLink="$EF$100" lockText="1" noThreeD="1"/>
</file>

<file path=xl/ctrlProps/ctrlProp150.xml><?xml version="1.0" encoding="utf-8"?>
<formControlPr xmlns="http://schemas.microsoft.com/office/spreadsheetml/2009/9/main" objectType="CheckBox" fmlaLink="$EG$101" lockText="1" noThreeD="1"/>
</file>

<file path=xl/ctrlProps/ctrlProp151.xml><?xml version="1.0" encoding="utf-8"?>
<formControlPr xmlns="http://schemas.microsoft.com/office/spreadsheetml/2009/9/main" objectType="CheckBox" fmlaLink="$EF$101" lockText="1" noThreeD="1"/>
</file>

<file path=xl/ctrlProps/ctrlProp152.xml><?xml version="1.0" encoding="utf-8"?>
<formControlPr xmlns="http://schemas.microsoft.com/office/spreadsheetml/2009/9/main" objectType="CheckBox" fmlaLink="$EG$102" lockText="1" noThreeD="1"/>
</file>

<file path=xl/ctrlProps/ctrlProp153.xml><?xml version="1.0" encoding="utf-8"?>
<formControlPr xmlns="http://schemas.microsoft.com/office/spreadsheetml/2009/9/main" objectType="CheckBox" fmlaLink="$EF$102" lockText="1" noThreeD="1"/>
</file>

<file path=xl/ctrlProps/ctrlProp154.xml><?xml version="1.0" encoding="utf-8"?>
<formControlPr xmlns="http://schemas.microsoft.com/office/spreadsheetml/2009/9/main" objectType="CheckBox" fmlaLink="$EG$103" lockText="1" noThreeD="1"/>
</file>

<file path=xl/ctrlProps/ctrlProp155.xml><?xml version="1.0" encoding="utf-8"?>
<formControlPr xmlns="http://schemas.microsoft.com/office/spreadsheetml/2009/9/main" objectType="CheckBox" fmlaLink="$EF$103" lockText="1" noThreeD="1"/>
</file>

<file path=xl/ctrlProps/ctrlProp156.xml><?xml version="1.0" encoding="utf-8"?>
<formControlPr xmlns="http://schemas.microsoft.com/office/spreadsheetml/2009/9/main" objectType="CheckBox" fmlaLink="$EG$104" lockText="1" noThreeD="1"/>
</file>

<file path=xl/ctrlProps/ctrlProp157.xml><?xml version="1.0" encoding="utf-8"?>
<formControlPr xmlns="http://schemas.microsoft.com/office/spreadsheetml/2009/9/main" objectType="CheckBox" fmlaLink="$EF$104" lockText="1" noThreeD="1"/>
</file>

<file path=xl/ctrlProps/ctrlProp158.xml><?xml version="1.0" encoding="utf-8"?>
<formControlPr xmlns="http://schemas.microsoft.com/office/spreadsheetml/2009/9/main" objectType="CheckBox" fmlaLink="$EG$105" lockText="1" noThreeD="1"/>
</file>

<file path=xl/ctrlProps/ctrlProp159.xml><?xml version="1.0" encoding="utf-8"?>
<formControlPr xmlns="http://schemas.microsoft.com/office/spreadsheetml/2009/9/main" objectType="CheckBox" fmlaLink="$EF$105" lockText="1" noThreeD="1"/>
</file>

<file path=xl/ctrlProps/ctrlProp160.xml><?xml version="1.0" encoding="utf-8"?>
<formControlPr xmlns="http://schemas.microsoft.com/office/spreadsheetml/2009/9/main" objectType="CheckBox" fmlaLink="$EG$106" lockText="1" noThreeD="1"/>
</file>

<file path=xl/ctrlProps/ctrlProp161.xml><?xml version="1.0" encoding="utf-8"?>
<formControlPr xmlns="http://schemas.microsoft.com/office/spreadsheetml/2009/9/main" objectType="CheckBox" fmlaLink="$EF$106" lockText="1" noThreeD="1"/>
</file>

<file path=xl/ctrlProps/ctrlProp162.xml><?xml version="1.0" encoding="utf-8"?>
<formControlPr xmlns="http://schemas.microsoft.com/office/spreadsheetml/2009/9/main" objectType="CheckBox" fmlaLink="$EG$107" lockText="1" noThreeD="1"/>
</file>

<file path=xl/ctrlProps/ctrlProp163.xml><?xml version="1.0" encoding="utf-8"?>
<formControlPr xmlns="http://schemas.microsoft.com/office/spreadsheetml/2009/9/main" objectType="CheckBox" fmlaLink="$EF$107" lockText="1" noThreeD="1"/>
</file>

<file path=xl/ctrlProps/ctrlProp164.xml><?xml version="1.0" encoding="utf-8"?>
<formControlPr xmlns="http://schemas.microsoft.com/office/spreadsheetml/2009/9/main" objectType="CheckBox" fmlaLink="$EG$108" lockText="1" noThreeD="1"/>
</file>

<file path=xl/ctrlProps/ctrlProp165.xml><?xml version="1.0" encoding="utf-8"?>
<formControlPr xmlns="http://schemas.microsoft.com/office/spreadsheetml/2009/9/main" objectType="CheckBox" fmlaLink="$EF$108" lockText="1" noThreeD="1"/>
</file>

<file path=xl/ctrlProps/ctrlProp166.xml><?xml version="1.0" encoding="utf-8"?>
<formControlPr xmlns="http://schemas.microsoft.com/office/spreadsheetml/2009/9/main" objectType="CheckBox" fmlaLink="$EG$109" lockText="1" noThreeD="1"/>
</file>

<file path=xl/ctrlProps/ctrlProp167.xml><?xml version="1.0" encoding="utf-8"?>
<formControlPr xmlns="http://schemas.microsoft.com/office/spreadsheetml/2009/9/main" objectType="CheckBox" fmlaLink="$EF$109" lockText="1" noThreeD="1"/>
</file>

<file path=xl/ctrlProps/ctrlProp168.xml><?xml version="1.0" encoding="utf-8"?>
<formControlPr xmlns="http://schemas.microsoft.com/office/spreadsheetml/2009/9/main" objectType="CheckBox" fmlaLink="$EG$110" lockText="1" noThreeD="1"/>
</file>

<file path=xl/ctrlProps/ctrlProp169.xml><?xml version="1.0" encoding="utf-8"?>
<formControlPr xmlns="http://schemas.microsoft.com/office/spreadsheetml/2009/9/main" objectType="CheckBox" fmlaLink="$EF$110" lockText="1" noThreeD="1"/>
</file>

<file path=xl/ctrlProps/ctrlProp170.xml><?xml version="1.0" encoding="utf-8"?>
<formControlPr xmlns="http://schemas.microsoft.com/office/spreadsheetml/2009/9/main" objectType="CheckBox" fmlaLink="$EG$111" lockText="1" noThreeD="1"/>
</file>

<file path=xl/ctrlProps/ctrlProp171.xml><?xml version="1.0" encoding="utf-8"?>
<formControlPr xmlns="http://schemas.microsoft.com/office/spreadsheetml/2009/9/main" objectType="CheckBox" fmlaLink="$EF$111" lockText="1" noThreeD="1"/>
</file>

<file path=xl/ctrlProps/ctrlProp172.xml><?xml version="1.0" encoding="utf-8"?>
<formControlPr xmlns="http://schemas.microsoft.com/office/spreadsheetml/2009/9/main" objectType="CheckBox" fmlaLink="$EG$112" lockText="1" noThreeD="1"/>
</file>

<file path=xl/ctrlProps/ctrlProp173.xml><?xml version="1.0" encoding="utf-8"?>
<formControlPr xmlns="http://schemas.microsoft.com/office/spreadsheetml/2009/9/main" objectType="CheckBox" fmlaLink="$EF$112" lockText="1" noThreeD="1"/>
</file>

<file path=xl/ctrlProps/ctrlProp174.xml><?xml version="1.0" encoding="utf-8"?>
<formControlPr xmlns="http://schemas.microsoft.com/office/spreadsheetml/2009/9/main" objectType="CheckBox" fmlaLink="$EG$28" lockText="1" noThreeD="1"/>
</file>

<file path=xl/ctrlProps/ctrlProp175.xml><?xml version="1.0" encoding="utf-8"?>
<formControlPr xmlns="http://schemas.microsoft.com/office/spreadsheetml/2009/9/main" objectType="CheckBox" fmlaLink="$EF$28" lockText="1" noThreeD="1"/>
</file>

<file path=xl/ctrlProps/ctrlProp176.xml><?xml version="1.0" encoding="utf-8"?>
<formControlPr xmlns="http://schemas.microsoft.com/office/spreadsheetml/2009/9/main" objectType="CheckBox" fmlaLink="$EG$29" lockText="1" noThreeD="1"/>
</file>

<file path=xl/ctrlProps/ctrlProp177.xml><?xml version="1.0" encoding="utf-8"?>
<formControlPr xmlns="http://schemas.microsoft.com/office/spreadsheetml/2009/9/main" objectType="CheckBox" fmlaLink="$EF$29" lockText="1" noThreeD="1"/>
</file>

<file path=xl/ctrlProps/ctrlProp178.xml><?xml version="1.0" encoding="utf-8"?>
<formControlPr xmlns="http://schemas.microsoft.com/office/spreadsheetml/2009/9/main" objectType="CheckBox" fmlaLink="$EG$30" lockText="1" noThreeD="1"/>
</file>

<file path=xl/ctrlProps/ctrlProp179.xml><?xml version="1.0" encoding="utf-8"?>
<formControlPr xmlns="http://schemas.microsoft.com/office/spreadsheetml/2009/9/main" objectType="CheckBox" fmlaLink="$EF$30" lockText="1" noThreeD="1"/>
</file>

<file path=xl/ctrlProps/ctrlProp180.xml><?xml version="1.0" encoding="utf-8"?>
<formControlPr xmlns="http://schemas.microsoft.com/office/spreadsheetml/2009/9/main" objectType="CheckBox" fmlaLink="$EG$31" lockText="1" noThreeD="1"/>
</file>

<file path=xl/ctrlProps/ctrlProp181.xml><?xml version="1.0" encoding="utf-8"?>
<formControlPr xmlns="http://schemas.microsoft.com/office/spreadsheetml/2009/9/main" objectType="CheckBox" fmlaLink="$EF$31" lockText="1" noThreeD="1"/>
</file>

<file path=xl/ctrlProps/ctrlProp182.xml><?xml version="1.0" encoding="utf-8"?>
<formControlPr xmlns="http://schemas.microsoft.com/office/spreadsheetml/2009/9/main" objectType="CheckBox" fmlaLink="$EG$32" lockText="1" noThreeD="1"/>
</file>

<file path=xl/ctrlProps/ctrlProp183.xml><?xml version="1.0" encoding="utf-8"?>
<formControlPr xmlns="http://schemas.microsoft.com/office/spreadsheetml/2009/9/main" objectType="CheckBox" fmlaLink="$EF$32" lockText="1" noThreeD="1"/>
</file>

<file path=xl/ctrlProps/ctrlProp184.xml><?xml version="1.0" encoding="utf-8"?>
<formControlPr xmlns="http://schemas.microsoft.com/office/spreadsheetml/2009/9/main" objectType="CheckBox" fmlaLink="$EG$48" lockText="1" noThreeD="1"/>
</file>

<file path=xl/ctrlProps/ctrlProp185.xml><?xml version="1.0" encoding="utf-8"?>
<formControlPr xmlns="http://schemas.microsoft.com/office/spreadsheetml/2009/9/main" objectType="CheckBox" fmlaLink="$EF$48" lockText="1" noThreeD="1"/>
</file>

<file path=xl/ctrlProps/ctrlProp186.xml><?xml version="1.0" encoding="utf-8"?>
<formControlPr xmlns="http://schemas.microsoft.com/office/spreadsheetml/2009/9/main" objectType="CheckBox" fmlaLink="$EG$49" lockText="1" noThreeD="1"/>
</file>

<file path=xl/ctrlProps/ctrlProp187.xml><?xml version="1.0" encoding="utf-8"?>
<formControlPr xmlns="http://schemas.microsoft.com/office/spreadsheetml/2009/9/main" objectType="CheckBox" fmlaLink="$EF$49" lockText="1" noThreeD="1"/>
</file>

<file path=xl/ctrlProps/ctrlProp188.xml><?xml version="1.0" encoding="utf-8"?>
<formControlPr xmlns="http://schemas.microsoft.com/office/spreadsheetml/2009/9/main" objectType="CheckBox" fmlaLink="$EG$50" lockText="1" noThreeD="1"/>
</file>

<file path=xl/ctrlProps/ctrlProp189.xml><?xml version="1.0" encoding="utf-8"?>
<formControlPr xmlns="http://schemas.microsoft.com/office/spreadsheetml/2009/9/main" objectType="CheckBox" fmlaLink="$EF$50" lockText="1" noThreeD="1"/>
</file>

<file path=xl/ctrlProps/ctrlProp190.xml><?xml version="1.0" encoding="utf-8"?>
<formControlPr xmlns="http://schemas.microsoft.com/office/spreadsheetml/2009/9/main" objectType="CheckBox" fmlaLink="$EG$51" lockText="1" noThreeD="1"/>
</file>

<file path=xl/ctrlProps/ctrlProp191.xml><?xml version="1.0" encoding="utf-8"?>
<formControlPr xmlns="http://schemas.microsoft.com/office/spreadsheetml/2009/9/main" objectType="CheckBox" fmlaLink="$EF$51" lockText="1" noThreeD="1"/>
</file>

<file path=xl/ctrlProps/ctrlProp192.xml><?xml version="1.0" encoding="utf-8"?>
<formControlPr xmlns="http://schemas.microsoft.com/office/spreadsheetml/2009/9/main" objectType="CheckBox" fmlaLink="$EG$52" lockText="1" noThreeD="1"/>
</file>

<file path=xl/ctrlProps/ctrlProp193.xml><?xml version="1.0" encoding="utf-8"?>
<formControlPr xmlns="http://schemas.microsoft.com/office/spreadsheetml/2009/9/main" objectType="CheckBox" fmlaLink="$EF$52" lockText="1" noThreeD="1"/>
</file>

<file path=xl/ctrlProps/ctrlProp194.xml><?xml version="1.0" encoding="utf-8"?>
<formControlPr xmlns="http://schemas.microsoft.com/office/spreadsheetml/2009/9/main" objectType="CheckBox" fmlaLink="$EG$113" lockText="1" noThreeD="1"/>
</file>

<file path=xl/ctrlProps/ctrlProp195.xml><?xml version="1.0" encoding="utf-8"?>
<formControlPr xmlns="http://schemas.microsoft.com/office/spreadsheetml/2009/9/main" objectType="CheckBox" fmlaLink="$EF$113" lockText="1" noThreeD="1"/>
</file>

<file path=xl/ctrlProps/ctrlProp196.xml><?xml version="1.0" encoding="utf-8"?>
<formControlPr xmlns="http://schemas.microsoft.com/office/spreadsheetml/2009/9/main" objectType="CheckBox" fmlaLink="$EG$114" lockText="1" noThreeD="1"/>
</file>

<file path=xl/ctrlProps/ctrlProp197.xml><?xml version="1.0" encoding="utf-8"?>
<formControlPr xmlns="http://schemas.microsoft.com/office/spreadsheetml/2009/9/main" objectType="CheckBox" fmlaLink="$EF$114" lockText="1" noThreeD="1"/>
</file>

<file path=xl/ctrlProps/ctrlProp198.xml><?xml version="1.0" encoding="utf-8"?>
<formControlPr xmlns="http://schemas.microsoft.com/office/spreadsheetml/2009/9/main" objectType="CheckBox" fmlaLink="$EG$115" lockText="1" noThreeD="1"/>
</file>

<file path=xl/ctrlProps/ctrlProp199.xml><?xml version="1.0" encoding="utf-8"?>
<formControlPr xmlns="http://schemas.microsoft.com/office/spreadsheetml/2009/9/main" objectType="CheckBox" fmlaLink="$EF$115" lockText="1" noThreeD="1"/>
</file>

<file path=xl/ctrlProps/ctrlProp200.xml><?xml version="1.0" encoding="utf-8"?>
<formControlPr xmlns="http://schemas.microsoft.com/office/spreadsheetml/2009/9/main" objectType="CheckBox" fmlaLink="$EG$116" lockText="1" noThreeD="1"/>
</file>

<file path=xl/ctrlProps/ctrlProp201.xml><?xml version="1.0" encoding="utf-8"?>
<formControlPr xmlns="http://schemas.microsoft.com/office/spreadsheetml/2009/9/main" objectType="CheckBox" fmlaLink="$EF$116" lockText="1" noThreeD="1"/>
</file>

<file path=xl/ctrlProps/ctrlProp202.xml><?xml version="1.0" encoding="utf-8"?>
<formControlPr xmlns="http://schemas.microsoft.com/office/spreadsheetml/2009/9/main" objectType="CheckBox" fmlaLink="$I$14" lockText="1" noThreeD="1"/>
</file>

<file path=xl/ctrlProps/ctrlProp203.xml><?xml version="1.0" encoding="utf-8"?>
<formControlPr xmlns="http://schemas.microsoft.com/office/spreadsheetml/2009/9/main" objectType="CheckBox" checked="Checked" fmlaLink="$I$13" lockText="1" noThreeD="1"/>
</file>

<file path=xl/ctrlProps/ctrlProp204.xml><?xml version="1.0" encoding="utf-8"?>
<formControlPr xmlns="http://schemas.microsoft.com/office/spreadsheetml/2009/9/main" objectType="CheckBox" fmlaLink="$EE$13" lockText="1" noThreeD="1"/>
</file>

<file path=xl/ctrlProps/ctrlProp205.xml><?xml version="1.0" encoding="utf-8"?>
<formControlPr xmlns="http://schemas.microsoft.com/office/spreadsheetml/2009/9/main" objectType="CheckBox" fmlaLink="$EE$14" lockText="1" noThreeD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Radio" checked="Checked" firstButton="1" fmlaLink="$I$5" lockText="1" noThreeD="1"/>
</file>

<file path=xl/ctrlProps/ctrlProp225.xml><?xml version="1.0" encoding="utf-8"?>
<formControlPr xmlns="http://schemas.microsoft.com/office/spreadsheetml/2009/9/main" objectType="Radio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91440</xdr:rowOff>
        </xdr:from>
        <xdr:to>
          <xdr:col>1</xdr:col>
          <xdr:colOff>373380</xdr:colOff>
          <xdr:row>2</xdr:row>
          <xdr:rowOff>83820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1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16</xdr:row>
          <xdr:rowOff>121920</xdr:rowOff>
        </xdr:from>
        <xdr:to>
          <xdr:col>134</xdr:col>
          <xdr:colOff>693420</xdr:colOff>
          <xdr:row>18</xdr:row>
          <xdr:rowOff>22860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16</xdr:row>
          <xdr:rowOff>121920</xdr:rowOff>
        </xdr:from>
        <xdr:to>
          <xdr:col>134</xdr:col>
          <xdr:colOff>312420</xdr:colOff>
          <xdr:row>18</xdr:row>
          <xdr:rowOff>22860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17</xdr:row>
          <xdr:rowOff>121920</xdr:rowOff>
        </xdr:from>
        <xdr:to>
          <xdr:col>134</xdr:col>
          <xdr:colOff>693420</xdr:colOff>
          <xdr:row>19</xdr:row>
          <xdr:rowOff>22860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17</xdr:row>
          <xdr:rowOff>121920</xdr:rowOff>
        </xdr:from>
        <xdr:to>
          <xdr:col>134</xdr:col>
          <xdr:colOff>312420</xdr:colOff>
          <xdr:row>19</xdr:row>
          <xdr:rowOff>22860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18</xdr:row>
          <xdr:rowOff>121920</xdr:rowOff>
        </xdr:from>
        <xdr:to>
          <xdr:col>134</xdr:col>
          <xdr:colOff>693420</xdr:colOff>
          <xdr:row>20</xdr:row>
          <xdr:rowOff>22860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18</xdr:row>
          <xdr:rowOff>121920</xdr:rowOff>
        </xdr:from>
        <xdr:to>
          <xdr:col>134</xdr:col>
          <xdr:colOff>312420</xdr:colOff>
          <xdr:row>20</xdr:row>
          <xdr:rowOff>22860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19</xdr:row>
          <xdr:rowOff>121920</xdr:rowOff>
        </xdr:from>
        <xdr:to>
          <xdr:col>134</xdr:col>
          <xdr:colOff>693420</xdr:colOff>
          <xdr:row>21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19</xdr:row>
          <xdr:rowOff>121920</xdr:rowOff>
        </xdr:from>
        <xdr:to>
          <xdr:col>134</xdr:col>
          <xdr:colOff>312420</xdr:colOff>
          <xdr:row>21</xdr:row>
          <xdr:rowOff>22860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20</xdr:row>
          <xdr:rowOff>121920</xdr:rowOff>
        </xdr:from>
        <xdr:to>
          <xdr:col>134</xdr:col>
          <xdr:colOff>693420</xdr:colOff>
          <xdr:row>22</xdr:row>
          <xdr:rowOff>22860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20</xdr:row>
          <xdr:rowOff>121920</xdr:rowOff>
        </xdr:from>
        <xdr:to>
          <xdr:col>134</xdr:col>
          <xdr:colOff>312420</xdr:colOff>
          <xdr:row>22</xdr:row>
          <xdr:rowOff>22860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21</xdr:row>
          <xdr:rowOff>121920</xdr:rowOff>
        </xdr:from>
        <xdr:to>
          <xdr:col>134</xdr:col>
          <xdr:colOff>693420</xdr:colOff>
          <xdr:row>23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21</xdr:row>
          <xdr:rowOff>121920</xdr:rowOff>
        </xdr:from>
        <xdr:to>
          <xdr:col>134</xdr:col>
          <xdr:colOff>312420</xdr:colOff>
          <xdr:row>23</xdr:row>
          <xdr:rowOff>22860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22</xdr:row>
          <xdr:rowOff>121920</xdr:rowOff>
        </xdr:from>
        <xdr:to>
          <xdr:col>134</xdr:col>
          <xdr:colOff>693420</xdr:colOff>
          <xdr:row>24</xdr:row>
          <xdr:rowOff>22860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22</xdr:row>
          <xdr:rowOff>121920</xdr:rowOff>
        </xdr:from>
        <xdr:to>
          <xdr:col>134</xdr:col>
          <xdr:colOff>312420</xdr:colOff>
          <xdr:row>24</xdr:row>
          <xdr:rowOff>22860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23</xdr:row>
          <xdr:rowOff>121920</xdr:rowOff>
        </xdr:from>
        <xdr:to>
          <xdr:col>134</xdr:col>
          <xdr:colOff>693420</xdr:colOff>
          <xdr:row>25</xdr:row>
          <xdr:rowOff>22860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23</xdr:row>
          <xdr:rowOff>121920</xdr:rowOff>
        </xdr:from>
        <xdr:to>
          <xdr:col>134</xdr:col>
          <xdr:colOff>312420</xdr:colOff>
          <xdr:row>25</xdr:row>
          <xdr:rowOff>22860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24</xdr:row>
          <xdr:rowOff>121920</xdr:rowOff>
        </xdr:from>
        <xdr:to>
          <xdr:col>134</xdr:col>
          <xdr:colOff>693420</xdr:colOff>
          <xdr:row>26</xdr:row>
          <xdr:rowOff>22860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24</xdr:row>
          <xdr:rowOff>121920</xdr:rowOff>
        </xdr:from>
        <xdr:to>
          <xdr:col>134</xdr:col>
          <xdr:colOff>312420</xdr:colOff>
          <xdr:row>26</xdr:row>
          <xdr:rowOff>22860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25</xdr:row>
          <xdr:rowOff>121920</xdr:rowOff>
        </xdr:from>
        <xdr:to>
          <xdr:col>134</xdr:col>
          <xdr:colOff>693420</xdr:colOff>
          <xdr:row>27</xdr:row>
          <xdr:rowOff>22860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25</xdr:row>
          <xdr:rowOff>121920</xdr:rowOff>
        </xdr:from>
        <xdr:to>
          <xdr:col>134</xdr:col>
          <xdr:colOff>312420</xdr:colOff>
          <xdr:row>27</xdr:row>
          <xdr:rowOff>22860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15</xdr:row>
          <xdr:rowOff>121920</xdr:rowOff>
        </xdr:from>
        <xdr:to>
          <xdr:col>134</xdr:col>
          <xdr:colOff>693420</xdr:colOff>
          <xdr:row>17</xdr:row>
          <xdr:rowOff>22860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15</xdr:row>
          <xdr:rowOff>121920</xdr:rowOff>
        </xdr:from>
        <xdr:to>
          <xdr:col>134</xdr:col>
          <xdr:colOff>312420</xdr:colOff>
          <xdr:row>17</xdr:row>
          <xdr:rowOff>22860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2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31</xdr:row>
          <xdr:rowOff>121920</xdr:rowOff>
        </xdr:from>
        <xdr:to>
          <xdr:col>134</xdr:col>
          <xdr:colOff>693420</xdr:colOff>
          <xdr:row>33</xdr:row>
          <xdr:rowOff>22860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31</xdr:row>
          <xdr:rowOff>121920</xdr:rowOff>
        </xdr:from>
        <xdr:to>
          <xdr:col>134</xdr:col>
          <xdr:colOff>312420</xdr:colOff>
          <xdr:row>33</xdr:row>
          <xdr:rowOff>22860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32</xdr:row>
          <xdr:rowOff>121920</xdr:rowOff>
        </xdr:from>
        <xdr:to>
          <xdr:col>134</xdr:col>
          <xdr:colOff>693420</xdr:colOff>
          <xdr:row>34</xdr:row>
          <xdr:rowOff>22860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32</xdr:row>
          <xdr:rowOff>121920</xdr:rowOff>
        </xdr:from>
        <xdr:to>
          <xdr:col>134</xdr:col>
          <xdr:colOff>312420</xdr:colOff>
          <xdr:row>34</xdr:row>
          <xdr:rowOff>22860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33</xdr:row>
          <xdr:rowOff>121920</xdr:rowOff>
        </xdr:from>
        <xdr:to>
          <xdr:col>134</xdr:col>
          <xdr:colOff>693420</xdr:colOff>
          <xdr:row>35</xdr:row>
          <xdr:rowOff>22860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33</xdr:row>
          <xdr:rowOff>121920</xdr:rowOff>
        </xdr:from>
        <xdr:to>
          <xdr:col>134</xdr:col>
          <xdr:colOff>312420</xdr:colOff>
          <xdr:row>35</xdr:row>
          <xdr:rowOff>22860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34</xdr:row>
          <xdr:rowOff>121920</xdr:rowOff>
        </xdr:from>
        <xdr:to>
          <xdr:col>134</xdr:col>
          <xdr:colOff>693420</xdr:colOff>
          <xdr:row>36</xdr:row>
          <xdr:rowOff>22860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2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34</xdr:row>
          <xdr:rowOff>121920</xdr:rowOff>
        </xdr:from>
        <xdr:to>
          <xdr:col>134</xdr:col>
          <xdr:colOff>312420</xdr:colOff>
          <xdr:row>36</xdr:row>
          <xdr:rowOff>22860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35</xdr:row>
          <xdr:rowOff>121920</xdr:rowOff>
        </xdr:from>
        <xdr:to>
          <xdr:col>134</xdr:col>
          <xdr:colOff>693420</xdr:colOff>
          <xdr:row>37</xdr:row>
          <xdr:rowOff>22860</xdr:rowOff>
        </xdr:to>
        <xdr:sp macro="" textlink="">
          <xdr:nvSpPr>
            <xdr:cNvPr id="2079" name="Check Box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35</xdr:row>
          <xdr:rowOff>121920</xdr:rowOff>
        </xdr:from>
        <xdr:to>
          <xdr:col>134</xdr:col>
          <xdr:colOff>312420</xdr:colOff>
          <xdr:row>37</xdr:row>
          <xdr:rowOff>22860</xdr:rowOff>
        </xdr:to>
        <xdr:sp macro="" textlink="">
          <xdr:nvSpPr>
            <xdr:cNvPr id="2080" name="Check Box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2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36</xdr:row>
          <xdr:rowOff>121920</xdr:rowOff>
        </xdr:from>
        <xdr:to>
          <xdr:col>134</xdr:col>
          <xdr:colOff>693420</xdr:colOff>
          <xdr:row>38</xdr:row>
          <xdr:rowOff>22860</xdr:rowOff>
        </xdr:to>
        <xdr:sp macro="" textlink="">
          <xdr:nvSpPr>
            <xdr:cNvPr id="2081" name="Check Box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2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36</xdr:row>
          <xdr:rowOff>121920</xdr:rowOff>
        </xdr:from>
        <xdr:to>
          <xdr:col>134</xdr:col>
          <xdr:colOff>312420</xdr:colOff>
          <xdr:row>38</xdr:row>
          <xdr:rowOff>22860</xdr:rowOff>
        </xdr:to>
        <xdr:sp macro="" textlink="">
          <xdr:nvSpPr>
            <xdr:cNvPr id="2082" name="Check Box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37</xdr:row>
          <xdr:rowOff>121920</xdr:rowOff>
        </xdr:from>
        <xdr:to>
          <xdr:col>134</xdr:col>
          <xdr:colOff>693420</xdr:colOff>
          <xdr:row>39</xdr:row>
          <xdr:rowOff>22860</xdr:rowOff>
        </xdr:to>
        <xdr:sp macro="" textlink="">
          <xdr:nvSpPr>
            <xdr:cNvPr id="2083" name="Check Box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37</xdr:row>
          <xdr:rowOff>121920</xdr:rowOff>
        </xdr:from>
        <xdr:to>
          <xdr:col>134</xdr:col>
          <xdr:colOff>312420</xdr:colOff>
          <xdr:row>39</xdr:row>
          <xdr:rowOff>22860</xdr:rowOff>
        </xdr:to>
        <xdr:sp macro="" textlink="">
          <xdr:nvSpPr>
            <xdr:cNvPr id="2084" name="Check Box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38</xdr:row>
          <xdr:rowOff>121920</xdr:rowOff>
        </xdr:from>
        <xdr:to>
          <xdr:col>134</xdr:col>
          <xdr:colOff>693420</xdr:colOff>
          <xdr:row>40</xdr:row>
          <xdr:rowOff>22860</xdr:rowOff>
        </xdr:to>
        <xdr:sp macro="" textlink="">
          <xdr:nvSpPr>
            <xdr:cNvPr id="2085" name="Check Box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38</xdr:row>
          <xdr:rowOff>121920</xdr:rowOff>
        </xdr:from>
        <xdr:to>
          <xdr:col>134</xdr:col>
          <xdr:colOff>312420</xdr:colOff>
          <xdr:row>40</xdr:row>
          <xdr:rowOff>22860</xdr:rowOff>
        </xdr:to>
        <xdr:sp macro="" textlink="">
          <xdr:nvSpPr>
            <xdr:cNvPr id="2086" name="Check Box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39</xdr:row>
          <xdr:rowOff>121920</xdr:rowOff>
        </xdr:from>
        <xdr:to>
          <xdr:col>134</xdr:col>
          <xdr:colOff>693420</xdr:colOff>
          <xdr:row>41</xdr:row>
          <xdr:rowOff>22860</xdr:rowOff>
        </xdr:to>
        <xdr:sp macro="" textlink="">
          <xdr:nvSpPr>
            <xdr:cNvPr id="2087" name="Check Box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2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39</xdr:row>
          <xdr:rowOff>121920</xdr:rowOff>
        </xdr:from>
        <xdr:to>
          <xdr:col>134</xdr:col>
          <xdr:colOff>312420</xdr:colOff>
          <xdr:row>41</xdr:row>
          <xdr:rowOff>22860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40</xdr:row>
          <xdr:rowOff>121920</xdr:rowOff>
        </xdr:from>
        <xdr:to>
          <xdr:col>134</xdr:col>
          <xdr:colOff>693420</xdr:colOff>
          <xdr:row>42</xdr:row>
          <xdr:rowOff>22860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40</xdr:row>
          <xdr:rowOff>121920</xdr:rowOff>
        </xdr:from>
        <xdr:to>
          <xdr:col>134</xdr:col>
          <xdr:colOff>312420</xdr:colOff>
          <xdr:row>42</xdr:row>
          <xdr:rowOff>22860</xdr:rowOff>
        </xdr:to>
        <xdr:sp macro="" textlink="">
          <xdr:nvSpPr>
            <xdr:cNvPr id="2090" name="Check Box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41</xdr:row>
          <xdr:rowOff>121920</xdr:rowOff>
        </xdr:from>
        <xdr:to>
          <xdr:col>134</xdr:col>
          <xdr:colOff>693420</xdr:colOff>
          <xdr:row>43</xdr:row>
          <xdr:rowOff>22860</xdr:rowOff>
        </xdr:to>
        <xdr:sp macro="" textlink="">
          <xdr:nvSpPr>
            <xdr:cNvPr id="2091" name="Check Box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2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41</xdr:row>
          <xdr:rowOff>121920</xdr:rowOff>
        </xdr:from>
        <xdr:to>
          <xdr:col>134</xdr:col>
          <xdr:colOff>312420</xdr:colOff>
          <xdr:row>43</xdr:row>
          <xdr:rowOff>22860</xdr:rowOff>
        </xdr:to>
        <xdr:sp macro="" textlink="">
          <xdr:nvSpPr>
            <xdr:cNvPr id="2092" name="Check Box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2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42</xdr:row>
          <xdr:rowOff>121920</xdr:rowOff>
        </xdr:from>
        <xdr:to>
          <xdr:col>134</xdr:col>
          <xdr:colOff>693420</xdr:colOff>
          <xdr:row>44</xdr:row>
          <xdr:rowOff>22860</xdr:rowOff>
        </xdr:to>
        <xdr:sp macro="" textlink="">
          <xdr:nvSpPr>
            <xdr:cNvPr id="2093" name="Check Box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2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42</xdr:row>
          <xdr:rowOff>121920</xdr:rowOff>
        </xdr:from>
        <xdr:to>
          <xdr:col>134</xdr:col>
          <xdr:colOff>312420</xdr:colOff>
          <xdr:row>44</xdr:row>
          <xdr:rowOff>22860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2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43</xdr:row>
          <xdr:rowOff>121920</xdr:rowOff>
        </xdr:from>
        <xdr:to>
          <xdr:col>134</xdr:col>
          <xdr:colOff>693420</xdr:colOff>
          <xdr:row>45</xdr:row>
          <xdr:rowOff>22860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2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43</xdr:row>
          <xdr:rowOff>121920</xdr:rowOff>
        </xdr:from>
        <xdr:to>
          <xdr:col>134</xdr:col>
          <xdr:colOff>312420</xdr:colOff>
          <xdr:row>45</xdr:row>
          <xdr:rowOff>22860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2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44</xdr:row>
          <xdr:rowOff>121920</xdr:rowOff>
        </xdr:from>
        <xdr:to>
          <xdr:col>134</xdr:col>
          <xdr:colOff>693420</xdr:colOff>
          <xdr:row>46</xdr:row>
          <xdr:rowOff>22860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2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44</xdr:row>
          <xdr:rowOff>121920</xdr:rowOff>
        </xdr:from>
        <xdr:to>
          <xdr:col>134</xdr:col>
          <xdr:colOff>312420</xdr:colOff>
          <xdr:row>46</xdr:row>
          <xdr:rowOff>22860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2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45</xdr:row>
          <xdr:rowOff>121920</xdr:rowOff>
        </xdr:from>
        <xdr:to>
          <xdr:col>134</xdr:col>
          <xdr:colOff>693420</xdr:colOff>
          <xdr:row>47</xdr:row>
          <xdr:rowOff>22860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2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45</xdr:row>
          <xdr:rowOff>121920</xdr:rowOff>
        </xdr:from>
        <xdr:to>
          <xdr:col>134</xdr:col>
          <xdr:colOff>312420</xdr:colOff>
          <xdr:row>47</xdr:row>
          <xdr:rowOff>22860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2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51</xdr:row>
          <xdr:rowOff>121920</xdr:rowOff>
        </xdr:from>
        <xdr:to>
          <xdr:col>134</xdr:col>
          <xdr:colOff>693420</xdr:colOff>
          <xdr:row>53</xdr:row>
          <xdr:rowOff>22860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2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51</xdr:row>
          <xdr:rowOff>121920</xdr:rowOff>
        </xdr:from>
        <xdr:to>
          <xdr:col>134</xdr:col>
          <xdr:colOff>312420</xdr:colOff>
          <xdr:row>53</xdr:row>
          <xdr:rowOff>22860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2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52</xdr:row>
          <xdr:rowOff>121920</xdr:rowOff>
        </xdr:from>
        <xdr:to>
          <xdr:col>134</xdr:col>
          <xdr:colOff>693420</xdr:colOff>
          <xdr:row>54</xdr:row>
          <xdr:rowOff>22860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2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52</xdr:row>
          <xdr:rowOff>121920</xdr:rowOff>
        </xdr:from>
        <xdr:to>
          <xdr:col>134</xdr:col>
          <xdr:colOff>312420</xdr:colOff>
          <xdr:row>54</xdr:row>
          <xdr:rowOff>22860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2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53</xdr:row>
          <xdr:rowOff>121920</xdr:rowOff>
        </xdr:from>
        <xdr:to>
          <xdr:col>134</xdr:col>
          <xdr:colOff>693420</xdr:colOff>
          <xdr:row>55</xdr:row>
          <xdr:rowOff>22860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2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53</xdr:row>
          <xdr:rowOff>121920</xdr:rowOff>
        </xdr:from>
        <xdr:to>
          <xdr:col>134</xdr:col>
          <xdr:colOff>312420</xdr:colOff>
          <xdr:row>55</xdr:row>
          <xdr:rowOff>22860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2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54</xdr:row>
          <xdr:rowOff>121920</xdr:rowOff>
        </xdr:from>
        <xdr:to>
          <xdr:col>134</xdr:col>
          <xdr:colOff>693420</xdr:colOff>
          <xdr:row>56</xdr:row>
          <xdr:rowOff>22860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2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54</xdr:row>
          <xdr:rowOff>121920</xdr:rowOff>
        </xdr:from>
        <xdr:to>
          <xdr:col>134</xdr:col>
          <xdr:colOff>312420</xdr:colOff>
          <xdr:row>56</xdr:row>
          <xdr:rowOff>22860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2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55</xdr:row>
          <xdr:rowOff>121920</xdr:rowOff>
        </xdr:from>
        <xdr:to>
          <xdr:col>134</xdr:col>
          <xdr:colOff>693420</xdr:colOff>
          <xdr:row>57</xdr:row>
          <xdr:rowOff>22860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2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55</xdr:row>
          <xdr:rowOff>121920</xdr:rowOff>
        </xdr:from>
        <xdr:to>
          <xdr:col>134</xdr:col>
          <xdr:colOff>312420</xdr:colOff>
          <xdr:row>57</xdr:row>
          <xdr:rowOff>22860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56</xdr:row>
          <xdr:rowOff>121920</xdr:rowOff>
        </xdr:from>
        <xdr:to>
          <xdr:col>134</xdr:col>
          <xdr:colOff>693420</xdr:colOff>
          <xdr:row>58</xdr:row>
          <xdr:rowOff>22860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2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56</xdr:row>
          <xdr:rowOff>121920</xdr:rowOff>
        </xdr:from>
        <xdr:to>
          <xdr:col>134</xdr:col>
          <xdr:colOff>312420</xdr:colOff>
          <xdr:row>58</xdr:row>
          <xdr:rowOff>22860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2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57</xdr:row>
          <xdr:rowOff>121920</xdr:rowOff>
        </xdr:from>
        <xdr:to>
          <xdr:col>134</xdr:col>
          <xdr:colOff>693420</xdr:colOff>
          <xdr:row>59</xdr:row>
          <xdr:rowOff>22860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2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57</xdr:row>
          <xdr:rowOff>121920</xdr:rowOff>
        </xdr:from>
        <xdr:to>
          <xdr:col>134</xdr:col>
          <xdr:colOff>312420</xdr:colOff>
          <xdr:row>59</xdr:row>
          <xdr:rowOff>22860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2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58</xdr:row>
          <xdr:rowOff>121920</xdr:rowOff>
        </xdr:from>
        <xdr:to>
          <xdr:col>134</xdr:col>
          <xdr:colOff>693420</xdr:colOff>
          <xdr:row>60</xdr:row>
          <xdr:rowOff>22860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2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58</xdr:row>
          <xdr:rowOff>121920</xdr:rowOff>
        </xdr:from>
        <xdr:to>
          <xdr:col>134</xdr:col>
          <xdr:colOff>312420</xdr:colOff>
          <xdr:row>60</xdr:row>
          <xdr:rowOff>22860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2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59</xdr:row>
          <xdr:rowOff>121920</xdr:rowOff>
        </xdr:from>
        <xdr:to>
          <xdr:col>134</xdr:col>
          <xdr:colOff>693420</xdr:colOff>
          <xdr:row>61</xdr:row>
          <xdr:rowOff>22860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2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59</xdr:row>
          <xdr:rowOff>121920</xdr:rowOff>
        </xdr:from>
        <xdr:to>
          <xdr:col>134</xdr:col>
          <xdr:colOff>312420</xdr:colOff>
          <xdr:row>61</xdr:row>
          <xdr:rowOff>22860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2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60</xdr:row>
          <xdr:rowOff>121920</xdr:rowOff>
        </xdr:from>
        <xdr:to>
          <xdr:col>134</xdr:col>
          <xdr:colOff>693420</xdr:colOff>
          <xdr:row>62</xdr:row>
          <xdr:rowOff>22860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2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60</xdr:row>
          <xdr:rowOff>121920</xdr:rowOff>
        </xdr:from>
        <xdr:to>
          <xdr:col>134</xdr:col>
          <xdr:colOff>312420</xdr:colOff>
          <xdr:row>62</xdr:row>
          <xdr:rowOff>22860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2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61</xdr:row>
          <xdr:rowOff>121920</xdr:rowOff>
        </xdr:from>
        <xdr:to>
          <xdr:col>134</xdr:col>
          <xdr:colOff>693420</xdr:colOff>
          <xdr:row>63</xdr:row>
          <xdr:rowOff>22860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2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61</xdr:row>
          <xdr:rowOff>121920</xdr:rowOff>
        </xdr:from>
        <xdr:to>
          <xdr:col>134</xdr:col>
          <xdr:colOff>312420</xdr:colOff>
          <xdr:row>63</xdr:row>
          <xdr:rowOff>22860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2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62</xdr:row>
          <xdr:rowOff>121920</xdr:rowOff>
        </xdr:from>
        <xdr:to>
          <xdr:col>134</xdr:col>
          <xdr:colOff>693420</xdr:colOff>
          <xdr:row>64</xdr:row>
          <xdr:rowOff>22860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2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62</xdr:row>
          <xdr:rowOff>121920</xdr:rowOff>
        </xdr:from>
        <xdr:to>
          <xdr:col>134</xdr:col>
          <xdr:colOff>312420</xdr:colOff>
          <xdr:row>64</xdr:row>
          <xdr:rowOff>22860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2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63</xdr:row>
          <xdr:rowOff>121920</xdr:rowOff>
        </xdr:from>
        <xdr:to>
          <xdr:col>134</xdr:col>
          <xdr:colOff>693420</xdr:colOff>
          <xdr:row>65</xdr:row>
          <xdr:rowOff>22860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2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63</xdr:row>
          <xdr:rowOff>121920</xdr:rowOff>
        </xdr:from>
        <xdr:to>
          <xdr:col>134</xdr:col>
          <xdr:colOff>312420</xdr:colOff>
          <xdr:row>65</xdr:row>
          <xdr:rowOff>22860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2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64</xdr:row>
          <xdr:rowOff>121920</xdr:rowOff>
        </xdr:from>
        <xdr:to>
          <xdr:col>134</xdr:col>
          <xdr:colOff>693420</xdr:colOff>
          <xdr:row>66</xdr:row>
          <xdr:rowOff>22860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2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64</xdr:row>
          <xdr:rowOff>121920</xdr:rowOff>
        </xdr:from>
        <xdr:to>
          <xdr:col>134</xdr:col>
          <xdr:colOff>312420</xdr:colOff>
          <xdr:row>66</xdr:row>
          <xdr:rowOff>22860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2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65</xdr:row>
          <xdr:rowOff>121920</xdr:rowOff>
        </xdr:from>
        <xdr:to>
          <xdr:col>134</xdr:col>
          <xdr:colOff>693420</xdr:colOff>
          <xdr:row>67</xdr:row>
          <xdr:rowOff>22860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2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65</xdr:row>
          <xdr:rowOff>121920</xdr:rowOff>
        </xdr:from>
        <xdr:to>
          <xdr:col>134</xdr:col>
          <xdr:colOff>312420</xdr:colOff>
          <xdr:row>67</xdr:row>
          <xdr:rowOff>22860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2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66</xdr:row>
          <xdr:rowOff>121920</xdr:rowOff>
        </xdr:from>
        <xdr:to>
          <xdr:col>134</xdr:col>
          <xdr:colOff>693420</xdr:colOff>
          <xdr:row>68</xdr:row>
          <xdr:rowOff>22860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2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66</xdr:row>
          <xdr:rowOff>121920</xdr:rowOff>
        </xdr:from>
        <xdr:to>
          <xdr:col>134</xdr:col>
          <xdr:colOff>312420</xdr:colOff>
          <xdr:row>68</xdr:row>
          <xdr:rowOff>22860</xdr:rowOff>
        </xdr:to>
        <xdr:sp macro="" textlink="">
          <xdr:nvSpPr>
            <xdr:cNvPr id="2132" name="Check Box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2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67</xdr:row>
          <xdr:rowOff>121920</xdr:rowOff>
        </xdr:from>
        <xdr:to>
          <xdr:col>134</xdr:col>
          <xdr:colOff>693420</xdr:colOff>
          <xdr:row>69</xdr:row>
          <xdr:rowOff>22860</xdr:rowOff>
        </xdr:to>
        <xdr:sp macro="" textlink="">
          <xdr:nvSpPr>
            <xdr:cNvPr id="2133" name="Check Box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2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67</xdr:row>
          <xdr:rowOff>121920</xdr:rowOff>
        </xdr:from>
        <xdr:to>
          <xdr:col>134</xdr:col>
          <xdr:colOff>312420</xdr:colOff>
          <xdr:row>69</xdr:row>
          <xdr:rowOff>22860</xdr:rowOff>
        </xdr:to>
        <xdr:sp macro="" textlink="">
          <xdr:nvSpPr>
            <xdr:cNvPr id="2134" name="Check Box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2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68</xdr:row>
          <xdr:rowOff>121920</xdr:rowOff>
        </xdr:from>
        <xdr:to>
          <xdr:col>134</xdr:col>
          <xdr:colOff>693420</xdr:colOff>
          <xdr:row>70</xdr:row>
          <xdr:rowOff>22860</xdr:rowOff>
        </xdr:to>
        <xdr:sp macro="" textlink="">
          <xdr:nvSpPr>
            <xdr:cNvPr id="2135" name="Check Box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2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68</xdr:row>
          <xdr:rowOff>121920</xdr:rowOff>
        </xdr:from>
        <xdr:to>
          <xdr:col>134</xdr:col>
          <xdr:colOff>312420</xdr:colOff>
          <xdr:row>70</xdr:row>
          <xdr:rowOff>22860</xdr:rowOff>
        </xdr:to>
        <xdr:sp macro="" textlink="">
          <xdr:nvSpPr>
            <xdr:cNvPr id="2136" name="Check Box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2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69</xdr:row>
          <xdr:rowOff>121920</xdr:rowOff>
        </xdr:from>
        <xdr:to>
          <xdr:col>134</xdr:col>
          <xdr:colOff>693420</xdr:colOff>
          <xdr:row>71</xdr:row>
          <xdr:rowOff>22860</xdr:rowOff>
        </xdr:to>
        <xdr:sp macro="" textlink="">
          <xdr:nvSpPr>
            <xdr:cNvPr id="2137" name="Check Box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2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69</xdr:row>
          <xdr:rowOff>121920</xdr:rowOff>
        </xdr:from>
        <xdr:to>
          <xdr:col>134</xdr:col>
          <xdr:colOff>312420</xdr:colOff>
          <xdr:row>71</xdr:row>
          <xdr:rowOff>22860</xdr:rowOff>
        </xdr:to>
        <xdr:sp macro="" textlink="">
          <xdr:nvSpPr>
            <xdr:cNvPr id="2138" name="Check Box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2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70</xdr:row>
          <xdr:rowOff>121920</xdr:rowOff>
        </xdr:from>
        <xdr:to>
          <xdr:col>134</xdr:col>
          <xdr:colOff>693420</xdr:colOff>
          <xdr:row>72</xdr:row>
          <xdr:rowOff>22860</xdr:rowOff>
        </xdr:to>
        <xdr:sp macro="" textlink="">
          <xdr:nvSpPr>
            <xdr:cNvPr id="2139" name="Check Box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2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70</xdr:row>
          <xdr:rowOff>121920</xdr:rowOff>
        </xdr:from>
        <xdr:to>
          <xdr:col>134</xdr:col>
          <xdr:colOff>312420</xdr:colOff>
          <xdr:row>72</xdr:row>
          <xdr:rowOff>22860</xdr:rowOff>
        </xdr:to>
        <xdr:sp macro="" textlink="">
          <xdr:nvSpPr>
            <xdr:cNvPr id="2140" name="Check Box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2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71</xdr:row>
          <xdr:rowOff>121920</xdr:rowOff>
        </xdr:from>
        <xdr:to>
          <xdr:col>134</xdr:col>
          <xdr:colOff>693420</xdr:colOff>
          <xdr:row>73</xdr:row>
          <xdr:rowOff>22860</xdr:rowOff>
        </xdr:to>
        <xdr:sp macro="" textlink="">
          <xdr:nvSpPr>
            <xdr:cNvPr id="2141" name="Check Box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2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71</xdr:row>
          <xdr:rowOff>121920</xdr:rowOff>
        </xdr:from>
        <xdr:to>
          <xdr:col>134</xdr:col>
          <xdr:colOff>312420</xdr:colOff>
          <xdr:row>73</xdr:row>
          <xdr:rowOff>22860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2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72</xdr:row>
          <xdr:rowOff>121920</xdr:rowOff>
        </xdr:from>
        <xdr:to>
          <xdr:col>134</xdr:col>
          <xdr:colOff>693420</xdr:colOff>
          <xdr:row>74</xdr:row>
          <xdr:rowOff>22860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2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72</xdr:row>
          <xdr:rowOff>121920</xdr:rowOff>
        </xdr:from>
        <xdr:to>
          <xdr:col>134</xdr:col>
          <xdr:colOff>312420</xdr:colOff>
          <xdr:row>74</xdr:row>
          <xdr:rowOff>22860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2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73</xdr:row>
          <xdr:rowOff>121920</xdr:rowOff>
        </xdr:from>
        <xdr:to>
          <xdr:col>134</xdr:col>
          <xdr:colOff>693420</xdr:colOff>
          <xdr:row>75</xdr:row>
          <xdr:rowOff>22860</xdr:rowOff>
        </xdr:to>
        <xdr:sp macro="" textlink="">
          <xdr:nvSpPr>
            <xdr:cNvPr id="2145" name="Check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2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73</xdr:row>
          <xdr:rowOff>121920</xdr:rowOff>
        </xdr:from>
        <xdr:to>
          <xdr:col>134</xdr:col>
          <xdr:colOff>312420</xdr:colOff>
          <xdr:row>75</xdr:row>
          <xdr:rowOff>22860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2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74</xdr:row>
          <xdr:rowOff>121920</xdr:rowOff>
        </xdr:from>
        <xdr:to>
          <xdr:col>134</xdr:col>
          <xdr:colOff>693420</xdr:colOff>
          <xdr:row>76</xdr:row>
          <xdr:rowOff>22860</xdr:rowOff>
        </xdr:to>
        <xdr:sp macro="" textlink="">
          <xdr:nvSpPr>
            <xdr:cNvPr id="2147" name="Check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2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74</xdr:row>
          <xdr:rowOff>121920</xdr:rowOff>
        </xdr:from>
        <xdr:to>
          <xdr:col>134</xdr:col>
          <xdr:colOff>312420</xdr:colOff>
          <xdr:row>76</xdr:row>
          <xdr:rowOff>22860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2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75</xdr:row>
          <xdr:rowOff>121920</xdr:rowOff>
        </xdr:from>
        <xdr:to>
          <xdr:col>134</xdr:col>
          <xdr:colOff>693420</xdr:colOff>
          <xdr:row>77</xdr:row>
          <xdr:rowOff>22860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2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75</xdr:row>
          <xdr:rowOff>121920</xdr:rowOff>
        </xdr:from>
        <xdr:to>
          <xdr:col>134</xdr:col>
          <xdr:colOff>312420</xdr:colOff>
          <xdr:row>77</xdr:row>
          <xdr:rowOff>22860</xdr:rowOff>
        </xdr:to>
        <xdr:sp macro="" textlink="">
          <xdr:nvSpPr>
            <xdr:cNvPr id="2150" name="Check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2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76</xdr:row>
          <xdr:rowOff>121920</xdr:rowOff>
        </xdr:from>
        <xdr:to>
          <xdr:col>134</xdr:col>
          <xdr:colOff>693420</xdr:colOff>
          <xdr:row>78</xdr:row>
          <xdr:rowOff>22860</xdr:rowOff>
        </xdr:to>
        <xdr:sp macro="" textlink="">
          <xdr:nvSpPr>
            <xdr:cNvPr id="2151" name="Check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2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76</xdr:row>
          <xdr:rowOff>121920</xdr:rowOff>
        </xdr:from>
        <xdr:to>
          <xdr:col>134</xdr:col>
          <xdr:colOff>312420</xdr:colOff>
          <xdr:row>78</xdr:row>
          <xdr:rowOff>22860</xdr:rowOff>
        </xdr:to>
        <xdr:sp macro="" textlink="">
          <xdr:nvSpPr>
            <xdr:cNvPr id="2152" name="Check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2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77</xdr:row>
          <xdr:rowOff>121920</xdr:rowOff>
        </xdr:from>
        <xdr:to>
          <xdr:col>134</xdr:col>
          <xdr:colOff>693420</xdr:colOff>
          <xdr:row>79</xdr:row>
          <xdr:rowOff>22860</xdr:rowOff>
        </xdr:to>
        <xdr:sp macro="" textlink="">
          <xdr:nvSpPr>
            <xdr:cNvPr id="2153" name="Check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2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77</xdr:row>
          <xdr:rowOff>121920</xdr:rowOff>
        </xdr:from>
        <xdr:to>
          <xdr:col>134</xdr:col>
          <xdr:colOff>312420</xdr:colOff>
          <xdr:row>79</xdr:row>
          <xdr:rowOff>22860</xdr:rowOff>
        </xdr:to>
        <xdr:sp macro="" textlink="">
          <xdr:nvSpPr>
            <xdr:cNvPr id="2154" name="Check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2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78</xdr:row>
          <xdr:rowOff>121920</xdr:rowOff>
        </xdr:from>
        <xdr:to>
          <xdr:col>134</xdr:col>
          <xdr:colOff>693420</xdr:colOff>
          <xdr:row>80</xdr:row>
          <xdr:rowOff>22860</xdr:rowOff>
        </xdr:to>
        <xdr:sp macro="" textlink="">
          <xdr:nvSpPr>
            <xdr:cNvPr id="2155" name="Check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2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78</xdr:row>
          <xdr:rowOff>121920</xdr:rowOff>
        </xdr:from>
        <xdr:to>
          <xdr:col>134</xdr:col>
          <xdr:colOff>312420</xdr:colOff>
          <xdr:row>80</xdr:row>
          <xdr:rowOff>22860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2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79</xdr:row>
          <xdr:rowOff>121920</xdr:rowOff>
        </xdr:from>
        <xdr:to>
          <xdr:col>134</xdr:col>
          <xdr:colOff>693420</xdr:colOff>
          <xdr:row>81</xdr:row>
          <xdr:rowOff>22860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2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79</xdr:row>
          <xdr:rowOff>121920</xdr:rowOff>
        </xdr:from>
        <xdr:to>
          <xdr:col>134</xdr:col>
          <xdr:colOff>312420</xdr:colOff>
          <xdr:row>81</xdr:row>
          <xdr:rowOff>22860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2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80</xdr:row>
          <xdr:rowOff>121920</xdr:rowOff>
        </xdr:from>
        <xdr:to>
          <xdr:col>134</xdr:col>
          <xdr:colOff>693420</xdr:colOff>
          <xdr:row>82</xdr:row>
          <xdr:rowOff>22860</xdr:rowOff>
        </xdr:to>
        <xdr:sp macro="" textlink="">
          <xdr:nvSpPr>
            <xdr:cNvPr id="2159" name="Check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2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80</xdr:row>
          <xdr:rowOff>121920</xdr:rowOff>
        </xdr:from>
        <xdr:to>
          <xdr:col>134</xdr:col>
          <xdr:colOff>312420</xdr:colOff>
          <xdr:row>82</xdr:row>
          <xdr:rowOff>22860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2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81</xdr:row>
          <xdr:rowOff>121920</xdr:rowOff>
        </xdr:from>
        <xdr:to>
          <xdr:col>134</xdr:col>
          <xdr:colOff>693420</xdr:colOff>
          <xdr:row>83</xdr:row>
          <xdr:rowOff>22860</xdr:rowOff>
        </xdr:to>
        <xdr:sp macro="" textlink="">
          <xdr:nvSpPr>
            <xdr:cNvPr id="2161" name="Check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2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81</xdr:row>
          <xdr:rowOff>121920</xdr:rowOff>
        </xdr:from>
        <xdr:to>
          <xdr:col>134</xdr:col>
          <xdr:colOff>312420</xdr:colOff>
          <xdr:row>83</xdr:row>
          <xdr:rowOff>22860</xdr:rowOff>
        </xdr:to>
        <xdr:sp macro="" textlink="">
          <xdr:nvSpPr>
            <xdr:cNvPr id="2162" name="Check Box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2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82</xdr:row>
          <xdr:rowOff>121920</xdr:rowOff>
        </xdr:from>
        <xdr:to>
          <xdr:col>134</xdr:col>
          <xdr:colOff>693420</xdr:colOff>
          <xdr:row>84</xdr:row>
          <xdr:rowOff>22860</xdr:rowOff>
        </xdr:to>
        <xdr:sp macro="" textlink="">
          <xdr:nvSpPr>
            <xdr:cNvPr id="2163" name="Check Box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2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82</xdr:row>
          <xdr:rowOff>121920</xdr:rowOff>
        </xdr:from>
        <xdr:to>
          <xdr:col>134</xdr:col>
          <xdr:colOff>312420</xdr:colOff>
          <xdr:row>84</xdr:row>
          <xdr:rowOff>22860</xdr:rowOff>
        </xdr:to>
        <xdr:sp macro="" textlink="">
          <xdr:nvSpPr>
            <xdr:cNvPr id="2164" name="Check Box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2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83</xdr:row>
          <xdr:rowOff>121920</xdr:rowOff>
        </xdr:from>
        <xdr:to>
          <xdr:col>134</xdr:col>
          <xdr:colOff>693420</xdr:colOff>
          <xdr:row>85</xdr:row>
          <xdr:rowOff>22860</xdr:rowOff>
        </xdr:to>
        <xdr:sp macro="" textlink="">
          <xdr:nvSpPr>
            <xdr:cNvPr id="2165" name="Check Box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2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83</xdr:row>
          <xdr:rowOff>121920</xdr:rowOff>
        </xdr:from>
        <xdr:to>
          <xdr:col>134</xdr:col>
          <xdr:colOff>312420</xdr:colOff>
          <xdr:row>85</xdr:row>
          <xdr:rowOff>22860</xdr:rowOff>
        </xdr:to>
        <xdr:sp macro="" textlink="">
          <xdr:nvSpPr>
            <xdr:cNvPr id="2166" name="Check Box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2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84</xdr:row>
          <xdr:rowOff>121920</xdr:rowOff>
        </xdr:from>
        <xdr:to>
          <xdr:col>134</xdr:col>
          <xdr:colOff>693420</xdr:colOff>
          <xdr:row>86</xdr:row>
          <xdr:rowOff>22860</xdr:rowOff>
        </xdr:to>
        <xdr:sp macro="" textlink="">
          <xdr:nvSpPr>
            <xdr:cNvPr id="2167" name="Check Box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2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84</xdr:row>
          <xdr:rowOff>121920</xdr:rowOff>
        </xdr:from>
        <xdr:to>
          <xdr:col>134</xdr:col>
          <xdr:colOff>312420</xdr:colOff>
          <xdr:row>86</xdr:row>
          <xdr:rowOff>22860</xdr:rowOff>
        </xdr:to>
        <xdr:sp macro="" textlink="">
          <xdr:nvSpPr>
            <xdr:cNvPr id="2168" name="Check Box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85</xdr:row>
          <xdr:rowOff>121920</xdr:rowOff>
        </xdr:from>
        <xdr:to>
          <xdr:col>134</xdr:col>
          <xdr:colOff>693420</xdr:colOff>
          <xdr:row>87</xdr:row>
          <xdr:rowOff>22860</xdr:rowOff>
        </xdr:to>
        <xdr:sp macro="" textlink="">
          <xdr:nvSpPr>
            <xdr:cNvPr id="2169" name="Check Box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85</xdr:row>
          <xdr:rowOff>121920</xdr:rowOff>
        </xdr:from>
        <xdr:to>
          <xdr:col>134</xdr:col>
          <xdr:colOff>312420</xdr:colOff>
          <xdr:row>87</xdr:row>
          <xdr:rowOff>22860</xdr:rowOff>
        </xdr:to>
        <xdr:sp macro="" textlink="">
          <xdr:nvSpPr>
            <xdr:cNvPr id="2170" name="Check Box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86</xdr:row>
          <xdr:rowOff>121920</xdr:rowOff>
        </xdr:from>
        <xdr:to>
          <xdr:col>134</xdr:col>
          <xdr:colOff>693420</xdr:colOff>
          <xdr:row>88</xdr:row>
          <xdr:rowOff>22860</xdr:rowOff>
        </xdr:to>
        <xdr:sp macro="" textlink="">
          <xdr:nvSpPr>
            <xdr:cNvPr id="2171" name="Check Box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86</xdr:row>
          <xdr:rowOff>121920</xdr:rowOff>
        </xdr:from>
        <xdr:to>
          <xdr:col>134</xdr:col>
          <xdr:colOff>312420</xdr:colOff>
          <xdr:row>88</xdr:row>
          <xdr:rowOff>22860</xdr:rowOff>
        </xdr:to>
        <xdr:sp macro="" textlink="">
          <xdr:nvSpPr>
            <xdr:cNvPr id="2172" name="Check Box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87</xdr:row>
          <xdr:rowOff>121920</xdr:rowOff>
        </xdr:from>
        <xdr:to>
          <xdr:col>134</xdr:col>
          <xdr:colOff>693420</xdr:colOff>
          <xdr:row>89</xdr:row>
          <xdr:rowOff>22860</xdr:rowOff>
        </xdr:to>
        <xdr:sp macro="" textlink="">
          <xdr:nvSpPr>
            <xdr:cNvPr id="2173" name="Check Box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87</xdr:row>
          <xdr:rowOff>121920</xdr:rowOff>
        </xdr:from>
        <xdr:to>
          <xdr:col>134</xdr:col>
          <xdr:colOff>312420</xdr:colOff>
          <xdr:row>89</xdr:row>
          <xdr:rowOff>22860</xdr:rowOff>
        </xdr:to>
        <xdr:sp macro="" textlink="">
          <xdr:nvSpPr>
            <xdr:cNvPr id="2174" name="Check Box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88</xdr:row>
          <xdr:rowOff>121920</xdr:rowOff>
        </xdr:from>
        <xdr:to>
          <xdr:col>134</xdr:col>
          <xdr:colOff>693420</xdr:colOff>
          <xdr:row>90</xdr:row>
          <xdr:rowOff>22860</xdr:rowOff>
        </xdr:to>
        <xdr:sp macro="" textlink="">
          <xdr:nvSpPr>
            <xdr:cNvPr id="2175" name="Check Box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88</xdr:row>
          <xdr:rowOff>121920</xdr:rowOff>
        </xdr:from>
        <xdr:to>
          <xdr:col>134</xdr:col>
          <xdr:colOff>312420</xdr:colOff>
          <xdr:row>90</xdr:row>
          <xdr:rowOff>22860</xdr:rowOff>
        </xdr:to>
        <xdr:sp macro="" textlink="">
          <xdr:nvSpPr>
            <xdr:cNvPr id="2176" name="Check Box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89</xdr:row>
          <xdr:rowOff>121920</xdr:rowOff>
        </xdr:from>
        <xdr:to>
          <xdr:col>134</xdr:col>
          <xdr:colOff>693420</xdr:colOff>
          <xdr:row>91</xdr:row>
          <xdr:rowOff>22860</xdr:rowOff>
        </xdr:to>
        <xdr:sp macro="" textlink="">
          <xdr:nvSpPr>
            <xdr:cNvPr id="2177" name="Check Box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89</xdr:row>
          <xdr:rowOff>121920</xdr:rowOff>
        </xdr:from>
        <xdr:to>
          <xdr:col>134</xdr:col>
          <xdr:colOff>312420</xdr:colOff>
          <xdr:row>91</xdr:row>
          <xdr:rowOff>22860</xdr:rowOff>
        </xdr:to>
        <xdr:sp macro="" textlink="">
          <xdr:nvSpPr>
            <xdr:cNvPr id="2178" name="Check Box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90</xdr:row>
          <xdr:rowOff>121920</xdr:rowOff>
        </xdr:from>
        <xdr:to>
          <xdr:col>134</xdr:col>
          <xdr:colOff>693420</xdr:colOff>
          <xdr:row>92</xdr:row>
          <xdr:rowOff>22860</xdr:rowOff>
        </xdr:to>
        <xdr:sp macro="" textlink="">
          <xdr:nvSpPr>
            <xdr:cNvPr id="2179" name="Check Box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90</xdr:row>
          <xdr:rowOff>121920</xdr:rowOff>
        </xdr:from>
        <xdr:to>
          <xdr:col>134</xdr:col>
          <xdr:colOff>312420</xdr:colOff>
          <xdr:row>92</xdr:row>
          <xdr:rowOff>22860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91</xdr:row>
          <xdr:rowOff>121920</xdr:rowOff>
        </xdr:from>
        <xdr:to>
          <xdr:col>134</xdr:col>
          <xdr:colOff>693420</xdr:colOff>
          <xdr:row>93</xdr:row>
          <xdr:rowOff>22860</xdr:rowOff>
        </xdr:to>
        <xdr:sp macro="" textlink="">
          <xdr:nvSpPr>
            <xdr:cNvPr id="2181" name="Check Box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91</xdr:row>
          <xdr:rowOff>121920</xdr:rowOff>
        </xdr:from>
        <xdr:to>
          <xdr:col>134</xdr:col>
          <xdr:colOff>312420</xdr:colOff>
          <xdr:row>93</xdr:row>
          <xdr:rowOff>22860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2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92</xdr:row>
          <xdr:rowOff>121920</xdr:rowOff>
        </xdr:from>
        <xdr:to>
          <xdr:col>134</xdr:col>
          <xdr:colOff>693420</xdr:colOff>
          <xdr:row>94</xdr:row>
          <xdr:rowOff>22860</xdr:rowOff>
        </xdr:to>
        <xdr:sp macro="" textlink="">
          <xdr:nvSpPr>
            <xdr:cNvPr id="2183" name="Check Box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2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92</xdr:row>
          <xdr:rowOff>121920</xdr:rowOff>
        </xdr:from>
        <xdr:to>
          <xdr:col>134</xdr:col>
          <xdr:colOff>312420</xdr:colOff>
          <xdr:row>94</xdr:row>
          <xdr:rowOff>22860</xdr:rowOff>
        </xdr:to>
        <xdr:sp macro="" textlink="">
          <xdr:nvSpPr>
            <xdr:cNvPr id="2184" name="Check Box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2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93</xdr:row>
          <xdr:rowOff>121920</xdr:rowOff>
        </xdr:from>
        <xdr:to>
          <xdr:col>134</xdr:col>
          <xdr:colOff>693420</xdr:colOff>
          <xdr:row>95</xdr:row>
          <xdr:rowOff>22860</xdr:rowOff>
        </xdr:to>
        <xdr:sp macro="" textlink="">
          <xdr:nvSpPr>
            <xdr:cNvPr id="2185" name="Check Box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2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93</xdr:row>
          <xdr:rowOff>121920</xdr:rowOff>
        </xdr:from>
        <xdr:to>
          <xdr:col>134</xdr:col>
          <xdr:colOff>312420</xdr:colOff>
          <xdr:row>95</xdr:row>
          <xdr:rowOff>22860</xdr:rowOff>
        </xdr:to>
        <xdr:sp macro="" textlink="">
          <xdr:nvSpPr>
            <xdr:cNvPr id="2186" name="Check Box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2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94</xdr:row>
          <xdr:rowOff>121920</xdr:rowOff>
        </xdr:from>
        <xdr:to>
          <xdr:col>134</xdr:col>
          <xdr:colOff>693420</xdr:colOff>
          <xdr:row>96</xdr:row>
          <xdr:rowOff>22860</xdr:rowOff>
        </xdr:to>
        <xdr:sp macro="" textlink="">
          <xdr:nvSpPr>
            <xdr:cNvPr id="2187" name="Check Box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2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94</xdr:row>
          <xdr:rowOff>121920</xdr:rowOff>
        </xdr:from>
        <xdr:to>
          <xdr:col>134</xdr:col>
          <xdr:colOff>312420</xdr:colOff>
          <xdr:row>96</xdr:row>
          <xdr:rowOff>22860</xdr:rowOff>
        </xdr:to>
        <xdr:sp macro="" textlink="">
          <xdr:nvSpPr>
            <xdr:cNvPr id="2188" name="Check Box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2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95</xdr:row>
          <xdr:rowOff>121920</xdr:rowOff>
        </xdr:from>
        <xdr:to>
          <xdr:col>134</xdr:col>
          <xdr:colOff>693420</xdr:colOff>
          <xdr:row>97</xdr:row>
          <xdr:rowOff>22860</xdr:rowOff>
        </xdr:to>
        <xdr:sp macro="" textlink="">
          <xdr:nvSpPr>
            <xdr:cNvPr id="2189" name="Check Box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2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95</xdr:row>
          <xdr:rowOff>121920</xdr:rowOff>
        </xdr:from>
        <xdr:to>
          <xdr:col>134</xdr:col>
          <xdr:colOff>312420</xdr:colOff>
          <xdr:row>97</xdr:row>
          <xdr:rowOff>22860</xdr:rowOff>
        </xdr:to>
        <xdr:sp macro="" textlink="">
          <xdr:nvSpPr>
            <xdr:cNvPr id="2190" name="Check Box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2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96</xdr:row>
          <xdr:rowOff>121920</xdr:rowOff>
        </xdr:from>
        <xdr:to>
          <xdr:col>134</xdr:col>
          <xdr:colOff>693420</xdr:colOff>
          <xdr:row>98</xdr:row>
          <xdr:rowOff>22860</xdr:rowOff>
        </xdr:to>
        <xdr:sp macro="" textlink="">
          <xdr:nvSpPr>
            <xdr:cNvPr id="2191" name="Check Box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2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96</xdr:row>
          <xdr:rowOff>121920</xdr:rowOff>
        </xdr:from>
        <xdr:to>
          <xdr:col>134</xdr:col>
          <xdr:colOff>312420</xdr:colOff>
          <xdr:row>98</xdr:row>
          <xdr:rowOff>22860</xdr:rowOff>
        </xdr:to>
        <xdr:sp macro="" textlink="">
          <xdr:nvSpPr>
            <xdr:cNvPr id="2192" name="Check Box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2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97</xdr:row>
          <xdr:rowOff>121920</xdr:rowOff>
        </xdr:from>
        <xdr:to>
          <xdr:col>134</xdr:col>
          <xdr:colOff>693420</xdr:colOff>
          <xdr:row>99</xdr:row>
          <xdr:rowOff>22860</xdr:rowOff>
        </xdr:to>
        <xdr:sp macro="" textlink="">
          <xdr:nvSpPr>
            <xdr:cNvPr id="2193" name="Check Box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2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97</xdr:row>
          <xdr:rowOff>121920</xdr:rowOff>
        </xdr:from>
        <xdr:to>
          <xdr:col>134</xdr:col>
          <xdr:colOff>312420</xdr:colOff>
          <xdr:row>99</xdr:row>
          <xdr:rowOff>22860</xdr:rowOff>
        </xdr:to>
        <xdr:sp macro="" textlink="">
          <xdr:nvSpPr>
            <xdr:cNvPr id="2194" name="Check Box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2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98</xdr:row>
          <xdr:rowOff>121920</xdr:rowOff>
        </xdr:from>
        <xdr:to>
          <xdr:col>134</xdr:col>
          <xdr:colOff>693420</xdr:colOff>
          <xdr:row>100</xdr:row>
          <xdr:rowOff>22860</xdr:rowOff>
        </xdr:to>
        <xdr:sp macro="" textlink="">
          <xdr:nvSpPr>
            <xdr:cNvPr id="2195" name="Check Box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2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98</xdr:row>
          <xdr:rowOff>121920</xdr:rowOff>
        </xdr:from>
        <xdr:to>
          <xdr:col>134</xdr:col>
          <xdr:colOff>312420</xdr:colOff>
          <xdr:row>100</xdr:row>
          <xdr:rowOff>22860</xdr:rowOff>
        </xdr:to>
        <xdr:sp macro="" textlink="">
          <xdr:nvSpPr>
            <xdr:cNvPr id="2196" name="Check Box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2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99</xdr:row>
          <xdr:rowOff>121920</xdr:rowOff>
        </xdr:from>
        <xdr:to>
          <xdr:col>134</xdr:col>
          <xdr:colOff>693420</xdr:colOff>
          <xdr:row>101</xdr:row>
          <xdr:rowOff>22860</xdr:rowOff>
        </xdr:to>
        <xdr:sp macro="" textlink="">
          <xdr:nvSpPr>
            <xdr:cNvPr id="2197" name="Check Box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2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99</xdr:row>
          <xdr:rowOff>121920</xdr:rowOff>
        </xdr:from>
        <xdr:to>
          <xdr:col>134</xdr:col>
          <xdr:colOff>312420</xdr:colOff>
          <xdr:row>101</xdr:row>
          <xdr:rowOff>22860</xdr:rowOff>
        </xdr:to>
        <xdr:sp macro="" textlink="">
          <xdr:nvSpPr>
            <xdr:cNvPr id="2198" name="Check Box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2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100</xdr:row>
          <xdr:rowOff>121920</xdr:rowOff>
        </xdr:from>
        <xdr:to>
          <xdr:col>134</xdr:col>
          <xdr:colOff>693420</xdr:colOff>
          <xdr:row>102</xdr:row>
          <xdr:rowOff>22860</xdr:rowOff>
        </xdr:to>
        <xdr:sp macro="" textlink="">
          <xdr:nvSpPr>
            <xdr:cNvPr id="2199" name="Check Box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2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100</xdr:row>
          <xdr:rowOff>121920</xdr:rowOff>
        </xdr:from>
        <xdr:to>
          <xdr:col>134</xdr:col>
          <xdr:colOff>312420</xdr:colOff>
          <xdr:row>102</xdr:row>
          <xdr:rowOff>22860</xdr:rowOff>
        </xdr:to>
        <xdr:sp macro="" textlink="">
          <xdr:nvSpPr>
            <xdr:cNvPr id="2200" name="Check Box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2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101</xdr:row>
          <xdr:rowOff>121920</xdr:rowOff>
        </xdr:from>
        <xdr:to>
          <xdr:col>134</xdr:col>
          <xdr:colOff>693420</xdr:colOff>
          <xdr:row>103</xdr:row>
          <xdr:rowOff>22860</xdr:rowOff>
        </xdr:to>
        <xdr:sp macro="" textlink="">
          <xdr:nvSpPr>
            <xdr:cNvPr id="2201" name="Check Box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2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101</xdr:row>
          <xdr:rowOff>121920</xdr:rowOff>
        </xdr:from>
        <xdr:to>
          <xdr:col>134</xdr:col>
          <xdr:colOff>312420</xdr:colOff>
          <xdr:row>103</xdr:row>
          <xdr:rowOff>22860</xdr:rowOff>
        </xdr:to>
        <xdr:sp macro="" textlink="">
          <xdr:nvSpPr>
            <xdr:cNvPr id="2202" name="Check Box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2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102</xdr:row>
          <xdr:rowOff>121920</xdr:rowOff>
        </xdr:from>
        <xdr:to>
          <xdr:col>134</xdr:col>
          <xdr:colOff>693420</xdr:colOff>
          <xdr:row>104</xdr:row>
          <xdr:rowOff>22860</xdr:rowOff>
        </xdr:to>
        <xdr:sp macro="" textlink="">
          <xdr:nvSpPr>
            <xdr:cNvPr id="2203" name="Check Box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2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102</xdr:row>
          <xdr:rowOff>121920</xdr:rowOff>
        </xdr:from>
        <xdr:to>
          <xdr:col>134</xdr:col>
          <xdr:colOff>312420</xdr:colOff>
          <xdr:row>104</xdr:row>
          <xdr:rowOff>22860</xdr:rowOff>
        </xdr:to>
        <xdr:sp macro="" textlink="">
          <xdr:nvSpPr>
            <xdr:cNvPr id="2204" name="Check Box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103</xdr:row>
          <xdr:rowOff>121920</xdr:rowOff>
        </xdr:from>
        <xdr:to>
          <xdr:col>134</xdr:col>
          <xdr:colOff>693420</xdr:colOff>
          <xdr:row>105</xdr:row>
          <xdr:rowOff>22860</xdr:rowOff>
        </xdr:to>
        <xdr:sp macro="" textlink="">
          <xdr:nvSpPr>
            <xdr:cNvPr id="2205" name="Check Box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103</xdr:row>
          <xdr:rowOff>121920</xdr:rowOff>
        </xdr:from>
        <xdr:to>
          <xdr:col>134</xdr:col>
          <xdr:colOff>312420</xdr:colOff>
          <xdr:row>105</xdr:row>
          <xdr:rowOff>22860</xdr:rowOff>
        </xdr:to>
        <xdr:sp macro="" textlink="">
          <xdr:nvSpPr>
            <xdr:cNvPr id="2206" name="Check Box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104</xdr:row>
          <xdr:rowOff>121920</xdr:rowOff>
        </xdr:from>
        <xdr:to>
          <xdr:col>134</xdr:col>
          <xdr:colOff>693420</xdr:colOff>
          <xdr:row>106</xdr:row>
          <xdr:rowOff>22860</xdr:rowOff>
        </xdr:to>
        <xdr:sp macro="" textlink="">
          <xdr:nvSpPr>
            <xdr:cNvPr id="2207" name="Check Box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104</xdr:row>
          <xdr:rowOff>121920</xdr:rowOff>
        </xdr:from>
        <xdr:to>
          <xdr:col>134</xdr:col>
          <xdr:colOff>312420</xdr:colOff>
          <xdr:row>106</xdr:row>
          <xdr:rowOff>22860</xdr:rowOff>
        </xdr:to>
        <xdr:sp macro="" textlink="">
          <xdr:nvSpPr>
            <xdr:cNvPr id="2208" name="Check Box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105</xdr:row>
          <xdr:rowOff>121920</xdr:rowOff>
        </xdr:from>
        <xdr:to>
          <xdr:col>134</xdr:col>
          <xdr:colOff>693420</xdr:colOff>
          <xdr:row>107</xdr:row>
          <xdr:rowOff>22860</xdr:rowOff>
        </xdr:to>
        <xdr:sp macro="" textlink="">
          <xdr:nvSpPr>
            <xdr:cNvPr id="2209" name="Check Box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105</xdr:row>
          <xdr:rowOff>121920</xdr:rowOff>
        </xdr:from>
        <xdr:to>
          <xdr:col>134</xdr:col>
          <xdr:colOff>312420</xdr:colOff>
          <xdr:row>107</xdr:row>
          <xdr:rowOff>22860</xdr:rowOff>
        </xdr:to>
        <xdr:sp macro="" textlink="">
          <xdr:nvSpPr>
            <xdr:cNvPr id="2210" name="Check Box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106</xdr:row>
          <xdr:rowOff>121920</xdr:rowOff>
        </xdr:from>
        <xdr:to>
          <xdr:col>134</xdr:col>
          <xdr:colOff>693420</xdr:colOff>
          <xdr:row>108</xdr:row>
          <xdr:rowOff>22860</xdr:rowOff>
        </xdr:to>
        <xdr:sp macro="" textlink="">
          <xdr:nvSpPr>
            <xdr:cNvPr id="2211" name="Check Box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106</xdr:row>
          <xdr:rowOff>121920</xdr:rowOff>
        </xdr:from>
        <xdr:to>
          <xdr:col>134</xdr:col>
          <xdr:colOff>312420</xdr:colOff>
          <xdr:row>108</xdr:row>
          <xdr:rowOff>22860</xdr:rowOff>
        </xdr:to>
        <xdr:sp macro="" textlink="">
          <xdr:nvSpPr>
            <xdr:cNvPr id="2212" name="Check Box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107</xdr:row>
          <xdr:rowOff>121920</xdr:rowOff>
        </xdr:from>
        <xdr:to>
          <xdr:col>134</xdr:col>
          <xdr:colOff>693420</xdr:colOff>
          <xdr:row>109</xdr:row>
          <xdr:rowOff>22860</xdr:rowOff>
        </xdr:to>
        <xdr:sp macro="" textlink="">
          <xdr:nvSpPr>
            <xdr:cNvPr id="2213" name="Check Box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107</xdr:row>
          <xdr:rowOff>121920</xdr:rowOff>
        </xdr:from>
        <xdr:to>
          <xdr:col>134</xdr:col>
          <xdr:colOff>312420</xdr:colOff>
          <xdr:row>109</xdr:row>
          <xdr:rowOff>22860</xdr:rowOff>
        </xdr:to>
        <xdr:sp macro="" textlink="">
          <xdr:nvSpPr>
            <xdr:cNvPr id="2214" name="Check Box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108</xdr:row>
          <xdr:rowOff>121920</xdr:rowOff>
        </xdr:from>
        <xdr:to>
          <xdr:col>134</xdr:col>
          <xdr:colOff>693420</xdr:colOff>
          <xdr:row>110</xdr:row>
          <xdr:rowOff>22860</xdr:rowOff>
        </xdr:to>
        <xdr:sp macro="" textlink="">
          <xdr:nvSpPr>
            <xdr:cNvPr id="2215" name="Check Box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108</xdr:row>
          <xdr:rowOff>121920</xdr:rowOff>
        </xdr:from>
        <xdr:to>
          <xdr:col>134</xdr:col>
          <xdr:colOff>312420</xdr:colOff>
          <xdr:row>110</xdr:row>
          <xdr:rowOff>22860</xdr:rowOff>
        </xdr:to>
        <xdr:sp macro="" textlink="">
          <xdr:nvSpPr>
            <xdr:cNvPr id="2216" name="Check Box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2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109</xdr:row>
          <xdr:rowOff>121920</xdr:rowOff>
        </xdr:from>
        <xdr:to>
          <xdr:col>134</xdr:col>
          <xdr:colOff>693420</xdr:colOff>
          <xdr:row>111</xdr:row>
          <xdr:rowOff>22860</xdr:rowOff>
        </xdr:to>
        <xdr:sp macro="" textlink="">
          <xdr:nvSpPr>
            <xdr:cNvPr id="2217" name="Check Box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2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109</xdr:row>
          <xdr:rowOff>121920</xdr:rowOff>
        </xdr:from>
        <xdr:to>
          <xdr:col>134</xdr:col>
          <xdr:colOff>312420</xdr:colOff>
          <xdr:row>111</xdr:row>
          <xdr:rowOff>22860</xdr:rowOff>
        </xdr:to>
        <xdr:sp macro="" textlink="">
          <xdr:nvSpPr>
            <xdr:cNvPr id="2218" name="Check Box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2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110</xdr:row>
          <xdr:rowOff>121920</xdr:rowOff>
        </xdr:from>
        <xdr:to>
          <xdr:col>134</xdr:col>
          <xdr:colOff>693420</xdr:colOff>
          <xdr:row>112</xdr:row>
          <xdr:rowOff>22860</xdr:rowOff>
        </xdr:to>
        <xdr:sp macro="" textlink="">
          <xdr:nvSpPr>
            <xdr:cNvPr id="2219" name="Check Box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2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110</xdr:row>
          <xdr:rowOff>121920</xdr:rowOff>
        </xdr:from>
        <xdr:to>
          <xdr:col>134</xdr:col>
          <xdr:colOff>312420</xdr:colOff>
          <xdr:row>112</xdr:row>
          <xdr:rowOff>22860</xdr:rowOff>
        </xdr:to>
        <xdr:sp macro="" textlink="">
          <xdr:nvSpPr>
            <xdr:cNvPr id="2220" name="Check Box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2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26</xdr:row>
          <xdr:rowOff>121920</xdr:rowOff>
        </xdr:from>
        <xdr:to>
          <xdr:col>134</xdr:col>
          <xdr:colOff>693420</xdr:colOff>
          <xdr:row>28</xdr:row>
          <xdr:rowOff>22860</xdr:rowOff>
        </xdr:to>
        <xdr:sp macro="" textlink="">
          <xdr:nvSpPr>
            <xdr:cNvPr id="2231" name="Check Box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2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26</xdr:row>
          <xdr:rowOff>121920</xdr:rowOff>
        </xdr:from>
        <xdr:to>
          <xdr:col>134</xdr:col>
          <xdr:colOff>312420</xdr:colOff>
          <xdr:row>28</xdr:row>
          <xdr:rowOff>22860</xdr:rowOff>
        </xdr:to>
        <xdr:sp macro="" textlink="">
          <xdr:nvSpPr>
            <xdr:cNvPr id="2232" name="Check Box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2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27</xdr:row>
          <xdr:rowOff>121920</xdr:rowOff>
        </xdr:from>
        <xdr:to>
          <xdr:col>134</xdr:col>
          <xdr:colOff>693420</xdr:colOff>
          <xdr:row>29</xdr:row>
          <xdr:rowOff>22860</xdr:rowOff>
        </xdr:to>
        <xdr:sp macro="" textlink="">
          <xdr:nvSpPr>
            <xdr:cNvPr id="2233" name="Check Box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2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27</xdr:row>
          <xdr:rowOff>121920</xdr:rowOff>
        </xdr:from>
        <xdr:to>
          <xdr:col>134</xdr:col>
          <xdr:colOff>312420</xdr:colOff>
          <xdr:row>29</xdr:row>
          <xdr:rowOff>22860</xdr:rowOff>
        </xdr:to>
        <xdr:sp macro="" textlink="">
          <xdr:nvSpPr>
            <xdr:cNvPr id="2234" name="Check Box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2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28</xdr:row>
          <xdr:rowOff>121920</xdr:rowOff>
        </xdr:from>
        <xdr:to>
          <xdr:col>134</xdr:col>
          <xdr:colOff>693420</xdr:colOff>
          <xdr:row>30</xdr:row>
          <xdr:rowOff>22860</xdr:rowOff>
        </xdr:to>
        <xdr:sp macro="" textlink="">
          <xdr:nvSpPr>
            <xdr:cNvPr id="2235" name="Check Box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2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28</xdr:row>
          <xdr:rowOff>121920</xdr:rowOff>
        </xdr:from>
        <xdr:to>
          <xdr:col>134</xdr:col>
          <xdr:colOff>312420</xdr:colOff>
          <xdr:row>30</xdr:row>
          <xdr:rowOff>22860</xdr:rowOff>
        </xdr:to>
        <xdr:sp macro="" textlink="">
          <xdr:nvSpPr>
            <xdr:cNvPr id="2236" name="Check Box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2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29</xdr:row>
          <xdr:rowOff>121920</xdr:rowOff>
        </xdr:from>
        <xdr:to>
          <xdr:col>134</xdr:col>
          <xdr:colOff>693420</xdr:colOff>
          <xdr:row>31</xdr:row>
          <xdr:rowOff>22860</xdr:rowOff>
        </xdr:to>
        <xdr:sp macro="" textlink="">
          <xdr:nvSpPr>
            <xdr:cNvPr id="2237" name="Check Box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2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29</xdr:row>
          <xdr:rowOff>121920</xdr:rowOff>
        </xdr:from>
        <xdr:to>
          <xdr:col>134</xdr:col>
          <xdr:colOff>312420</xdr:colOff>
          <xdr:row>31</xdr:row>
          <xdr:rowOff>22860</xdr:rowOff>
        </xdr:to>
        <xdr:sp macro="" textlink="">
          <xdr:nvSpPr>
            <xdr:cNvPr id="2238" name="Check Box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2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30</xdr:row>
          <xdr:rowOff>121920</xdr:rowOff>
        </xdr:from>
        <xdr:to>
          <xdr:col>134</xdr:col>
          <xdr:colOff>693420</xdr:colOff>
          <xdr:row>32</xdr:row>
          <xdr:rowOff>22860</xdr:rowOff>
        </xdr:to>
        <xdr:sp macro="" textlink="">
          <xdr:nvSpPr>
            <xdr:cNvPr id="2239" name="Check Box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2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30</xdr:row>
          <xdr:rowOff>121920</xdr:rowOff>
        </xdr:from>
        <xdr:to>
          <xdr:col>134</xdr:col>
          <xdr:colOff>312420</xdr:colOff>
          <xdr:row>32</xdr:row>
          <xdr:rowOff>22860</xdr:rowOff>
        </xdr:to>
        <xdr:sp macro="" textlink="">
          <xdr:nvSpPr>
            <xdr:cNvPr id="2240" name="Check Box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2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46</xdr:row>
          <xdr:rowOff>121920</xdr:rowOff>
        </xdr:from>
        <xdr:to>
          <xdr:col>134</xdr:col>
          <xdr:colOff>693420</xdr:colOff>
          <xdr:row>48</xdr:row>
          <xdr:rowOff>22860</xdr:rowOff>
        </xdr:to>
        <xdr:sp macro="" textlink="">
          <xdr:nvSpPr>
            <xdr:cNvPr id="2241" name="Check Box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2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46</xdr:row>
          <xdr:rowOff>121920</xdr:rowOff>
        </xdr:from>
        <xdr:to>
          <xdr:col>134</xdr:col>
          <xdr:colOff>312420</xdr:colOff>
          <xdr:row>48</xdr:row>
          <xdr:rowOff>22860</xdr:rowOff>
        </xdr:to>
        <xdr:sp macro="" textlink="">
          <xdr:nvSpPr>
            <xdr:cNvPr id="2242" name="Check Box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2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47</xdr:row>
          <xdr:rowOff>121920</xdr:rowOff>
        </xdr:from>
        <xdr:to>
          <xdr:col>134</xdr:col>
          <xdr:colOff>693420</xdr:colOff>
          <xdr:row>49</xdr:row>
          <xdr:rowOff>22860</xdr:rowOff>
        </xdr:to>
        <xdr:sp macro="" textlink="">
          <xdr:nvSpPr>
            <xdr:cNvPr id="2243" name="Check Box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2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47</xdr:row>
          <xdr:rowOff>121920</xdr:rowOff>
        </xdr:from>
        <xdr:to>
          <xdr:col>134</xdr:col>
          <xdr:colOff>312420</xdr:colOff>
          <xdr:row>49</xdr:row>
          <xdr:rowOff>22860</xdr:rowOff>
        </xdr:to>
        <xdr:sp macro="" textlink="">
          <xdr:nvSpPr>
            <xdr:cNvPr id="2244" name="Check Box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2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48</xdr:row>
          <xdr:rowOff>121920</xdr:rowOff>
        </xdr:from>
        <xdr:to>
          <xdr:col>134</xdr:col>
          <xdr:colOff>693420</xdr:colOff>
          <xdr:row>50</xdr:row>
          <xdr:rowOff>22860</xdr:rowOff>
        </xdr:to>
        <xdr:sp macro="" textlink="">
          <xdr:nvSpPr>
            <xdr:cNvPr id="2245" name="Check Box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2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48</xdr:row>
          <xdr:rowOff>121920</xdr:rowOff>
        </xdr:from>
        <xdr:to>
          <xdr:col>134</xdr:col>
          <xdr:colOff>312420</xdr:colOff>
          <xdr:row>50</xdr:row>
          <xdr:rowOff>22860</xdr:rowOff>
        </xdr:to>
        <xdr:sp macro="" textlink="">
          <xdr:nvSpPr>
            <xdr:cNvPr id="2246" name="Check Box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2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49</xdr:row>
          <xdr:rowOff>121920</xdr:rowOff>
        </xdr:from>
        <xdr:to>
          <xdr:col>134</xdr:col>
          <xdr:colOff>693420</xdr:colOff>
          <xdr:row>51</xdr:row>
          <xdr:rowOff>22860</xdr:rowOff>
        </xdr:to>
        <xdr:sp macro="" textlink="">
          <xdr:nvSpPr>
            <xdr:cNvPr id="2247" name="Check Box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2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49</xdr:row>
          <xdr:rowOff>121920</xdr:rowOff>
        </xdr:from>
        <xdr:to>
          <xdr:col>134</xdr:col>
          <xdr:colOff>312420</xdr:colOff>
          <xdr:row>51</xdr:row>
          <xdr:rowOff>22860</xdr:rowOff>
        </xdr:to>
        <xdr:sp macro="" textlink="">
          <xdr:nvSpPr>
            <xdr:cNvPr id="2248" name="Check Box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2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50</xdr:row>
          <xdr:rowOff>121920</xdr:rowOff>
        </xdr:from>
        <xdr:to>
          <xdr:col>134</xdr:col>
          <xdr:colOff>693420</xdr:colOff>
          <xdr:row>52</xdr:row>
          <xdr:rowOff>22860</xdr:rowOff>
        </xdr:to>
        <xdr:sp macro="" textlink="">
          <xdr:nvSpPr>
            <xdr:cNvPr id="2249" name="Check Box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2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50</xdr:row>
          <xdr:rowOff>121920</xdr:rowOff>
        </xdr:from>
        <xdr:to>
          <xdr:col>134</xdr:col>
          <xdr:colOff>312420</xdr:colOff>
          <xdr:row>52</xdr:row>
          <xdr:rowOff>22860</xdr:rowOff>
        </xdr:to>
        <xdr:sp macro="" textlink="">
          <xdr:nvSpPr>
            <xdr:cNvPr id="2250" name="Check Box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2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111</xdr:row>
          <xdr:rowOff>121920</xdr:rowOff>
        </xdr:from>
        <xdr:to>
          <xdr:col>134</xdr:col>
          <xdr:colOff>693420</xdr:colOff>
          <xdr:row>113</xdr:row>
          <xdr:rowOff>22860</xdr:rowOff>
        </xdr:to>
        <xdr:sp macro="" textlink="">
          <xdr:nvSpPr>
            <xdr:cNvPr id="2251" name="Check Box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2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111</xdr:row>
          <xdr:rowOff>121920</xdr:rowOff>
        </xdr:from>
        <xdr:to>
          <xdr:col>134</xdr:col>
          <xdr:colOff>312420</xdr:colOff>
          <xdr:row>113</xdr:row>
          <xdr:rowOff>22860</xdr:rowOff>
        </xdr:to>
        <xdr:sp macro="" textlink="">
          <xdr:nvSpPr>
            <xdr:cNvPr id="2252" name="Check Box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2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112</xdr:row>
          <xdr:rowOff>121920</xdr:rowOff>
        </xdr:from>
        <xdr:to>
          <xdr:col>134</xdr:col>
          <xdr:colOff>693420</xdr:colOff>
          <xdr:row>114</xdr:row>
          <xdr:rowOff>22860</xdr:rowOff>
        </xdr:to>
        <xdr:sp macro="" textlink="">
          <xdr:nvSpPr>
            <xdr:cNvPr id="2253" name="Check Box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2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112</xdr:row>
          <xdr:rowOff>121920</xdr:rowOff>
        </xdr:from>
        <xdr:to>
          <xdr:col>134</xdr:col>
          <xdr:colOff>312420</xdr:colOff>
          <xdr:row>114</xdr:row>
          <xdr:rowOff>22860</xdr:rowOff>
        </xdr:to>
        <xdr:sp macro="" textlink="">
          <xdr:nvSpPr>
            <xdr:cNvPr id="2254" name="Check Box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2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113</xdr:row>
          <xdr:rowOff>121920</xdr:rowOff>
        </xdr:from>
        <xdr:to>
          <xdr:col>134</xdr:col>
          <xdr:colOff>693420</xdr:colOff>
          <xdr:row>115</xdr:row>
          <xdr:rowOff>22860</xdr:rowOff>
        </xdr:to>
        <xdr:sp macro="" textlink="">
          <xdr:nvSpPr>
            <xdr:cNvPr id="2255" name="Check Box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2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113</xdr:row>
          <xdr:rowOff>121920</xdr:rowOff>
        </xdr:from>
        <xdr:to>
          <xdr:col>134</xdr:col>
          <xdr:colOff>312420</xdr:colOff>
          <xdr:row>115</xdr:row>
          <xdr:rowOff>22860</xdr:rowOff>
        </xdr:to>
        <xdr:sp macro="" textlink="">
          <xdr:nvSpPr>
            <xdr:cNvPr id="2256" name="Check Box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2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388620</xdr:colOff>
          <xdr:row>114</xdr:row>
          <xdr:rowOff>121920</xdr:rowOff>
        </xdr:from>
        <xdr:to>
          <xdr:col>134</xdr:col>
          <xdr:colOff>693420</xdr:colOff>
          <xdr:row>119</xdr:row>
          <xdr:rowOff>22860</xdr:rowOff>
        </xdr:to>
        <xdr:sp macro="" textlink="">
          <xdr:nvSpPr>
            <xdr:cNvPr id="2257" name="Check Box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2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7620</xdr:colOff>
          <xdr:row>114</xdr:row>
          <xdr:rowOff>121920</xdr:rowOff>
        </xdr:from>
        <xdr:to>
          <xdr:col>134</xdr:col>
          <xdr:colOff>312420</xdr:colOff>
          <xdr:row>119</xdr:row>
          <xdr:rowOff>22860</xdr:rowOff>
        </xdr:to>
        <xdr:sp macro="" textlink="">
          <xdr:nvSpPr>
            <xdr:cNvPr id="2258" name="Check Box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2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403860</xdr:colOff>
          <xdr:row>1</xdr:row>
          <xdr:rowOff>297180</xdr:rowOff>
        </xdr:from>
        <xdr:to>
          <xdr:col>8</xdr:col>
          <xdr:colOff>708660</xdr:colOff>
          <xdr:row>2</xdr:row>
          <xdr:rowOff>30480</xdr:rowOff>
        </xdr:to>
        <xdr:sp macro="" textlink="">
          <xdr:nvSpPr>
            <xdr:cNvPr id="2259" name="Check Box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2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25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</xdr:row>
          <xdr:rowOff>297180</xdr:rowOff>
        </xdr:from>
        <xdr:to>
          <xdr:col>8</xdr:col>
          <xdr:colOff>365760</xdr:colOff>
          <xdr:row>2</xdr:row>
          <xdr:rowOff>30480</xdr:rowOff>
        </xdr:to>
        <xdr:sp macro="" textlink="">
          <xdr:nvSpPr>
            <xdr:cNvPr id="2260" name="Check Box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2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0</xdr:colOff>
          <xdr:row>0</xdr:row>
          <xdr:rowOff>121920</xdr:rowOff>
        </xdr:from>
        <xdr:to>
          <xdr:col>134</xdr:col>
          <xdr:colOff>807720</xdr:colOff>
          <xdr:row>1</xdr:row>
          <xdr:rowOff>182880</xdr:rowOff>
        </xdr:to>
        <xdr:sp macro="" textlink="">
          <xdr:nvSpPr>
            <xdr:cNvPr id="2263" name="Check Box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2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RETORNO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134</xdr:col>
          <xdr:colOff>0</xdr:colOff>
          <xdr:row>1</xdr:row>
          <xdr:rowOff>259080</xdr:rowOff>
        </xdr:from>
        <xdr:to>
          <xdr:col>134</xdr:col>
          <xdr:colOff>807720</xdr:colOff>
          <xdr:row>1</xdr:row>
          <xdr:rowOff>480060</xdr:rowOff>
        </xdr:to>
        <xdr:sp macro="" textlink="">
          <xdr:nvSpPr>
            <xdr:cNvPr id="2264" name="Check Box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2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EXTRACCIÓN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205740</xdr:colOff>
          <xdr:row>0</xdr:row>
          <xdr:rowOff>38100</xdr:rowOff>
        </xdr:from>
        <xdr:to>
          <xdr:col>2</xdr:col>
          <xdr:colOff>579120</xdr:colOff>
          <xdr:row>1</xdr:row>
          <xdr:rowOff>137160</xdr:rowOff>
        </xdr:to>
        <xdr:sp macro="" textlink="">
          <xdr:nvSpPr>
            <xdr:cNvPr id="2273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200-0000E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Copiar filas 1-20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0</xdr:row>
          <xdr:rowOff>38100</xdr:rowOff>
        </xdr:from>
        <xdr:to>
          <xdr:col>3</xdr:col>
          <xdr:colOff>358140</xdr:colOff>
          <xdr:row>1</xdr:row>
          <xdr:rowOff>137160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2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21-40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403860</xdr:colOff>
          <xdr:row>0</xdr:row>
          <xdr:rowOff>38100</xdr:rowOff>
        </xdr:from>
        <xdr:to>
          <xdr:col>3</xdr:col>
          <xdr:colOff>800100</xdr:colOff>
          <xdr:row>1</xdr:row>
          <xdr:rowOff>137160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2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41-60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853440</xdr:colOff>
          <xdr:row>0</xdr:row>
          <xdr:rowOff>38100</xdr:rowOff>
        </xdr:from>
        <xdr:to>
          <xdr:col>3</xdr:col>
          <xdr:colOff>1249680</xdr:colOff>
          <xdr:row>1</xdr:row>
          <xdr:rowOff>137160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2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61-80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1295400</xdr:colOff>
          <xdr:row>0</xdr:row>
          <xdr:rowOff>38100</xdr:rowOff>
        </xdr:from>
        <xdr:to>
          <xdr:col>3</xdr:col>
          <xdr:colOff>1691640</xdr:colOff>
          <xdr:row>1</xdr:row>
          <xdr:rowOff>137160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2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81-100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815340</xdr:colOff>
          <xdr:row>1</xdr:row>
          <xdr:rowOff>190500</xdr:rowOff>
        </xdr:from>
        <xdr:to>
          <xdr:col>3</xdr:col>
          <xdr:colOff>1691640</xdr:colOff>
          <xdr:row>1</xdr:row>
          <xdr:rowOff>464820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2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Copiar totales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</xdr:colOff>
          <xdr:row>1</xdr:row>
          <xdr:rowOff>449580</xdr:rowOff>
        </xdr:from>
        <xdr:to>
          <xdr:col>2</xdr:col>
          <xdr:colOff>449580</xdr:colOff>
          <xdr:row>15</xdr:row>
          <xdr:rowOff>83820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2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</xdr:row>
          <xdr:rowOff>449580</xdr:rowOff>
        </xdr:from>
        <xdr:to>
          <xdr:col>3</xdr:col>
          <xdr:colOff>556260</xdr:colOff>
          <xdr:row>15</xdr:row>
          <xdr:rowOff>83820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2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830580</xdr:colOff>
          <xdr:row>2</xdr:row>
          <xdr:rowOff>22860</xdr:rowOff>
        </xdr:from>
        <xdr:to>
          <xdr:col>3</xdr:col>
          <xdr:colOff>1691640</xdr:colOff>
          <xdr:row>15</xdr:row>
          <xdr:rowOff>99060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2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361950</xdr:colOff>
      <xdr:row>1</xdr:row>
      <xdr:rowOff>104775</xdr:rowOff>
    </xdr:from>
    <xdr:to>
      <xdr:col>11</xdr:col>
      <xdr:colOff>1369530</xdr:colOff>
      <xdr:row>8</xdr:row>
      <xdr:rowOff>133350</xdr:rowOff>
    </xdr:to>
    <xdr:pic>
      <xdr:nvPicPr>
        <xdr:cNvPr id="2" name="1 Imagen" descr="Puertas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4850" y="266700"/>
          <a:ext cx="3122130" cy="1323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2</xdr:row>
          <xdr:rowOff>76200</xdr:rowOff>
        </xdr:from>
        <xdr:to>
          <xdr:col>7</xdr:col>
          <xdr:colOff>91440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5</xdr:row>
          <xdr:rowOff>45720</xdr:rowOff>
        </xdr:from>
        <xdr:to>
          <xdr:col>7</xdr:col>
          <xdr:colOff>91440</xdr:colOff>
          <xdr:row>6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209551</xdr:colOff>
      <xdr:row>1</xdr:row>
      <xdr:rowOff>95252</xdr:rowOff>
    </xdr:from>
    <xdr:to>
      <xdr:col>8</xdr:col>
      <xdr:colOff>285750</xdr:colOff>
      <xdr:row>8</xdr:row>
      <xdr:rowOff>57151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pSpPr/>
      </xdr:nvGrpSpPr>
      <xdr:grpSpPr>
        <a:xfrm>
          <a:off x="209551" y="270512"/>
          <a:ext cx="4579619" cy="1188719"/>
          <a:chOff x="209551" y="257176"/>
          <a:chExt cx="6477000" cy="1600199"/>
        </a:xfrm>
      </xdr:grpSpPr>
      <xdr:pic>
        <xdr:nvPicPr>
          <xdr:cNvPr id="3" name="2 Imagen" descr="Difusor 4V.jpg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09551" y="276225"/>
            <a:ext cx="1207774" cy="1209676"/>
          </a:xfrm>
          <a:prstGeom prst="rect">
            <a:avLst/>
          </a:prstGeom>
        </xdr:spPr>
      </xdr:pic>
      <xdr:pic>
        <xdr:nvPicPr>
          <xdr:cNvPr id="4" name="3 Imagen" descr="Difusor 3V.jpg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581150" y="295275"/>
            <a:ext cx="1182389" cy="990600"/>
          </a:xfrm>
          <a:prstGeom prst="rect">
            <a:avLst/>
          </a:prstGeom>
        </xdr:spPr>
      </xdr:pic>
      <xdr:pic>
        <xdr:nvPicPr>
          <xdr:cNvPr id="5" name="4 Imagen" descr="Difusor 2V.jpg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2914650" y="485776"/>
            <a:ext cx="1190625" cy="799366"/>
          </a:xfrm>
          <a:prstGeom prst="rect">
            <a:avLst/>
          </a:prstGeom>
        </xdr:spPr>
      </xdr:pic>
      <xdr:pic>
        <xdr:nvPicPr>
          <xdr:cNvPr id="6" name="5 Imagen" descr="Difusor 1V.jpg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4219575" y="485775"/>
            <a:ext cx="990600" cy="798087"/>
          </a:xfrm>
          <a:prstGeom prst="rect">
            <a:avLst/>
          </a:prstGeom>
        </xdr:spPr>
      </xdr:pic>
      <xdr:pic>
        <xdr:nvPicPr>
          <xdr:cNvPr id="8" name="7 Imagen" descr="Difusor PP.jpg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5448301" y="257176"/>
            <a:ext cx="1238250" cy="1238250"/>
          </a:xfrm>
          <a:prstGeom prst="rect">
            <a:avLst/>
          </a:prstGeom>
        </xdr:spPr>
      </xdr:pic>
      <xdr:sp macro="" textlink="">
        <xdr:nvSpPr>
          <xdr:cNvPr id="9" name="8 CuadroTexto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 txBox="1"/>
        </xdr:nvSpPr>
        <xdr:spPr>
          <a:xfrm>
            <a:off x="295275" y="1571625"/>
            <a:ext cx="1047750" cy="2857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100"/>
              <a:t>4</a:t>
            </a:r>
            <a:r>
              <a:rPr lang="en-US" sz="1100" baseline="0"/>
              <a:t> vías</a:t>
            </a:r>
            <a:endParaRPr lang="en-US" sz="1100"/>
          </a:p>
        </xdr:txBody>
      </xdr:sp>
      <xdr:sp macro="" textlink="">
        <xdr:nvSpPr>
          <xdr:cNvPr id="10" name="9 CuadroTexto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 txBox="1"/>
        </xdr:nvSpPr>
        <xdr:spPr>
          <a:xfrm>
            <a:off x="1600200" y="1571625"/>
            <a:ext cx="1047750" cy="2857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100" baseline="0"/>
              <a:t>3 vías</a:t>
            </a:r>
            <a:endParaRPr lang="en-US" sz="1100"/>
          </a:p>
        </xdr:txBody>
      </xdr:sp>
      <xdr:sp macro="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3028950" y="1571625"/>
            <a:ext cx="1047750" cy="2857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100" baseline="0"/>
              <a:t>2 vías</a:t>
            </a:r>
            <a:endParaRPr lang="en-US" sz="1100"/>
          </a:p>
        </xdr:txBody>
      </xdr:sp>
      <xdr:sp macro="" textlink="">
        <xdr:nvSpPr>
          <xdr:cNvPr id="12" name="11 CuadroTexto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 txBox="1"/>
        </xdr:nvSpPr>
        <xdr:spPr>
          <a:xfrm>
            <a:off x="4276725" y="1571625"/>
            <a:ext cx="1047750" cy="2857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100" baseline="0"/>
              <a:t>1 vía</a:t>
            </a:r>
            <a:endParaRPr lang="en-US" sz="1100"/>
          </a:p>
        </xdr:txBody>
      </xdr:sp>
      <xdr:sp macro="" textlink="">
        <xdr:nvSpPr>
          <xdr:cNvPr id="13" name="12 CuadroTexto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 txBox="1"/>
        </xdr:nvSpPr>
        <xdr:spPr>
          <a:xfrm>
            <a:off x="5543549" y="1571625"/>
            <a:ext cx="1123951" cy="28575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800"/>
              <a:t>Plato perforado</a:t>
            </a:r>
          </a:p>
        </xdr:txBody>
      </xdr:sp>
    </xdr:grpSp>
    <xdr:clientData/>
  </xdr:twoCellAnchor>
  <xdr:twoCellAnchor editAs="oneCell">
    <xdr:from>
      <xdr:col>10</xdr:col>
      <xdr:colOff>0</xdr:colOff>
      <xdr:row>2</xdr:row>
      <xdr:rowOff>19050</xdr:rowOff>
    </xdr:from>
    <xdr:to>
      <xdr:col>11</xdr:col>
      <xdr:colOff>590550</xdr:colOff>
      <xdr:row>4</xdr:row>
      <xdr:rowOff>120945</xdr:rowOff>
    </xdr:to>
    <xdr:pic>
      <xdr:nvPicPr>
        <xdr:cNvPr id="15" name="14 Imagen" descr="Rejilla de inyección.jp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591175" y="342900"/>
          <a:ext cx="590550" cy="4257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194362</xdr:colOff>
      <xdr:row>6</xdr:row>
      <xdr:rowOff>123825</xdr:rowOff>
    </xdr:to>
    <xdr:pic>
      <xdr:nvPicPr>
        <xdr:cNvPr id="16" name="15 Imagen" descr="Rejilla de inyección LS.jp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496050" y="323850"/>
          <a:ext cx="375337" cy="771525"/>
        </a:xfrm>
        <a:prstGeom prst="rect">
          <a:avLst/>
        </a:prstGeom>
      </xdr:spPr>
    </xdr:pic>
    <xdr:clientData/>
  </xdr:twoCellAnchor>
  <xdr:twoCellAnchor>
    <xdr:from>
      <xdr:col>9</xdr:col>
      <xdr:colOff>647700</xdr:colOff>
      <xdr:row>7</xdr:row>
      <xdr:rowOff>0</xdr:rowOff>
    </xdr:from>
    <xdr:to>
      <xdr:col>11</xdr:col>
      <xdr:colOff>647700</xdr:colOff>
      <xdr:row>8</xdr:row>
      <xdr:rowOff>33678</xdr:rowOff>
    </xdr:to>
    <xdr:sp macro="" textlink="">
      <xdr:nvSpPr>
        <xdr:cNvPr id="17" name="16 CuadroText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 txBox="1"/>
      </xdr:nvSpPr>
      <xdr:spPr>
        <a:xfrm>
          <a:off x="5553075" y="1133475"/>
          <a:ext cx="685800" cy="1956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100" baseline="0"/>
            <a:t>FL</a:t>
          </a:r>
          <a:endParaRPr lang="en-US" sz="1100"/>
        </a:p>
      </xdr:txBody>
    </xdr:sp>
    <xdr:clientData/>
  </xdr:twoCellAnchor>
  <xdr:twoCellAnchor>
    <xdr:from>
      <xdr:col>13</xdr:col>
      <xdr:colOff>47625</xdr:colOff>
      <xdr:row>7</xdr:row>
      <xdr:rowOff>0</xdr:rowOff>
    </xdr:from>
    <xdr:to>
      <xdr:col>16</xdr:col>
      <xdr:colOff>66255</xdr:colOff>
      <xdr:row>8</xdr:row>
      <xdr:rowOff>33678</xdr:rowOff>
    </xdr:to>
    <xdr:sp macro="" textlink="">
      <xdr:nvSpPr>
        <xdr:cNvPr id="18" name="17 CuadroTexto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 txBox="1"/>
      </xdr:nvSpPr>
      <xdr:spPr>
        <a:xfrm>
          <a:off x="6324600" y="1133475"/>
          <a:ext cx="694905" cy="1956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100" baseline="0"/>
            <a:t>FS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434340</xdr:colOff>
          <xdr:row>2</xdr:row>
          <xdr:rowOff>144780</xdr:rowOff>
        </xdr:from>
        <xdr:to>
          <xdr:col>9</xdr:col>
          <xdr:colOff>388620</xdr:colOff>
          <xdr:row>4</xdr:row>
          <xdr:rowOff>129540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6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434340</xdr:colOff>
          <xdr:row>5</xdr:row>
          <xdr:rowOff>83820</xdr:rowOff>
        </xdr:from>
        <xdr:to>
          <xdr:col>9</xdr:col>
          <xdr:colOff>388620</xdr:colOff>
          <xdr:row>7</xdr:row>
          <xdr:rowOff>68580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6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190500</xdr:colOff>
          <xdr:row>1</xdr:row>
          <xdr:rowOff>53340</xdr:rowOff>
        </xdr:from>
        <xdr:to>
          <xdr:col>19</xdr:col>
          <xdr:colOff>701040</xdr:colOff>
          <xdr:row>3</xdr:row>
          <xdr:rowOff>121920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6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Imprimir resumen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373380</xdr:colOff>
      <xdr:row>2</xdr:row>
      <xdr:rowOff>19050</xdr:rowOff>
    </xdr:from>
    <xdr:to>
      <xdr:col>3</xdr:col>
      <xdr:colOff>171450</xdr:colOff>
      <xdr:row>4</xdr:row>
      <xdr:rowOff>120945</xdr:rowOff>
    </xdr:to>
    <xdr:pic>
      <xdr:nvPicPr>
        <xdr:cNvPr id="13" name="14 Imagen" descr="Rejilla de inyección.jp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840" y="369570"/>
          <a:ext cx="590550" cy="452415"/>
        </a:xfrm>
        <a:prstGeom prst="rect">
          <a:avLst/>
        </a:prstGeom>
      </xdr:spPr>
    </xdr:pic>
    <xdr:clientData/>
  </xdr:twoCellAnchor>
  <xdr:twoCellAnchor editAs="oneCell">
    <xdr:from>
      <xdr:col>3</xdr:col>
      <xdr:colOff>531495</xdr:colOff>
      <xdr:row>2</xdr:row>
      <xdr:rowOff>0</xdr:rowOff>
    </xdr:from>
    <xdr:to>
      <xdr:col>4</xdr:col>
      <xdr:colOff>270562</xdr:colOff>
      <xdr:row>6</xdr:row>
      <xdr:rowOff>123825</xdr:rowOff>
    </xdr:to>
    <xdr:pic>
      <xdr:nvPicPr>
        <xdr:cNvPr id="14" name="15 Imagen" descr="Rejilla de inyección LS.jp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75435" y="350520"/>
          <a:ext cx="402007" cy="824865"/>
        </a:xfrm>
        <a:prstGeom prst="rect">
          <a:avLst/>
        </a:prstGeom>
      </xdr:spPr>
    </xdr:pic>
    <xdr:clientData/>
  </xdr:twoCellAnchor>
  <xdr:twoCellAnchor>
    <xdr:from>
      <xdr:col>1</xdr:col>
      <xdr:colOff>289560</xdr:colOff>
      <xdr:row>7</xdr:row>
      <xdr:rowOff>0</xdr:rowOff>
    </xdr:from>
    <xdr:to>
      <xdr:col>3</xdr:col>
      <xdr:colOff>228600</xdr:colOff>
      <xdr:row>8</xdr:row>
      <xdr:rowOff>33678</xdr:rowOff>
    </xdr:to>
    <xdr:sp macro="" textlink="">
      <xdr:nvSpPr>
        <xdr:cNvPr id="15" name="16 CuadroTexto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541020" y="1226820"/>
          <a:ext cx="731520" cy="208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100" baseline="0"/>
            <a:t>FL</a:t>
          </a:r>
          <a:endParaRPr lang="en-US" sz="1100"/>
        </a:p>
      </xdr:txBody>
    </xdr:sp>
    <xdr:clientData/>
  </xdr:twoCellAnchor>
  <xdr:twoCellAnchor>
    <xdr:from>
      <xdr:col>3</xdr:col>
      <xdr:colOff>360045</xdr:colOff>
      <xdr:row>7</xdr:row>
      <xdr:rowOff>0</xdr:rowOff>
    </xdr:from>
    <xdr:to>
      <xdr:col>5</xdr:col>
      <xdr:colOff>5295</xdr:colOff>
      <xdr:row>8</xdr:row>
      <xdr:rowOff>33678</xdr:rowOff>
    </xdr:to>
    <xdr:sp macro="" textlink="">
      <xdr:nvSpPr>
        <xdr:cNvPr id="16" name="17 CuadroTexto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1403985" y="1226820"/>
          <a:ext cx="742530" cy="208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100" baseline="0"/>
            <a:t>FS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434340</xdr:colOff>
          <xdr:row>2</xdr:row>
          <xdr:rowOff>144780</xdr:rowOff>
        </xdr:from>
        <xdr:to>
          <xdr:col>9</xdr:col>
          <xdr:colOff>388620</xdr:colOff>
          <xdr:row>4</xdr:row>
          <xdr:rowOff>129540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434340</xdr:colOff>
          <xdr:row>5</xdr:row>
          <xdr:rowOff>83820</xdr:rowOff>
        </xdr:from>
        <xdr:to>
          <xdr:col>9</xdr:col>
          <xdr:colOff>388620</xdr:colOff>
          <xdr:row>7</xdr:row>
          <xdr:rowOff>68580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373380</xdr:colOff>
      <xdr:row>2</xdr:row>
      <xdr:rowOff>19050</xdr:rowOff>
    </xdr:from>
    <xdr:to>
      <xdr:col>3</xdr:col>
      <xdr:colOff>171450</xdr:colOff>
      <xdr:row>4</xdr:row>
      <xdr:rowOff>120945</xdr:rowOff>
    </xdr:to>
    <xdr:pic>
      <xdr:nvPicPr>
        <xdr:cNvPr id="2" name="14 Imagen" descr="Rejilla de inyección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4840" y="369570"/>
          <a:ext cx="590550" cy="452415"/>
        </a:xfrm>
        <a:prstGeom prst="rect">
          <a:avLst/>
        </a:prstGeom>
      </xdr:spPr>
    </xdr:pic>
    <xdr:clientData/>
  </xdr:twoCellAnchor>
  <xdr:twoCellAnchor editAs="oneCell">
    <xdr:from>
      <xdr:col>3</xdr:col>
      <xdr:colOff>531495</xdr:colOff>
      <xdr:row>2</xdr:row>
      <xdr:rowOff>0</xdr:rowOff>
    </xdr:from>
    <xdr:to>
      <xdr:col>4</xdr:col>
      <xdr:colOff>270562</xdr:colOff>
      <xdr:row>6</xdr:row>
      <xdr:rowOff>123825</xdr:rowOff>
    </xdr:to>
    <xdr:pic>
      <xdr:nvPicPr>
        <xdr:cNvPr id="3" name="15 Imagen" descr="Rejilla de inyección LS.jp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75435" y="350520"/>
          <a:ext cx="402007" cy="824865"/>
        </a:xfrm>
        <a:prstGeom prst="rect">
          <a:avLst/>
        </a:prstGeom>
      </xdr:spPr>
    </xdr:pic>
    <xdr:clientData/>
  </xdr:twoCellAnchor>
  <xdr:twoCellAnchor>
    <xdr:from>
      <xdr:col>1</xdr:col>
      <xdr:colOff>289560</xdr:colOff>
      <xdr:row>7</xdr:row>
      <xdr:rowOff>0</xdr:rowOff>
    </xdr:from>
    <xdr:to>
      <xdr:col>3</xdr:col>
      <xdr:colOff>228600</xdr:colOff>
      <xdr:row>8</xdr:row>
      <xdr:rowOff>33678</xdr:rowOff>
    </xdr:to>
    <xdr:sp macro="" textlink="">
      <xdr:nvSpPr>
        <xdr:cNvPr id="4" name="16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541020" y="1226820"/>
          <a:ext cx="731520" cy="208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100" baseline="0"/>
            <a:t>FL</a:t>
          </a:r>
          <a:endParaRPr lang="en-US" sz="1100"/>
        </a:p>
      </xdr:txBody>
    </xdr:sp>
    <xdr:clientData/>
  </xdr:twoCellAnchor>
  <xdr:twoCellAnchor>
    <xdr:from>
      <xdr:col>3</xdr:col>
      <xdr:colOff>360045</xdr:colOff>
      <xdr:row>7</xdr:row>
      <xdr:rowOff>0</xdr:rowOff>
    </xdr:from>
    <xdr:to>
      <xdr:col>5</xdr:col>
      <xdr:colOff>5295</xdr:colOff>
      <xdr:row>8</xdr:row>
      <xdr:rowOff>33678</xdr:rowOff>
    </xdr:to>
    <xdr:sp macro="" textlink="">
      <xdr:nvSpPr>
        <xdr:cNvPr id="5" name="17 CuadroTexto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1403985" y="1226820"/>
          <a:ext cx="742530" cy="2089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1100" baseline="0"/>
            <a:t>FS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434340</xdr:colOff>
          <xdr:row>2</xdr:row>
          <xdr:rowOff>144780</xdr:rowOff>
        </xdr:from>
        <xdr:to>
          <xdr:col>9</xdr:col>
          <xdr:colOff>388620</xdr:colOff>
          <xdr:row>4</xdr:row>
          <xdr:rowOff>129540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Anterior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434340</xdr:colOff>
          <xdr:row>5</xdr:row>
          <xdr:rowOff>83820</xdr:rowOff>
        </xdr:from>
        <xdr:to>
          <xdr:col>9</xdr:col>
          <xdr:colOff>388620</xdr:colOff>
          <xdr:row>7</xdr:row>
          <xdr:rowOff>68580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 Narrow"/>
                </a:rPr>
                <a:t>Siguiente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9</xdr:row>
      <xdr:rowOff>0</xdr:rowOff>
    </xdr:from>
    <xdr:to>
      <xdr:col>9</xdr:col>
      <xdr:colOff>266700</xdr:colOff>
      <xdr:row>17</xdr:row>
      <xdr:rowOff>7620</xdr:rowOff>
    </xdr:to>
    <xdr:sp macro="" textlink="">
      <xdr:nvSpPr>
        <xdr:cNvPr id="2" name="Freeform 1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/>
        </xdr:cNvSpPr>
      </xdr:nvSpPr>
      <xdr:spPr bwMode="auto">
        <a:xfrm>
          <a:off x="2743200" y="1402080"/>
          <a:ext cx="1912620" cy="1409700"/>
        </a:xfrm>
        <a:custGeom>
          <a:avLst/>
          <a:gdLst>
            <a:gd name="T0" fmla="*/ 68 w 123"/>
            <a:gd name="T1" fmla="*/ 2 h 70"/>
            <a:gd name="T2" fmla="*/ 68 w 123"/>
            <a:gd name="T3" fmla="*/ 0 h 70"/>
            <a:gd name="T4" fmla="*/ 123 w 123"/>
            <a:gd name="T5" fmla="*/ 0 h 70"/>
            <a:gd name="T6" fmla="*/ 123 w 123"/>
            <a:gd name="T7" fmla="*/ 70 h 70"/>
            <a:gd name="T8" fmla="*/ 0 w 123"/>
            <a:gd name="T9" fmla="*/ 70 h 70"/>
            <a:gd name="T10" fmla="*/ 0 w 123"/>
            <a:gd name="T11" fmla="*/ 53 h 70"/>
            <a:gd name="T12" fmla="*/ 23 w 123"/>
            <a:gd name="T13" fmla="*/ 48 h 70"/>
            <a:gd name="T14" fmla="*/ 39 w 123"/>
            <a:gd name="T15" fmla="*/ 41 h 70"/>
            <a:gd name="T16" fmla="*/ 55 w 123"/>
            <a:gd name="T17" fmla="*/ 28 h 70"/>
            <a:gd name="T18" fmla="*/ 64 w 123"/>
            <a:gd name="T19" fmla="*/ 15 h 70"/>
            <a:gd name="T20" fmla="*/ 69 w 123"/>
            <a:gd name="T21" fmla="*/ 0 h 70"/>
            <a:gd name="T22" fmla="*/ 68 w 123"/>
            <a:gd name="T23" fmla="*/ 2 h 7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</a:cxnLst>
          <a:rect l="0" t="0" r="r" b="b"/>
          <a:pathLst>
            <a:path w="123" h="70">
              <a:moveTo>
                <a:pt x="68" y="2"/>
              </a:moveTo>
              <a:cubicBezTo>
                <a:pt x="68" y="1"/>
                <a:pt x="68" y="1"/>
                <a:pt x="68" y="0"/>
              </a:cubicBezTo>
              <a:lnTo>
                <a:pt x="123" y="0"/>
              </a:lnTo>
              <a:lnTo>
                <a:pt x="123" y="70"/>
              </a:lnTo>
              <a:lnTo>
                <a:pt x="0" y="70"/>
              </a:lnTo>
              <a:lnTo>
                <a:pt x="0" y="53"/>
              </a:lnTo>
              <a:lnTo>
                <a:pt x="23" y="48"/>
              </a:lnTo>
              <a:lnTo>
                <a:pt x="39" y="41"/>
              </a:lnTo>
              <a:lnTo>
                <a:pt x="55" y="28"/>
              </a:lnTo>
              <a:lnTo>
                <a:pt x="64" y="15"/>
              </a:lnTo>
              <a:lnTo>
                <a:pt x="69" y="0"/>
              </a:lnTo>
              <a:lnTo>
                <a:pt x="68" y="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7</xdr:col>
      <xdr:colOff>350520</xdr:colOff>
      <xdr:row>13</xdr:row>
      <xdr:rowOff>53340</xdr:rowOff>
    </xdr:from>
    <xdr:to>
      <xdr:col>8</xdr:col>
      <xdr:colOff>152400</xdr:colOff>
      <xdr:row>14</xdr:row>
      <xdr:rowOff>53340</xdr:rowOff>
    </xdr:to>
    <xdr:sp macro="" textlink="">
      <xdr:nvSpPr>
        <xdr:cNvPr id="3" name="Line 17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ShapeType="1"/>
        </xdr:cNvSpPr>
      </xdr:nvSpPr>
      <xdr:spPr bwMode="auto">
        <a:xfrm flipV="1">
          <a:off x="3642360" y="2156460"/>
          <a:ext cx="350520" cy="1752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167640</xdr:colOff>
      <xdr:row>12</xdr:row>
      <xdr:rowOff>129540</xdr:rowOff>
    </xdr:from>
    <xdr:to>
      <xdr:col>8</xdr:col>
      <xdr:colOff>350520</xdr:colOff>
      <xdr:row>13</xdr:row>
      <xdr:rowOff>38100</xdr:rowOff>
    </xdr:to>
    <xdr:sp macro="" textlink="">
      <xdr:nvSpPr>
        <xdr:cNvPr id="4" name="Line 18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ShapeType="1"/>
        </xdr:cNvSpPr>
      </xdr:nvSpPr>
      <xdr:spPr bwMode="auto">
        <a:xfrm flipH="1">
          <a:off x="4008120" y="2057400"/>
          <a:ext cx="182880" cy="838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</xdr:col>
      <xdr:colOff>167640</xdr:colOff>
      <xdr:row>14</xdr:row>
      <xdr:rowOff>7620</xdr:rowOff>
    </xdr:from>
    <xdr:ext cx="144780" cy="198120"/>
    <xdr:sp macro="" textlink="">
      <xdr:nvSpPr>
        <xdr:cNvPr id="5" name="Text Box 19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3459480" y="2286000"/>
          <a:ext cx="14478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xdr:txBody>
    </xdr:sp>
    <xdr:clientData/>
  </xdr:oneCellAnchor>
  <xdr:oneCellAnchor>
    <xdr:from>
      <xdr:col>8</xdr:col>
      <xdr:colOff>411480</xdr:colOff>
      <xdr:row>12</xdr:row>
      <xdr:rowOff>22860</xdr:rowOff>
    </xdr:from>
    <xdr:ext cx="144780" cy="198120"/>
    <xdr:sp macro="" textlink="">
      <xdr:nvSpPr>
        <xdr:cNvPr id="6" name="Text Box 20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4251960" y="1950720"/>
          <a:ext cx="14478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</a:p>
      </xdr:txBody>
    </xdr:sp>
    <xdr:clientData/>
  </xdr:oneCellAnchor>
  <xdr:oneCellAnchor>
    <xdr:from>
      <xdr:col>8</xdr:col>
      <xdr:colOff>144780</xdr:colOff>
      <xdr:row>13</xdr:row>
      <xdr:rowOff>99060</xdr:rowOff>
    </xdr:from>
    <xdr:ext cx="144780" cy="198120"/>
    <xdr:sp macro="" textlink="">
      <xdr:nvSpPr>
        <xdr:cNvPr id="7" name="Text Box 2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>
          <a:spLocks noChangeArrowheads="1"/>
        </xdr:cNvSpPr>
      </xdr:nvSpPr>
      <xdr:spPr bwMode="auto">
        <a:xfrm>
          <a:off x="3985260" y="2202180"/>
          <a:ext cx="144780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s-MX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6</xdr:row>
          <xdr:rowOff>167640</xdr:rowOff>
        </xdr:from>
        <xdr:to>
          <xdr:col>3</xdr:col>
          <xdr:colOff>388620</xdr:colOff>
          <xdr:row>8</xdr:row>
          <xdr:rowOff>30480</xdr:rowOff>
        </xdr:to>
        <xdr:sp macro="" textlink="">
          <xdr:nvSpPr>
            <xdr:cNvPr id="23553" name="Option 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Tbs y Tbh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8</xdr:row>
          <xdr:rowOff>91440</xdr:rowOff>
        </xdr:from>
        <xdr:to>
          <xdr:col>3</xdr:col>
          <xdr:colOff>396240</xdr:colOff>
          <xdr:row>9</xdr:row>
          <xdr:rowOff>129540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E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Tbs y HR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59906" cy="62842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0.01062</cdr:x>
      <cdr:y>0.08068</cdr:y>
    </cdr:from>
    <cdr:to>
      <cdr:x>0.39752</cdr:x>
      <cdr:y>0.24622</cdr:y>
    </cdr:to>
    <cdr:sp macro="" textlink="Datos!$B$6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F4DDAA0B-78FA-4087-8E03-EC0048AF1793}"/>
            </a:ext>
          </a:extLst>
        </cdr:cNvPr>
        <cdr:cNvSpPr/>
      </cdr:nvSpPr>
      <cdr:spPr>
        <a:xfrm xmlns:a="http://schemas.openxmlformats.org/drawingml/2006/main">
          <a:off x="63499" y="306917"/>
          <a:ext cx="2312459" cy="6297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fld id="{177DDD01-BEE5-4781-B9D1-7FE6770E0620}" type="TxLink">
            <a:rPr lang="en-US" sz="800" b="1" i="0" u="none" strike="noStrike">
              <a:solidFill>
                <a:srgbClr val="000000"/>
              </a:solidFill>
              <a:latin typeface="+mn-lt"/>
            </a:rPr>
            <a:pPr/>
            <a:t> </a:t>
          </a:fld>
          <a:endParaRPr lang="es-MX" sz="100" b="1">
            <a:latin typeface="+mn-lt"/>
          </a:endParaRPr>
        </a:p>
      </cdr:txBody>
    </cdr:sp>
  </cdr:relSizeAnchor>
  <cdr:relSizeAnchor xmlns:cdr="http://schemas.openxmlformats.org/drawingml/2006/chartDrawing">
    <cdr:from>
      <cdr:x>0.03966</cdr:x>
      <cdr:y>0.45256</cdr:y>
    </cdr:from>
    <cdr:to>
      <cdr:x>0.14791</cdr:x>
      <cdr:y>0.63358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B8E676CC-F757-42E6-B3BD-B655432FE483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clrChange>
            <a:clrFrom>
              <a:srgbClr val="FEFEFE"/>
            </a:clrFrom>
            <a:clrTo>
              <a:srgbClr val="FEFEFE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1510" b="11151"/>
        <a:stretch xmlns:a="http://schemas.openxmlformats.org/drawingml/2006/main"/>
      </cdr:blipFill>
      <cdr:spPr>
        <a:xfrm xmlns:a="http://schemas.openxmlformats.org/drawingml/2006/main">
          <a:off x="237067" y="1721555"/>
          <a:ext cx="646985" cy="68862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SYCHROMETRICS/PsychProcess09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RUPO%204E/INGENIER&#205;A/PROYECTOS/CP-13020001%203M%20MD/HVAC%20DUCTOS%20orig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perties"/>
      <sheetName val="Mixing"/>
      <sheetName val="Heat Rec'ry"/>
      <sheetName val="Htg Coil"/>
      <sheetName val="Clg-Coil"/>
      <sheetName val="Clg Coil-BP"/>
    </sheetNames>
    <sheetDataSet>
      <sheetData sheetId="0">
        <row r="9">
          <cell r="B9">
            <v>89.6</v>
          </cell>
          <cell r="F9">
            <v>100</v>
          </cell>
        </row>
        <row r="10">
          <cell r="B10">
            <v>66.2</v>
          </cell>
          <cell r="F10">
            <v>75</v>
          </cell>
        </row>
        <row r="11">
          <cell r="B11">
            <v>7217.848</v>
          </cell>
        </row>
        <row r="12">
          <cell r="B12">
            <v>11.246510771769126</v>
          </cell>
        </row>
        <row r="13">
          <cell r="B13">
            <v>22.898120861537379</v>
          </cell>
        </row>
        <row r="15">
          <cell r="B15">
            <v>1.2700952629458393E-2</v>
          </cell>
          <cell r="F15">
            <v>1.8824554242563601E-2</v>
          </cell>
        </row>
        <row r="20">
          <cell r="B20">
            <v>18.463301330797805</v>
          </cell>
          <cell r="F20">
            <v>18.994405712228794</v>
          </cell>
        </row>
      </sheetData>
      <sheetData sheetId="1" refreshError="1"/>
      <sheetData sheetId="2">
        <row r="6">
          <cell r="B6">
            <v>70</v>
          </cell>
          <cell r="F6">
            <v>75</v>
          </cell>
        </row>
        <row r="7">
          <cell r="B7">
            <v>65</v>
          </cell>
          <cell r="F7">
            <v>63</v>
          </cell>
        </row>
        <row r="9">
          <cell r="B9">
            <v>10000</v>
          </cell>
          <cell r="F9">
            <v>96</v>
          </cell>
        </row>
        <row r="10">
          <cell r="F10">
            <v>75</v>
          </cell>
        </row>
        <row r="11">
          <cell r="B11">
            <v>31769.199465613015</v>
          </cell>
        </row>
        <row r="12">
          <cell r="B12">
            <v>0</v>
          </cell>
        </row>
        <row r="14">
          <cell r="E14">
            <v>260.62456964504207</v>
          </cell>
          <cell r="H14">
            <v>81.3</v>
          </cell>
        </row>
        <row r="15">
          <cell r="B15">
            <v>2000</v>
          </cell>
          <cell r="E15">
            <v>116.1792451391461</v>
          </cell>
          <cell r="H15">
            <v>67.400000000012767</v>
          </cell>
        </row>
        <row r="18">
          <cell r="B18">
            <v>1.3385343508447856E-2</v>
          </cell>
          <cell r="E18">
            <v>1.9761203241959048E-2</v>
          </cell>
          <cell r="H18">
            <v>1.5616894415176774E-2</v>
          </cell>
        </row>
        <row r="21">
          <cell r="E21">
            <v>0.24877397423942982</v>
          </cell>
        </row>
        <row r="22">
          <cell r="B22">
            <v>32.647581401294488</v>
          </cell>
          <cell r="E22">
            <v>44.84893816670381</v>
          </cell>
          <cell r="H22">
            <v>36.645251135586072</v>
          </cell>
        </row>
        <row r="23">
          <cell r="E23">
            <v>18.88621715663437</v>
          </cell>
        </row>
      </sheetData>
      <sheetData sheetId="3">
        <row r="3">
          <cell r="B3">
            <v>2000</v>
          </cell>
          <cell r="J3">
            <v>20</v>
          </cell>
        </row>
        <row r="4">
          <cell r="B4">
            <v>75</v>
          </cell>
          <cell r="J4">
            <v>15</v>
          </cell>
        </row>
        <row r="5">
          <cell r="J5">
            <v>20</v>
          </cell>
        </row>
        <row r="6">
          <cell r="B6">
            <v>8923.5438907123807</v>
          </cell>
          <cell r="F6">
            <v>102.5849952388125</v>
          </cell>
          <cell r="J6">
            <v>7.3535100911001491E-4</v>
          </cell>
        </row>
        <row r="7">
          <cell r="F7">
            <v>68.184995238820591</v>
          </cell>
        </row>
        <row r="8">
          <cell r="B8">
            <v>68</v>
          </cell>
        </row>
        <row r="9">
          <cell r="B9">
            <v>56</v>
          </cell>
        </row>
        <row r="10">
          <cell r="B10">
            <v>0</v>
          </cell>
          <cell r="F10">
            <v>6.7944449113485194E-3</v>
          </cell>
        </row>
        <row r="11">
          <cell r="B11">
            <v>14.696</v>
          </cell>
        </row>
        <row r="12">
          <cell r="B12">
            <v>29.921349920000001</v>
          </cell>
        </row>
        <row r="14">
          <cell r="J14" t="str">
            <v>Sat Steam</v>
          </cell>
        </row>
        <row r="15">
          <cell r="B15">
            <v>6.7944449113485194E-3</v>
          </cell>
          <cell r="J15">
            <v>212</v>
          </cell>
        </row>
        <row r="16">
          <cell r="J16">
            <v>1150.04</v>
          </cell>
        </row>
        <row r="17">
          <cell r="J17">
            <v>10.813718074914609</v>
          </cell>
        </row>
        <row r="18">
          <cell r="B18">
            <v>0.24301673354063874</v>
          </cell>
          <cell r="J18">
            <v>0.47031306094073067</v>
          </cell>
        </row>
        <row r="20">
          <cell r="B20">
            <v>13.447572115927612</v>
          </cell>
        </row>
      </sheetData>
      <sheetData sheetId="4">
        <row r="3">
          <cell r="B3">
            <v>4000</v>
          </cell>
          <cell r="I3">
            <v>2</v>
          </cell>
        </row>
        <row r="4">
          <cell r="B4">
            <v>120</v>
          </cell>
          <cell r="I4">
            <v>65</v>
          </cell>
        </row>
        <row r="5">
          <cell r="B5">
            <v>100</v>
          </cell>
          <cell r="I5">
            <v>82</v>
          </cell>
        </row>
        <row r="6">
          <cell r="B6">
            <v>3897.1217604865501</v>
          </cell>
          <cell r="I6">
            <v>1.8883691147118353</v>
          </cell>
        </row>
        <row r="7">
          <cell r="I7">
            <v>5.8608529230995376</v>
          </cell>
        </row>
        <row r="8">
          <cell r="B8">
            <v>75</v>
          </cell>
          <cell r="F8">
            <v>17537.047922189475</v>
          </cell>
          <cell r="I8">
            <v>114.13914707690046</v>
          </cell>
        </row>
        <row r="9">
          <cell r="B9">
            <v>63</v>
          </cell>
          <cell r="I9">
            <v>94.139147076900457</v>
          </cell>
        </row>
        <row r="10">
          <cell r="B10">
            <v>0</v>
          </cell>
        </row>
        <row r="11">
          <cell r="B11">
            <v>14.696</v>
          </cell>
        </row>
        <row r="12">
          <cell r="B12">
            <v>29.921349920000001</v>
          </cell>
          <cell r="I12">
            <v>53.020893425035787</v>
          </cell>
        </row>
        <row r="13">
          <cell r="I13">
            <v>52.920893425051702</v>
          </cell>
        </row>
        <row r="15">
          <cell r="B15">
            <v>9.5330130152183248E-3</v>
          </cell>
          <cell r="I15">
            <v>8.4614514704775042E-3</v>
          </cell>
        </row>
        <row r="18">
          <cell r="B18">
            <v>0.24423265777875694</v>
          </cell>
        </row>
        <row r="20">
          <cell r="B20">
            <v>13.685313575287097</v>
          </cell>
        </row>
      </sheetData>
      <sheetData sheetId="5">
        <row r="4">
          <cell r="B4">
            <v>4000</v>
          </cell>
          <cell r="F4">
            <v>13171.345128119176</v>
          </cell>
        </row>
        <row r="5">
          <cell r="B5">
            <v>47</v>
          </cell>
        </row>
        <row r="6">
          <cell r="B6">
            <v>0.1</v>
          </cell>
        </row>
        <row r="8">
          <cell r="F8">
            <v>50.28</v>
          </cell>
        </row>
        <row r="9">
          <cell r="B9">
            <v>79.8</v>
          </cell>
          <cell r="F9">
            <v>49.480000000015764</v>
          </cell>
        </row>
        <row r="10">
          <cell r="B10">
            <v>67.099999999999994</v>
          </cell>
          <cell r="F10">
            <v>8.9290357670459338E-3</v>
          </cell>
        </row>
        <row r="11">
          <cell r="B11">
            <v>0</v>
          </cell>
        </row>
        <row r="12">
          <cell r="F12">
            <v>183.80020109201712</v>
          </cell>
        </row>
        <row r="13">
          <cell r="F13">
            <v>96.037610467707623</v>
          </cell>
        </row>
        <row r="16">
          <cell r="B16">
            <v>1.5763088135951921E-2</v>
          </cell>
          <cell r="F16">
            <v>9.6124410039365327E-3</v>
          </cell>
        </row>
        <row r="19">
          <cell r="B19">
            <v>0.24699881113236263</v>
          </cell>
        </row>
        <row r="20">
          <cell r="B20">
            <v>36.435141640607526</v>
          </cell>
          <cell r="F20">
            <v>22.480591114129659</v>
          </cell>
        </row>
        <row r="21">
          <cell r="B21">
            <v>18.221373570086627</v>
          </cell>
          <cell r="F21">
            <v>17.058172137827711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Introducción"/>
      <sheetName val="Índice"/>
      <sheetName val="Inicio"/>
      <sheetName val="Lugar"/>
      <sheetName val="Áreas"/>
      <sheetName val="Dimensiones"/>
      <sheetName val="Área y volumen"/>
      <sheetName val="Requerimientos"/>
      <sheetName val="Puertas"/>
      <sheetName val="SlotFlowCalc"/>
      <sheetName val="Sobrepresión"/>
      <sheetName val="Inyección"/>
      <sheetName val="Colección"/>
      <sheetName val="Extracción"/>
      <sheetName val="ResumenDRCP"/>
      <sheetName val="Balance"/>
      <sheetName val="Ductos"/>
      <sheetName val="Resumen ductos"/>
      <sheetName val="UMA"/>
      <sheetName val="UEX"/>
      <sheetName val="Refrigeración"/>
      <sheetName val="Ventiladores"/>
      <sheetName val="Ayuda"/>
      <sheetName val="AirPropert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B8"/>
          <cell r="C8"/>
        </row>
        <row r="9">
          <cell r="B9"/>
          <cell r="C9"/>
        </row>
        <row r="10">
          <cell r="B10"/>
          <cell r="C10"/>
        </row>
        <row r="11">
          <cell r="B11"/>
          <cell r="C11"/>
        </row>
        <row r="12">
          <cell r="B12"/>
          <cell r="C12"/>
        </row>
        <row r="13">
          <cell r="B13"/>
          <cell r="C13"/>
        </row>
        <row r="14">
          <cell r="B14"/>
          <cell r="C14"/>
        </row>
        <row r="15">
          <cell r="B15"/>
          <cell r="C15"/>
        </row>
        <row r="16">
          <cell r="B16"/>
          <cell r="C16"/>
        </row>
        <row r="17">
          <cell r="B17"/>
          <cell r="C17"/>
        </row>
        <row r="18">
          <cell r="B18"/>
          <cell r="C18"/>
        </row>
        <row r="19">
          <cell r="B19"/>
          <cell r="C19"/>
        </row>
        <row r="20">
          <cell r="B20"/>
          <cell r="C20"/>
        </row>
        <row r="21">
          <cell r="B21"/>
          <cell r="C21"/>
        </row>
        <row r="22">
          <cell r="B22"/>
          <cell r="C22"/>
        </row>
        <row r="23">
          <cell r="B23"/>
          <cell r="C23"/>
        </row>
        <row r="24">
          <cell r="B24"/>
          <cell r="C24"/>
        </row>
        <row r="25">
          <cell r="B25"/>
          <cell r="C25"/>
        </row>
        <row r="26">
          <cell r="B26"/>
          <cell r="C26"/>
        </row>
        <row r="27">
          <cell r="B27"/>
          <cell r="C27"/>
        </row>
        <row r="28">
          <cell r="B28"/>
          <cell r="C28"/>
        </row>
        <row r="29">
          <cell r="B29"/>
          <cell r="C29"/>
        </row>
        <row r="30">
          <cell r="B30"/>
          <cell r="C30"/>
        </row>
        <row r="31">
          <cell r="B31"/>
          <cell r="C31"/>
        </row>
        <row r="32">
          <cell r="B32"/>
          <cell r="C32"/>
        </row>
        <row r="33">
          <cell r="B33"/>
          <cell r="C33"/>
        </row>
        <row r="34">
          <cell r="B34"/>
          <cell r="C34"/>
        </row>
        <row r="35">
          <cell r="B35"/>
          <cell r="C35"/>
        </row>
        <row r="36">
          <cell r="B36"/>
          <cell r="C36"/>
        </row>
        <row r="37">
          <cell r="B37"/>
          <cell r="C37"/>
        </row>
        <row r="38">
          <cell r="B38"/>
          <cell r="C38"/>
        </row>
        <row r="39">
          <cell r="B39"/>
          <cell r="C39"/>
        </row>
        <row r="40">
          <cell r="B40"/>
          <cell r="C40"/>
        </row>
        <row r="41">
          <cell r="B41"/>
          <cell r="C41"/>
        </row>
        <row r="42">
          <cell r="B42"/>
          <cell r="C42"/>
        </row>
        <row r="43">
          <cell r="B43"/>
          <cell r="C43"/>
        </row>
        <row r="44">
          <cell r="B44"/>
          <cell r="C44"/>
        </row>
        <row r="45">
          <cell r="B45"/>
          <cell r="C45"/>
        </row>
        <row r="46">
          <cell r="B46"/>
          <cell r="C46"/>
        </row>
        <row r="47">
          <cell r="B47"/>
          <cell r="C47"/>
        </row>
        <row r="48">
          <cell r="B48"/>
          <cell r="C48"/>
        </row>
        <row r="49">
          <cell r="B49"/>
          <cell r="C49"/>
        </row>
        <row r="50">
          <cell r="B50"/>
          <cell r="C50"/>
        </row>
        <row r="51">
          <cell r="B51"/>
          <cell r="C51"/>
        </row>
        <row r="52">
          <cell r="B52"/>
          <cell r="C52"/>
        </row>
        <row r="53">
          <cell r="B53"/>
          <cell r="C53"/>
        </row>
        <row r="54">
          <cell r="B54"/>
          <cell r="C54"/>
        </row>
        <row r="55">
          <cell r="B55"/>
          <cell r="C55"/>
        </row>
        <row r="56">
          <cell r="B56"/>
          <cell r="C56"/>
        </row>
        <row r="57">
          <cell r="B57"/>
          <cell r="C57"/>
        </row>
        <row r="58">
          <cell r="B58"/>
          <cell r="C58"/>
        </row>
        <row r="59">
          <cell r="B59"/>
          <cell r="C59"/>
        </row>
        <row r="60">
          <cell r="B60"/>
          <cell r="C60"/>
        </row>
        <row r="61">
          <cell r="B61"/>
          <cell r="C61"/>
        </row>
        <row r="62">
          <cell r="B62"/>
          <cell r="C62"/>
        </row>
        <row r="63">
          <cell r="B63"/>
          <cell r="C63"/>
        </row>
        <row r="64">
          <cell r="B64"/>
          <cell r="C64"/>
        </row>
        <row r="65">
          <cell r="B65"/>
          <cell r="C65"/>
        </row>
        <row r="66">
          <cell r="B66"/>
          <cell r="C66"/>
        </row>
        <row r="67">
          <cell r="B67"/>
          <cell r="C67"/>
        </row>
        <row r="68">
          <cell r="B68"/>
          <cell r="C68"/>
        </row>
        <row r="69">
          <cell r="B69"/>
          <cell r="C69"/>
        </row>
        <row r="70">
          <cell r="B70"/>
          <cell r="C70"/>
        </row>
        <row r="71">
          <cell r="B71"/>
          <cell r="C71"/>
        </row>
        <row r="72">
          <cell r="B72"/>
          <cell r="C72"/>
        </row>
        <row r="73">
          <cell r="B73"/>
          <cell r="C73"/>
        </row>
        <row r="74">
          <cell r="B74"/>
          <cell r="C74"/>
        </row>
        <row r="75">
          <cell r="B75"/>
          <cell r="C75"/>
        </row>
        <row r="76">
          <cell r="B76"/>
          <cell r="C76"/>
        </row>
        <row r="77">
          <cell r="B77"/>
          <cell r="C77"/>
        </row>
        <row r="78">
          <cell r="B78"/>
          <cell r="C78"/>
        </row>
        <row r="79">
          <cell r="B79"/>
          <cell r="C79"/>
        </row>
        <row r="80">
          <cell r="B80"/>
          <cell r="C80"/>
        </row>
        <row r="81">
          <cell r="B81"/>
          <cell r="C81"/>
        </row>
        <row r="82">
          <cell r="B82"/>
          <cell r="C82"/>
        </row>
        <row r="83">
          <cell r="B83"/>
          <cell r="C83"/>
        </row>
        <row r="84">
          <cell r="B84"/>
          <cell r="C84"/>
        </row>
        <row r="85">
          <cell r="B85"/>
          <cell r="C85"/>
        </row>
        <row r="86">
          <cell r="B86"/>
          <cell r="C86"/>
        </row>
        <row r="87">
          <cell r="B87"/>
          <cell r="C87"/>
        </row>
        <row r="88">
          <cell r="B88"/>
          <cell r="C88"/>
        </row>
        <row r="89">
          <cell r="B89"/>
          <cell r="C89"/>
        </row>
        <row r="90">
          <cell r="B90"/>
          <cell r="C90"/>
        </row>
        <row r="91">
          <cell r="B91"/>
          <cell r="C91"/>
        </row>
        <row r="92">
          <cell r="B92"/>
          <cell r="C92"/>
        </row>
        <row r="93">
          <cell r="B93"/>
          <cell r="C93"/>
        </row>
        <row r="94">
          <cell r="B94"/>
          <cell r="C94"/>
        </row>
        <row r="95">
          <cell r="B95"/>
          <cell r="C95"/>
        </row>
        <row r="96">
          <cell r="B96"/>
          <cell r="C96"/>
        </row>
        <row r="97">
          <cell r="B97"/>
          <cell r="C97"/>
        </row>
        <row r="98">
          <cell r="B98"/>
          <cell r="C98"/>
        </row>
        <row r="99">
          <cell r="B99"/>
          <cell r="C99"/>
        </row>
        <row r="100">
          <cell r="B100"/>
          <cell r="C100"/>
        </row>
        <row r="101">
          <cell r="B101"/>
          <cell r="C101"/>
        </row>
        <row r="102">
          <cell r="B102"/>
          <cell r="C102"/>
        </row>
        <row r="103">
          <cell r="B103"/>
          <cell r="C103"/>
        </row>
        <row r="104">
          <cell r="B104"/>
          <cell r="C104"/>
        </row>
        <row r="105">
          <cell r="B105"/>
          <cell r="C105"/>
        </row>
        <row r="106">
          <cell r="B106"/>
          <cell r="C106"/>
        </row>
        <row r="107">
          <cell r="B107"/>
          <cell r="C107"/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28" Type="http://schemas.openxmlformats.org/officeDocument/2006/relationships/ctrlProp" Target="../ctrlProps/ctrlProp126.xml"/><Relationship Id="rId144" Type="http://schemas.openxmlformats.org/officeDocument/2006/relationships/ctrlProp" Target="../ctrlProps/ctrlProp142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65" Type="http://schemas.openxmlformats.org/officeDocument/2006/relationships/ctrlProp" Target="../ctrlProps/ctrlProp163.xml"/><Relationship Id="rId181" Type="http://schemas.openxmlformats.org/officeDocument/2006/relationships/ctrlProp" Target="../ctrlProps/ctrlProp179.xml"/><Relationship Id="rId186" Type="http://schemas.openxmlformats.org/officeDocument/2006/relationships/ctrlProp" Target="../ctrlProps/ctrlProp184.xml"/><Relationship Id="rId216" Type="http://schemas.openxmlformats.org/officeDocument/2006/relationships/ctrlProp" Target="../ctrlProps/ctrlProp214.xml"/><Relationship Id="rId211" Type="http://schemas.openxmlformats.org/officeDocument/2006/relationships/ctrlProp" Target="../ctrlProps/ctrlProp209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18" Type="http://schemas.openxmlformats.org/officeDocument/2006/relationships/ctrlProp" Target="../ctrlProps/ctrlProp116.xml"/><Relationship Id="rId134" Type="http://schemas.openxmlformats.org/officeDocument/2006/relationships/ctrlProp" Target="../ctrlProps/ctrlProp132.xml"/><Relationship Id="rId139" Type="http://schemas.openxmlformats.org/officeDocument/2006/relationships/ctrlProp" Target="../ctrlProps/ctrlProp13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55" Type="http://schemas.openxmlformats.org/officeDocument/2006/relationships/ctrlProp" Target="../ctrlProps/ctrlProp153.xml"/><Relationship Id="rId171" Type="http://schemas.openxmlformats.org/officeDocument/2006/relationships/ctrlProp" Target="../ctrlProps/ctrlProp169.xml"/><Relationship Id="rId176" Type="http://schemas.openxmlformats.org/officeDocument/2006/relationships/ctrlProp" Target="../ctrlProps/ctrlProp174.xml"/><Relationship Id="rId192" Type="http://schemas.openxmlformats.org/officeDocument/2006/relationships/ctrlProp" Target="../ctrlProps/ctrlProp190.xml"/><Relationship Id="rId197" Type="http://schemas.openxmlformats.org/officeDocument/2006/relationships/ctrlProp" Target="../ctrlProps/ctrlProp195.xml"/><Relationship Id="rId206" Type="http://schemas.openxmlformats.org/officeDocument/2006/relationships/ctrlProp" Target="../ctrlProps/ctrlProp204.xml"/><Relationship Id="rId201" Type="http://schemas.openxmlformats.org/officeDocument/2006/relationships/ctrlProp" Target="../ctrlProps/ctrlProp199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08" Type="http://schemas.openxmlformats.org/officeDocument/2006/relationships/ctrlProp" Target="../ctrlProps/ctrlProp106.xml"/><Relationship Id="rId124" Type="http://schemas.openxmlformats.org/officeDocument/2006/relationships/ctrlProp" Target="../ctrlProps/ctrlProp122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45" Type="http://schemas.openxmlformats.org/officeDocument/2006/relationships/ctrlProp" Target="../ctrlProps/ctrlProp143.xml"/><Relationship Id="rId161" Type="http://schemas.openxmlformats.org/officeDocument/2006/relationships/ctrlProp" Target="../ctrlProps/ctrlProp159.xml"/><Relationship Id="rId166" Type="http://schemas.openxmlformats.org/officeDocument/2006/relationships/ctrlProp" Target="../ctrlProps/ctrlProp164.xml"/><Relationship Id="rId182" Type="http://schemas.openxmlformats.org/officeDocument/2006/relationships/ctrlProp" Target="../ctrlProps/ctrlProp180.xml"/><Relationship Id="rId187" Type="http://schemas.openxmlformats.org/officeDocument/2006/relationships/ctrlProp" Target="../ctrlProps/ctrlProp18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212" Type="http://schemas.openxmlformats.org/officeDocument/2006/relationships/ctrlProp" Target="../ctrlProps/ctrlProp210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2" Type="http://schemas.openxmlformats.org/officeDocument/2006/relationships/ctrlProp" Target="../ctrlProps/ctrlProp200.xml"/><Relationship Id="rId207" Type="http://schemas.openxmlformats.org/officeDocument/2006/relationships/ctrlProp" Target="../ctrlProps/ctrlProp205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3" Type="http://schemas.openxmlformats.org/officeDocument/2006/relationships/ctrlProp" Target="../ctrlProps/ctrlProp211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208" Type="http://schemas.openxmlformats.org/officeDocument/2006/relationships/ctrlProp" Target="../ctrlProps/ctrlProp206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189" Type="http://schemas.openxmlformats.org/officeDocument/2006/relationships/ctrlProp" Target="../ctrlProps/ctrlProp187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212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185" Type="http://schemas.openxmlformats.org/officeDocument/2006/relationships/ctrlProp" Target="../ctrlProps/ctrlProp18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10" Type="http://schemas.openxmlformats.org/officeDocument/2006/relationships/ctrlProp" Target="../ctrlProps/ctrlProp208.xml"/><Relationship Id="rId215" Type="http://schemas.openxmlformats.org/officeDocument/2006/relationships/ctrlProp" Target="../ctrlProps/ctrlProp213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16.xml"/><Relationship Id="rId4" Type="http://schemas.openxmlformats.org/officeDocument/2006/relationships/ctrlProp" Target="../ctrlProps/ctrlProp2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23.xml"/><Relationship Id="rId4" Type="http://schemas.openxmlformats.org/officeDocument/2006/relationships/ctrlProp" Target="../ctrlProps/ctrlProp22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14"/>
  <sheetViews>
    <sheetView topLeftCell="A19" workbookViewId="0">
      <selection activeCell="E40" sqref="E40"/>
    </sheetView>
  </sheetViews>
  <sheetFormatPr defaultRowHeight="14.4" x14ac:dyDescent="0.3"/>
  <cols>
    <col min="1" max="16384" width="9" style="386"/>
  </cols>
  <sheetData>
    <row r="1" spans="1:5" x14ac:dyDescent="0.3">
      <c r="A1" s="386" t="s">
        <v>44</v>
      </c>
      <c r="B1" s="386" t="s">
        <v>45</v>
      </c>
      <c r="C1" s="386" t="s">
        <v>11</v>
      </c>
      <c r="D1" s="386" t="s">
        <v>145</v>
      </c>
      <c r="E1" s="386" t="s">
        <v>146</v>
      </c>
    </row>
    <row r="2" spans="1:5" x14ac:dyDescent="0.3">
      <c r="A2" s="386" t="s">
        <v>254</v>
      </c>
      <c r="B2" s="386" t="s">
        <v>94</v>
      </c>
      <c r="C2" s="386">
        <v>25</v>
      </c>
      <c r="D2" s="386">
        <v>37</v>
      </c>
      <c r="E2" s="386">
        <v>27</v>
      </c>
    </row>
    <row r="3" spans="1:5" x14ac:dyDescent="0.3">
      <c r="A3" s="386" t="s">
        <v>49</v>
      </c>
      <c r="B3" s="386" t="s">
        <v>50</v>
      </c>
      <c r="C3" s="386">
        <v>3</v>
      </c>
      <c r="D3" s="386">
        <v>33</v>
      </c>
      <c r="E3" s="386">
        <v>27</v>
      </c>
    </row>
    <row r="4" spans="1:5" x14ac:dyDescent="0.3">
      <c r="A4" s="386" t="s">
        <v>255</v>
      </c>
      <c r="B4" s="386" t="s">
        <v>85</v>
      </c>
      <c r="C4" s="386">
        <v>2445</v>
      </c>
      <c r="D4" s="386">
        <v>29</v>
      </c>
      <c r="E4" s="386">
        <v>18</v>
      </c>
    </row>
    <row r="5" spans="1:5" x14ac:dyDescent="0.3">
      <c r="A5" s="386" t="s">
        <v>256</v>
      </c>
      <c r="B5" s="386" t="s">
        <v>257</v>
      </c>
      <c r="C5" s="386">
        <v>2200</v>
      </c>
      <c r="D5" s="386">
        <v>32</v>
      </c>
      <c r="E5" s="386">
        <v>19</v>
      </c>
    </row>
    <row r="6" spans="1:5" x14ac:dyDescent="0.3">
      <c r="A6" s="386" t="s">
        <v>51</v>
      </c>
      <c r="B6" s="386" t="s">
        <v>51</v>
      </c>
      <c r="C6" s="386">
        <v>1879</v>
      </c>
      <c r="D6" s="386">
        <v>34</v>
      </c>
      <c r="E6" s="386">
        <v>19</v>
      </c>
    </row>
    <row r="7" spans="1:5" x14ac:dyDescent="0.3">
      <c r="A7" s="386" t="s">
        <v>258</v>
      </c>
      <c r="B7" s="386" t="s">
        <v>59</v>
      </c>
      <c r="C7" s="386">
        <v>397</v>
      </c>
      <c r="D7" s="386">
        <v>42</v>
      </c>
      <c r="E7" s="386">
        <v>28</v>
      </c>
    </row>
    <row r="8" spans="1:5" x14ac:dyDescent="0.3">
      <c r="A8" s="386" t="s">
        <v>259</v>
      </c>
      <c r="B8" s="386" t="s">
        <v>102</v>
      </c>
      <c r="C8" s="386">
        <v>2</v>
      </c>
      <c r="D8" s="386">
        <v>40</v>
      </c>
      <c r="E8" s="386">
        <v>29</v>
      </c>
    </row>
    <row r="9" spans="1:5" x14ac:dyDescent="0.3">
      <c r="A9" s="386" t="s">
        <v>260</v>
      </c>
      <c r="B9" s="386" t="s">
        <v>70</v>
      </c>
      <c r="C9" s="386">
        <v>1235</v>
      </c>
      <c r="D9" s="386">
        <v>36</v>
      </c>
      <c r="E9" s="386">
        <v>24</v>
      </c>
    </row>
    <row r="10" spans="1:5" x14ac:dyDescent="0.3">
      <c r="A10" s="386" t="s">
        <v>261</v>
      </c>
      <c r="B10" s="386" t="s">
        <v>74</v>
      </c>
      <c r="C10" s="386">
        <v>683</v>
      </c>
      <c r="D10" s="386">
        <v>39</v>
      </c>
      <c r="E10" s="386">
        <v>25</v>
      </c>
    </row>
    <row r="11" spans="1:5" x14ac:dyDescent="0.3">
      <c r="A11" s="386" t="s">
        <v>52</v>
      </c>
      <c r="B11" s="386" t="s">
        <v>52</v>
      </c>
      <c r="C11" s="386">
        <v>25</v>
      </c>
      <c r="D11" s="386">
        <v>36</v>
      </c>
      <c r="E11" s="386">
        <v>27</v>
      </c>
    </row>
    <row r="12" spans="1:5" x14ac:dyDescent="0.3">
      <c r="A12" s="386" t="s">
        <v>262</v>
      </c>
      <c r="B12" s="386" t="s">
        <v>263</v>
      </c>
      <c r="C12" s="386">
        <v>3</v>
      </c>
      <c r="D12" s="386">
        <v>33</v>
      </c>
      <c r="E12" s="386">
        <v>27</v>
      </c>
    </row>
    <row r="13" spans="1:5" x14ac:dyDescent="0.3">
      <c r="A13" s="386" t="s">
        <v>53</v>
      </c>
      <c r="B13" s="386" t="s">
        <v>54</v>
      </c>
      <c r="C13" s="386">
        <v>1754</v>
      </c>
      <c r="D13" s="386">
        <v>38</v>
      </c>
      <c r="E13" s="386">
        <v>20</v>
      </c>
    </row>
    <row r="14" spans="1:5" x14ac:dyDescent="0.3">
      <c r="A14" s="386" t="s">
        <v>264</v>
      </c>
      <c r="B14" s="386" t="s">
        <v>52</v>
      </c>
      <c r="C14" s="386">
        <v>2</v>
      </c>
      <c r="D14" s="386">
        <v>42</v>
      </c>
      <c r="E14" s="386">
        <v>28</v>
      </c>
    </row>
    <row r="15" spans="1:5" x14ac:dyDescent="0.3">
      <c r="A15" s="386" t="s">
        <v>265</v>
      </c>
      <c r="B15" s="386" t="s">
        <v>257</v>
      </c>
      <c r="C15" s="386">
        <v>2240</v>
      </c>
      <c r="D15" s="386">
        <v>32</v>
      </c>
      <c r="E15" s="386">
        <v>19</v>
      </c>
    </row>
    <row r="16" spans="1:5" x14ac:dyDescent="0.3">
      <c r="A16" s="386" t="s">
        <v>266</v>
      </c>
      <c r="B16" s="386" t="s">
        <v>263</v>
      </c>
      <c r="C16" s="386">
        <v>4</v>
      </c>
      <c r="D16" s="386">
        <v>34</v>
      </c>
      <c r="E16" s="386">
        <v>27</v>
      </c>
    </row>
    <row r="17" spans="1:5" x14ac:dyDescent="0.3">
      <c r="A17" s="386" t="s">
        <v>55</v>
      </c>
      <c r="B17" s="386" t="s">
        <v>55</v>
      </c>
      <c r="C17" s="386">
        <v>1423</v>
      </c>
      <c r="D17" s="386">
        <v>35</v>
      </c>
      <c r="E17" s="386">
        <v>23</v>
      </c>
    </row>
    <row r="18" spans="1:5" x14ac:dyDescent="0.3">
      <c r="A18" s="386" t="s">
        <v>56</v>
      </c>
      <c r="B18" s="386" t="s">
        <v>50</v>
      </c>
      <c r="C18" s="386">
        <v>1250</v>
      </c>
      <c r="D18" s="386">
        <v>33</v>
      </c>
      <c r="E18" s="386">
        <v>23</v>
      </c>
    </row>
    <row r="19" spans="1:5" x14ac:dyDescent="0.3">
      <c r="A19" s="386" t="s">
        <v>267</v>
      </c>
      <c r="B19" s="386" t="s">
        <v>52</v>
      </c>
      <c r="C19" s="386">
        <v>3</v>
      </c>
      <c r="D19" s="386">
        <v>37</v>
      </c>
      <c r="E19" s="386">
        <v>26</v>
      </c>
    </row>
    <row r="20" spans="1:5" x14ac:dyDescent="0.3">
      <c r="A20" s="386" t="s">
        <v>57</v>
      </c>
      <c r="B20" s="386" t="s">
        <v>55</v>
      </c>
      <c r="C20" s="386">
        <v>1137</v>
      </c>
      <c r="D20" s="386">
        <v>39</v>
      </c>
      <c r="E20" s="386">
        <v>24</v>
      </c>
    </row>
    <row r="21" spans="1:5" x14ac:dyDescent="0.3">
      <c r="A21" s="386" t="s">
        <v>268</v>
      </c>
      <c r="B21" s="386" t="s">
        <v>66</v>
      </c>
      <c r="C21" s="386">
        <v>1140</v>
      </c>
      <c r="D21" s="386">
        <v>40</v>
      </c>
      <c r="E21" s="386">
        <v>21</v>
      </c>
    </row>
    <row r="22" spans="1:5" x14ac:dyDescent="0.3">
      <c r="A22" s="386" t="s">
        <v>58</v>
      </c>
      <c r="B22" s="386" t="s">
        <v>59</v>
      </c>
      <c r="C22" s="386">
        <v>40</v>
      </c>
      <c r="D22" s="386">
        <v>43</v>
      </c>
      <c r="E22" s="386">
        <v>28</v>
      </c>
    </row>
    <row r="23" spans="1:5" x14ac:dyDescent="0.3">
      <c r="A23" s="386" t="s">
        <v>269</v>
      </c>
      <c r="B23" s="386" t="s">
        <v>270</v>
      </c>
      <c r="C23" s="386">
        <v>221</v>
      </c>
      <c r="D23" s="386">
        <v>36</v>
      </c>
      <c r="E23" s="386">
        <v>26</v>
      </c>
    </row>
    <row r="24" spans="1:5" x14ac:dyDescent="0.3">
      <c r="A24" s="386" t="s">
        <v>271</v>
      </c>
      <c r="B24" s="386" t="s">
        <v>272</v>
      </c>
      <c r="C24" s="386">
        <v>14</v>
      </c>
      <c r="D24" s="386">
        <v>37</v>
      </c>
      <c r="E24" s="386">
        <v>28</v>
      </c>
    </row>
    <row r="25" spans="1:5" x14ac:dyDescent="0.3">
      <c r="A25" s="386" t="s">
        <v>60</v>
      </c>
      <c r="B25" s="386" t="s">
        <v>60</v>
      </c>
      <c r="C25" s="386">
        <v>494</v>
      </c>
      <c r="D25" s="386">
        <v>36</v>
      </c>
      <c r="E25" s="386">
        <v>24</v>
      </c>
    </row>
    <row r="26" spans="1:5" x14ac:dyDescent="0.3">
      <c r="A26" s="386" t="s">
        <v>273</v>
      </c>
      <c r="B26" s="386" t="s">
        <v>274</v>
      </c>
      <c r="C26" s="386">
        <v>1635</v>
      </c>
      <c r="D26" s="386">
        <v>33</v>
      </c>
      <c r="E26" s="386">
        <v>20</v>
      </c>
    </row>
    <row r="27" spans="1:5" x14ac:dyDescent="0.3">
      <c r="A27" s="386" t="s">
        <v>275</v>
      </c>
      <c r="B27" s="386" t="s">
        <v>263</v>
      </c>
      <c r="C27" s="386">
        <v>3</v>
      </c>
      <c r="D27" s="386">
        <v>33</v>
      </c>
      <c r="E27" s="386">
        <v>27</v>
      </c>
    </row>
    <row r="28" spans="1:5" x14ac:dyDescent="0.3">
      <c r="A28" s="386" t="s">
        <v>276</v>
      </c>
      <c r="B28" s="386" t="s">
        <v>62</v>
      </c>
      <c r="C28" s="386">
        <v>1291</v>
      </c>
      <c r="D28" s="386">
        <v>42</v>
      </c>
      <c r="E28" s="386">
        <v>22</v>
      </c>
    </row>
    <row r="29" spans="1:5" x14ac:dyDescent="0.3">
      <c r="A29" s="386" t="s">
        <v>61</v>
      </c>
      <c r="B29" s="386" t="s">
        <v>62</v>
      </c>
      <c r="C29" s="386">
        <v>1538</v>
      </c>
      <c r="D29" s="386">
        <v>37</v>
      </c>
      <c r="E29" s="386">
        <v>22</v>
      </c>
    </row>
    <row r="30" spans="1:5" x14ac:dyDescent="0.3">
      <c r="A30" s="386" t="s">
        <v>63</v>
      </c>
      <c r="B30" s="386" t="s">
        <v>64</v>
      </c>
      <c r="C30" s="386">
        <v>53</v>
      </c>
      <c r="D30" s="386">
        <v>37</v>
      </c>
      <c r="E30" s="386">
        <v>27</v>
      </c>
    </row>
    <row r="31" spans="1:5" x14ac:dyDescent="0.3">
      <c r="A31" s="386" t="s">
        <v>66</v>
      </c>
      <c r="B31" s="386" t="s">
        <v>66</v>
      </c>
      <c r="C31" s="386">
        <v>1898</v>
      </c>
      <c r="D31" s="386">
        <v>34</v>
      </c>
      <c r="E31" s="386">
        <v>17</v>
      </c>
    </row>
    <row r="32" spans="1:5" x14ac:dyDescent="0.3">
      <c r="A32" s="386" t="s">
        <v>277</v>
      </c>
      <c r="B32" s="386" t="s">
        <v>64</v>
      </c>
      <c r="C32" s="386">
        <v>115</v>
      </c>
      <c r="D32" s="386">
        <v>42</v>
      </c>
      <c r="E32" s="386">
        <v>28</v>
      </c>
    </row>
    <row r="33" spans="1:5" x14ac:dyDescent="0.3">
      <c r="A33" s="386" t="s">
        <v>67</v>
      </c>
      <c r="B33" s="386" t="s">
        <v>68</v>
      </c>
      <c r="C33" s="386">
        <v>13</v>
      </c>
      <c r="D33" s="386">
        <v>34</v>
      </c>
      <c r="E33" s="386">
        <v>26</v>
      </c>
    </row>
    <row r="34" spans="1:5" x14ac:dyDescent="0.3">
      <c r="A34" s="386" t="s">
        <v>278</v>
      </c>
      <c r="B34" s="386" t="s">
        <v>279</v>
      </c>
      <c r="C34" s="386">
        <v>2250</v>
      </c>
      <c r="D34" s="386">
        <v>36</v>
      </c>
      <c r="E34" s="386">
        <v>19</v>
      </c>
    </row>
    <row r="35" spans="1:5" x14ac:dyDescent="0.3">
      <c r="A35" s="386" t="s">
        <v>69</v>
      </c>
      <c r="B35" s="386" t="s">
        <v>70</v>
      </c>
      <c r="C35" s="386">
        <v>1589</v>
      </c>
      <c r="D35" s="386">
        <v>34</v>
      </c>
      <c r="E35" s="386">
        <v>20</v>
      </c>
    </row>
    <row r="36" spans="1:5" x14ac:dyDescent="0.3">
      <c r="A36" s="386" t="s">
        <v>280</v>
      </c>
      <c r="B36" s="386" t="s">
        <v>64</v>
      </c>
      <c r="C36" s="386">
        <v>43</v>
      </c>
      <c r="D36" s="386">
        <v>39</v>
      </c>
      <c r="E36" s="386">
        <v>27</v>
      </c>
    </row>
    <row r="37" spans="1:5" x14ac:dyDescent="0.3">
      <c r="A37" s="386" t="s">
        <v>54</v>
      </c>
      <c r="B37" s="386" t="s">
        <v>54</v>
      </c>
      <c r="C37" s="386">
        <v>2037</v>
      </c>
      <c r="D37" s="386">
        <v>31</v>
      </c>
      <c r="E37" s="386">
        <v>18</v>
      </c>
    </row>
    <row r="38" spans="1:5" x14ac:dyDescent="0.3">
      <c r="A38" s="386" t="s">
        <v>281</v>
      </c>
      <c r="B38" s="386" t="s">
        <v>59</v>
      </c>
      <c r="C38" s="386">
        <v>4</v>
      </c>
      <c r="D38" s="386">
        <v>42</v>
      </c>
      <c r="E38" s="386">
        <v>27</v>
      </c>
    </row>
    <row r="39" spans="1:5" x14ac:dyDescent="0.3">
      <c r="A39" s="386" t="s">
        <v>71</v>
      </c>
      <c r="B39" s="386" t="s">
        <v>59</v>
      </c>
      <c r="C39" s="386">
        <v>211</v>
      </c>
      <c r="D39" s="386">
        <v>41</v>
      </c>
      <c r="E39" s="386">
        <v>28</v>
      </c>
    </row>
    <row r="40" spans="1:5" x14ac:dyDescent="0.3">
      <c r="A40" s="386" t="s">
        <v>282</v>
      </c>
      <c r="B40" s="386" t="s">
        <v>55</v>
      </c>
      <c r="C40" s="386">
        <v>1652</v>
      </c>
      <c r="D40" s="386">
        <v>32</v>
      </c>
      <c r="E40" s="386">
        <v>20</v>
      </c>
    </row>
    <row r="41" spans="1:5" x14ac:dyDescent="0.3">
      <c r="A41" s="386" t="s">
        <v>283</v>
      </c>
      <c r="B41" s="386" t="s">
        <v>86</v>
      </c>
      <c r="C41" s="386">
        <v>1600</v>
      </c>
      <c r="D41" s="386">
        <v>37</v>
      </c>
      <c r="E41" s="386">
        <v>21</v>
      </c>
    </row>
    <row r="42" spans="1:5" x14ac:dyDescent="0.3">
      <c r="A42" s="386" t="s">
        <v>284</v>
      </c>
      <c r="B42" s="386" t="s">
        <v>285</v>
      </c>
      <c r="C42" s="386">
        <v>1597</v>
      </c>
      <c r="D42" s="386">
        <v>38</v>
      </c>
      <c r="E42" s="386">
        <v>22</v>
      </c>
    </row>
    <row r="43" spans="1:5" x14ac:dyDescent="0.3">
      <c r="A43" s="386" t="s">
        <v>72</v>
      </c>
      <c r="B43" s="386" t="s">
        <v>54</v>
      </c>
      <c r="C43" s="386">
        <v>1724</v>
      </c>
      <c r="D43" s="386">
        <v>35</v>
      </c>
      <c r="E43" s="386">
        <v>19</v>
      </c>
    </row>
    <row r="44" spans="1:5" x14ac:dyDescent="0.3">
      <c r="A44" s="386" t="s">
        <v>286</v>
      </c>
      <c r="B44" s="386" t="s">
        <v>85</v>
      </c>
      <c r="C44" s="386">
        <v>1745</v>
      </c>
      <c r="D44" s="386">
        <v>37</v>
      </c>
      <c r="E44" s="386">
        <v>19</v>
      </c>
    </row>
    <row r="45" spans="1:5" x14ac:dyDescent="0.3">
      <c r="A45" s="386" t="s">
        <v>287</v>
      </c>
      <c r="B45" s="386" t="s">
        <v>50</v>
      </c>
      <c r="C45" s="386">
        <v>38</v>
      </c>
      <c r="D45" s="386">
        <v>40</v>
      </c>
      <c r="E45" s="386">
        <v>27</v>
      </c>
    </row>
    <row r="46" spans="1:5" x14ac:dyDescent="0.3">
      <c r="A46" s="386" t="s">
        <v>288</v>
      </c>
      <c r="B46" s="386" t="s">
        <v>272</v>
      </c>
      <c r="C46" s="386">
        <v>1399</v>
      </c>
      <c r="D46" s="386">
        <v>32</v>
      </c>
      <c r="E46" s="386">
        <v>21</v>
      </c>
    </row>
    <row r="47" spans="1:5" x14ac:dyDescent="0.3">
      <c r="A47" s="386" t="s">
        <v>289</v>
      </c>
      <c r="B47" s="386" t="s">
        <v>290</v>
      </c>
      <c r="C47" s="386">
        <v>18</v>
      </c>
      <c r="D47" s="386">
        <v>36</v>
      </c>
      <c r="E47" s="386">
        <v>27</v>
      </c>
    </row>
    <row r="48" spans="1:5" x14ac:dyDescent="0.3">
      <c r="A48" s="386" t="s">
        <v>73</v>
      </c>
      <c r="B48" s="386" t="s">
        <v>74</v>
      </c>
      <c r="C48" s="386">
        <v>1775</v>
      </c>
      <c r="D48" s="386">
        <v>34</v>
      </c>
      <c r="E48" s="386">
        <v>20</v>
      </c>
    </row>
    <row r="49" spans="1:5" x14ac:dyDescent="0.3">
      <c r="A49" s="386" t="s">
        <v>291</v>
      </c>
      <c r="B49" s="386" t="s">
        <v>70</v>
      </c>
      <c r="C49" s="386">
        <v>1880</v>
      </c>
      <c r="D49" s="386">
        <v>39</v>
      </c>
      <c r="E49" s="386">
        <v>20</v>
      </c>
    </row>
    <row r="50" spans="1:5" x14ac:dyDescent="0.3">
      <c r="A50" s="386" t="s">
        <v>292</v>
      </c>
      <c r="B50" s="386" t="s">
        <v>81</v>
      </c>
      <c r="C50" s="386">
        <v>340</v>
      </c>
      <c r="D50" s="386">
        <v>38</v>
      </c>
      <c r="E50" s="386">
        <v>25</v>
      </c>
    </row>
    <row r="51" spans="1:5" x14ac:dyDescent="0.3">
      <c r="A51" s="386" t="s">
        <v>75</v>
      </c>
      <c r="B51" s="386" t="s">
        <v>54</v>
      </c>
      <c r="C51" s="386">
        <v>1809</v>
      </c>
      <c r="D51" s="386">
        <v>34</v>
      </c>
      <c r="E51" s="386">
        <v>20</v>
      </c>
    </row>
    <row r="52" spans="1:5" x14ac:dyDescent="0.3">
      <c r="A52" s="386" t="s">
        <v>78</v>
      </c>
      <c r="B52" s="386" t="s">
        <v>60</v>
      </c>
      <c r="C52" s="386">
        <v>3</v>
      </c>
      <c r="D52" s="386">
        <v>35</v>
      </c>
      <c r="E52" s="386">
        <v>27</v>
      </c>
    </row>
    <row r="53" spans="1:5" x14ac:dyDescent="0.3">
      <c r="A53" s="386" t="s">
        <v>293</v>
      </c>
      <c r="B53" s="386" t="s">
        <v>270</v>
      </c>
      <c r="C53" s="386">
        <v>12</v>
      </c>
      <c r="D53" s="386">
        <v>37</v>
      </c>
      <c r="E53" s="386">
        <v>26</v>
      </c>
    </row>
    <row r="54" spans="1:5" x14ac:dyDescent="0.3">
      <c r="A54" s="386" t="s">
        <v>294</v>
      </c>
      <c r="B54" s="386" t="s">
        <v>91</v>
      </c>
      <c r="C54" s="386">
        <v>1597</v>
      </c>
      <c r="D54" s="386">
        <v>36</v>
      </c>
      <c r="E54" s="386">
        <v>22</v>
      </c>
    </row>
    <row r="55" spans="1:5" x14ac:dyDescent="0.3">
      <c r="A55" s="386" t="s">
        <v>79</v>
      </c>
      <c r="B55" s="386" t="s">
        <v>64</v>
      </c>
      <c r="C55" s="386">
        <v>78</v>
      </c>
      <c r="D55" s="386">
        <v>33</v>
      </c>
      <c r="E55" s="386">
        <v>26</v>
      </c>
    </row>
    <row r="56" spans="1:5" x14ac:dyDescent="0.3">
      <c r="A56" s="386" t="s">
        <v>295</v>
      </c>
      <c r="B56" s="386" t="s">
        <v>296</v>
      </c>
      <c r="C56" s="386">
        <v>22</v>
      </c>
      <c r="D56" s="386">
        <v>37</v>
      </c>
      <c r="E56" s="386">
        <v>27</v>
      </c>
    </row>
    <row r="57" spans="1:5" x14ac:dyDescent="0.3">
      <c r="A57" s="386" t="s">
        <v>297</v>
      </c>
      <c r="B57" s="386" t="s">
        <v>68</v>
      </c>
      <c r="C57" s="386">
        <v>1</v>
      </c>
      <c r="D57" s="386">
        <v>43</v>
      </c>
      <c r="E57" s="386">
        <v>28</v>
      </c>
    </row>
    <row r="58" spans="1:5" x14ac:dyDescent="0.3">
      <c r="A58" s="386" t="s">
        <v>298</v>
      </c>
      <c r="B58" s="386" t="s">
        <v>89</v>
      </c>
      <c r="C58" s="386">
        <v>586</v>
      </c>
      <c r="D58" s="386">
        <v>38</v>
      </c>
      <c r="E58" s="386">
        <v>24</v>
      </c>
    </row>
    <row r="59" spans="1:5" x14ac:dyDescent="0.3">
      <c r="A59" s="386" t="s">
        <v>299</v>
      </c>
      <c r="B59" s="386" t="s">
        <v>81</v>
      </c>
      <c r="C59" s="386">
        <v>432</v>
      </c>
      <c r="D59" s="386">
        <v>39</v>
      </c>
      <c r="E59" s="386">
        <v>25</v>
      </c>
    </row>
    <row r="60" spans="1:5" x14ac:dyDescent="0.3">
      <c r="A60" s="386" t="s">
        <v>80</v>
      </c>
      <c r="B60" s="386" t="s">
        <v>81</v>
      </c>
      <c r="C60" s="386">
        <v>534</v>
      </c>
      <c r="D60" s="386">
        <v>38</v>
      </c>
      <c r="E60" s="386">
        <v>26</v>
      </c>
    </row>
    <row r="61" spans="1:5" x14ac:dyDescent="0.3">
      <c r="A61" s="386" t="s">
        <v>82</v>
      </c>
      <c r="B61" s="386" t="s">
        <v>74</v>
      </c>
      <c r="C61" s="386">
        <v>1923</v>
      </c>
      <c r="D61" s="386">
        <v>32</v>
      </c>
      <c r="E61" s="386">
        <v>19</v>
      </c>
    </row>
    <row r="62" spans="1:5" x14ac:dyDescent="0.3">
      <c r="A62" s="386" t="s">
        <v>300</v>
      </c>
      <c r="B62" s="386" t="s">
        <v>290</v>
      </c>
      <c r="C62" s="386">
        <v>33</v>
      </c>
      <c r="D62" s="386">
        <v>38</v>
      </c>
      <c r="E62" s="386">
        <v>28</v>
      </c>
    </row>
    <row r="63" spans="1:5" x14ac:dyDescent="0.3">
      <c r="A63" s="386" t="s">
        <v>301</v>
      </c>
      <c r="B63" s="386" t="s">
        <v>59</v>
      </c>
      <c r="C63" s="386">
        <v>38</v>
      </c>
      <c r="D63" s="386">
        <v>41</v>
      </c>
      <c r="E63" s="386">
        <v>28</v>
      </c>
    </row>
    <row r="64" spans="1:5" x14ac:dyDescent="0.3">
      <c r="A64" s="386" t="s">
        <v>83</v>
      </c>
      <c r="B64" s="386" t="s">
        <v>59</v>
      </c>
      <c r="C64" s="386">
        <v>1117</v>
      </c>
      <c r="D64" s="386">
        <v>37</v>
      </c>
      <c r="E64" s="386">
        <v>26</v>
      </c>
    </row>
    <row r="65" spans="1:5" x14ac:dyDescent="0.3">
      <c r="A65" s="386" t="s">
        <v>302</v>
      </c>
      <c r="B65" s="386" t="s">
        <v>89</v>
      </c>
      <c r="C65" s="386">
        <v>430</v>
      </c>
      <c r="D65" s="386">
        <v>41</v>
      </c>
      <c r="E65" s="386">
        <v>25</v>
      </c>
    </row>
    <row r="66" spans="1:5" x14ac:dyDescent="0.3">
      <c r="A66" s="386" t="s">
        <v>303</v>
      </c>
      <c r="B66" s="386" t="s">
        <v>270</v>
      </c>
      <c r="C66" s="386">
        <v>140</v>
      </c>
      <c r="D66" s="386">
        <v>41</v>
      </c>
      <c r="E66" s="386">
        <v>32</v>
      </c>
    </row>
    <row r="67" spans="1:5" x14ac:dyDescent="0.3">
      <c r="A67" s="386" t="s">
        <v>285</v>
      </c>
      <c r="B67" s="386" t="s">
        <v>285</v>
      </c>
      <c r="C67" s="386">
        <v>1536</v>
      </c>
      <c r="D67" s="386">
        <v>36</v>
      </c>
      <c r="E67" s="386">
        <v>22</v>
      </c>
    </row>
    <row r="68" spans="1:5" x14ac:dyDescent="0.3">
      <c r="A68" s="386" t="s">
        <v>304</v>
      </c>
      <c r="B68" s="386" t="s">
        <v>55</v>
      </c>
      <c r="C68" s="386">
        <v>841</v>
      </c>
      <c r="D68" s="386">
        <v>45</v>
      </c>
      <c r="E68" s="386">
        <v>24</v>
      </c>
    </row>
    <row r="69" spans="1:5" x14ac:dyDescent="0.3">
      <c r="A69" s="386" t="s">
        <v>305</v>
      </c>
      <c r="B69" s="386" t="s">
        <v>272</v>
      </c>
      <c r="C69" s="386">
        <v>1246</v>
      </c>
      <c r="D69" s="386">
        <v>34</v>
      </c>
      <c r="E69" s="386">
        <v>21</v>
      </c>
    </row>
    <row r="70" spans="1:5" x14ac:dyDescent="0.3">
      <c r="A70" s="386" t="s">
        <v>84</v>
      </c>
      <c r="B70" s="386" t="s">
        <v>85</v>
      </c>
      <c r="C70" s="386">
        <v>2444</v>
      </c>
      <c r="D70" s="386">
        <v>30</v>
      </c>
      <c r="E70" s="386">
        <v>18</v>
      </c>
    </row>
    <row r="71" spans="1:5" x14ac:dyDescent="0.3">
      <c r="A71" s="386" t="s">
        <v>306</v>
      </c>
      <c r="B71" s="386" t="s">
        <v>89</v>
      </c>
      <c r="C71" s="386">
        <v>220</v>
      </c>
      <c r="D71" s="386">
        <v>40</v>
      </c>
      <c r="E71" s="386">
        <v>26</v>
      </c>
    </row>
    <row r="72" spans="1:5" x14ac:dyDescent="0.3">
      <c r="A72" s="386" t="s">
        <v>307</v>
      </c>
      <c r="B72" s="386" t="s">
        <v>285</v>
      </c>
      <c r="C72" s="386">
        <v>1163</v>
      </c>
      <c r="D72" s="386">
        <v>37</v>
      </c>
      <c r="E72" s="386">
        <v>27</v>
      </c>
    </row>
    <row r="73" spans="1:5" x14ac:dyDescent="0.3">
      <c r="A73" s="386" t="s">
        <v>308</v>
      </c>
      <c r="B73" s="386" t="s">
        <v>272</v>
      </c>
      <c r="C73" s="386">
        <v>150</v>
      </c>
      <c r="D73" s="386">
        <v>37</v>
      </c>
      <c r="E73" s="386">
        <v>27</v>
      </c>
    </row>
    <row r="74" spans="1:5" x14ac:dyDescent="0.3">
      <c r="A74" s="386" t="s">
        <v>309</v>
      </c>
      <c r="B74" s="386" t="s">
        <v>296</v>
      </c>
      <c r="C74" s="386">
        <v>14</v>
      </c>
      <c r="D74" s="386">
        <v>36</v>
      </c>
      <c r="E74" s="386">
        <v>27</v>
      </c>
    </row>
    <row r="75" spans="1:5" x14ac:dyDescent="0.3">
      <c r="A75" s="386" t="s">
        <v>86</v>
      </c>
      <c r="B75" s="386" t="s">
        <v>86</v>
      </c>
      <c r="C75" s="386">
        <v>2150</v>
      </c>
      <c r="D75" s="386">
        <v>29</v>
      </c>
      <c r="E75" s="386">
        <v>17</v>
      </c>
    </row>
    <row r="76" spans="1:5" x14ac:dyDescent="0.3">
      <c r="A76" s="386" t="s">
        <v>310</v>
      </c>
      <c r="B76" s="386" t="s">
        <v>62</v>
      </c>
      <c r="C76" s="386">
        <v>900</v>
      </c>
      <c r="D76" s="386">
        <v>38</v>
      </c>
      <c r="E76" s="386">
        <v>22</v>
      </c>
    </row>
    <row r="77" spans="1:5" x14ac:dyDescent="0.3">
      <c r="A77" s="386" t="s">
        <v>311</v>
      </c>
      <c r="B77" s="386" t="s">
        <v>70</v>
      </c>
      <c r="C77" s="386">
        <v>2</v>
      </c>
      <c r="D77" s="386">
        <v>36</v>
      </c>
      <c r="E77" s="386">
        <v>26</v>
      </c>
    </row>
    <row r="78" spans="1:5" x14ac:dyDescent="0.3">
      <c r="A78" s="386" t="s">
        <v>87</v>
      </c>
      <c r="B78" s="386" t="s">
        <v>87</v>
      </c>
      <c r="C78" s="386">
        <v>1842</v>
      </c>
      <c r="D78" s="386">
        <v>33</v>
      </c>
      <c r="E78" s="386">
        <v>21</v>
      </c>
    </row>
    <row r="79" spans="1:5" x14ac:dyDescent="0.3">
      <c r="A79" s="386" t="s">
        <v>312</v>
      </c>
      <c r="B79" s="386" t="s">
        <v>270</v>
      </c>
      <c r="C79" s="386">
        <v>25</v>
      </c>
      <c r="D79" s="386">
        <v>41</v>
      </c>
      <c r="E79" s="386">
        <v>28</v>
      </c>
    </row>
    <row r="80" spans="1:5" x14ac:dyDescent="0.3">
      <c r="A80" s="386" t="s">
        <v>313</v>
      </c>
      <c r="B80" s="386" t="s">
        <v>51</v>
      </c>
      <c r="C80" s="386">
        <v>1950</v>
      </c>
      <c r="D80" s="386">
        <v>35</v>
      </c>
      <c r="E80" s="386">
        <v>19</v>
      </c>
    </row>
    <row r="81" spans="1:5" x14ac:dyDescent="0.3">
      <c r="A81" s="386" t="s">
        <v>314</v>
      </c>
      <c r="B81" s="386" t="s">
        <v>91</v>
      </c>
      <c r="C81" s="386">
        <v>987</v>
      </c>
      <c r="D81" s="386">
        <v>38</v>
      </c>
      <c r="E81" s="386">
        <v>24</v>
      </c>
    </row>
    <row r="82" spans="1:5" x14ac:dyDescent="0.3">
      <c r="A82" s="386" t="s">
        <v>315</v>
      </c>
      <c r="B82" s="386" t="s">
        <v>285</v>
      </c>
      <c r="C82" s="386">
        <v>56</v>
      </c>
      <c r="D82" s="386">
        <v>34</v>
      </c>
      <c r="E82" s="386">
        <v>26</v>
      </c>
    </row>
    <row r="83" spans="1:5" x14ac:dyDescent="0.3">
      <c r="A83" s="386" t="s">
        <v>88</v>
      </c>
      <c r="B83" s="386" t="s">
        <v>89</v>
      </c>
      <c r="C83" s="386">
        <v>1609</v>
      </c>
      <c r="D83" s="386">
        <v>35</v>
      </c>
      <c r="E83" s="386">
        <v>22</v>
      </c>
    </row>
    <row r="84" spans="1:5" x14ac:dyDescent="0.3">
      <c r="A84" s="386" t="s">
        <v>316</v>
      </c>
      <c r="B84" s="386" t="s">
        <v>54</v>
      </c>
      <c r="C84" s="386">
        <v>1761</v>
      </c>
      <c r="D84" s="386">
        <v>35</v>
      </c>
      <c r="E84" s="386">
        <v>19</v>
      </c>
    </row>
    <row r="85" spans="1:5" x14ac:dyDescent="0.3">
      <c r="A85" s="386" t="s">
        <v>317</v>
      </c>
      <c r="B85" s="386" t="s">
        <v>94</v>
      </c>
      <c r="C85" s="386">
        <v>7</v>
      </c>
      <c r="D85" s="386">
        <v>33</v>
      </c>
      <c r="E85" s="386">
        <v>26</v>
      </c>
    </row>
    <row r="86" spans="1:5" x14ac:dyDescent="0.3">
      <c r="A86" s="386" t="s">
        <v>90</v>
      </c>
      <c r="B86" s="386" t="s">
        <v>87</v>
      </c>
      <c r="C86" s="386">
        <v>1800</v>
      </c>
      <c r="D86" s="386">
        <v>32</v>
      </c>
      <c r="E86" s="386">
        <v>21</v>
      </c>
    </row>
    <row r="87" spans="1:5" x14ac:dyDescent="0.3">
      <c r="A87" s="386" t="s">
        <v>91</v>
      </c>
      <c r="B87" s="386" t="s">
        <v>91</v>
      </c>
      <c r="C87" s="386">
        <v>1877</v>
      </c>
      <c r="D87" s="386">
        <v>34</v>
      </c>
      <c r="E87" s="386">
        <v>18</v>
      </c>
    </row>
    <row r="88" spans="1:5" x14ac:dyDescent="0.3">
      <c r="A88" s="386" t="s">
        <v>318</v>
      </c>
      <c r="B88" s="386" t="s">
        <v>257</v>
      </c>
      <c r="C88" s="386">
        <v>2400</v>
      </c>
      <c r="D88" s="386">
        <v>31</v>
      </c>
      <c r="E88" s="386">
        <v>18</v>
      </c>
    </row>
    <row r="89" spans="1:5" x14ac:dyDescent="0.3">
      <c r="A89" s="386" t="s">
        <v>319</v>
      </c>
      <c r="B89" s="386" t="s">
        <v>66</v>
      </c>
      <c r="C89" s="386">
        <v>1740</v>
      </c>
      <c r="D89" s="386">
        <v>38</v>
      </c>
      <c r="E89" s="386">
        <v>21</v>
      </c>
    </row>
    <row r="90" spans="1:5" x14ac:dyDescent="0.3">
      <c r="A90" s="386" t="s">
        <v>320</v>
      </c>
      <c r="B90" s="386" t="s">
        <v>279</v>
      </c>
      <c r="C90" s="386">
        <v>2350</v>
      </c>
      <c r="D90" s="386">
        <v>34</v>
      </c>
      <c r="E90" s="386">
        <v>18</v>
      </c>
    </row>
    <row r="91" spans="1:5" x14ac:dyDescent="0.3">
      <c r="A91" s="386" t="s">
        <v>321</v>
      </c>
      <c r="B91" s="386" t="s">
        <v>257</v>
      </c>
      <c r="C91" s="386">
        <v>2309</v>
      </c>
      <c r="D91" s="386">
        <v>31</v>
      </c>
      <c r="E91" s="386">
        <v>18</v>
      </c>
    </row>
    <row r="92" spans="1:5" x14ac:dyDescent="0.3">
      <c r="A92" s="386" t="s">
        <v>322</v>
      </c>
      <c r="B92" s="386" t="s">
        <v>270</v>
      </c>
      <c r="C92" s="386">
        <v>18</v>
      </c>
      <c r="D92" s="386">
        <v>36</v>
      </c>
      <c r="E92" s="386">
        <v>26</v>
      </c>
    </row>
    <row r="93" spans="1:5" x14ac:dyDescent="0.3">
      <c r="A93" s="386" t="s">
        <v>323</v>
      </c>
      <c r="B93" s="386" t="s">
        <v>274</v>
      </c>
      <c r="C93" s="386">
        <v>168</v>
      </c>
      <c r="D93" s="386">
        <v>34</v>
      </c>
      <c r="E93" s="386">
        <v>25</v>
      </c>
    </row>
    <row r="94" spans="1:5" x14ac:dyDescent="0.3">
      <c r="A94" s="386" t="s">
        <v>324</v>
      </c>
      <c r="B94" s="386" t="s">
        <v>50</v>
      </c>
      <c r="C94" s="386">
        <v>1755</v>
      </c>
      <c r="D94" s="386">
        <v>34</v>
      </c>
      <c r="E94" s="386">
        <v>20</v>
      </c>
    </row>
    <row r="95" spans="1:5" x14ac:dyDescent="0.3">
      <c r="A95" s="386" t="s">
        <v>92</v>
      </c>
      <c r="B95" s="386" t="s">
        <v>86</v>
      </c>
      <c r="C95" s="386">
        <v>1676</v>
      </c>
      <c r="D95" s="386">
        <v>34</v>
      </c>
      <c r="E95" s="386">
        <v>20</v>
      </c>
    </row>
    <row r="96" spans="1:5" x14ac:dyDescent="0.3">
      <c r="A96" s="386" t="s">
        <v>325</v>
      </c>
      <c r="B96" s="386" t="s">
        <v>77</v>
      </c>
      <c r="C96" s="386">
        <v>2080</v>
      </c>
      <c r="D96" s="386">
        <v>33</v>
      </c>
      <c r="E96" s="386">
        <v>19</v>
      </c>
    </row>
    <row r="97" spans="1:5" x14ac:dyDescent="0.3">
      <c r="A97" s="386" t="s">
        <v>93</v>
      </c>
      <c r="B97" s="386" t="s">
        <v>94</v>
      </c>
      <c r="C97" s="386">
        <v>918</v>
      </c>
      <c r="D97" s="386">
        <v>36</v>
      </c>
      <c r="E97" s="386">
        <v>26</v>
      </c>
    </row>
    <row r="98" spans="1:5" x14ac:dyDescent="0.3">
      <c r="A98" s="386" t="s">
        <v>95</v>
      </c>
      <c r="B98" s="386" t="s">
        <v>77</v>
      </c>
      <c r="C98" s="386">
        <v>2216</v>
      </c>
      <c r="D98" s="386">
        <v>32</v>
      </c>
      <c r="E98" s="386">
        <v>19</v>
      </c>
    </row>
    <row r="99" spans="1:5" x14ac:dyDescent="0.3">
      <c r="A99" s="386" t="s">
        <v>326</v>
      </c>
      <c r="B99" s="386" t="s">
        <v>86</v>
      </c>
      <c r="C99" s="386">
        <v>1990</v>
      </c>
      <c r="D99" s="386">
        <v>36</v>
      </c>
      <c r="E99" s="386">
        <v>22</v>
      </c>
    </row>
    <row r="100" spans="1:5" x14ac:dyDescent="0.3">
      <c r="A100" s="386" t="s">
        <v>96</v>
      </c>
      <c r="B100" s="386" t="s">
        <v>68</v>
      </c>
      <c r="C100" s="386">
        <v>28</v>
      </c>
      <c r="D100" s="386">
        <v>35</v>
      </c>
      <c r="E100" s="386">
        <v>26</v>
      </c>
    </row>
    <row r="101" spans="1:5" x14ac:dyDescent="0.3">
      <c r="A101" s="386" t="s">
        <v>327</v>
      </c>
      <c r="B101" s="386" t="s">
        <v>327</v>
      </c>
      <c r="C101" s="386">
        <v>2252</v>
      </c>
      <c r="D101" s="386">
        <v>32</v>
      </c>
      <c r="E101" s="386">
        <v>17</v>
      </c>
    </row>
    <row r="102" spans="1:5" x14ac:dyDescent="0.3">
      <c r="A102" s="386" t="s">
        <v>98</v>
      </c>
      <c r="B102" s="386" t="s">
        <v>77</v>
      </c>
      <c r="C102" s="386">
        <v>2675</v>
      </c>
      <c r="D102" s="386">
        <v>25</v>
      </c>
      <c r="E102" s="386">
        <v>17</v>
      </c>
    </row>
    <row r="103" spans="1:5" x14ac:dyDescent="0.3">
      <c r="A103" s="386" t="s">
        <v>328</v>
      </c>
      <c r="B103" s="386" t="s">
        <v>64</v>
      </c>
      <c r="C103" s="386">
        <v>3</v>
      </c>
      <c r="D103" s="386">
        <v>37</v>
      </c>
      <c r="E103" s="386">
        <v>27</v>
      </c>
    </row>
    <row r="104" spans="1:5" x14ac:dyDescent="0.3">
      <c r="A104" s="386" t="s">
        <v>99</v>
      </c>
      <c r="B104" s="386" t="s">
        <v>89</v>
      </c>
      <c r="C104" s="386">
        <v>1013</v>
      </c>
      <c r="D104" s="386">
        <v>40</v>
      </c>
      <c r="E104" s="386">
        <v>21</v>
      </c>
    </row>
    <row r="105" spans="1:5" x14ac:dyDescent="0.3">
      <c r="A105" s="386" t="s">
        <v>100</v>
      </c>
      <c r="B105" s="386" t="s">
        <v>85</v>
      </c>
      <c r="C105" s="386">
        <v>2181</v>
      </c>
      <c r="D105" s="386">
        <v>32</v>
      </c>
      <c r="E105" s="386">
        <v>19</v>
      </c>
    </row>
    <row r="106" spans="1:5" x14ac:dyDescent="0.3">
      <c r="A106" s="386" t="s">
        <v>329</v>
      </c>
      <c r="B106" s="386" t="s">
        <v>272</v>
      </c>
      <c r="C106" s="386">
        <v>15</v>
      </c>
      <c r="D106" s="386">
        <v>37</v>
      </c>
      <c r="E106" s="386">
        <v>27</v>
      </c>
    </row>
    <row r="107" spans="1:5" x14ac:dyDescent="0.3">
      <c r="A107" s="386" t="s">
        <v>330</v>
      </c>
      <c r="B107" s="386" t="s">
        <v>274</v>
      </c>
      <c r="C107" s="386">
        <v>536</v>
      </c>
      <c r="D107" s="386">
        <v>35</v>
      </c>
      <c r="E107" s="386">
        <v>25</v>
      </c>
    </row>
    <row r="108" spans="1:5" x14ac:dyDescent="0.3">
      <c r="A108" s="386" t="s">
        <v>331</v>
      </c>
      <c r="B108" s="386" t="s">
        <v>74</v>
      </c>
      <c r="C108" s="386">
        <v>1611</v>
      </c>
      <c r="D108" s="386">
        <v>34</v>
      </c>
      <c r="E108" s="386">
        <v>20</v>
      </c>
    </row>
    <row r="109" spans="1:5" x14ac:dyDescent="0.3">
      <c r="A109" s="386" t="s">
        <v>332</v>
      </c>
      <c r="B109" s="386" t="s">
        <v>296</v>
      </c>
      <c r="C109" s="386">
        <v>22</v>
      </c>
      <c r="D109" s="386">
        <v>37</v>
      </c>
      <c r="E109" s="386">
        <v>27</v>
      </c>
    </row>
    <row r="110" spans="1:5" x14ac:dyDescent="0.3">
      <c r="A110" s="386" t="s">
        <v>272</v>
      </c>
      <c r="B110" s="386" t="s">
        <v>272</v>
      </c>
      <c r="C110" s="386">
        <v>16</v>
      </c>
      <c r="D110" s="386">
        <v>33</v>
      </c>
      <c r="E110" s="386">
        <v>27</v>
      </c>
    </row>
    <row r="111" spans="1:5" x14ac:dyDescent="0.3">
      <c r="A111" s="386" t="s">
        <v>101</v>
      </c>
      <c r="B111" s="386" t="s">
        <v>102</v>
      </c>
      <c r="C111" s="386">
        <v>10</v>
      </c>
      <c r="D111" s="386">
        <v>37</v>
      </c>
      <c r="E111" s="386">
        <v>26</v>
      </c>
    </row>
    <row r="112" spans="1:5" x14ac:dyDescent="0.3">
      <c r="A112" s="386" t="s">
        <v>333</v>
      </c>
      <c r="B112" s="386" t="s">
        <v>74</v>
      </c>
      <c r="C112" s="386">
        <v>2000</v>
      </c>
      <c r="D112" s="386">
        <v>32</v>
      </c>
      <c r="E112" s="386">
        <v>19</v>
      </c>
    </row>
    <row r="113" spans="1:5" x14ac:dyDescent="0.3">
      <c r="A113" s="386" t="s">
        <v>279</v>
      </c>
      <c r="B113" s="386" t="s">
        <v>279</v>
      </c>
      <c r="C113" s="386">
        <v>2612</v>
      </c>
      <c r="D113" s="386">
        <v>30</v>
      </c>
      <c r="E113" s="386">
        <v>17</v>
      </c>
    </row>
    <row r="114" spans="1:5" x14ac:dyDescent="0.3">
      <c r="A114" s="386" t="s">
        <v>103</v>
      </c>
      <c r="B114" s="386" t="s">
        <v>74</v>
      </c>
      <c r="C114" s="386">
        <v>1633</v>
      </c>
      <c r="D114" s="386">
        <v>35</v>
      </c>
      <c r="E114" s="38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U123"/>
  <sheetViews>
    <sheetView showGridLines="0" showRowColHeaders="0" workbookViewId="0">
      <pane ySplit="13" topLeftCell="A14" activePane="bottomLeft" state="frozen"/>
      <selection pane="bottomLeft" activeCell="I1" sqref="I1:J3"/>
    </sheetView>
  </sheetViews>
  <sheetFormatPr defaultColWidth="12" defaultRowHeight="13.8" x14ac:dyDescent="0.3"/>
  <cols>
    <col min="1" max="1" width="13.875" style="67" bestFit="1" customWidth="1"/>
    <col min="2" max="2" width="21.875" style="58" customWidth="1"/>
    <col min="3" max="4" width="18.875" style="58" customWidth="1"/>
    <col min="5" max="5" width="12.875" style="58" customWidth="1"/>
    <col min="6" max="6" width="6.875" style="58" customWidth="1"/>
    <col min="7" max="7" width="12.875" style="58" customWidth="1"/>
    <col min="8" max="8" width="6.875" style="58" customWidth="1"/>
    <col min="9" max="9" width="12.875" style="58" customWidth="1"/>
    <col min="10" max="10" width="6.875" style="58" customWidth="1"/>
    <col min="11" max="16384" width="12" style="58"/>
  </cols>
  <sheetData>
    <row r="1" spans="1:10" x14ac:dyDescent="0.3">
      <c r="A1" s="304"/>
      <c r="B1" s="305"/>
      <c r="C1" s="305"/>
      <c r="D1" s="305"/>
      <c r="E1" s="306" t="s">
        <v>253</v>
      </c>
      <c r="F1" s="305"/>
      <c r="G1" s="305"/>
      <c r="H1" s="3"/>
      <c r="I1" s="548"/>
      <c r="J1" s="548"/>
    </row>
    <row r="2" spans="1:10" x14ac:dyDescent="0.3">
      <c r="A2" s="304"/>
      <c r="B2" s="305"/>
      <c r="C2" s="305"/>
      <c r="D2" s="305"/>
      <c r="E2" s="306" t="s">
        <v>166</v>
      </c>
      <c r="F2" s="305"/>
      <c r="G2" s="305"/>
      <c r="H2" s="3"/>
      <c r="I2" s="548"/>
      <c r="J2" s="548"/>
    </row>
    <row r="3" spans="1:10" x14ac:dyDescent="0.3">
      <c r="A3" s="304"/>
      <c r="B3" s="305"/>
      <c r="C3" s="305"/>
      <c r="D3" s="305"/>
      <c r="E3" s="306" t="s">
        <v>153</v>
      </c>
      <c r="F3" s="305"/>
      <c r="G3" s="305"/>
      <c r="H3" s="3"/>
      <c r="I3" s="548"/>
      <c r="J3" s="548"/>
    </row>
    <row r="4" spans="1:10" x14ac:dyDescent="0.3">
      <c r="B4" s="3"/>
      <c r="C4" s="3"/>
      <c r="D4" s="3"/>
      <c r="E4" s="3"/>
      <c r="F4" s="3"/>
      <c r="G4" s="3"/>
      <c r="H4" s="3"/>
      <c r="I4" s="549" t="s">
        <v>139</v>
      </c>
      <c r="J4" s="549"/>
    </row>
    <row r="5" spans="1:10" x14ac:dyDescent="0.3">
      <c r="B5" s="3"/>
      <c r="C5" s="3"/>
      <c r="D5" s="3"/>
      <c r="E5" s="3"/>
      <c r="F5" s="3"/>
      <c r="G5" s="3"/>
      <c r="H5" s="3"/>
      <c r="I5" s="3"/>
      <c r="J5" s="3"/>
    </row>
    <row r="6" spans="1:10" ht="21" thickBot="1" x14ac:dyDescent="0.35">
      <c r="A6" s="70" t="s">
        <v>141</v>
      </c>
      <c r="B6" s="560"/>
      <c r="C6" s="560"/>
      <c r="D6" s="560"/>
      <c r="E6" s="560"/>
      <c r="F6" s="560"/>
      <c r="G6" s="560"/>
      <c r="H6" s="560"/>
      <c r="I6" s="560"/>
      <c r="J6" s="560"/>
    </row>
    <row r="7" spans="1:10" x14ac:dyDescent="0.3">
      <c r="A7" s="68"/>
      <c r="B7" s="561" t="s">
        <v>140</v>
      </c>
      <c r="C7" s="562"/>
      <c r="D7" s="562"/>
      <c r="E7" s="562"/>
      <c r="F7" s="562"/>
      <c r="G7" s="562"/>
      <c r="H7" s="562"/>
      <c r="I7" s="562"/>
      <c r="J7" s="562"/>
    </row>
    <row r="8" spans="1:10" ht="6" customHeight="1" x14ac:dyDescent="0.3">
      <c r="A8" s="68"/>
    </row>
    <row r="9" spans="1:10" s="125" customFormat="1" ht="21" thickBot="1" x14ac:dyDescent="0.35">
      <c r="A9" s="70"/>
      <c r="B9" s="560"/>
      <c r="C9" s="560"/>
      <c r="D9" s="560"/>
      <c r="E9" s="560"/>
      <c r="F9" s="560"/>
      <c r="G9" s="560"/>
      <c r="H9" s="560"/>
      <c r="I9" s="560"/>
      <c r="J9" s="560"/>
    </row>
    <row r="10" spans="1:10" s="125" customFormat="1" x14ac:dyDescent="0.3">
      <c r="A10" s="68"/>
      <c r="B10" s="561" t="s">
        <v>214</v>
      </c>
      <c r="C10" s="562"/>
      <c r="D10" s="562"/>
      <c r="E10" s="562"/>
      <c r="F10" s="562"/>
      <c r="G10" s="562"/>
      <c r="H10" s="562"/>
      <c r="I10" s="562"/>
      <c r="J10" s="562"/>
    </row>
    <row r="11" spans="1:10" s="125" customFormat="1" ht="6" customHeight="1" x14ac:dyDescent="0.3">
      <c r="A11" s="68"/>
    </row>
    <row r="12" spans="1:10" ht="18.600000000000001" thickBot="1" x14ac:dyDescent="0.35">
      <c r="A12" s="68"/>
      <c r="B12" s="546"/>
      <c r="C12" s="547"/>
      <c r="D12" s="547"/>
      <c r="E12" s="547"/>
      <c r="F12" s="547"/>
      <c r="G12" s="547"/>
      <c r="H12" s="547"/>
      <c r="I12" s="547"/>
      <c r="J12" s="547"/>
    </row>
    <row r="13" spans="1:10" x14ac:dyDescent="0.3">
      <c r="A13" s="68"/>
      <c r="B13" s="561" t="s">
        <v>129</v>
      </c>
      <c r="C13" s="562"/>
      <c r="D13" s="562"/>
      <c r="E13" s="562"/>
      <c r="F13" s="562"/>
      <c r="G13" s="562"/>
      <c r="H13" s="562"/>
      <c r="I13" s="562"/>
      <c r="J13" s="562"/>
    </row>
    <row r="14" spans="1:10" ht="6" customHeight="1" x14ac:dyDescent="0.3"/>
    <row r="15" spans="1:10" ht="18.600000000000001" thickBot="1" x14ac:dyDescent="0.35">
      <c r="A15" s="69" t="s">
        <v>143</v>
      </c>
      <c r="B15" s="574"/>
      <c r="C15" s="573"/>
      <c r="D15" s="573"/>
      <c r="E15" s="573"/>
      <c r="F15" s="573"/>
      <c r="G15" s="573"/>
      <c r="H15" s="573"/>
      <c r="I15" s="550"/>
      <c r="J15" s="550"/>
    </row>
    <row r="16" spans="1:10" x14ac:dyDescent="0.3">
      <c r="A16" s="69"/>
      <c r="B16" s="563" t="s">
        <v>130</v>
      </c>
      <c r="C16" s="555"/>
      <c r="D16" s="555"/>
      <c r="E16" s="555"/>
      <c r="F16" s="555"/>
      <c r="G16" s="555" t="s">
        <v>142</v>
      </c>
      <c r="H16" s="555"/>
      <c r="I16" s="555" t="s">
        <v>131</v>
      </c>
      <c r="J16" s="555"/>
    </row>
    <row r="17" spans="1:10" ht="6" customHeight="1" x14ac:dyDescent="0.3">
      <c r="A17" s="69"/>
    </row>
    <row r="18" spans="1:10" ht="18.600000000000001" thickBot="1" x14ac:dyDescent="0.35">
      <c r="A18" s="69"/>
      <c r="B18" s="574"/>
      <c r="C18" s="573"/>
      <c r="D18" s="573"/>
      <c r="E18" s="573"/>
      <c r="F18" s="573"/>
      <c r="G18" s="550"/>
      <c r="H18" s="550"/>
      <c r="I18" s="550"/>
      <c r="J18" s="550"/>
    </row>
    <row r="19" spans="1:10" x14ac:dyDescent="0.3">
      <c r="A19" s="69"/>
      <c r="B19" s="563" t="s">
        <v>132</v>
      </c>
      <c r="C19" s="555"/>
      <c r="D19" s="555"/>
      <c r="E19" s="555"/>
      <c r="F19" s="555"/>
      <c r="G19" s="555" t="s">
        <v>134</v>
      </c>
      <c r="H19" s="555"/>
      <c r="I19" s="555"/>
      <c r="J19" s="555"/>
    </row>
    <row r="20" spans="1:10" ht="6" customHeight="1" x14ac:dyDescent="0.3">
      <c r="A20" s="69"/>
    </row>
    <row r="21" spans="1:10" ht="18.600000000000001" thickBot="1" x14ac:dyDescent="0.4">
      <c r="A21" s="69"/>
      <c r="B21" s="554"/>
      <c r="C21" s="554"/>
      <c r="D21" s="575"/>
      <c r="E21" s="575"/>
      <c r="F21" s="575"/>
      <c r="G21" s="554"/>
      <c r="H21" s="554"/>
      <c r="I21" s="554"/>
    </row>
    <row r="22" spans="1:10" x14ac:dyDescent="0.3">
      <c r="A22" s="69"/>
      <c r="B22" s="563" t="s">
        <v>133</v>
      </c>
      <c r="C22" s="555"/>
      <c r="D22" s="555" t="s">
        <v>45</v>
      </c>
      <c r="E22" s="555"/>
      <c r="F22" s="555"/>
      <c r="G22" s="555" t="s">
        <v>135</v>
      </c>
      <c r="H22" s="555"/>
      <c r="I22" s="555"/>
      <c r="J22" s="555"/>
    </row>
    <row r="23" spans="1:10" ht="6" customHeight="1" x14ac:dyDescent="0.3">
      <c r="B23" s="3"/>
      <c r="C23" s="3"/>
      <c r="D23" s="3"/>
      <c r="E23" s="3"/>
      <c r="F23" s="3"/>
      <c r="G23" s="3"/>
      <c r="H23" s="3"/>
      <c r="I23" s="3"/>
      <c r="J23" s="3"/>
    </row>
    <row r="24" spans="1:10" ht="15.6" x14ac:dyDescent="0.3">
      <c r="A24" s="72" t="s">
        <v>147</v>
      </c>
      <c r="B24" s="552" t="s">
        <v>150</v>
      </c>
      <c r="C24" s="553"/>
      <c r="D24" s="553"/>
      <c r="E24" s="564" t="s">
        <v>151</v>
      </c>
      <c r="F24" s="564"/>
      <c r="G24" s="564"/>
      <c r="H24" s="564"/>
      <c r="I24" s="564"/>
      <c r="J24" s="565"/>
    </row>
    <row r="25" spans="1:10" ht="25.5" customHeight="1" x14ac:dyDescent="0.3">
      <c r="A25" s="72"/>
      <c r="B25" s="577"/>
      <c r="C25" s="576" t="str">
        <f>IFERROR(VLOOKUP(B25,Geographic_Locations,2,FALSE),"")</f>
        <v/>
      </c>
      <c r="D25" s="82" t="str">
        <f>IF(D26="","","( "&amp;TEXT(VLOOKUP(B25,Geographic_Locations,3,FALSE)*(1/0.3048),"#,##0.00")&amp;" ft )")</f>
        <v/>
      </c>
      <c r="E25" s="580"/>
      <c r="F25" s="580"/>
      <c r="G25" s="579"/>
      <c r="H25" s="579"/>
      <c r="I25" s="556" t="str">
        <f>IF(I26="","Escriba una magnitud y elija una unidad",IF(J26="m","( "&amp;TEXT(I26*(1/0.3048)," #,##0.00")&amp;" ft )",IF(J26="ft","( "&amp;TEXT(I26*0.3048,"#,##0.00")&amp;" m )","Seleccione una unidad de medida")))</f>
        <v>Escriba una magnitud y elija una unidad</v>
      </c>
      <c r="J25" s="557"/>
    </row>
    <row r="26" spans="1:10" ht="25.5" customHeight="1" x14ac:dyDescent="0.3">
      <c r="A26" s="72"/>
      <c r="B26" s="578"/>
      <c r="C26" s="576"/>
      <c r="D26" s="81" t="str">
        <f>IFERROR(TEXT(VLOOKUP(B25,Geographic_Locations,3,FALSE),"#,##0.0")&amp;" msnm","")</f>
        <v/>
      </c>
      <c r="E26" s="580"/>
      <c r="F26" s="580"/>
      <c r="G26" s="579"/>
      <c r="H26" s="579"/>
      <c r="I26" s="307"/>
      <c r="J26" s="308"/>
    </row>
    <row r="27" spans="1:10" x14ac:dyDescent="0.3">
      <c r="A27" s="72"/>
      <c r="B27" s="78" t="s">
        <v>147</v>
      </c>
      <c r="C27" s="71" t="s">
        <v>45</v>
      </c>
      <c r="D27" s="71" t="s">
        <v>11</v>
      </c>
      <c r="E27" s="558" t="s">
        <v>147</v>
      </c>
      <c r="F27" s="558"/>
      <c r="G27" s="558" t="s">
        <v>45</v>
      </c>
      <c r="H27" s="558"/>
      <c r="I27" s="558" t="s">
        <v>11</v>
      </c>
      <c r="J27" s="559"/>
    </row>
    <row r="28" spans="1:10" ht="9.9" customHeight="1" x14ac:dyDescent="0.3">
      <c r="A28" s="72"/>
      <c r="B28" s="3"/>
      <c r="C28" s="3"/>
      <c r="D28" s="3"/>
      <c r="E28" s="3"/>
      <c r="F28" s="3"/>
      <c r="G28" s="3"/>
      <c r="H28" s="3"/>
      <c r="I28" s="3"/>
      <c r="J28" s="3"/>
    </row>
    <row r="29" spans="1:10" ht="25.5" customHeight="1" x14ac:dyDescent="0.3">
      <c r="A29" s="72" t="s">
        <v>144</v>
      </c>
      <c r="B29" s="79" t="str">
        <f>IF(B30="","","( "&amp;(VLOOKUP($B25,Geographic_Locations,4,FALSE)*1.8)+32&amp;" °F )")</f>
        <v/>
      </c>
      <c r="C29" s="80" t="str">
        <f>IF(C30="","","( "&amp;(VLOOKUP($B25,Geographic_Locations,5,FALSE)*1.8)+32&amp;" °F )")</f>
        <v/>
      </c>
      <c r="D29" s="3"/>
      <c r="E29" s="583" t="str">
        <f>IF(E30="","Escriba una magnitud y elija una unidad",IF(F30="°C","( "&amp;TEXT(((E30*(9/5))+32),"#,##0.0")&amp;" °F )",IF(F30="°F","( "&amp;TEXT((5/9)*(E30-32),"#,##0.0")&amp;" °C )","Seleccione una unidad de medida")))</f>
        <v>Escriba una magnitud y elija una unidad</v>
      </c>
      <c r="F29" s="556"/>
      <c r="G29" s="556" t="str">
        <f>IF(G30="","Escriba una magnitud y elija una unidad",IF(H30="°C","( "&amp;TEXT(((G30*(9/5))+32),"#,##0.0")&amp;" °F )",IF(H30="°F","( "&amp;TEXT((5/9)*(G30-32),"#,##0.0")&amp;" °C )","Seleccione una unidad de medida")))</f>
        <v>Escriba una magnitud y elija una unidad</v>
      </c>
      <c r="H29" s="557"/>
    </row>
    <row r="30" spans="1:10" ht="18" customHeight="1" x14ac:dyDescent="0.3">
      <c r="A30" s="72"/>
      <c r="B30" s="582" t="str">
        <f>IFERROR(TEXT(VLOOKUP($B25,Geographic_Locations,4,FALSE),"#0.0")&amp;" °C","")</f>
        <v/>
      </c>
      <c r="C30" s="581" t="str">
        <f>IFERROR(TEXT(VLOOKUP($B25,Geographic_Locations,5,FALSE),"#0.0")&amp;" °C","")</f>
        <v/>
      </c>
      <c r="D30" s="3"/>
      <c r="E30" s="566"/>
      <c r="F30" s="567"/>
      <c r="G30" s="569"/>
      <c r="H30" s="568"/>
      <c r="I30" s="3"/>
      <c r="J30" s="3"/>
    </row>
    <row r="31" spans="1:10" ht="18" customHeight="1" x14ac:dyDescent="0.3">
      <c r="A31" s="72"/>
      <c r="B31" s="582"/>
      <c r="C31" s="581"/>
      <c r="D31" s="3"/>
      <c r="E31" s="566"/>
      <c r="F31" s="567"/>
      <c r="G31" s="569"/>
      <c r="H31" s="568"/>
      <c r="I31" s="3"/>
      <c r="J31" s="3"/>
    </row>
    <row r="32" spans="1:10" ht="15" x14ac:dyDescent="0.3">
      <c r="A32" s="72"/>
      <c r="B32" s="73" t="s">
        <v>46</v>
      </c>
      <c r="C32" s="74" t="s">
        <v>47</v>
      </c>
      <c r="D32" s="3"/>
      <c r="E32" s="572" t="s">
        <v>46</v>
      </c>
      <c r="F32" s="570"/>
      <c r="G32" s="570" t="s">
        <v>47</v>
      </c>
      <c r="H32" s="571"/>
      <c r="I32" s="3"/>
      <c r="J32" s="3"/>
    </row>
    <row r="33" spans="1:21" hidden="1" x14ac:dyDescent="0.3"/>
    <row r="34" spans="1:21" ht="14.4" hidden="1" thickBot="1" x14ac:dyDescent="0.35">
      <c r="B34" s="551" t="s">
        <v>148</v>
      </c>
      <c r="C34" s="551"/>
      <c r="D34" s="551"/>
      <c r="E34" s="551" t="s">
        <v>149</v>
      </c>
      <c r="F34" s="551"/>
      <c r="G34" s="551"/>
      <c r="H34" s="551"/>
      <c r="I34" s="551"/>
    </row>
    <row r="35" spans="1:21" ht="14.4" hidden="1" thickBot="1" x14ac:dyDescent="0.35">
      <c r="B35" s="58" t="e">
        <f>VLOOKUP(B25,Geographic_Locations,3,FALSE)</f>
        <v>#N/A</v>
      </c>
      <c r="C35" s="60">
        <f>IF(ISERROR(B35*1),B36,B35/1000)</f>
        <v>0</v>
      </c>
      <c r="D35" s="58" t="s">
        <v>105</v>
      </c>
      <c r="E35" s="58" t="e">
        <f>VLOOKUP(B25,Geographic_Locations,4,FALSE)</f>
        <v>#N/A</v>
      </c>
      <c r="G35" s="65">
        <f>IF(ISERROR(E35*1),E36,E35)</f>
        <v>-10</v>
      </c>
      <c r="H35" s="76"/>
      <c r="I35" s="58" t="s">
        <v>106</v>
      </c>
      <c r="J35" s="58" t="s">
        <v>38</v>
      </c>
      <c r="K35" s="58" t="str">
        <f>"---"</f>
        <v>---</v>
      </c>
    </row>
    <row r="36" spans="1:21" hidden="1" x14ac:dyDescent="0.3">
      <c r="B36" s="58">
        <f>IF(J26="m",I26/1000,IF(J26="ft",I26*0.0003048,0))</f>
        <v>0</v>
      </c>
      <c r="E36" s="58">
        <f>IF(F30="°C",E30,IF(F30="°F",((E30-32)*(5/9)),-10))</f>
        <v>-10</v>
      </c>
      <c r="G36" s="66" t="s">
        <v>145</v>
      </c>
      <c r="H36" s="66"/>
      <c r="J36" s="58" t="s">
        <v>104</v>
      </c>
      <c r="K36" s="58" t="s">
        <v>48</v>
      </c>
    </row>
    <row r="37" spans="1:21" ht="14.4" hidden="1" thickBot="1" x14ac:dyDescent="0.35">
      <c r="J37" s="58" t="s">
        <v>27</v>
      </c>
      <c r="K37" s="58" t="s">
        <v>14</v>
      </c>
    </row>
    <row r="38" spans="1:21" ht="14.4" hidden="1" thickBot="1" x14ac:dyDescent="0.35">
      <c r="E38" s="58" t="e">
        <f>VLOOKUP(B25,Geographic_Locations,5,FALSE)</f>
        <v>#N/A</v>
      </c>
      <c r="G38" s="65">
        <f>IF(ISERROR(E38*1),E39,E38)</f>
        <v>-10</v>
      </c>
      <c r="H38" s="76"/>
      <c r="I38" s="58" t="s">
        <v>106</v>
      </c>
    </row>
    <row r="39" spans="1:21" hidden="1" x14ac:dyDescent="0.3">
      <c r="E39" s="58">
        <f>IF(H30="°C",G30,IF(H30="°F",((G30-32)*(5/9)),-10))</f>
        <v>-10</v>
      </c>
      <c r="G39" s="66" t="s">
        <v>146</v>
      </c>
      <c r="H39" s="66"/>
      <c r="M39" s="59"/>
      <c r="P39" s="59"/>
      <c r="Q39" s="59"/>
      <c r="R39" s="59"/>
      <c r="S39" s="59"/>
    </row>
    <row r="40" spans="1:21" ht="6" customHeight="1" x14ac:dyDescent="0.3">
      <c r="G40" s="59"/>
      <c r="H40" s="59"/>
      <c r="I40" s="59"/>
      <c r="J40" s="59"/>
      <c r="K40" s="59"/>
      <c r="L40" s="59"/>
      <c r="M40" s="59"/>
      <c r="P40" s="59"/>
      <c r="Q40" s="59"/>
      <c r="R40" s="59"/>
      <c r="S40" s="59"/>
      <c r="T40" s="59"/>
    </row>
    <row r="41" spans="1:21" x14ac:dyDescent="0.3">
      <c r="A41" s="75" t="s">
        <v>152</v>
      </c>
      <c r="B41" s="77" t="s">
        <v>107</v>
      </c>
      <c r="C41" s="84">
        <f>((((28.9752)/(0.0820578337034))*((1)/(293.15)))*(0.3048^3)*(1/453.59237)*1000)/((((28.9752)/(0.0820578337034))*((((-0.000002*($C$35^4))-(0.00009*($C$35^3))+(0.0055*($C$35^2))-(0.1184*$C$35)+1))/($G35+273.15)))*(0.3048^3)*(1/453.59237)*1000)</f>
        <v>0.89766331229745866</v>
      </c>
      <c r="D41" s="91"/>
      <c r="E41" s="91"/>
      <c r="F41" s="91"/>
      <c r="G41" s="92"/>
      <c r="H41" s="92"/>
      <c r="I41" s="92"/>
      <c r="J41" s="92"/>
      <c r="K41" s="59"/>
      <c r="L41" s="59"/>
      <c r="M41" s="59"/>
      <c r="N41" s="59"/>
      <c r="O41" s="59"/>
      <c r="P41" s="59"/>
      <c r="Q41" s="59"/>
      <c r="R41" s="59"/>
      <c r="S41" s="59"/>
      <c r="T41" s="59"/>
    </row>
    <row r="42" spans="1:21" x14ac:dyDescent="0.3">
      <c r="A42" s="75"/>
      <c r="B42" s="77"/>
      <c r="D42" s="91"/>
      <c r="E42" s="91"/>
      <c r="F42" s="91"/>
      <c r="G42" s="92"/>
      <c r="H42" s="92"/>
      <c r="I42" s="92"/>
      <c r="J42" s="92"/>
      <c r="K42" s="59"/>
      <c r="L42" s="59"/>
      <c r="M42" s="59"/>
      <c r="N42" s="59"/>
      <c r="O42" s="59"/>
      <c r="P42" s="59"/>
      <c r="Q42" s="59"/>
      <c r="R42" s="59"/>
      <c r="S42" s="59"/>
      <c r="T42" s="59"/>
    </row>
    <row r="43" spans="1:21" x14ac:dyDescent="0.3">
      <c r="A43" s="75"/>
      <c r="B43" s="77" t="s">
        <v>108</v>
      </c>
      <c r="C43" s="85">
        <f>IF(OR($C$72&lt;0,$C$72&gt;1),"---",$C$72*100)</f>
        <v>100</v>
      </c>
      <c r="D43" s="91" t="str">
        <f>IF($C$43="---","Escriba una temperatura válida de BS o BH","%")</f>
        <v>%</v>
      </c>
      <c r="E43" s="91"/>
      <c r="F43" s="91"/>
      <c r="G43" s="92"/>
      <c r="H43" s="92"/>
      <c r="I43" s="92"/>
      <c r="J43" s="92"/>
      <c r="K43" s="59"/>
      <c r="L43" s="59"/>
      <c r="M43" s="59"/>
      <c r="N43" s="59"/>
      <c r="O43" s="59"/>
      <c r="P43" s="59"/>
      <c r="Q43" s="59"/>
      <c r="R43" s="59"/>
      <c r="S43" s="59"/>
      <c r="T43" s="59"/>
    </row>
    <row r="44" spans="1:21" x14ac:dyDescent="0.3">
      <c r="A44" s="75"/>
      <c r="B44" s="77"/>
      <c r="D44" s="91"/>
      <c r="E44" s="91"/>
      <c r="F44" s="91"/>
      <c r="G44" s="92"/>
      <c r="H44" s="92"/>
      <c r="I44" s="92"/>
      <c r="J44" s="92"/>
      <c r="K44" s="59"/>
      <c r="L44" s="59"/>
      <c r="M44" s="59"/>
      <c r="N44" s="59"/>
      <c r="O44" s="59"/>
      <c r="P44" s="59"/>
      <c r="Q44" s="59"/>
      <c r="R44" s="59"/>
      <c r="S44" s="59"/>
      <c r="T44" s="59"/>
    </row>
    <row r="45" spans="1:21" ht="14.4" thickBot="1" x14ac:dyDescent="0.35">
      <c r="A45" s="75"/>
      <c r="B45" s="77" t="s">
        <v>109</v>
      </c>
      <c r="C45" s="86">
        <f>((((28.9752)/(0.0820578337034))*((((-0.000002*($C$35^4))-(0.00009*($C$35^3))+(0.0055*($C$35^2))-(0.1184*$C$35)+1))/($G35+273.15)))*(0.3048^3)*(1/453.59237)*1000)</f>
        <v>8.3768775640118559E-2</v>
      </c>
      <c r="D45" s="91" t="s">
        <v>110</v>
      </c>
      <c r="E45" s="91"/>
      <c r="F45" s="91"/>
      <c r="G45" s="92"/>
      <c r="H45" s="92"/>
      <c r="I45" s="92"/>
      <c r="J45" s="92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 t="s">
        <v>104</v>
      </c>
    </row>
    <row r="46" spans="1:21" ht="14.4" thickTop="1" x14ac:dyDescent="0.3">
      <c r="A46" s="75"/>
      <c r="B46" s="77"/>
      <c r="C46" s="87">
        <f>(((28.9752)/(0.0820578337034))*((((-0.000002*($C$35^4))-(0.00009*($C$35^3))+(0.0055*($C$35^2))-(0.1184*$C$35)+1))/($G35+273.15)))</f>
        <v>1.3418470644727232</v>
      </c>
      <c r="D46" s="91" t="s">
        <v>111</v>
      </c>
      <c r="E46" s="91"/>
      <c r="F46" s="91"/>
      <c r="G46" s="92"/>
      <c r="H46" s="92"/>
      <c r="I46" s="92"/>
      <c r="J46" s="92"/>
      <c r="K46" s="59"/>
      <c r="L46" s="59"/>
      <c r="M46" s="59"/>
      <c r="N46" s="59"/>
      <c r="O46" s="59"/>
      <c r="P46" s="59"/>
      <c r="Q46" s="59"/>
      <c r="R46" s="59"/>
      <c r="S46" s="59"/>
      <c r="T46" s="59"/>
    </row>
    <row r="47" spans="1:21" x14ac:dyDescent="0.3">
      <c r="A47" s="75"/>
      <c r="B47" s="77"/>
      <c r="D47" s="91"/>
      <c r="E47" s="91"/>
      <c r="F47" s="91"/>
      <c r="G47" s="92"/>
      <c r="H47" s="92"/>
      <c r="I47" s="92"/>
      <c r="J47" s="92"/>
      <c r="K47" s="59"/>
      <c r="L47" s="59"/>
      <c r="M47" s="59"/>
      <c r="N47" s="59"/>
      <c r="O47" s="59"/>
      <c r="P47" s="59"/>
      <c r="Q47" s="59"/>
      <c r="R47" s="59"/>
      <c r="S47" s="59"/>
      <c r="T47" s="59"/>
    </row>
    <row r="48" spans="1:21" ht="14.4" thickBot="1" x14ac:dyDescent="0.35">
      <c r="A48" s="75"/>
      <c r="B48" s="77" t="s">
        <v>112</v>
      </c>
      <c r="C48" s="88">
        <f>((-0.000002*($C$35^4))-(0.00009*($C$35^3))+(0.0055*($C$35^2))-(0.1184*$C$35)+1)</f>
        <v>1</v>
      </c>
      <c r="D48" s="91" t="s">
        <v>113</v>
      </c>
      <c r="E48" s="91"/>
      <c r="F48" s="91"/>
      <c r="G48" s="92"/>
      <c r="H48" s="92"/>
      <c r="I48" s="92"/>
      <c r="J48" s="92"/>
      <c r="K48" s="59"/>
      <c r="L48" s="59"/>
      <c r="M48" s="59"/>
      <c r="N48" s="59"/>
      <c r="O48" s="59"/>
      <c r="P48" s="59"/>
      <c r="Q48" s="59"/>
      <c r="R48" s="59"/>
      <c r="S48" s="59"/>
      <c r="T48" s="59"/>
    </row>
    <row r="49" spans="1:20" ht="15" thickTop="1" thickBot="1" x14ac:dyDescent="0.35">
      <c r="A49" s="75"/>
      <c r="C49" s="89">
        <f>(((-0.000002*($C$35^4))-(0.00009*($C$35^3))+(0.0055*($C$35^2))-(0.1184*$C$35)+1))*760</f>
        <v>760</v>
      </c>
      <c r="D49" s="91" t="s">
        <v>13</v>
      </c>
      <c r="E49" s="91"/>
      <c r="F49" s="91"/>
      <c r="G49" s="92"/>
      <c r="H49" s="92"/>
      <c r="I49" s="92"/>
      <c r="J49" s="92"/>
      <c r="K49" s="59"/>
      <c r="L49" s="59"/>
      <c r="M49" s="59"/>
      <c r="N49" s="59"/>
      <c r="O49" s="59"/>
      <c r="P49" s="59"/>
      <c r="Q49" s="59"/>
      <c r="R49" s="59"/>
      <c r="S49" s="59"/>
      <c r="T49" s="59"/>
    </row>
    <row r="50" spans="1:20" ht="15" thickTop="1" thickBot="1" x14ac:dyDescent="0.35">
      <c r="A50" s="75"/>
      <c r="C50" s="89">
        <f>(((-0.000002*($C$35^4))-(0.00009*($C$35^3))+(0.0055*($C$35^2))-(0.1184*$C$35)+1))*101.325</f>
        <v>101.325</v>
      </c>
      <c r="D50" s="91" t="s">
        <v>114</v>
      </c>
      <c r="E50" s="91"/>
      <c r="F50" s="91"/>
      <c r="G50" s="92"/>
      <c r="H50" s="92"/>
      <c r="I50" s="92"/>
      <c r="J50" s="92"/>
      <c r="K50" s="59"/>
      <c r="L50" s="59"/>
      <c r="M50" s="59"/>
      <c r="N50" s="59"/>
      <c r="O50" s="59"/>
      <c r="P50" s="59"/>
      <c r="Q50" s="59"/>
      <c r="R50" s="59"/>
      <c r="S50" s="59"/>
      <c r="T50" s="59"/>
    </row>
    <row r="51" spans="1:20" ht="15" thickTop="1" thickBot="1" x14ac:dyDescent="0.35">
      <c r="A51" s="75"/>
      <c r="C51" s="89">
        <f>(((-0.000002*($C$35^4))-(0.00009*($C$35^3))+(0.0055*($C$35^2))-(0.1184*$C$35)+1))*1.0332274528</f>
        <v>1.0332274528000001</v>
      </c>
      <c r="D51" s="91" t="s">
        <v>115</v>
      </c>
      <c r="E51" s="91"/>
      <c r="F51" s="91"/>
      <c r="G51" s="92"/>
      <c r="H51" s="92"/>
      <c r="I51" s="92"/>
      <c r="J51" s="92"/>
      <c r="K51" s="59"/>
      <c r="L51" s="59"/>
      <c r="M51" s="59"/>
      <c r="N51" s="59"/>
      <c r="O51" s="59"/>
      <c r="P51" s="59"/>
      <c r="Q51" s="59"/>
      <c r="R51" s="59"/>
      <c r="S51" s="59"/>
      <c r="T51" s="59"/>
    </row>
    <row r="52" spans="1:20" ht="15" thickTop="1" thickBot="1" x14ac:dyDescent="0.35">
      <c r="A52" s="75"/>
      <c r="C52" s="89">
        <f>((-0.000002*($C$35^4))-(0.00009*($C$35^3))+(0.0055*($C$35^2))-(0.1184*$C$35)+1)*1.01325</f>
        <v>1.01325</v>
      </c>
      <c r="D52" s="91" t="s">
        <v>116</v>
      </c>
      <c r="E52" s="91"/>
      <c r="F52" s="91"/>
      <c r="G52" s="92"/>
      <c r="H52" s="92"/>
      <c r="I52" s="92"/>
      <c r="J52" s="92"/>
      <c r="K52" s="59"/>
      <c r="L52" s="59"/>
      <c r="M52" s="59"/>
      <c r="N52" s="59"/>
      <c r="O52" s="59"/>
      <c r="P52" s="59"/>
      <c r="Q52" s="59"/>
      <c r="R52" s="59"/>
      <c r="S52" s="59"/>
      <c r="T52" s="59"/>
    </row>
    <row r="53" spans="1:20" ht="15" thickTop="1" thickBot="1" x14ac:dyDescent="0.35">
      <c r="A53" s="75"/>
      <c r="C53" s="89">
        <f>((-0.000002*($C$35^4))-(0.00009*($C$35^3))+(0.0055*($C$35^2))-(0.1184*$C$35)+1)*14.6959487755</f>
        <v>14.6959487755</v>
      </c>
      <c r="D53" s="91" t="s">
        <v>117</v>
      </c>
      <c r="E53" s="91"/>
      <c r="F53" s="91"/>
      <c r="G53" s="93"/>
      <c r="H53" s="93"/>
      <c r="I53" s="93"/>
      <c r="J53" s="92"/>
      <c r="K53" s="59"/>
      <c r="L53" s="59"/>
      <c r="M53" s="59"/>
      <c r="N53" s="59"/>
      <c r="O53" s="59"/>
      <c r="P53" s="59"/>
      <c r="Q53" s="59"/>
      <c r="R53" s="59"/>
      <c r="S53" s="59"/>
      <c r="T53" s="59"/>
    </row>
    <row r="54" spans="1:20" ht="15" thickTop="1" thickBot="1" x14ac:dyDescent="0.35">
      <c r="A54" s="75"/>
      <c r="C54" s="89">
        <f>(((-0.000002*($C$35^4))-(0.00009*($C$35^3))+(0.0055*($C$35^2))-(0.1184*$C$35)+1))*760/25.4</f>
        <v>29.921259842519685</v>
      </c>
      <c r="D54" s="91" t="s">
        <v>16</v>
      </c>
      <c r="E54" s="91"/>
      <c r="F54" s="91"/>
      <c r="G54" s="92"/>
      <c r="H54" s="92"/>
      <c r="I54" s="92"/>
      <c r="J54" s="92"/>
      <c r="K54" s="59"/>
      <c r="L54" s="59"/>
      <c r="M54" s="59"/>
      <c r="N54" s="59"/>
      <c r="O54" s="59"/>
      <c r="P54" s="59"/>
      <c r="Q54" s="59"/>
      <c r="R54" s="59"/>
      <c r="S54" s="59"/>
      <c r="T54" s="59"/>
    </row>
    <row r="55" spans="1:20" ht="14.4" thickTop="1" x14ac:dyDescent="0.3">
      <c r="A55" s="75"/>
      <c r="C55" s="90">
        <f>(((-0.000002*($C$35^4))-(0.00009*($C$35^3))+(0.0055*($C$35^2))-(0.1184*$C$35)+1))*407.189358624</f>
        <v>407.18935862400002</v>
      </c>
      <c r="D55" s="91" t="s">
        <v>15</v>
      </c>
      <c r="E55" s="91"/>
      <c r="F55" s="91"/>
      <c r="G55" s="92"/>
      <c r="H55" s="92"/>
      <c r="I55" s="92"/>
      <c r="J55" s="92"/>
      <c r="K55" s="59"/>
      <c r="L55" s="59"/>
      <c r="M55" s="59"/>
      <c r="N55" s="59"/>
      <c r="O55" s="59"/>
      <c r="P55" s="59"/>
      <c r="Q55" s="59"/>
      <c r="R55" s="59"/>
      <c r="S55" s="59"/>
      <c r="T55" s="59"/>
    </row>
    <row r="56" spans="1:20" x14ac:dyDescent="0.3"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</row>
    <row r="57" spans="1:20" hidden="1" x14ac:dyDescent="0.3"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</row>
    <row r="58" spans="1:20" hidden="1" x14ac:dyDescent="0.3"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</row>
    <row r="59" spans="1:20" hidden="1" x14ac:dyDescent="0.3"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</row>
    <row r="60" spans="1:20" hidden="1" x14ac:dyDescent="0.3">
      <c r="B60" s="58" t="s">
        <v>118</v>
      </c>
      <c r="C60" s="58">
        <f>IF(OR($F$30="",$F$30="---"),20,IF($F$30="°F",($G$35-32)*(5/9),$G$35))</f>
        <v>20</v>
      </c>
      <c r="D60" s="58" t="s">
        <v>106</v>
      </c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</row>
    <row r="61" spans="1:20" hidden="1" x14ac:dyDescent="0.3">
      <c r="B61" s="58" t="s">
        <v>119</v>
      </c>
      <c r="C61" s="58">
        <f>IF(OR($H$30="",$H$30="---"),20,IF($H$30="°F",($G$38-32)*(5/9),$G$38))</f>
        <v>20</v>
      </c>
      <c r="D61" s="58" t="s">
        <v>106</v>
      </c>
      <c r="G61" s="62"/>
      <c r="H61" s="62"/>
      <c r="I61" s="62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</row>
    <row r="62" spans="1:20" hidden="1" x14ac:dyDescent="0.3"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</row>
    <row r="63" spans="1:20" ht="15.6" hidden="1" x14ac:dyDescent="0.35">
      <c r="B63" s="58" t="s">
        <v>120</v>
      </c>
      <c r="C63" s="58">
        <v>6.1720466299999997E-3</v>
      </c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</row>
    <row r="64" spans="1:20" ht="15.6" hidden="1" x14ac:dyDescent="0.35">
      <c r="B64" s="58" t="s">
        <v>121</v>
      </c>
      <c r="C64" s="58">
        <v>4.28096024E-4</v>
      </c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</row>
    <row r="65" spans="2:20" ht="15.6" hidden="1" x14ac:dyDescent="0.35">
      <c r="B65" s="58" t="s">
        <v>122</v>
      </c>
      <c r="C65" s="58">
        <v>1.5334296399999999E-5</v>
      </c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</row>
    <row r="66" spans="2:20" ht="15.6" hidden="1" x14ac:dyDescent="0.35">
      <c r="B66" s="58" t="s">
        <v>123</v>
      </c>
      <c r="C66" s="58">
        <v>2.4083368499999999E-7</v>
      </c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</row>
    <row r="67" spans="2:20" ht="15.6" hidden="1" x14ac:dyDescent="0.35">
      <c r="B67" s="58" t="s">
        <v>124</v>
      </c>
      <c r="C67" s="58">
        <v>3.0424923999999998E-9</v>
      </c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</row>
    <row r="68" spans="2:20" ht="15.6" hidden="1" x14ac:dyDescent="0.35">
      <c r="B68" s="58" t="s">
        <v>125</v>
      </c>
      <c r="C68" s="58">
        <v>2.6586771299999999E-11</v>
      </c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</row>
    <row r="69" spans="2:20" hidden="1" x14ac:dyDescent="0.3">
      <c r="B69" s="58" t="s">
        <v>126</v>
      </c>
      <c r="C69" s="58">
        <v>6.6600000000000003E-4</v>
      </c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</row>
    <row r="70" spans="2:20" hidden="1" x14ac:dyDescent="0.3">
      <c r="B70" s="58" t="s">
        <v>127</v>
      </c>
      <c r="C70" s="58">
        <f>C48*1.01325</f>
        <v>1.01325</v>
      </c>
      <c r="D70" s="58" t="s">
        <v>116</v>
      </c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</row>
    <row r="71" spans="2:20" hidden="1" x14ac:dyDescent="0.3"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</row>
    <row r="72" spans="2:20" hidden="1" x14ac:dyDescent="0.3">
      <c r="B72" s="58" t="s">
        <v>128</v>
      </c>
      <c r="C72" s="58">
        <f>(A_0+(BH*A_1)+((BH^2)*A_2)+((BH^3)*A_3)+((BH^4)*A_4)+((BH^5)*A_5)-(PSICRO*PRES*(BS-BH)))/(A_0+(BS*A_1)+((BS^2)*A_2)+((BS^3)*A_3)+((BS^4)*A_4)+((BS^5)*A_5))</f>
        <v>1</v>
      </c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</row>
    <row r="73" spans="2:20" hidden="1" x14ac:dyDescent="0.3"/>
    <row r="74" spans="2:20" hidden="1" x14ac:dyDescent="0.3">
      <c r="E74" s="58" t="s">
        <v>43</v>
      </c>
    </row>
    <row r="75" spans="2:20" ht="15" hidden="1" x14ac:dyDescent="0.35">
      <c r="B75" s="58" t="s">
        <v>44</v>
      </c>
      <c r="C75" s="58" t="s">
        <v>45</v>
      </c>
      <c r="D75" s="58" t="s">
        <v>11</v>
      </c>
      <c r="E75" s="58" t="s">
        <v>46</v>
      </c>
      <c r="F75" s="58" t="s">
        <v>47</v>
      </c>
    </row>
    <row r="76" spans="2:20" hidden="1" x14ac:dyDescent="0.3">
      <c r="D76" s="58" t="s">
        <v>27</v>
      </c>
      <c r="E76" s="58" t="s">
        <v>48</v>
      </c>
      <c r="F76" s="58" t="s">
        <v>48</v>
      </c>
    </row>
    <row r="77" spans="2:20" hidden="1" x14ac:dyDescent="0.3">
      <c r="B77" s="61" t="s">
        <v>38</v>
      </c>
      <c r="C77" s="61" t="s">
        <v>38</v>
      </c>
      <c r="D77" s="63" t="s">
        <v>38</v>
      </c>
      <c r="E77" s="63" t="s">
        <v>38</v>
      </c>
      <c r="F77" s="63" t="s">
        <v>38</v>
      </c>
      <c r="H77" s="63"/>
    </row>
    <row r="78" spans="2:20" hidden="1" x14ac:dyDescent="0.3">
      <c r="B78" s="58" t="s">
        <v>49</v>
      </c>
      <c r="C78" s="58" t="s">
        <v>50</v>
      </c>
      <c r="D78" s="64">
        <v>3</v>
      </c>
      <c r="E78" s="64">
        <v>33</v>
      </c>
      <c r="F78" s="64">
        <v>27</v>
      </c>
      <c r="H78" s="64"/>
    </row>
    <row r="79" spans="2:20" hidden="1" x14ac:dyDescent="0.3">
      <c r="B79" s="58" t="s">
        <v>51</v>
      </c>
      <c r="C79" s="58" t="s">
        <v>51</v>
      </c>
      <c r="D79" s="64">
        <v>1879</v>
      </c>
      <c r="E79" s="64">
        <v>34</v>
      </c>
      <c r="F79" s="64">
        <v>19</v>
      </c>
      <c r="H79" s="64"/>
    </row>
    <row r="80" spans="2:20" hidden="1" x14ac:dyDescent="0.3">
      <c r="B80" s="58" t="s">
        <v>52</v>
      </c>
      <c r="C80" s="58" t="s">
        <v>52</v>
      </c>
      <c r="D80" s="64">
        <v>25</v>
      </c>
      <c r="E80" s="64">
        <v>36</v>
      </c>
      <c r="F80" s="64">
        <v>27</v>
      </c>
      <c r="H80" s="64"/>
    </row>
    <row r="81" spans="2:8" hidden="1" x14ac:dyDescent="0.3">
      <c r="B81" s="58" t="s">
        <v>53</v>
      </c>
      <c r="C81" s="58" t="s">
        <v>54</v>
      </c>
      <c r="D81" s="64">
        <v>1754</v>
      </c>
      <c r="E81" s="64">
        <v>38</v>
      </c>
      <c r="F81" s="64">
        <v>20</v>
      </c>
      <c r="H81" s="64"/>
    </row>
    <row r="82" spans="2:8" hidden="1" x14ac:dyDescent="0.3">
      <c r="B82" s="58" t="s">
        <v>55</v>
      </c>
      <c r="C82" s="58" t="s">
        <v>55</v>
      </c>
      <c r="D82" s="64">
        <v>1423</v>
      </c>
      <c r="E82" s="64">
        <v>35</v>
      </c>
      <c r="F82" s="64">
        <v>23</v>
      </c>
      <c r="H82" s="64"/>
    </row>
    <row r="83" spans="2:8" hidden="1" x14ac:dyDescent="0.3">
      <c r="B83" s="58" t="s">
        <v>56</v>
      </c>
      <c r="C83" s="58" t="s">
        <v>50</v>
      </c>
      <c r="D83" s="64">
        <v>1250</v>
      </c>
      <c r="E83" s="64">
        <v>33</v>
      </c>
      <c r="F83" s="64">
        <v>23</v>
      </c>
      <c r="H83" s="64"/>
    </row>
    <row r="84" spans="2:8" hidden="1" x14ac:dyDescent="0.3">
      <c r="B84" s="58" t="s">
        <v>57</v>
      </c>
      <c r="C84" s="58" t="s">
        <v>55</v>
      </c>
      <c r="D84" s="64">
        <v>1137</v>
      </c>
      <c r="E84" s="64">
        <v>39</v>
      </c>
      <c r="F84" s="64">
        <v>24</v>
      </c>
      <c r="H84" s="64"/>
    </row>
    <row r="85" spans="2:8" hidden="1" x14ac:dyDescent="0.3">
      <c r="B85" s="58" t="s">
        <v>58</v>
      </c>
      <c r="C85" s="58" t="s">
        <v>59</v>
      </c>
      <c r="D85" s="64">
        <v>40</v>
      </c>
      <c r="E85" s="64">
        <v>43</v>
      </c>
      <c r="F85" s="64">
        <v>28</v>
      </c>
      <c r="H85" s="64"/>
    </row>
    <row r="86" spans="2:8" hidden="1" x14ac:dyDescent="0.3">
      <c r="B86" s="58" t="s">
        <v>60</v>
      </c>
      <c r="C86" s="58" t="s">
        <v>60</v>
      </c>
      <c r="D86" s="64">
        <v>494</v>
      </c>
      <c r="E86" s="64">
        <v>36</v>
      </c>
      <c r="F86" s="64">
        <v>24</v>
      </c>
      <c r="H86" s="64"/>
    </row>
    <row r="87" spans="2:8" hidden="1" x14ac:dyDescent="0.3">
      <c r="B87" s="58" t="s">
        <v>61</v>
      </c>
      <c r="C87" s="58" t="s">
        <v>62</v>
      </c>
      <c r="D87" s="64">
        <v>1538</v>
      </c>
      <c r="E87" s="64">
        <v>31</v>
      </c>
      <c r="F87" s="64">
        <v>20</v>
      </c>
      <c r="H87" s="64"/>
    </row>
    <row r="88" spans="2:8" hidden="1" x14ac:dyDescent="0.3">
      <c r="B88" s="58" t="s">
        <v>63</v>
      </c>
      <c r="C88" s="58" t="s">
        <v>64</v>
      </c>
      <c r="D88" s="64">
        <v>53</v>
      </c>
      <c r="E88" s="64">
        <v>37</v>
      </c>
      <c r="F88" s="64">
        <v>27</v>
      </c>
      <c r="H88" s="64"/>
    </row>
    <row r="89" spans="2:8" hidden="1" x14ac:dyDescent="0.3">
      <c r="B89" s="58" t="s">
        <v>65</v>
      </c>
      <c r="C89" s="58" t="s">
        <v>65</v>
      </c>
      <c r="D89" s="64">
        <v>2240</v>
      </c>
      <c r="E89" s="64">
        <v>31</v>
      </c>
      <c r="F89" s="64">
        <v>17</v>
      </c>
      <c r="H89" s="64"/>
    </row>
    <row r="90" spans="2:8" hidden="1" x14ac:dyDescent="0.3">
      <c r="B90" s="58" t="s">
        <v>66</v>
      </c>
      <c r="C90" s="58" t="s">
        <v>66</v>
      </c>
      <c r="D90" s="64">
        <v>1898</v>
      </c>
      <c r="E90" s="64">
        <v>34</v>
      </c>
      <c r="F90" s="64">
        <v>17</v>
      </c>
      <c r="H90" s="64"/>
    </row>
    <row r="91" spans="2:8" hidden="1" x14ac:dyDescent="0.3">
      <c r="B91" s="58" t="s">
        <v>67</v>
      </c>
      <c r="C91" s="58" t="s">
        <v>68</v>
      </c>
      <c r="D91" s="64">
        <v>13</v>
      </c>
      <c r="E91" s="64">
        <v>34</v>
      </c>
      <c r="F91" s="64">
        <v>26</v>
      </c>
      <c r="H91" s="64"/>
    </row>
    <row r="92" spans="2:8" hidden="1" x14ac:dyDescent="0.3">
      <c r="B92" s="58" t="s">
        <v>69</v>
      </c>
      <c r="C92" s="58" t="s">
        <v>70</v>
      </c>
      <c r="D92" s="64">
        <v>1589</v>
      </c>
      <c r="E92" s="64">
        <v>33</v>
      </c>
      <c r="F92" s="64">
        <v>20</v>
      </c>
      <c r="H92" s="64"/>
    </row>
    <row r="93" spans="2:8" hidden="1" x14ac:dyDescent="0.3">
      <c r="B93" s="58" t="s">
        <v>54</v>
      </c>
      <c r="C93" s="58" t="s">
        <v>54</v>
      </c>
      <c r="D93" s="64">
        <v>2037</v>
      </c>
      <c r="E93" s="64">
        <v>31</v>
      </c>
      <c r="F93" s="64">
        <v>18</v>
      </c>
      <c r="H93" s="64"/>
    </row>
    <row r="94" spans="2:8" hidden="1" x14ac:dyDescent="0.3">
      <c r="B94" s="58" t="s">
        <v>71</v>
      </c>
      <c r="C94" s="58" t="s">
        <v>59</v>
      </c>
      <c r="D94" s="64">
        <v>211</v>
      </c>
      <c r="E94" s="64">
        <v>41</v>
      </c>
      <c r="F94" s="64">
        <v>28</v>
      </c>
      <c r="H94" s="64"/>
    </row>
    <row r="95" spans="2:8" hidden="1" x14ac:dyDescent="0.3">
      <c r="B95" s="58" t="s">
        <v>72</v>
      </c>
      <c r="C95" s="58" t="s">
        <v>54</v>
      </c>
      <c r="D95" s="64">
        <v>1724</v>
      </c>
      <c r="E95" s="64">
        <v>35</v>
      </c>
      <c r="F95" s="64">
        <v>19</v>
      </c>
      <c r="H95" s="64"/>
    </row>
    <row r="96" spans="2:8" hidden="1" x14ac:dyDescent="0.3">
      <c r="B96" s="58" t="s">
        <v>73</v>
      </c>
      <c r="C96" s="58" t="s">
        <v>74</v>
      </c>
      <c r="D96" s="64">
        <v>1775</v>
      </c>
      <c r="E96" s="64">
        <v>34</v>
      </c>
      <c r="F96" s="64">
        <v>20</v>
      </c>
      <c r="H96" s="64"/>
    </row>
    <row r="97" spans="2:8" hidden="1" x14ac:dyDescent="0.3">
      <c r="B97" s="58" t="s">
        <v>75</v>
      </c>
      <c r="C97" s="58" t="s">
        <v>54</v>
      </c>
      <c r="D97" s="64">
        <v>1809</v>
      </c>
      <c r="E97" s="64">
        <v>34</v>
      </c>
      <c r="F97" s="64">
        <v>20</v>
      </c>
      <c r="H97" s="64"/>
    </row>
    <row r="98" spans="2:8" hidden="1" x14ac:dyDescent="0.3">
      <c r="B98" s="58" t="s">
        <v>76</v>
      </c>
      <c r="C98" s="58" t="s">
        <v>77</v>
      </c>
      <c r="D98" s="64">
        <v>2675</v>
      </c>
      <c r="E98" s="64">
        <v>25</v>
      </c>
      <c r="F98" s="64">
        <v>17</v>
      </c>
      <c r="H98" s="64"/>
    </row>
    <row r="99" spans="2:8" hidden="1" x14ac:dyDescent="0.3">
      <c r="B99" s="58" t="s">
        <v>78</v>
      </c>
      <c r="C99" s="58" t="s">
        <v>60</v>
      </c>
      <c r="D99" s="64">
        <v>3</v>
      </c>
      <c r="E99" s="64">
        <v>35</v>
      </c>
      <c r="F99" s="64">
        <v>27</v>
      </c>
      <c r="H99" s="64"/>
    </row>
    <row r="100" spans="2:8" hidden="1" x14ac:dyDescent="0.3">
      <c r="B100" s="58" t="s">
        <v>79</v>
      </c>
      <c r="C100" s="58" t="s">
        <v>64</v>
      </c>
      <c r="D100" s="64">
        <v>78</v>
      </c>
      <c r="E100" s="64">
        <v>31</v>
      </c>
      <c r="F100" s="64">
        <v>26</v>
      </c>
      <c r="H100" s="64"/>
    </row>
    <row r="101" spans="2:8" hidden="1" x14ac:dyDescent="0.3">
      <c r="B101" s="58" t="s">
        <v>80</v>
      </c>
      <c r="C101" s="58" t="s">
        <v>81</v>
      </c>
      <c r="D101" s="64">
        <v>534</v>
      </c>
      <c r="E101" s="64">
        <v>39</v>
      </c>
      <c r="F101" s="64">
        <v>25</v>
      </c>
      <c r="H101" s="64"/>
    </row>
    <row r="102" spans="2:8" hidden="1" x14ac:dyDescent="0.3">
      <c r="B102" s="58" t="s">
        <v>82</v>
      </c>
      <c r="C102" s="58" t="s">
        <v>74</v>
      </c>
      <c r="D102" s="64">
        <v>1923</v>
      </c>
      <c r="E102" s="64">
        <v>30</v>
      </c>
      <c r="F102" s="64">
        <v>19</v>
      </c>
      <c r="H102" s="64"/>
    </row>
    <row r="103" spans="2:8" hidden="1" x14ac:dyDescent="0.3">
      <c r="B103" s="58" t="s">
        <v>83</v>
      </c>
      <c r="C103" s="58" t="s">
        <v>59</v>
      </c>
      <c r="D103" s="64">
        <v>1117</v>
      </c>
      <c r="E103" s="64">
        <v>37</v>
      </c>
      <c r="F103" s="64">
        <v>26</v>
      </c>
      <c r="H103" s="64"/>
    </row>
    <row r="104" spans="2:8" hidden="1" x14ac:dyDescent="0.3">
      <c r="B104" s="58" t="s">
        <v>84</v>
      </c>
      <c r="C104" s="58" t="s">
        <v>85</v>
      </c>
      <c r="D104" s="64">
        <v>2444</v>
      </c>
      <c r="E104" s="64">
        <v>30</v>
      </c>
      <c r="F104" s="64">
        <v>18</v>
      </c>
      <c r="H104" s="64"/>
    </row>
    <row r="105" spans="2:8" hidden="1" x14ac:dyDescent="0.3">
      <c r="B105" s="58" t="s">
        <v>86</v>
      </c>
      <c r="C105" s="58" t="s">
        <v>86</v>
      </c>
      <c r="D105" s="64">
        <v>2150</v>
      </c>
      <c r="E105" s="64">
        <v>29</v>
      </c>
      <c r="F105" s="64">
        <v>17</v>
      </c>
      <c r="H105" s="64"/>
    </row>
    <row r="106" spans="2:8" hidden="1" x14ac:dyDescent="0.3">
      <c r="B106" s="58" t="s">
        <v>87</v>
      </c>
      <c r="C106" s="58" t="s">
        <v>87</v>
      </c>
      <c r="D106" s="64">
        <v>1842</v>
      </c>
      <c r="E106" s="64">
        <v>33</v>
      </c>
      <c r="F106" s="64">
        <v>21</v>
      </c>
      <c r="H106" s="64"/>
    </row>
    <row r="107" spans="2:8" hidden="1" x14ac:dyDescent="0.3">
      <c r="B107" s="58" t="s">
        <v>88</v>
      </c>
      <c r="C107" s="58" t="s">
        <v>89</v>
      </c>
      <c r="D107" s="64">
        <v>1609</v>
      </c>
      <c r="E107" s="64">
        <v>35</v>
      </c>
      <c r="F107" s="64">
        <v>22</v>
      </c>
      <c r="H107" s="64"/>
    </row>
    <row r="108" spans="2:8" hidden="1" x14ac:dyDescent="0.3">
      <c r="B108" s="58" t="s">
        <v>90</v>
      </c>
      <c r="C108" s="58" t="s">
        <v>87</v>
      </c>
      <c r="D108" s="64">
        <v>1800</v>
      </c>
      <c r="E108" s="64">
        <v>32</v>
      </c>
      <c r="F108" s="64">
        <v>21</v>
      </c>
      <c r="H108" s="64"/>
    </row>
    <row r="109" spans="2:8" hidden="1" x14ac:dyDescent="0.3">
      <c r="B109" s="58" t="s">
        <v>91</v>
      </c>
      <c r="C109" s="58" t="s">
        <v>91</v>
      </c>
      <c r="D109" s="64">
        <v>1877</v>
      </c>
      <c r="E109" s="64">
        <v>34</v>
      </c>
      <c r="F109" s="64">
        <v>18</v>
      </c>
      <c r="H109" s="64"/>
    </row>
    <row r="110" spans="2:8" hidden="1" x14ac:dyDescent="0.3">
      <c r="B110" s="58" t="s">
        <v>92</v>
      </c>
      <c r="C110" s="58" t="s">
        <v>86</v>
      </c>
      <c r="D110" s="64">
        <v>1676</v>
      </c>
      <c r="E110" s="64">
        <v>34</v>
      </c>
      <c r="F110" s="64">
        <v>20</v>
      </c>
      <c r="H110" s="64"/>
    </row>
    <row r="111" spans="2:8" hidden="1" x14ac:dyDescent="0.3">
      <c r="B111" s="58" t="s">
        <v>93</v>
      </c>
      <c r="C111" s="58" t="s">
        <v>94</v>
      </c>
      <c r="D111" s="64">
        <v>918</v>
      </c>
      <c r="E111" s="64">
        <v>36</v>
      </c>
      <c r="F111" s="64">
        <v>26</v>
      </c>
      <c r="H111" s="64"/>
    </row>
    <row r="112" spans="2:8" hidden="1" x14ac:dyDescent="0.3">
      <c r="B112" s="58" t="s">
        <v>95</v>
      </c>
      <c r="C112" s="58" t="s">
        <v>77</v>
      </c>
      <c r="D112" s="64">
        <v>2216</v>
      </c>
      <c r="E112" s="64">
        <v>32</v>
      </c>
      <c r="F112" s="64">
        <v>19</v>
      </c>
      <c r="H112" s="64"/>
    </row>
    <row r="113" spans="2:21" hidden="1" x14ac:dyDescent="0.3">
      <c r="B113" s="58" t="s">
        <v>96</v>
      </c>
      <c r="C113" s="58" t="s">
        <v>68</v>
      </c>
      <c r="D113" s="64">
        <v>28</v>
      </c>
      <c r="E113" s="64">
        <v>35</v>
      </c>
      <c r="F113" s="64">
        <v>26</v>
      </c>
      <c r="H113" s="64"/>
    </row>
    <row r="114" spans="2:21" hidden="1" x14ac:dyDescent="0.3">
      <c r="B114" s="58" t="s">
        <v>97</v>
      </c>
      <c r="C114" s="58" t="s">
        <v>85</v>
      </c>
      <c r="D114" s="64"/>
      <c r="E114" s="64"/>
      <c r="F114" s="64"/>
      <c r="H114" s="64"/>
    </row>
    <row r="115" spans="2:21" hidden="1" x14ac:dyDescent="0.3">
      <c r="B115" s="58" t="s">
        <v>98</v>
      </c>
      <c r="C115" s="58" t="s">
        <v>77</v>
      </c>
      <c r="D115" s="64">
        <v>2675</v>
      </c>
      <c r="E115" s="64">
        <v>25</v>
      </c>
      <c r="F115" s="64">
        <v>17</v>
      </c>
      <c r="H115" s="64"/>
    </row>
    <row r="116" spans="2:21" hidden="1" x14ac:dyDescent="0.3">
      <c r="B116" s="58" t="s">
        <v>99</v>
      </c>
      <c r="C116" s="58" t="s">
        <v>89</v>
      </c>
      <c r="D116" s="64">
        <v>1013</v>
      </c>
      <c r="E116" s="64">
        <v>40</v>
      </c>
      <c r="F116" s="64">
        <v>21</v>
      </c>
      <c r="H116" s="64"/>
    </row>
    <row r="117" spans="2:21" hidden="1" x14ac:dyDescent="0.3">
      <c r="B117" s="58" t="s">
        <v>100</v>
      </c>
      <c r="C117" s="58" t="s">
        <v>85</v>
      </c>
      <c r="D117" s="64">
        <v>2181</v>
      </c>
      <c r="E117" s="64">
        <v>32</v>
      </c>
      <c r="F117" s="64">
        <v>19</v>
      </c>
      <c r="H117" s="64"/>
    </row>
    <row r="118" spans="2:21" hidden="1" x14ac:dyDescent="0.3">
      <c r="B118" s="58" t="s">
        <v>101</v>
      </c>
      <c r="C118" s="58" t="s">
        <v>102</v>
      </c>
      <c r="D118" s="64">
        <v>10</v>
      </c>
      <c r="E118" s="64">
        <v>37</v>
      </c>
      <c r="F118" s="64">
        <v>26</v>
      </c>
      <c r="H118" s="64"/>
    </row>
    <row r="119" spans="2:21" hidden="1" x14ac:dyDescent="0.3">
      <c r="B119" s="58" t="s">
        <v>103</v>
      </c>
      <c r="C119" s="58" t="s">
        <v>74</v>
      </c>
      <c r="D119" s="64">
        <v>1633</v>
      </c>
      <c r="E119" s="64">
        <v>35</v>
      </c>
      <c r="F119" s="64">
        <v>20</v>
      </c>
      <c r="H119" s="64"/>
    </row>
    <row r="122" spans="2:21" x14ac:dyDescent="0.3"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</row>
    <row r="123" spans="2:21" x14ac:dyDescent="0.3"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</row>
  </sheetData>
  <sheetProtection selectLockedCells="1"/>
  <sortState ref="B113:F154">
    <sortCondition ref="B112"/>
  </sortState>
  <mergeCells count="46">
    <mergeCell ref="B9:J9"/>
    <mergeCell ref="B10:J10"/>
    <mergeCell ref="G32:H32"/>
    <mergeCell ref="E32:F32"/>
    <mergeCell ref="G15:H15"/>
    <mergeCell ref="B15:F15"/>
    <mergeCell ref="B18:F18"/>
    <mergeCell ref="D21:F21"/>
    <mergeCell ref="C25:C26"/>
    <mergeCell ref="B25:B26"/>
    <mergeCell ref="G25:H26"/>
    <mergeCell ref="E25:F26"/>
    <mergeCell ref="C30:C31"/>
    <mergeCell ref="B30:B31"/>
    <mergeCell ref="E29:F29"/>
    <mergeCell ref="G29:H29"/>
    <mergeCell ref="E30:E31"/>
    <mergeCell ref="F30:F31"/>
    <mergeCell ref="H30:H31"/>
    <mergeCell ref="G30:G31"/>
    <mergeCell ref="G19:J19"/>
    <mergeCell ref="G27:H27"/>
    <mergeCell ref="E27:F27"/>
    <mergeCell ref="B22:C22"/>
    <mergeCell ref="G22:J22"/>
    <mergeCell ref="E24:J24"/>
    <mergeCell ref="B16:F16"/>
    <mergeCell ref="B19:F19"/>
    <mergeCell ref="D22:F22"/>
    <mergeCell ref="G16:H16"/>
    <mergeCell ref="B12:J12"/>
    <mergeCell ref="I1:J3"/>
    <mergeCell ref="I4:J4"/>
    <mergeCell ref="I15:J15"/>
    <mergeCell ref="B34:D34"/>
    <mergeCell ref="E34:I34"/>
    <mergeCell ref="B24:D24"/>
    <mergeCell ref="G21:I21"/>
    <mergeCell ref="B21:C21"/>
    <mergeCell ref="I16:J16"/>
    <mergeCell ref="G18:J18"/>
    <mergeCell ref="I25:J25"/>
    <mergeCell ref="I27:J27"/>
    <mergeCell ref="B6:J6"/>
    <mergeCell ref="B7:J7"/>
    <mergeCell ref="B13:J13"/>
  </mergeCells>
  <dataValidations count="3">
    <dataValidation type="list" allowBlank="1" showInputMessage="1" showErrorMessage="1" errorTitle="ALTITUD" error="Selecciona la unidad de medida para la altitud:_x000a_- metros (m)_x000a_- pies (ft)" sqref="J26" xr:uid="{00000000-0002-0000-0100-000000000000}">
      <formula1>$J$35:$J$37</formula1>
    </dataValidation>
    <dataValidation type="decimal" operator="lessThan" allowBlank="1" showInputMessage="1" showErrorMessage="1" errorTitle="Valor numérico" error="El valor máximo que puede introducirse es 9 000 m (c. 30 000 ft)" sqref="C39:D39" xr:uid="{00000000-0002-0000-0100-000001000000}">
      <formula1>30000</formula1>
    </dataValidation>
    <dataValidation type="list" allowBlank="1" showInputMessage="1" showErrorMessage="1" errorTitle="TEMPERATURA" error="Selecciona la unidad de medición para la temperatura:_x000a_- Grados Celsius (°C)_x000a_- Grados Fahrenheit (°F)" sqref="F30:F31 H30:H31" xr:uid="{00000000-0002-0000-0100-000002000000}">
      <formula1>$K$35:$K$37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Cuartos">
                <anchor moveWithCells="1" sizeWithCells="1">
                  <from>
                    <xdr:col>0</xdr:col>
                    <xdr:colOff>190500</xdr:colOff>
                    <xdr:row>0</xdr:row>
                    <xdr:rowOff>91440</xdr:rowOff>
                  </from>
                  <to>
                    <xdr:col>1</xdr:col>
                    <xdr:colOff>373380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IUDADES" error="Elija de la lista predeterminada de ciudades." xr:uid="{00000000-0002-0000-0100-000003000000}">
          <x14:formula1>
            <xm:f>GEO_MEXICO!$A$2:$A$114</xm:f>
          </x14:formula1>
          <xm:sqref>B25:B26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EM117"/>
  <sheetViews>
    <sheetView showGridLines="0" showRowColHeaders="0" zoomScaleNormal="100" workbookViewId="0">
      <selection activeCell="C17" sqref="C17"/>
    </sheetView>
  </sheetViews>
  <sheetFormatPr defaultColWidth="12" defaultRowHeight="13.8" x14ac:dyDescent="0.3"/>
  <cols>
    <col min="1" max="2" width="4.125" style="2" bestFit="1" customWidth="1"/>
    <col min="3" max="3" width="10.875" style="3" customWidth="1"/>
    <col min="4" max="4" width="28.625" style="3" customWidth="1"/>
    <col min="5" max="5" width="7.125" style="3" customWidth="1"/>
    <col min="6" max="6" width="8.875" style="3" customWidth="1"/>
    <col min="7" max="7" width="9.375" style="3" bestFit="1" customWidth="1"/>
    <col min="8" max="8" width="10.625" style="426" customWidth="1"/>
    <col min="9" max="9" width="12.5" style="3" customWidth="1"/>
    <col min="10" max="12" width="7.875" style="3" customWidth="1"/>
    <col min="13" max="13" width="8" style="3" hidden="1" customWidth="1"/>
    <col min="14" max="114" width="8" style="2" hidden="1" customWidth="1"/>
    <col min="115" max="115" width="9.875" style="2" customWidth="1"/>
    <col min="116" max="116" width="9.875" style="3" customWidth="1"/>
    <col min="117" max="117" width="6.625" style="3" bestFit="1" customWidth="1"/>
    <col min="118" max="122" width="6.625" style="3" hidden="1" customWidth="1"/>
    <col min="123" max="124" width="9.5" style="3" hidden="1" customWidth="1"/>
    <col min="125" max="131" width="8.875" style="3" customWidth="1"/>
    <col min="132" max="132" width="9.5" style="3" hidden="1" customWidth="1"/>
    <col min="133" max="134" width="8.875" style="3" customWidth="1"/>
    <col min="135" max="135" width="14.875" style="3" customWidth="1"/>
    <col min="136" max="137" width="12.5" style="3" hidden="1" customWidth="1"/>
    <col min="138" max="143" width="12" style="3" hidden="1" customWidth="1"/>
    <col min="144" max="145" width="12" style="3"/>
    <col min="146" max="146" width="82.375" style="3" customWidth="1"/>
    <col min="147" max="16384" width="12" style="3"/>
  </cols>
  <sheetData>
    <row r="1" spans="1:143" x14ac:dyDescent="0.3">
      <c r="A1" s="584" t="s">
        <v>154</v>
      </c>
      <c r="B1" s="593" t="s">
        <v>0</v>
      </c>
      <c r="C1" s="427"/>
      <c r="D1" s="594" t="s">
        <v>34</v>
      </c>
      <c r="E1" s="589" t="s">
        <v>7</v>
      </c>
      <c r="F1" s="587" t="s">
        <v>19</v>
      </c>
      <c r="G1" s="587" t="s">
        <v>20</v>
      </c>
      <c r="H1" s="585" t="s">
        <v>8</v>
      </c>
      <c r="I1" s="55">
        <f>IF(AND($DN$14=0,$DO$14=0),$DP$14,MAX($DN$14:$DO$14))</f>
        <v>20</v>
      </c>
      <c r="J1" s="589" t="s">
        <v>21</v>
      </c>
      <c r="K1" s="587" t="s">
        <v>22</v>
      </c>
      <c r="L1" s="585" t="s">
        <v>23</v>
      </c>
      <c r="M1" s="38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589" t="s">
        <v>24</v>
      </c>
      <c r="DL1" s="587" t="s">
        <v>24</v>
      </c>
      <c r="DM1" s="585" t="s">
        <v>25</v>
      </c>
      <c r="DN1" s="38"/>
      <c r="DO1" s="38"/>
      <c r="DP1" s="38"/>
      <c r="DQ1" s="38"/>
      <c r="DR1" s="38"/>
      <c r="DS1" s="38"/>
      <c r="DT1" s="128"/>
      <c r="DU1" s="589" t="s">
        <v>137</v>
      </c>
      <c r="DV1" s="587"/>
      <c r="DW1" s="585"/>
      <c r="DX1" s="589" t="s">
        <v>138</v>
      </c>
      <c r="DY1" s="587"/>
      <c r="DZ1" s="587"/>
      <c r="EA1" s="587"/>
      <c r="EB1" s="587"/>
      <c r="EC1" s="587"/>
      <c r="ED1" s="585"/>
      <c r="EE1" s="38"/>
    </row>
    <row r="2" spans="1:143" s="2" customFormat="1" ht="41.4" x14ac:dyDescent="0.3">
      <c r="A2" s="584"/>
      <c r="B2" s="593"/>
      <c r="C2" s="427" t="s">
        <v>167</v>
      </c>
      <c r="D2" s="594"/>
      <c r="E2" s="590"/>
      <c r="F2" s="588"/>
      <c r="G2" s="588"/>
      <c r="H2" s="585"/>
      <c r="I2" s="56" t="s">
        <v>25</v>
      </c>
      <c r="J2" s="590"/>
      <c r="K2" s="588"/>
      <c r="L2" s="586"/>
      <c r="M2" s="36" t="s">
        <v>24</v>
      </c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 t="s">
        <v>24</v>
      </c>
      <c r="DK2" s="590"/>
      <c r="DL2" s="588"/>
      <c r="DM2" s="585"/>
      <c r="DN2" s="36"/>
      <c r="DO2" s="36"/>
      <c r="DP2" s="36"/>
      <c r="DQ2" s="36"/>
      <c r="DR2" s="36"/>
      <c r="DS2" s="37"/>
      <c r="DT2" s="37"/>
      <c r="DU2" s="44" t="s">
        <v>33</v>
      </c>
      <c r="DV2" s="46" t="str">
        <f t="shared" ref="DV2" si="0">"+ASP"</f>
        <v>+ASP</v>
      </c>
      <c r="DW2" s="47" t="s">
        <v>26</v>
      </c>
      <c r="DX2" s="44" t="s">
        <v>30</v>
      </c>
      <c r="DY2" s="45" t="s">
        <v>31</v>
      </c>
      <c r="DZ2" s="45" t="s">
        <v>32</v>
      </c>
      <c r="EA2" s="449" t="s">
        <v>529</v>
      </c>
      <c r="EB2" s="45"/>
      <c r="EC2" s="46" t="str">
        <f>"-ASP"</f>
        <v>-ASP</v>
      </c>
      <c r="ED2" s="47" t="s">
        <v>26</v>
      </c>
      <c r="EE2" s="592"/>
    </row>
    <row r="3" spans="1:143" x14ac:dyDescent="0.3">
      <c r="A3" s="584"/>
      <c r="B3" s="593"/>
      <c r="C3" s="427"/>
      <c r="D3" s="594"/>
      <c r="E3" s="53" t="s">
        <v>15</v>
      </c>
      <c r="F3" s="39" t="s">
        <v>14</v>
      </c>
      <c r="G3" s="39" t="s">
        <v>12</v>
      </c>
      <c r="H3" s="585"/>
      <c r="I3" s="57"/>
      <c r="J3" s="53" t="s">
        <v>27</v>
      </c>
      <c r="K3" s="39" t="s">
        <v>27</v>
      </c>
      <c r="L3" s="54" t="s">
        <v>27</v>
      </c>
      <c r="M3" s="39" t="s">
        <v>28</v>
      </c>
      <c r="N3" s="39">
        <v>1</v>
      </c>
      <c r="O3" s="39">
        <v>2</v>
      </c>
      <c r="P3" s="39">
        <v>3</v>
      </c>
      <c r="Q3" s="39">
        <v>4</v>
      </c>
      <c r="R3" s="39">
        <v>5</v>
      </c>
      <c r="S3" s="39">
        <v>6</v>
      </c>
      <c r="T3" s="39">
        <v>7</v>
      </c>
      <c r="U3" s="39">
        <v>8</v>
      </c>
      <c r="V3" s="39">
        <v>9</v>
      </c>
      <c r="W3" s="39">
        <v>10</v>
      </c>
      <c r="X3" s="39">
        <v>11</v>
      </c>
      <c r="Y3" s="39">
        <v>12</v>
      </c>
      <c r="Z3" s="39">
        <v>13</v>
      </c>
      <c r="AA3" s="39">
        <v>14</v>
      </c>
      <c r="AB3" s="39">
        <v>15</v>
      </c>
      <c r="AC3" s="39">
        <v>16</v>
      </c>
      <c r="AD3" s="39">
        <v>17</v>
      </c>
      <c r="AE3" s="39">
        <v>18</v>
      </c>
      <c r="AF3" s="39">
        <v>19</v>
      </c>
      <c r="AG3" s="39">
        <v>20</v>
      </c>
      <c r="AH3" s="39">
        <v>21</v>
      </c>
      <c r="AI3" s="39">
        <v>22</v>
      </c>
      <c r="AJ3" s="39">
        <v>23</v>
      </c>
      <c r="AK3" s="39">
        <v>24</v>
      </c>
      <c r="AL3" s="39">
        <v>25</v>
      </c>
      <c r="AM3" s="39">
        <v>26</v>
      </c>
      <c r="AN3" s="39">
        <v>27</v>
      </c>
      <c r="AO3" s="39">
        <v>28</v>
      </c>
      <c r="AP3" s="39">
        <v>29</v>
      </c>
      <c r="AQ3" s="39">
        <v>30</v>
      </c>
      <c r="AR3" s="39">
        <v>31</v>
      </c>
      <c r="AS3" s="39">
        <v>32</v>
      </c>
      <c r="AT3" s="39">
        <v>33</v>
      </c>
      <c r="AU3" s="39">
        <v>34</v>
      </c>
      <c r="AV3" s="39">
        <v>35</v>
      </c>
      <c r="AW3" s="39">
        <v>36</v>
      </c>
      <c r="AX3" s="39">
        <v>37</v>
      </c>
      <c r="AY3" s="39">
        <v>38</v>
      </c>
      <c r="AZ3" s="39">
        <v>39</v>
      </c>
      <c r="BA3" s="39">
        <v>40</v>
      </c>
      <c r="BB3" s="39">
        <v>41</v>
      </c>
      <c r="BC3" s="39">
        <v>42</v>
      </c>
      <c r="BD3" s="39">
        <v>43</v>
      </c>
      <c r="BE3" s="39">
        <v>44</v>
      </c>
      <c r="BF3" s="39">
        <v>45</v>
      </c>
      <c r="BG3" s="39">
        <v>46</v>
      </c>
      <c r="BH3" s="39">
        <v>47</v>
      </c>
      <c r="BI3" s="39">
        <v>48</v>
      </c>
      <c r="BJ3" s="39">
        <v>49</v>
      </c>
      <c r="BK3" s="39">
        <v>50</v>
      </c>
      <c r="BL3" s="39">
        <v>51</v>
      </c>
      <c r="BM3" s="39">
        <v>52</v>
      </c>
      <c r="BN3" s="39">
        <v>53</v>
      </c>
      <c r="BO3" s="39">
        <v>54</v>
      </c>
      <c r="BP3" s="39">
        <v>55</v>
      </c>
      <c r="BQ3" s="39">
        <v>56</v>
      </c>
      <c r="BR3" s="39">
        <v>57</v>
      </c>
      <c r="BS3" s="39">
        <v>58</v>
      </c>
      <c r="BT3" s="39">
        <v>59</v>
      </c>
      <c r="BU3" s="39">
        <v>60</v>
      </c>
      <c r="BV3" s="39">
        <v>61</v>
      </c>
      <c r="BW3" s="39">
        <v>62</v>
      </c>
      <c r="BX3" s="39">
        <v>63</v>
      </c>
      <c r="BY3" s="39">
        <v>64</v>
      </c>
      <c r="BZ3" s="39">
        <v>65</v>
      </c>
      <c r="CA3" s="39">
        <v>66</v>
      </c>
      <c r="CB3" s="39">
        <v>67</v>
      </c>
      <c r="CC3" s="39">
        <v>68</v>
      </c>
      <c r="CD3" s="39">
        <v>69</v>
      </c>
      <c r="CE3" s="39">
        <v>70</v>
      </c>
      <c r="CF3" s="39">
        <v>71</v>
      </c>
      <c r="CG3" s="39">
        <v>72</v>
      </c>
      <c r="CH3" s="39">
        <v>73</v>
      </c>
      <c r="CI3" s="39">
        <v>74</v>
      </c>
      <c r="CJ3" s="39">
        <v>75</v>
      </c>
      <c r="CK3" s="39">
        <v>76</v>
      </c>
      <c r="CL3" s="39">
        <v>77</v>
      </c>
      <c r="CM3" s="39">
        <v>78</v>
      </c>
      <c r="CN3" s="39">
        <v>79</v>
      </c>
      <c r="CO3" s="39">
        <v>80</v>
      </c>
      <c r="CP3" s="39">
        <v>81</v>
      </c>
      <c r="CQ3" s="39">
        <v>82</v>
      </c>
      <c r="CR3" s="39">
        <v>83</v>
      </c>
      <c r="CS3" s="39">
        <v>84</v>
      </c>
      <c r="CT3" s="39">
        <v>85</v>
      </c>
      <c r="CU3" s="39">
        <v>86</v>
      </c>
      <c r="CV3" s="39">
        <v>87</v>
      </c>
      <c r="CW3" s="39">
        <v>88</v>
      </c>
      <c r="CX3" s="39">
        <v>89</v>
      </c>
      <c r="CY3" s="39">
        <v>90</v>
      </c>
      <c r="CZ3" s="39">
        <v>91</v>
      </c>
      <c r="DA3" s="39">
        <v>92</v>
      </c>
      <c r="DB3" s="39">
        <v>93</v>
      </c>
      <c r="DC3" s="39">
        <v>94</v>
      </c>
      <c r="DD3" s="39">
        <v>95</v>
      </c>
      <c r="DE3" s="39">
        <v>96</v>
      </c>
      <c r="DF3" s="39">
        <v>97</v>
      </c>
      <c r="DG3" s="39">
        <v>98</v>
      </c>
      <c r="DH3" s="39">
        <v>99</v>
      </c>
      <c r="DI3" s="39">
        <v>100</v>
      </c>
      <c r="DJ3" s="39" t="s">
        <v>28</v>
      </c>
      <c r="DK3" s="53" t="s">
        <v>28</v>
      </c>
      <c r="DL3" s="39" t="s">
        <v>29</v>
      </c>
      <c r="DM3" s="585"/>
      <c r="DN3" s="38"/>
      <c r="DO3" s="38"/>
      <c r="DP3" s="38"/>
      <c r="DQ3" s="38"/>
      <c r="DR3" s="38"/>
      <c r="DS3" s="38"/>
      <c r="DT3" s="128"/>
      <c r="DU3" s="48" t="s">
        <v>42</v>
      </c>
      <c r="DV3" s="40" t="s">
        <v>42</v>
      </c>
      <c r="DW3" s="49" t="s">
        <v>42</v>
      </c>
      <c r="DX3" s="48" t="s">
        <v>42</v>
      </c>
      <c r="DY3" s="40" t="s">
        <v>42</v>
      </c>
      <c r="DZ3" s="40" t="s">
        <v>42</v>
      </c>
      <c r="EA3" s="40" t="s">
        <v>42</v>
      </c>
      <c r="EB3" s="40" t="s">
        <v>42</v>
      </c>
      <c r="EC3" s="40" t="s">
        <v>42</v>
      </c>
      <c r="ED3" s="49" t="s">
        <v>42</v>
      </c>
      <c r="EE3" s="592"/>
    </row>
    <row r="4" spans="1:143" hidden="1" x14ac:dyDescent="0.3">
      <c r="DX4" s="50"/>
      <c r="DY4" s="51"/>
      <c r="DZ4" s="51"/>
      <c r="EA4" s="51"/>
      <c r="EB4" s="51"/>
      <c r="EC4" s="51"/>
      <c r="ED4" s="52"/>
    </row>
    <row r="5" spans="1:143" hidden="1" x14ac:dyDescent="0.3">
      <c r="DX5" s="50"/>
      <c r="DY5" s="51"/>
      <c r="DZ5" s="51"/>
      <c r="EA5" s="51"/>
      <c r="EB5" s="51"/>
      <c r="EC5" s="51"/>
      <c r="ED5" s="52"/>
    </row>
    <row r="6" spans="1:143" hidden="1" x14ac:dyDescent="0.3">
      <c r="E6" s="10" t="s">
        <v>38</v>
      </c>
      <c r="DX6" s="50"/>
      <c r="DY6" s="51"/>
      <c r="DZ6" s="51"/>
      <c r="EA6" s="51"/>
      <c r="EB6" s="51"/>
      <c r="EC6" s="51"/>
      <c r="ED6" s="52"/>
    </row>
    <row r="7" spans="1:143" hidden="1" x14ac:dyDescent="0.3">
      <c r="E7" s="11">
        <v>0</v>
      </c>
      <c r="DX7" s="50"/>
      <c r="DY7" s="51"/>
      <c r="DZ7" s="51"/>
      <c r="EA7" s="51"/>
      <c r="EB7" s="51"/>
      <c r="EC7" s="51"/>
      <c r="ED7" s="52"/>
    </row>
    <row r="8" spans="1:143" hidden="1" x14ac:dyDescent="0.3">
      <c r="E8" s="11">
        <v>0.02</v>
      </c>
      <c r="DX8" s="50"/>
      <c r="DY8" s="51"/>
      <c r="DZ8" s="51"/>
      <c r="EA8" s="51"/>
      <c r="EB8" s="51"/>
      <c r="EC8" s="51"/>
      <c r="ED8" s="52"/>
    </row>
    <row r="9" spans="1:143" hidden="1" x14ac:dyDescent="0.3">
      <c r="E9" s="11">
        <v>0.05</v>
      </c>
      <c r="H9" s="443" t="s">
        <v>38</v>
      </c>
    </row>
    <row r="10" spans="1:143" hidden="1" x14ac:dyDescent="0.3">
      <c r="E10" s="11">
        <v>0.08</v>
      </c>
      <c r="H10" s="444" t="s">
        <v>523</v>
      </c>
    </row>
    <row r="11" spans="1:143" hidden="1" x14ac:dyDescent="0.3">
      <c r="E11" s="11">
        <v>0.1</v>
      </c>
      <c r="G11" s="10" t="s">
        <v>38</v>
      </c>
      <c r="H11" s="444" t="s">
        <v>522</v>
      </c>
    </row>
    <row r="12" spans="1:143" hidden="1" x14ac:dyDescent="0.3">
      <c r="E12" s="11">
        <v>0.15</v>
      </c>
      <c r="G12" s="3" t="s">
        <v>41</v>
      </c>
      <c r="H12" s="444" t="s">
        <v>521</v>
      </c>
      <c r="EH12" s="3" t="s">
        <v>249</v>
      </c>
      <c r="EI12" s="3" t="s">
        <v>248</v>
      </c>
    </row>
    <row r="13" spans="1:143" hidden="1" x14ac:dyDescent="0.3">
      <c r="E13" s="11">
        <v>0.18</v>
      </c>
      <c r="F13" s="10" t="s">
        <v>38</v>
      </c>
      <c r="G13" s="3" t="s">
        <v>40</v>
      </c>
      <c r="H13" s="444" t="s">
        <v>520</v>
      </c>
      <c r="I13" s="6" t="b">
        <v>1</v>
      </c>
      <c r="DN13" s="3" t="s">
        <v>225</v>
      </c>
      <c r="DQ13" s="3" t="s">
        <v>25</v>
      </c>
      <c r="DR13" s="3" t="s">
        <v>226</v>
      </c>
      <c r="DS13" s="3" t="s">
        <v>227</v>
      </c>
      <c r="DT13" s="3" t="str">
        <f>"-ASP-+ASP"</f>
        <v>-ASP-+ASP</v>
      </c>
      <c r="EE13" s="6" t="b">
        <v>0</v>
      </c>
      <c r="EF13" s="3" t="s">
        <v>249</v>
      </c>
      <c r="EH13" s="3">
        <f>IF(OR(AND($EE$13=FALSE,$EE$14=FALSE),$EE$13=TRUE),1,0)</f>
        <v>1</v>
      </c>
      <c r="EI13" s="3">
        <f>IF(AND($EE$13=FALSE,$EE$14=TRUE),1,0)</f>
        <v>0</v>
      </c>
    </row>
    <row r="14" spans="1:143" hidden="1" x14ac:dyDescent="0.3">
      <c r="F14" s="3" t="s">
        <v>39</v>
      </c>
      <c r="G14" s="12">
        <v>35</v>
      </c>
      <c r="H14" s="444" t="s">
        <v>524</v>
      </c>
      <c r="I14" s="6" t="b">
        <v>0</v>
      </c>
      <c r="DN14" s="3">
        <f>IF(AND($I$13=TRUE,$I$14=FALSE),20,0)</f>
        <v>20</v>
      </c>
      <c r="DO14" s="3">
        <f>IF(OR(AND($I$13=TRUE,$I$14=TRUE),AND($I$13=FALSE,$I$14=TRUE)),25,0)</f>
        <v>0</v>
      </c>
      <c r="DP14" s="3">
        <f>IF(AND($DN$14=0,$DO$14=0),"Libre",0)</f>
        <v>0</v>
      </c>
      <c r="EE14" s="6" t="b">
        <v>0</v>
      </c>
      <c r="EF14" s="3" t="s">
        <v>248</v>
      </c>
    </row>
    <row r="15" spans="1:143" hidden="1" x14ac:dyDescent="0.3">
      <c r="F15" s="3" t="s">
        <v>40</v>
      </c>
      <c r="G15" s="12">
        <v>45</v>
      </c>
      <c r="H15" s="444" t="s">
        <v>525</v>
      </c>
    </row>
    <row r="16" spans="1:143" x14ac:dyDescent="0.3">
      <c r="A16" s="127"/>
      <c r="B16" s="127"/>
      <c r="C16" s="442"/>
      <c r="D16" s="232"/>
      <c r="E16" s="233"/>
      <c r="F16" s="128"/>
      <c r="G16" s="231"/>
      <c r="H16" s="445"/>
      <c r="I16" s="57"/>
      <c r="J16" s="233"/>
      <c r="K16" s="128"/>
      <c r="L16" s="232"/>
      <c r="M16" s="57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  <c r="CG16" s="56"/>
      <c r="CH16" s="56"/>
      <c r="CI16" s="56"/>
      <c r="CJ16" s="56"/>
      <c r="CK16" s="56"/>
      <c r="CL16" s="56"/>
      <c r="CM16" s="56"/>
      <c r="CN16" s="56"/>
      <c r="CO16" s="56"/>
      <c r="CP16" s="56"/>
      <c r="CQ16" s="56"/>
      <c r="CR16" s="56"/>
      <c r="CS16" s="56"/>
      <c r="CT16" s="56"/>
      <c r="CU16" s="56"/>
      <c r="CV16" s="56"/>
      <c r="CW16" s="56"/>
      <c r="CX16" s="56"/>
      <c r="CY16" s="56"/>
      <c r="CZ16" s="56"/>
      <c r="DA16" s="56"/>
      <c r="DB16" s="56"/>
      <c r="DC16" s="56"/>
      <c r="DD16" s="56"/>
      <c r="DE16" s="56"/>
      <c r="DF16" s="56"/>
      <c r="DG16" s="56"/>
      <c r="DH16" s="56"/>
      <c r="DI16" s="56"/>
      <c r="DJ16" s="56"/>
      <c r="DK16" s="126"/>
      <c r="DL16" s="128"/>
      <c r="DM16" s="232"/>
      <c r="DN16" s="234"/>
      <c r="DO16" s="234"/>
      <c r="DP16" s="234"/>
      <c r="DQ16" s="234"/>
      <c r="DR16" s="234"/>
      <c r="DS16" s="234"/>
      <c r="DT16" s="234"/>
      <c r="DU16" s="235">
        <f t="shared" ref="DU16:EA16" si="1">DU117</f>
        <v>0</v>
      </c>
      <c r="DV16" s="236">
        <f t="shared" si="1"/>
        <v>0</v>
      </c>
      <c r="DW16" s="237">
        <f t="shared" si="1"/>
        <v>0</v>
      </c>
      <c r="DX16" s="235">
        <f t="shared" si="1"/>
        <v>0</v>
      </c>
      <c r="DY16" s="236">
        <f t="shared" si="1"/>
        <v>0</v>
      </c>
      <c r="DZ16" s="236">
        <f t="shared" si="1"/>
        <v>0</v>
      </c>
      <c r="EA16" s="236">
        <f t="shared" si="1"/>
        <v>0</v>
      </c>
      <c r="EB16" s="238"/>
      <c r="EC16" s="236">
        <f>EC117</f>
        <v>0</v>
      </c>
      <c r="ED16" s="237">
        <f>ED117</f>
        <v>0</v>
      </c>
      <c r="EE16" s="233"/>
      <c r="EF16" s="3" t="s">
        <v>250</v>
      </c>
      <c r="EG16" s="3" t="s">
        <v>251</v>
      </c>
      <c r="EH16" s="3" t="s">
        <v>250</v>
      </c>
      <c r="EI16" s="3" t="s">
        <v>251</v>
      </c>
      <c r="EJ16" s="3" t="s">
        <v>250</v>
      </c>
      <c r="EK16" s="3" t="s">
        <v>251</v>
      </c>
      <c r="EL16" s="3" t="s">
        <v>250</v>
      </c>
      <c r="EM16" s="3" t="s">
        <v>251</v>
      </c>
    </row>
    <row r="17" spans="1:143" x14ac:dyDescent="0.3">
      <c r="A17" s="9">
        <v>1</v>
      </c>
      <c r="B17" s="15">
        <v>1</v>
      </c>
      <c r="C17" s="309"/>
      <c r="D17" s="309"/>
      <c r="E17" s="312"/>
      <c r="F17" s="313"/>
      <c r="G17" s="314"/>
      <c r="H17" s="446"/>
      <c r="I17" s="315"/>
      <c r="J17" s="312"/>
      <c r="K17" s="316"/>
      <c r="L17" s="317"/>
      <c r="M17" s="16">
        <f>IF(AND($J17&lt;&gt;0,$K17&lt;&gt;0,$L17&lt;&gt;0),$J17*$K17*$L17,0)</f>
        <v>0</v>
      </c>
      <c r="N17" s="17">
        <f>M17</f>
        <v>0</v>
      </c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 t="str">
        <f t="array" ref="DJ17:DJ116">TRANSPOSE($N$117:$DI$117)</f>
        <v/>
      </c>
      <c r="DK17" s="30" t="str">
        <f>IF(OR(J17="",K17="",L17=""),"",DJ17)</f>
        <v/>
      </c>
      <c r="DL17" s="27" t="str">
        <f t="shared" ref="DL17:DL48" si="2">IF(DK17="","",DK17/(0.3048^3))</f>
        <v/>
      </c>
      <c r="DM17" s="31" t="str">
        <f t="shared" ref="DM17:DM48" si="3">IF(OR($D17="",$DL17=""),"",IF(ISERROR(($DU17*60)/$DL17),0,($DU17*60)/$DL17))</f>
        <v/>
      </c>
      <c r="DN17" s="16">
        <f>IF(AND($I$13=TRUE,$I$14=FALSE),20,0)</f>
        <v>20</v>
      </c>
      <c r="DO17" s="16">
        <f>IF(OR(AND($I$13=TRUE,$I$14=TRUE),AND($I$13=FALSE,$I$14=TRUE)),25,0)</f>
        <v>0</v>
      </c>
      <c r="DP17" s="16">
        <f>IF(AND(D17&lt;&gt;0,I17&lt;&gt;0),$I17,0)</f>
        <v>0</v>
      </c>
      <c r="DQ17" s="16">
        <f>IF(AND(MAX($DN17:$DO17)&lt;&gt;0,$DP17&lt;&gt;0),$DP17,IF(AND(DN17=0,DO17=0),DP17,MAX(DN17:DO17)))</f>
        <v>20</v>
      </c>
      <c r="DR17" s="16" t="str">
        <f>IF(OR($D17="",$DL17="",ISERROR(($DQ17*60)/$DL17)),"",$DQ17)</f>
        <v/>
      </c>
      <c r="DS17" s="18" t="str">
        <f>IF(ISERROR(CEILING(($DR17*$DL17/60),Puertas!$S$4)),"",CEILING(($DR17*$DL17/60),Puertas!$S$4))</f>
        <v/>
      </c>
      <c r="DT17" s="18" t="str">
        <f t="shared" ref="DT17:DT48" si="4">IFERROR(EC17-DV17,"")</f>
        <v/>
      </c>
      <c r="DU17" s="104" t="str">
        <f t="shared" ref="DU17:DU48" si="5">IF(ISERROR(EC17-DV17),"",IF(EC17-DV17&gt;0,MAX(EC17-DV17,DS17),DS17))</f>
        <v/>
      </c>
      <c r="DV17" s="105" t="str">
        <f>IF(D17="","",SUMIF(Puertas!$K$15:$K$114,B17,Puertas!$U$15:$U$114)+SUMIF(Puertas!$O$15:$O$114,B17,Puertas!$W$15:$W$114))</f>
        <v/>
      </c>
      <c r="DW17" s="106" t="str">
        <f t="shared" ref="DW17:DW48" si="6">IF(AND(OR(DU17&lt;&gt;0,DV17&lt;&gt;0),DU17&lt;&gt;"",DV17&lt;&gt;""),SUM(DU17:DV17),"")</f>
        <v/>
      </c>
      <c r="DX17" s="104" t="str">
        <f>IF(D17="","",IF(ISERROR(EL17),"",EL17))</f>
        <v/>
      </c>
      <c r="DY17" s="105" t="str">
        <f>IF(D17="","",IF(ISERROR(EM17),"",EM17))</f>
        <v/>
      </c>
      <c r="DZ17" s="107"/>
      <c r="EA17" s="107"/>
      <c r="EB17" s="105" t="e">
        <f>ABS(IF(D17="","",SUMIF(Puertas!$K$15:$K$114,B17,Puertas!$V$15:$V$114)+SUMIF(Puertas!$O$15:$O$114,B17,Puertas!$X$15:$X$114)))</f>
        <v>#VALUE!</v>
      </c>
      <c r="EC17" s="105" t="str">
        <f>IF(ISERROR(EB17),"",EB17)</f>
        <v/>
      </c>
      <c r="ED17" s="106" t="str">
        <f>IF(AND(OR(DX17&lt;&gt;0,DY17&lt;&gt;0,DZ17&lt;&gt;0,EA17&lt;&gt;0,EC17&lt;&gt;0),DW17&lt;&gt;"",DX17&lt;&gt;"",DY17&lt;&gt;"",DZ17&lt;&gt;"",EA17&lt;&gt;"",EC17&lt;&gt;""),SUM(DX17:EA17)+EC17,"")</f>
        <v/>
      </c>
      <c r="EE17" s="41"/>
      <c r="EF17" s="6" t="b">
        <v>0</v>
      </c>
      <c r="EG17" s="6" t="b">
        <v>0</v>
      </c>
      <c r="EH17" s="5" t="e">
        <f>($DW17-$EC17-$DZ17-$EA17)*$EH$13</f>
        <v>#VALUE!</v>
      </c>
      <c r="EI17" s="5" t="e">
        <f>($DW17-$EC17-$DZ17-$EA17)*$EI$13</f>
        <v>#VALUE!</v>
      </c>
      <c r="EJ17" s="3">
        <f>IF($EF17=FALSE,0,IF(AND($EF17=TRUE,$EG17=FALSE),($DW17-$EC17-$DZ17-$EA17)*1,($DW17-$EC17-$DZ17-$EA17)*0.5))</f>
        <v>0</v>
      </c>
      <c r="EK17" s="3">
        <f>IF($EG17=FALSE,0,IF(AND($EG17=TRUE,$EF17=FALSE),($DW17-$EC17-$DZ17-$EA17)*1,($DW17-$EC17-$DZ17-$EA17)*0.5))</f>
        <v>0</v>
      </c>
      <c r="EL17" s="5" t="e">
        <f>IF(SUM($EJ17:$EK17)&lt;&gt;0,$EJ17,$EH17)</f>
        <v>#VALUE!</v>
      </c>
      <c r="EM17" s="5" t="e">
        <f>IF(SUM($EJ17:$EK17)&lt;&gt;0,$EK17,$EI17)</f>
        <v>#VALUE!</v>
      </c>
    </row>
    <row r="18" spans="1:143" x14ac:dyDescent="0.3">
      <c r="A18" s="1">
        <v>2</v>
      </c>
      <c r="B18" s="19">
        <v>2</v>
      </c>
      <c r="C18" s="310"/>
      <c r="D18" s="310"/>
      <c r="E18" s="318"/>
      <c r="F18" s="319"/>
      <c r="G18" s="320"/>
      <c r="H18" s="447"/>
      <c r="I18" s="321"/>
      <c r="J18" s="318"/>
      <c r="K18" s="322"/>
      <c r="L18" s="323"/>
      <c r="M18" s="20">
        <f t="shared" ref="M18:M81" si="7">IF(AND($J18&lt;&gt;0,$K18&lt;&gt;0,$L18&lt;&gt;0),$J18*$K18*$L18,0)</f>
        <v>0</v>
      </c>
      <c r="N18" s="21">
        <f t="shared" ref="N18:N56" si="8">IF($A18=$A$17,M18,0)</f>
        <v>0</v>
      </c>
      <c r="O18" s="21">
        <f>IF(N18&lt;&gt;0,0,IF(OR($A18=0,$A18=$A17),0,$M18))</f>
        <v>0</v>
      </c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 t="str">
        <v/>
      </c>
      <c r="DK18" s="32" t="str">
        <f t="shared" ref="DK18:DK81" si="9">IF(OR(J18="",K18="",L18=""),"",DJ18)</f>
        <v/>
      </c>
      <c r="DL18" s="28" t="str">
        <f t="shared" si="2"/>
        <v/>
      </c>
      <c r="DM18" s="33" t="str">
        <f t="shared" si="3"/>
        <v/>
      </c>
      <c r="DN18" s="20">
        <f t="shared" ref="DN18:DN81" si="10">IF(AND($I$13=TRUE,$I$14=FALSE),20,0)</f>
        <v>20</v>
      </c>
      <c r="DO18" s="20">
        <f t="shared" ref="DO18:DO81" si="11">IF(OR(AND($I$13=TRUE,$I$14=TRUE),AND($I$13=FALSE,$I$14=TRUE)),25,0)</f>
        <v>0</v>
      </c>
      <c r="DP18" s="20">
        <f t="shared" ref="DP18:DP81" si="12">IF(AND(D18&lt;&gt;0,I18&lt;&gt;0),$I18,0)</f>
        <v>0</v>
      </c>
      <c r="DQ18" s="20">
        <f t="shared" ref="DQ18:DQ81" si="13">IF(AND(MAX($DN18:$DO18)&lt;&gt;0,$DP18&lt;&gt;0),$DP18,IF(AND(DN18=0,DO18=0),DP18,MAX(DN18:DO18)))</f>
        <v>20</v>
      </c>
      <c r="DR18" s="20" t="str">
        <f t="shared" ref="DR18:DR81" si="14">IF(OR($D18="",$DL18="",ISERROR(($DQ18*60)/$DL18)),"",$DQ18)</f>
        <v/>
      </c>
      <c r="DS18" s="22" t="str">
        <f>IF(ISERROR(CEILING(($DQ18*$DL18/60),Puertas!$S$4)),"",CEILING(($DQ18*$DL18/60),Puertas!$S$4))</f>
        <v/>
      </c>
      <c r="DT18" s="22" t="str">
        <f t="shared" si="4"/>
        <v/>
      </c>
      <c r="DU18" s="108" t="str">
        <f t="shared" si="5"/>
        <v/>
      </c>
      <c r="DV18" s="109" t="str">
        <f>IF(D18="","",SUMIF(Puertas!$K$15:$K$114,B18,Puertas!$U$15:$U$114)+SUMIF(Puertas!$O$15:$O$114,B18,Puertas!$W$15:$W$114))</f>
        <v/>
      </c>
      <c r="DW18" s="110" t="str">
        <f t="shared" si="6"/>
        <v/>
      </c>
      <c r="DX18" s="108" t="str">
        <f t="shared" ref="DX18:DX81" si="15">IF(D18="","",IF(ISERROR(EL18),"",EL18))</f>
        <v/>
      </c>
      <c r="DY18" s="109" t="str">
        <f t="shared" ref="DY18:DY81" si="16">IF(D18="","",IF(ISERROR(EM18),"",EM18))</f>
        <v/>
      </c>
      <c r="DZ18" s="111"/>
      <c r="EA18" s="111"/>
      <c r="EB18" s="109" t="e">
        <f>ABS(IF(D18="","",SUMIF(Puertas!$K$15:$K$114,B18,Puertas!$V$15:$V$114)+SUMIF(Puertas!$O$15:$O$114,B18,Puertas!$X$15:$X$114)))</f>
        <v>#VALUE!</v>
      </c>
      <c r="EC18" s="109" t="str">
        <f t="shared" ref="EC18:EC81" si="17">IF(ISERROR(EB18),"",EB18)</f>
        <v/>
      </c>
      <c r="ED18" s="110" t="str">
        <f t="shared" ref="ED18:ED81" si="18">IF(AND(OR(DX18&lt;&gt;0,DY18&lt;&gt;0,DZ18&lt;&gt;0,EA18&lt;&gt;0,EC18&lt;&gt;0),DW18&lt;&gt;"",DX18&lt;&gt;"",DY18&lt;&gt;"",DZ18&lt;&gt;"",EA18&lt;&gt;"",EC18&lt;&gt;""),SUM(DX18:EA18)+EC18,"")</f>
        <v/>
      </c>
      <c r="EE18" s="42"/>
      <c r="EF18" s="6" t="b">
        <v>0</v>
      </c>
      <c r="EG18" s="6" t="b">
        <v>0</v>
      </c>
      <c r="EH18" s="5" t="e">
        <f t="shared" ref="EH18:EH81" si="19">($DW18-$EC18-$DZ18-$EA18)*$EH$13</f>
        <v>#VALUE!</v>
      </c>
      <c r="EI18" s="5" t="e">
        <f t="shared" ref="EI18:EI81" si="20">($DW18-$EC18-$DZ18-$EA18)*$EI$13</f>
        <v>#VALUE!</v>
      </c>
      <c r="EJ18" s="3">
        <f t="shared" ref="EJ18:EJ81" si="21">IF($EF18=FALSE,0,IF(AND($EF18=TRUE,$EG18=FALSE),($DW18-$EC18-$DZ18-$EA18)*1,($DW18-$EC18-$DZ18-$EA18)*0.5))</f>
        <v>0</v>
      </c>
      <c r="EK18" s="3">
        <f t="shared" ref="EK18:EK81" si="22">IF($EG18=FALSE,0,IF(AND($EG18=TRUE,$EF18=FALSE),($DW18-$EC18-$DZ18-$EA18)*1,($DW18-$EC18-$DZ18-$EA18)*0.5))</f>
        <v>0</v>
      </c>
      <c r="EL18" s="5" t="e">
        <f t="shared" ref="EL18:EL81" si="23">IF(SUM($EJ18:$EK18)&lt;&gt;0,$EJ18,$EH18)</f>
        <v>#VALUE!</v>
      </c>
      <c r="EM18" s="5" t="e">
        <f t="shared" ref="EM18:EM81" si="24">IF(SUM($EJ18:$EK18)&lt;&gt;0,$EK18,$EI18)</f>
        <v>#VALUE!</v>
      </c>
    </row>
    <row r="19" spans="1:143" x14ac:dyDescent="0.3">
      <c r="A19" s="1">
        <v>3</v>
      </c>
      <c r="B19" s="23">
        <v>3</v>
      </c>
      <c r="C19" s="311"/>
      <c r="D19" s="311"/>
      <c r="E19" s="324"/>
      <c r="F19" s="325"/>
      <c r="G19" s="326"/>
      <c r="H19" s="448"/>
      <c r="I19" s="327"/>
      <c r="J19" s="324"/>
      <c r="K19" s="328"/>
      <c r="L19" s="329"/>
      <c r="M19" s="24">
        <f t="shared" si="7"/>
        <v>0</v>
      </c>
      <c r="N19" s="25">
        <f t="shared" si="8"/>
        <v>0</v>
      </c>
      <c r="O19" s="25">
        <f t="shared" ref="O19:O50" si="25">IF($O$18=0,0,IF(AND($A19=$A18,$A19&lt;&gt;0,O18&lt;&gt;0),$M19,0))</f>
        <v>0</v>
      </c>
      <c r="P19" s="25">
        <f>IF(O19&lt;&gt;0,0,IF(OR($A19=0,$A19=$A18),0,$M19))</f>
        <v>0</v>
      </c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 t="str">
        <v/>
      </c>
      <c r="DK19" s="34" t="str">
        <f t="shared" si="9"/>
        <v/>
      </c>
      <c r="DL19" s="29" t="str">
        <f t="shared" si="2"/>
        <v/>
      </c>
      <c r="DM19" s="35" t="str">
        <f t="shared" si="3"/>
        <v/>
      </c>
      <c r="DN19" s="24">
        <f t="shared" si="10"/>
        <v>20</v>
      </c>
      <c r="DO19" s="24">
        <f t="shared" si="11"/>
        <v>0</v>
      </c>
      <c r="DP19" s="24">
        <f t="shared" si="12"/>
        <v>0</v>
      </c>
      <c r="DQ19" s="24">
        <f t="shared" si="13"/>
        <v>20</v>
      </c>
      <c r="DR19" s="24" t="str">
        <f t="shared" si="14"/>
        <v/>
      </c>
      <c r="DS19" s="26" t="str">
        <f>IF(ISERROR(CEILING(($DQ19*$DL19/60),Puertas!$S$4)),"",CEILING(($DQ19*$DL19/60),Puertas!$S$4))</f>
        <v/>
      </c>
      <c r="DT19" s="26" t="str">
        <f t="shared" si="4"/>
        <v/>
      </c>
      <c r="DU19" s="112" t="str">
        <f t="shared" si="5"/>
        <v/>
      </c>
      <c r="DV19" s="113" t="str">
        <f>IF(D19="","",SUMIF(Puertas!$K$15:$K$114,B19,Puertas!$U$15:$U$114)+SUMIF(Puertas!$O$15:$O$114,B19,Puertas!$W$15:$W$114))</f>
        <v/>
      </c>
      <c r="DW19" s="114" t="str">
        <f t="shared" si="6"/>
        <v/>
      </c>
      <c r="DX19" s="112" t="str">
        <f t="shared" si="15"/>
        <v/>
      </c>
      <c r="DY19" s="113" t="str">
        <f t="shared" si="16"/>
        <v/>
      </c>
      <c r="DZ19" s="115"/>
      <c r="EA19" s="115"/>
      <c r="EB19" s="113" t="e">
        <f>ABS(IF(D19="","",SUMIF(Puertas!$K$15:$K$114,B19,Puertas!$V$15:$V$114)+SUMIF(Puertas!$O$15:$O$114,B19,Puertas!$X$15:$X$114)))</f>
        <v>#VALUE!</v>
      </c>
      <c r="EC19" s="113" t="str">
        <f t="shared" si="17"/>
        <v/>
      </c>
      <c r="ED19" s="114" t="str">
        <f t="shared" si="18"/>
        <v/>
      </c>
      <c r="EE19" s="43"/>
      <c r="EF19" s="6" t="b">
        <v>0</v>
      </c>
      <c r="EG19" s="6" t="b">
        <v>0</v>
      </c>
      <c r="EH19" s="5" t="e">
        <f t="shared" si="19"/>
        <v>#VALUE!</v>
      </c>
      <c r="EI19" s="5" t="e">
        <f t="shared" si="20"/>
        <v>#VALUE!</v>
      </c>
      <c r="EJ19" s="3">
        <f t="shared" si="21"/>
        <v>0</v>
      </c>
      <c r="EK19" s="3">
        <f t="shared" si="22"/>
        <v>0</v>
      </c>
      <c r="EL19" s="5" t="e">
        <f t="shared" si="23"/>
        <v>#VALUE!</v>
      </c>
      <c r="EM19" s="5" t="e">
        <f t="shared" si="24"/>
        <v>#VALUE!</v>
      </c>
    </row>
    <row r="20" spans="1:143" x14ac:dyDescent="0.3">
      <c r="A20" s="1">
        <v>4</v>
      </c>
      <c r="B20" s="15">
        <v>4</v>
      </c>
      <c r="C20" s="309"/>
      <c r="D20" s="309"/>
      <c r="E20" s="312"/>
      <c r="F20" s="313"/>
      <c r="G20" s="314"/>
      <c r="H20" s="446"/>
      <c r="I20" s="315"/>
      <c r="J20" s="312"/>
      <c r="K20" s="316"/>
      <c r="L20" s="317"/>
      <c r="M20" s="16">
        <f t="shared" si="7"/>
        <v>0</v>
      </c>
      <c r="N20" s="17">
        <f t="shared" si="8"/>
        <v>0</v>
      </c>
      <c r="O20" s="17">
        <f t="shared" si="25"/>
        <v>0</v>
      </c>
      <c r="P20" s="17">
        <f t="shared" ref="P20:P51" si="26">IF($P$19=0,0,IF(AND($A20=$A19,$A20&lt;&gt;0,P19&lt;&gt;0),$M20,0))</f>
        <v>0</v>
      </c>
      <c r="Q20" s="17">
        <f>IF(P20&lt;&gt;0,0,IF(OR($A20=0,$A20=$A19),0,$M20))</f>
        <v>0</v>
      </c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 t="str">
        <v/>
      </c>
      <c r="DK20" s="30" t="str">
        <f t="shared" si="9"/>
        <v/>
      </c>
      <c r="DL20" s="27" t="str">
        <f t="shared" si="2"/>
        <v/>
      </c>
      <c r="DM20" s="31" t="str">
        <f t="shared" si="3"/>
        <v/>
      </c>
      <c r="DN20" s="16">
        <f t="shared" si="10"/>
        <v>20</v>
      </c>
      <c r="DO20" s="16">
        <f t="shared" si="11"/>
        <v>0</v>
      </c>
      <c r="DP20" s="16">
        <f t="shared" si="12"/>
        <v>0</v>
      </c>
      <c r="DQ20" s="16">
        <f t="shared" si="13"/>
        <v>20</v>
      </c>
      <c r="DR20" s="16" t="str">
        <f t="shared" si="14"/>
        <v/>
      </c>
      <c r="DS20" s="18" t="str">
        <f>IF(ISERROR(CEILING(($DQ20*$DL20/60),Puertas!$S$4)),"",CEILING(($DQ20*$DL20/60),Puertas!$S$4))</f>
        <v/>
      </c>
      <c r="DT20" s="18" t="str">
        <f t="shared" si="4"/>
        <v/>
      </c>
      <c r="DU20" s="104" t="str">
        <f t="shared" si="5"/>
        <v/>
      </c>
      <c r="DV20" s="105" t="str">
        <f>IF(D20="","",SUMIF(Puertas!$K$15:$K$114,B20,Puertas!$U$15:$U$114)+SUMIF(Puertas!$O$15:$O$114,B20,Puertas!$W$15:$W$114))</f>
        <v/>
      </c>
      <c r="DW20" s="106" t="str">
        <f t="shared" si="6"/>
        <v/>
      </c>
      <c r="DX20" s="104" t="str">
        <f t="shared" si="15"/>
        <v/>
      </c>
      <c r="DY20" s="105" t="str">
        <f t="shared" si="16"/>
        <v/>
      </c>
      <c r="DZ20" s="107"/>
      <c r="EA20" s="107"/>
      <c r="EB20" s="105" t="e">
        <f>ABS(IF(D20="","",SUMIF(Puertas!$K$15:$K$114,B20,Puertas!$V$15:$V$114)+SUMIF(Puertas!$O$15:$O$114,B20,Puertas!$X$15:$X$114)))</f>
        <v>#VALUE!</v>
      </c>
      <c r="EC20" s="105" t="str">
        <f t="shared" si="17"/>
        <v/>
      </c>
      <c r="ED20" s="106" t="str">
        <f t="shared" si="18"/>
        <v/>
      </c>
      <c r="EE20" s="41"/>
      <c r="EF20" s="6" t="b">
        <v>0</v>
      </c>
      <c r="EG20" s="6" t="b">
        <v>0</v>
      </c>
      <c r="EH20" s="5" t="e">
        <f t="shared" si="19"/>
        <v>#VALUE!</v>
      </c>
      <c r="EI20" s="5" t="e">
        <f t="shared" si="20"/>
        <v>#VALUE!</v>
      </c>
      <c r="EJ20" s="3">
        <f t="shared" si="21"/>
        <v>0</v>
      </c>
      <c r="EK20" s="3">
        <f t="shared" si="22"/>
        <v>0</v>
      </c>
      <c r="EL20" s="5" t="e">
        <f t="shared" si="23"/>
        <v>#VALUE!</v>
      </c>
      <c r="EM20" s="5" t="e">
        <f t="shared" si="24"/>
        <v>#VALUE!</v>
      </c>
    </row>
    <row r="21" spans="1:143" x14ac:dyDescent="0.3">
      <c r="A21" s="1">
        <v>5</v>
      </c>
      <c r="B21" s="19">
        <v>5</v>
      </c>
      <c r="C21" s="310"/>
      <c r="D21" s="310"/>
      <c r="E21" s="318"/>
      <c r="F21" s="319"/>
      <c r="G21" s="320"/>
      <c r="H21" s="447"/>
      <c r="I21" s="321"/>
      <c r="J21" s="318"/>
      <c r="K21" s="322"/>
      <c r="L21" s="323"/>
      <c r="M21" s="20">
        <f t="shared" si="7"/>
        <v>0</v>
      </c>
      <c r="N21" s="21">
        <f t="shared" si="8"/>
        <v>0</v>
      </c>
      <c r="O21" s="21">
        <f t="shared" si="25"/>
        <v>0</v>
      </c>
      <c r="P21" s="21">
        <f t="shared" si="26"/>
        <v>0</v>
      </c>
      <c r="Q21" s="21">
        <f t="shared" ref="Q21:Q52" si="27">IF($Q$20=0,0,IF(AND($A21=$A20,$A21&lt;&gt;0,Q20&lt;&gt;0),$M21,0))</f>
        <v>0</v>
      </c>
      <c r="R21" s="21">
        <f>IF(Q21&lt;&gt;0,0,IF(OR($A21=0,$A21=$A20),0,$M21))</f>
        <v>0</v>
      </c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 t="str">
        <v/>
      </c>
      <c r="DK21" s="32" t="str">
        <f t="shared" si="9"/>
        <v/>
      </c>
      <c r="DL21" s="28" t="str">
        <f t="shared" si="2"/>
        <v/>
      </c>
      <c r="DM21" s="33" t="str">
        <f t="shared" si="3"/>
        <v/>
      </c>
      <c r="DN21" s="20">
        <f t="shared" si="10"/>
        <v>20</v>
      </c>
      <c r="DO21" s="20">
        <f t="shared" si="11"/>
        <v>0</v>
      </c>
      <c r="DP21" s="20">
        <f t="shared" si="12"/>
        <v>0</v>
      </c>
      <c r="DQ21" s="20">
        <f t="shared" si="13"/>
        <v>20</v>
      </c>
      <c r="DR21" s="20" t="str">
        <f t="shared" si="14"/>
        <v/>
      </c>
      <c r="DS21" s="22" t="str">
        <f>IF(ISERROR(CEILING(($DQ21*$DL21/60),Puertas!$S$4)),"",CEILING(($DQ21*$DL21/60),Puertas!$S$4))</f>
        <v/>
      </c>
      <c r="DT21" s="22" t="str">
        <f t="shared" si="4"/>
        <v/>
      </c>
      <c r="DU21" s="108" t="str">
        <f t="shared" si="5"/>
        <v/>
      </c>
      <c r="DV21" s="109" t="str">
        <f>IF(D21="","",SUMIF(Puertas!$K$15:$K$114,B21,Puertas!$U$15:$U$114)+SUMIF(Puertas!$O$15:$O$114,B21,Puertas!$W$15:$W$114))</f>
        <v/>
      </c>
      <c r="DW21" s="110" t="str">
        <f>IF(AND(OR(DU21&lt;&gt;0,DV21&lt;&gt;0),DU21&lt;&gt;"",DV21&lt;&gt;""),SUM(DU21:DV21),"")</f>
        <v/>
      </c>
      <c r="DX21" s="108" t="str">
        <f t="shared" si="15"/>
        <v/>
      </c>
      <c r="DY21" s="109" t="str">
        <f t="shared" si="16"/>
        <v/>
      </c>
      <c r="DZ21" s="111"/>
      <c r="EA21" s="111"/>
      <c r="EB21" s="109" t="e">
        <f>ABS(IF(D21="","",SUMIF(Puertas!$K$15:$K$114,B21,Puertas!$V$15:$V$114)+SUMIF(Puertas!$O$15:$O$114,B21,Puertas!$X$15:$X$114)))</f>
        <v>#VALUE!</v>
      </c>
      <c r="EC21" s="109" t="str">
        <f t="shared" si="17"/>
        <v/>
      </c>
      <c r="ED21" s="110" t="str">
        <f t="shared" si="18"/>
        <v/>
      </c>
      <c r="EE21" s="42"/>
      <c r="EF21" s="6" t="b">
        <v>0</v>
      </c>
      <c r="EG21" s="6" t="b">
        <v>0</v>
      </c>
      <c r="EH21" s="5" t="e">
        <f t="shared" si="19"/>
        <v>#VALUE!</v>
      </c>
      <c r="EI21" s="5" t="e">
        <f t="shared" si="20"/>
        <v>#VALUE!</v>
      </c>
      <c r="EJ21" s="3">
        <f t="shared" si="21"/>
        <v>0</v>
      </c>
      <c r="EK21" s="3">
        <f t="shared" si="22"/>
        <v>0</v>
      </c>
      <c r="EL21" s="5" t="e">
        <f t="shared" si="23"/>
        <v>#VALUE!</v>
      </c>
      <c r="EM21" s="5" t="e">
        <f t="shared" si="24"/>
        <v>#VALUE!</v>
      </c>
    </row>
    <row r="22" spans="1:143" x14ac:dyDescent="0.3">
      <c r="A22" s="1">
        <v>6</v>
      </c>
      <c r="B22" s="23">
        <v>6</v>
      </c>
      <c r="C22" s="311"/>
      <c r="D22" s="311"/>
      <c r="E22" s="324"/>
      <c r="F22" s="325"/>
      <c r="G22" s="326"/>
      <c r="H22" s="448"/>
      <c r="I22" s="327"/>
      <c r="J22" s="324"/>
      <c r="K22" s="328"/>
      <c r="L22" s="329"/>
      <c r="M22" s="24">
        <f t="shared" si="7"/>
        <v>0</v>
      </c>
      <c r="N22" s="25">
        <f t="shared" si="8"/>
        <v>0</v>
      </c>
      <c r="O22" s="25">
        <f t="shared" si="25"/>
        <v>0</v>
      </c>
      <c r="P22" s="25">
        <f t="shared" si="26"/>
        <v>0</v>
      </c>
      <c r="Q22" s="25">
        <f t="shared" si="27"/>
        <v>0</v>
      </c>
      <c r="R22" s="25">
        <f t="shared" ref="R22:R53" si="28">IF($R$21=0,0,IF(AND($A22=$A21,$A22&lt;&gt;0,R21&lt;&gt;0),$M22,0))</f>
        <v>0</v>
      </c>
      <c r="S22" s="25">
        <f>IF(R22&lt;&gt;0,0,IF(OR($A22=0,$A22=$A21),0,$M22))</f>
        <v>0</v>
      </c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 t="str">
        <v/>
      </c>
      <c r="DK22" s="34" t="str">
        <f t="shared" si="9"/>
        <v/>
      </c>
      <c r="DL22" s="29" t="str">
        <f t="shared" si="2"/>
        <v/>
      </c>
      <c r="DM22" s="35" t="str">
        <f t="shared" si="3"/>
        <v/>
      </c>
      <c r="DN22" s="24">
        <f t="shared" si="10"/>
        <v>20</v>
      </c>
      <c r="DO22" s="24">
        <f t="shared" si="11"/>
        <v>0</v>
      </c>
      <c r="DP22" s="24">
        <f t="shared" si="12"/>
        <v>0</v>
      </c>
      <c r="DQ22" s="24">
        <f t="shared" si="13"/>
        <v>20</v>
      </c>
      <c r="DR22" s="24" t="str">
        <f t="shared" si="14"/>
        <v/>
      </c>
      <c r="DS22" s="26" t="str">
        <f>IF(ISERROR(CEILING(($DQ22*$DL22/60),Puertas!$S$4)),"",CEILING(($DQ22*$DL22/60),Puertas!$S$4))</f>
        <v/>
      </c>
      <c r="DT22" s="26" t="str">
        <f t="shared" si="4"/>
        <v/>
      </c>
      <c r="DU22" s="112" t="str">
        <f t="shared" si="5"/>
        <v/>
      </c>
      <c r="DV22" s="113" t="str">
        <f>IF(D22="","",SUMIF(Puertas!$K$15:$K$114,B22,Puertas!$U$15:$U$114)+SUMIF(Puertas!$O$15:$O$114,B22,Puertas!$W$15:$W$114))</f>
        <v/>
      </c>
      <c r="DW22" s="114" t="str">
        <f t="shared" si="6"/>
        <v/>
      </c>
      <c r="DX22" s="112" t="str">
        <f t="shared" si="15"/>
        <v/>
      </c>
      <c r="DY22" s="113" t="str">
        <f t="shared" si="16"/>
        <v/>
      </c>
      <c r="DZ22" s="115"/>
      <c r="EA22" s="115"/>
      <c r="EB22" s="113" t="e">
        <f>ABS(IF(D22="","",SUMIF(Puertas!$K$15:$K$114,B22,Puertas!$V$15:$V$114)+SUMIF(Puertas!$O$15:$O$114,B22,Puertas!$X$15:$X$114)))</f>
        <v>#VALUE!</v>
      </c>
      <c r="EC22" s="113" t="str">
        <f t="shared" si="17"/>
        <v/>
      </c>
      <c r="ED22" s="114" t="str">
        <f t="shared" si="18"/>
        <v/>
      </c>
      <c r="EE22" s="43"/>
      <c r="EF22" s="6" t="b">
        <v>0</v>
      </c>
      <c r="EG22" s="6" t="b">
        <v>0</v>
      </c>
      <c r="EH22" s="5" t="e">
        <f t="shared" si="19"/>
        <v>#VALUE!</v>
      </c>
      <c r="EI22" s="5" t="e">
        <f t="shared" si="20"/>
        <v>#VALUE!</v>
      </c>
      <c r="EJ22" s="3">
        <f t="shared" si="21"/>
        <v>0</v>
      </c>
      <c r="EK22" s="3">
        <f t="shared" si="22"/>
        <v>0</v>
      </c>
      <c r="EL22" s="5" t="e">
        <f t="shared" si="23"/>
        <v>#VALUE!</v>
      </c>
      <c r="EM22" s="5" t="e">
        <f t="shared" si="24"/>
        <v>#VALUE!</v>
      </c>
    </row>
    <row r="23" spans="1:143" x14ac:dyDescent="0.3">
      <c r="A23" s="1">
        <v>7</v>
      </c>
      <c r="B23" s="15">
        <v>7</v>
      </c>
      <c r="C23" s="309"/>
      <c r="D23" s="309"/>
      <c r="E23" s="312"/>
      <c r="F23" s="313"/>
      <c r="G23" s="314"/>
      <c r="H23" s="446"/>
      <c r="I23" s="315"/>
      <c r="J23" s="312"/>
      <c r="K23" s="316"/>
      <c r="L23" s="317"/>
      <c r="M23" s="16">
        <f t="shared" si="7"/>
        <v>0</v>
      </c>
      <c r="N23" s="17">
        <f t="shared" si="8"/>
        <v>0</v>
      </c>
      <c r="O23" s="17">
        <f t="shared" si="25"/>
        <v>0</v>
      </c>
      <c r="P23" s="17">
        <f t="shared" si="26"/>
        <v>0</v>
      </c>
      <c r="Q23" s="17">
        <f t="shared" si="27"/>
        <v>0</v>
      </c>
      <c r="R23" s="17">
        <f t="shared" si="28"/>
        <v>0</v>
      </c>
      <c r="S23" s="17">
        <f t="shared" ref="S23:S54" si="29">IF($S$22=0,0,IF(AND($A23=$A22,$A23&lt;&gt;0,S22&lt;&gt;0),$M23,0))</f>
        <v>0</v>
      </c>
      <c r="T23" s="17">
        <f>IF(S23&lt;&gt;0,0,IF(OR($A23=0,$A23=$A22),0,$M23))</f>
        <v>0</v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 t="str">
        <v/>
      </c>
      <c r="DK23" s="30" t="str">
        <f t="shared" si="9"/>
        <v/>
      </c>
      <c r="DL23" s="27" t="str">
        <f t="shared" si="2"/>
        <v/>
      </c>
      <c r="DM23" s="31" t="str">
        <f t="shared" si="3"/>
        <v/>
      </c>
      <c r="DN23" s="16">
        <f t="shared" si="10"/>
        <v>20</v>
      </c>
      <c r="DO23" s="16">
        <f t="shared" si="11"/>
        <v>0</v>
      </c>
      <c r="DP23" s="16">
        <f t="shared" si="12"/>
        <v>0</v>
      </c>
      <c r="DQ23" s="16">
        <f t="shared" si="13"/>
        <v>20</v>
      </c>
      <c r="DR23" s="16" t="str">
        <f t="shared" si="14"/>
        <v/>
      </c>
      <c r="DS23" s="18" t="str">
        <f>IF(ISERROR(CEILING(($DQ23*$DL23/60),Puertas!$S$4)),"",CEILING(($DQ23*$DL23/60),Puertas!$S$4))</f>
        <v/>
      </c>
      <c r="DT23" s="18" t="str">
        <f t="shared" si="4"/>
        <v/>
      </c>
      <c r="DU23" s="104" t="str">
        <f t="shared" si="5"/>
        <v/>
      </c>
      <c r="DV23" s="105" t="str">
        <f>IF(D23="","",SUMIF(Puertas!$K$15:$K$114,B23,Puertas!$U$15:$U$114)+SUMIF(Puertas!$O$15:$O$114,B23,Puertas!$W$15:$W$114))</f>
        <v/>
      </c>
      <c r="DW23" s="106" t="str">
        <f t="shared" si="6"/>
        <v/>
      </c>
      <c r="DX23" s="104" t="str">
        <f t="shared" si="15"/>
        <v/>
      </c>
      <c r="DY23" s="105" t="str">
        <f t="shared" si="16"/>
        <v/>
      </c>
      <c r="DZ23" s="107"/>
      <c r="EA23" s="107"/>
      <c r="EB23" s="105" t="e">
        <f>ABS(IF(D23="","",SUMIF(Puertas!$K$15:$K$114,B23,Puertas!$V$15:$V$114)+SUMIF(Puertas!$O$15:$O$114,B23,Puertas!$X$15:$X$114)))</f>
        <v>#VALUE!</v>
      </c>
      <c r="EC23" s="105" t="str">
        <f t="shared" si="17"/>
        <v/>
      </c>
      <c r="ED23" s="106" t="str">
        <f t="shared" si="18"/>
        <v/>
      </c>
      <c r="EE23" s="41"/>
      <c r="EF23" s="6" t="b">
        <v>0</v>
      </c>
      <c r="EG23" s="6" t="b">
        <v>0</v>
      </c>
      <c r="EH23" s="5" t="e">
        <f t="shared" si="19"/>
        <v>#VALUE!</v>
      </c>
      <c r="EI23" s="5" t="e">
        <f t="shared" si="20"/>
        <v>#VALUE!</v>
      </c>
      <c r="EJ23" s="3">
        <f t="shared" si="21"/>
        <v>0</v>
      </c>
      <c r="EK23" s="3">
        <f t="shared" si="22"/>
        <v>0</v>
      </c>
      <c r="EL23" s="5" t="e">
        <f t="shared" si="23"/>
        <v>#VALUE!</v>
      </c>
      <c r="EM23" s="5" t="e">
        <f t="shared" si="24"/>
        <v>#VALUE!</v>
      </c>
    </row>
    <row r="24" spans="1:143" x14ac:dyDescent="0.3">
      <c r="A24" s="1">
        <v>8</v>
      </c>
      <c r="B24" s="19">
        <v>8</v>
      </c>
      <c r="C24" s="310"/>
      <c r="D24" s="310"/>
      <c r="E24" s="318"/>
      <c r="F24" s="319"/>
      <c r="G24" s="320"/>
      <c r="H24" s="447"/>
      <c r="I24" s="321"/>
      <c r="J24" s="318"/>
      <c r="K24" s="322"/>
      <c r="L24" s="323"/>
      <c r="M24" s="20">
        <f t="shared" si="7"/>
        <v>0</v>
      </c>
      <c r="N24" s="21">
        <f t="shared" si="8"/>
        <v>0</v>
      </c>
      <c r="O24" s="21">
        <f t="shared" si="25"/>
        <v>0</v>
      </c>
      <c r="P24" s="21">
        <f t="shared" si="26"/>
        <v>0</v>
      </c>
      <c r="Q24" s="21">
        <f t="shared" si="27"/>
        <v>0</v>
      </c>
      <c r="R24" s="21">
        <f t="shared" si="28"/>
        <v>0</v>
      </c>
      <c r="S24" s="21">
        <f t="shared" si="29"/>
        <v>0</v>
      </c>
      <c r="T24" s="21">
        <f t="shared" ref="T24:T55" si="30">IF($T$23=0,0,IF(AND($A24=$A23,$A24&lt;&gt;0,T23&lt;&gt;0),$M24,0))</f>
        <v>0</v>
      </c>
      <c r="U24" s="21">
        <f>IF(T24&lt;&gt;0,0,IF(OR($A24=0,$A24=$A23),0,$M24))</f>
        <v>0</v>
      </c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 t="str">
        <v/>
      </c>
      <c r="DK24" s="32" t="str">
        <f t="shared" si="9"/>
        <v/>
      </c>
      <c r="DL24" s="28" t="str">
        <f t="shared" si="2"/>
        <v/>
      </c>
      <c r="DM24" s="33" t="str">
        <f t="shared" si="3"/>
        <v/>
      </c>
      <c r="DN24" s="20">
        <f t="shared" si="10"/>
        <v>20</v>
      </c>
      <c r="DO24" s="20">
        <f t="shared" si="11"/>
        <v>0</v>
      </c>
      <c r="DP24" s="20">
        <f t="shared" si="12"/>
        <v>0</v>
      </c>
      <c r="DQ24" s="20">
        <f t="shared" si="13"/>
        <v>20</v>
      </c>
      <c r="DR24" s="20" t="str">
        <f t="shared" si="14"/>
        <v/>
      </c>
      <c r="DS24" s="22" t="str">
        <f>IF(ISERROR(CEILING(($DQ24*$DL24/60),Puertas!$S$4)),"",CEILING(($DQ24*$DL24/60),Puertas!$S$4))</f>
        <v/>
      </c>
      <c r="DT24" s="22" t="str">
        <f t="shared" si="4"/>
        <v/>
      </c>
      <c r="DU24" s="108" t="str">
        <f t="shared" si="5"/>
        <v/>
      </c>
      <c r="DV24" s="109" t="str">
        <f>IF(D24="","",SUMIF(Puertas!$K$15:$K$114,B24,Puertas!$U$15:$U$114)+SUMIF(Puertas!$O$15:$O$114,B24,Puertas!$W$15:$W$114))</f>
        <v/>
      </c>
      <c r="DW24" s="110" t="str">
        <f t="shared" si="6"/>
        <v/>
      </c>
      <c r="DX24" s="108" t="str">
        <f t="shared" si="15"/>
        <v/>
      </c>
      <c r="DY24" s="109" t="str">
        <f t="shared" si="16"/>
        <v/>
      </c>
      <c r="DZ24" s="111"/>
      <c r="EA24" s="111"/>
      <c r="EB24" s="109" t="e">
        <f>ABS(IF(D24="","",SUMIF(Puertas!$K$15:$K$114,B24,Puertas!$V$15:$V$114)+SUMIF(Puertas!$O$15:$O$114,B24,Puertas!$X$15:$X$114)))</f>
        <v>#VALUE!</v>
      </c>
      <c r="EC24" s="109" t="str">
        <f t="shared" si="17"/>
        <v/>
      </c>
      <c r="ED24" s="110" t="str">
        <f t="shared" si="18"/>
        <v/>
      </c>
      <c r="EE24" s="42"/>
      <c r="EF24" s="6" t="b">
        <v>0</v>
      </c>
      <c r="EG24" s="6" t="b">
        <v>0</v>
      </c>
      <c r="EH24" s="5" t="e">
        <f t="shared" si="19"/>
        <v>#VALUE!</v>
      </c>
      <c r="EI24" s="5" t="e">
        <f t="shared" si="20"/>
        <v>#VALUE!</v>
      </c>
      <c r="EJ24" s="3">
        <f t="shared" si="21"/>
        <v>0</v>
      </c>
      <c r="EK24" s="3">
        <f t="shared" si="22"/>
        <v>0</v>
      </c>
      <c r="EL24" s="5" t="e">
        <f t="shared" si="23"/>
        <v>#VALUE!</v>
      </c>
      <c r="EM24" s="5" t="e">
        <f t="shared" si="24"/>
        <v>#VALUE!</v>
      </c>
    </row>
    <row r="25" spans="1:143" x14ac:dyDescent="0.3">
      <c r="A25" s="1">
        <v>9</v>
      </c>
      <c r="B25" s="23">
        <v>9</v>
      </c>
      <c r="C25" s="311"/>
      <c r="D25" s="311"/>
      <c r="E25" s="324"/>
      <c r="F25" s="325"/>
      <c r="G25" s="326"/>
      <c r="H25" s="448"/>
      <c r="I25" s="327"/>
      <c r="J25" s="324"/>
      <c r="K25" s="328"/>
      <c r="L25" s="329"/>
      <c r="M25" s="24">
        <f t="shared" si="7"/>
        <v>0</v>
      </c>
      <c r="N25" s="25">
        <f t="shared" si="8"/>
        <v>0</v>
      </c>
      <c r="O25" s="25">
        <f t="shared" si="25"/>
        <v>0</v>
      </c>
      <c r="P25" s="25">
        <f t="shared" si="26"/>
        <v>0</v>
      </c>
      <c r="Q25" s="25">
        <f t="shared" si="27"/>
        <v>0</v>
      </c>
      <c r="R25" s="25">
        <f t="shared" si="28"/>
        <v>0</v>
      </c>
      <c r="S25" s="25">
        <f t="shared" si="29"/>
        <v>0</v>
      </c>
      <c r="T25" s="25">
        <f t="shared" si="30"/>
        <v>0</v>
      </c>
      <c r="U25" s="25">
        <f t="shared" ref="U25:U56" si="31">IF($U$24=0,0,IF(AND($A25=$A24,$A25&lt;&gt;0,U24&lt;&gt;0),$M25,0))</f>
        <v>0</v>
      </c>
      <c r="V25" s="25">
        <f>IF(U25&lt;&gt;0,0,IF(OR($A25=0,$A25=$A24),0,$M25))</f>
        <v>0</v>
      </c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5"/>
      <c r="DJ25" s="25" t="str">
        <v/>
      </c>
      <c r="DK25" s="34" t="str">
        <f t="shared" si="9"/>
        <v/>
      </c>
      <c r="DL25" s="29" t="str">
        <f t="shared" si="2"/>
        <v/>
      </c>
      <c r="DM25" s="35" t="str">
        <f t="shared" si="3"/>
        <v/>
      </c>
      <c r="DN25" s="24">
        <f t="shared" si="10"/>
        <v>20</v>
      </c>
      <c r="DO25" s="24">
        <f t="shared" si="11"/>
        <v>0</v>
      </c>
      <c r="DP25" s="24">
        <f t="shared" si="12"/>
        <v>0</v>
      </c>
      <c r="DQ25" s="24">
        <f t="shared" si="13"/>
        <v>20</v>
      </c>
      <c r="DR25" s="24" t="str">
        <f t="shared" si="14"/>
        <v/>
      </c>
      <c r="DS25" s="26" t="str">
        <f>IF(ISERROR(CEILING(($DQ25*$DL25/60),Puertas!$S$4)),"",CEILING(($DQ25*$DL25/60),Puertas!$S$4))</f>
        <v/>
      </c>
      <c r="DT25" s="26" t="str">
        <f t="shared" si="4"/>
        <v/>
      </c>
      <c r="DU25" s="112" t="str">
        <f t="shared" si="5"/>
        <v/>
      </c>
      <c r="DV25" s="113" t="str">
        <f>IF(D25="","",SUMIF(Puertas!$K$15:$K$114,B25,Puertas!$U$15:$U$114)+SUMIF(Puertas!$O$15:$O$114,B25,Puertas!$W$15:$W$114))</f>
        <v/>
      </c>
      <c r="DW25" s="114" t="str">
        <f t="shared" si="6"/>
        <v/>
      </c>
      <c r="DX25" s="112" t="str">
        <f t="shared" si="15"/>
        <v/>
      </c>
      <c r="DY25" s="113" t="str">
        <f t="shared" si="16"/>
        <v/>
      </c>
      <c r="DZ25" s="115"/>
      <c r="EA25" s="115"/>
      <c r="EB25" s="113" t="e">
        <f>ABS(IF(D25="","",SUMIF(Puertas!$K$15:$K$114,B25,Puertas!$V$15:$V$114)+SUMIF(Puertas!$O$15:$O$114,B25,Puertas!$X$15:$X$114)))</f>
        <v>#VALUE!</v>
      </c>
      <c r="EC25" s="113" t="str">
        <f t="shared" si="17"/>
        <v/>
      </c>
      <c r="ED25" s="114" t="str">
        <f t="shared" si="18"/>
        <v/>
      </c>
      <c r="EE25" s="43"/>
      <c r="EF25" s="6" t="b">
        <v>0</v>
      </c>
      <c r="EG25" s="6" t="b">
        <v>0</v>
      </c>
      <c r="EH25" s="5" t="e">
        <f t="shared" si="19"/>
        <v>#VALUE!</v>
      </c>
      <c r="EI25" s="5" t="e">
        <f t="shared" si="20"/>
        <v>#VALUE!</v>
      </c>
      <c r="EJ25" s="3">
        <f t="shared" si="21"/>
        <v>0</v>
      </c>
      <c r="EK25" s="3">
        <f t="shared" si="22"/>
        <v>0</v>
      </c>
      <c r="EL25" s="5" t="e">
        <f t="shared" si="23"/>
        <v>#VALUE!</v>
      </c>
      <c r="EM25" s="5" t="e">
        <f t="shared" si="24"/>
        <v>#VALUE!</v>
      </c>
    </row>
    <row r="26" spans="1:143" x14ac:dyDescent="0.3">
      <c r="A26" s="1">
        <v>10</v>
      </c>
      <c r="B26" s="15">
        <v>10</v>
      </c>
      <c r="C26" s="309"/>
      <c r="D26" s="309"/>
      <c r="E26" s="312"/>
      <c r="F26" s="313"/>
      <c r="G26" s="314"/>
      <c r="H26" s="446"/>
      <c r="I26" s="315"/>
      <c r="J26" s="312"/>
      <c r="K26" s="316"/>
      <c r="L26" s="317"/>
      <c r="M26" s="16">
        <f t="shared" si="7"/>
        <v>0</v>
      </c>
      <c r="N26" s="17">
        <f t="shared" si="8"/>
        <v>0</v>
      </c>
      <c r="O26" s="17">
        <f t="shared" si="25"/>
        <v>0</v>
      </c>
      <c r="P26" s="17">
        <f t="shared" si="26"/>
        <v>0</v>
      </c>
      <c r="Q26" s="17">
        <f t="shared" si="27"/>
        <v>0</v>
      </c>
      <c r="R26" s="17">
        <f t="shared" si="28"/>
        <v>0</v>
      </c>
      <c r="S26" s="17">
        <f t="shared" si="29"/>
        <v>0</v>
      </c>
      <c r="T26" s="17">
        <f t="shared" si="30"/>
        <v>0</v>
      </c>
      <c r="U26" s="17">
        <f t="shared" si="31"/>
        <v>0</v>
      </c>
      <c r="V26" s="17">
        <f t="shared" ref="V26:V57" si="32">IF($V$25=0,0,IF(AND($A26=$A25,$A26&lt;&gt;0,V25&lt;&gt;0),$M26,0))</f>
        <v>0</v>
      </c>
      <c r="W26" s="17">
        <f>IF(V26&lt;&gt;0,0,IF(OR($A26=0,$A26=$A25),0,$M26))</f>
        <v>0</v>
      </c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 t="str">
        <v/>
      </c>
      <c r="DK26" s="30" t="str">
        <f t="shared" si="9"/>
        <v/>
      </c>
      <c r="DL26" s="27" t="str">
        <f t="shared" si="2"/>
        <v/>
      </c>
      <c r="DM26" s="31" t="str">
        <f t="shared" si="3"/>
        <v/>
      </c>
      <c r="DN26" s="16">
        <f t="shared" si="10"/>
        <v>20</v>
      </c>
      <c r="DO26" s="16">
        <f t="shared" si="11"/>
        <v>0</v>
      </c>
      <c r="DP26" s="16">
        <f t="shared" si="12"/>
        <v>0</v>
      </c>
      <c r="DQ26" s="16">
        <f t="shared" si="13"/>
        <v>20</v>
      </c>
      <c r="DR26" s="16" t="str">
        <f t="shared" si="14"/>
        <v/>
      </c>
      <c r="DS26" s="18" t="str">
        <f>IF(ISERROR(CEILING(($DQ26*$DL26/60),Puertas!$S$4)),"",CEILING(($DQ26*$DL26/60),Puertas!$S$4))</f>
        <v/>
      </c>
      <c r="DT26" s="18" t="str">
        <f t="shared" si="4"/>
        <v/>
      </c>
      <c r="DU26" s="104" t="str">
        <f t="shared" si="5"/>
        <v/>
      </c>
      <c r="DV26" s="105" t="str">
        <f>IF(D26="","",SUMIF(Puertas!$K$15:$K$114,B26,Puertas!$U$15:$U$114)+SUMIF(Puertas!$O$15:$O$114,B26,Puertas!$W$15:$W$114))</f>
        <v/>
      </c>
      <c r="DW26" s="106" t="str">
        <f t="shared" si="6"/>
        <v/>
      </c>
      <c r="DX26" s="104" t="str">
        <f t="shared" si="15"/>
        <v/>
      </c>
      <c r="DY26" s="105" t="str">
        <f t="shared" si="16"/>
        <v/>
      </c>
      <c r="DZ26" s="107"/>
      <c r="EA26" s="107"/>
      <c r="EB26" s="105" t="e">
        <f>ABS(IF(D26="","",SUMIF(Puertas!$K$15:$K$114,B26,Puertas!$V$15:$V$114)+SUMIF(Puertas!$O$15:$O$114,B26,Puertas!$X$15:$X$114)))</f>
        <v>#VALUE!</v>
      </c>
      <c r="EC26" s="105" t="str">
        <f t="shared" si="17"/>
        <v/>
      </c>
      <c r="ED26" s="106" t="str">
        <f t="shared" si="18"/>
        <v/>
      </c>
      <c r="EE26" s="41"/>
      <c r="EF26" s="6" t="b">
        <v>0</v>
      </c>
      <c r="EG26" s="6" t="b">
        <v>0</v>
      </c>
      <c r="EH26" s="5" t="e">
        <f t="shared" si="19"/>
        <v>#VALUE!</v>
      </c>
      <c r="EI26" s="5" t="e">
        <f t="shared" si="20"/>
        <v>#VALUE!</v>
      </c>
      <c r="EJ26" s="3">
        <f t="shared" si="21"/>
        <v>0</v>
      </c>
      <c r="EK26" s="3">
        <f t="shared" si="22"/>
        <v>0</v>
      </c>
      <c r="EL26" s="5" t="e">
        <f t="shared" si="23"/>
        <v>#VALUE!</v>
      </c>
      <c r="EM26" s="5" t="e">
        <f t="shared" si="24"/>
        <v>#VALUE!</v>
      </c>
    </row>
    <row r="27" spans="1:143" x14ac:dyDescent="0.3">
      <c r="A27" s="1">
        <v>11</v>
      </c>
      <c r="B27" s="19">
        <v>11</v>
      </c>
      <c r="C27" s="310"/>
      <c r="D27" s="310"/>
      <c r="E27" s="318"/>
      <c r="F27" s="330"/>
      <c r="G27" s="320"/>
      <c r="H27" s="447"/>
      <c r="I27" s="321"/>
      <c r="J27" s="318"/>
      <c r="K27" s="322"/>
      <c r="L27" s="323"/>
      <c r="M27" s="20">
        <f t="shared" si="7"/>
        <v>0</v>
      </c>
      <c r="N27" s="21">
        <f t="shared" si="8"/>
        <v>0</v>
      </c>
      <c r="O27" s="21">
        <f t="shared" si="25"/>
        <v>0</v>
      </c>
      <c r="P27" s="21">
        <f t="shared" si="26"/>
        <v>0</v>
      </c>
      <c r="Q27" s="21">
        <f t="shared" si="27"/>
        <v>0</v>
      </c>
      <c r="R27" s="21">
        <f t="shared" si="28"/>
        <v>0</v>
      </c>
      <c r="S27" s="21">
        <f t="shared" si="29"/>
        <v>0</v>
      </c>
      <c r="T27" s="21">
        <f t="shared" si="30"/>
        <v>0</v>
      </c>
      <c r="U27" s="21">
        <f t="shared" si="31"/>
        <v>0</v>
      </c>
      <c r="V27" s="21">
        <f t="shared" si="32"/>
        <v>0</v>
      </c>
      <c r="W27" s="21">
        <f t="shared" ref="W27:W58" si="33">IF($W$26=0,0,IF(AND($A27=$A26,$A27&lt;&gt;0,W26&lt;&gt;0),$M27,0))</f>
        <v>0</v>
      </c>
      <c r="X27" s="21">
        <f>IF(W27&lt;&gt;0,0,IF(OR($A27=0,$A27=$A26),0,$M27))</f>
        <v>0</v>
      </c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 t="str">
        <v/>
      </c>
      <c r="DK27" s="32" t="str">
        <f t="shared" si="9"/>
        <v/>
      </c>
      <c r="DL27" s="28" t="str">
        <f t="shared" si="2"/>
        <v/>
      </c>
      <c r="DM27" s="33" t="str">
        <f t="shared" si="3"/>
        <v/>
      </c>
      <c r="DN27" s="20">
        <f t="shared" si="10"/>
        <v>20</v>
      </c>
      <c r="DO27" s="20">
        <f t="shared" si="11"/>
        <v>0</v>
      </c>
      <c r="DP27" s="20">
        <f t="shared" si="12"/>
        <v>0</v>
      </c>
      <c r="DQ27" s="20">
        <f t="shared" si="13"/>
        <v>20</v>
      </c>
      <c r="DR27" s="20" t="str">
        <f t="shared" si="14"/>
        <v/>
      </c>
      <c r="DS27" s="22" t="str">
        <f>IF(ISERROR(CEILING(($DQ27*$DL27/60),Puertas!$S$4)),"",CEILING(($DQ27*$DL27/60),Puertas!$S$4))</f>
        <v/>
      </c>
      <c r="DT27" s="22" t="str">
        <f t="shared" si="4"/>
        <v/>
      </c>
      <c r="DU27" s="108" t="str">
        <f t="shared" si="5"/>
        <v/>
      </c>
      <c r="DV27" s="109" t="str">
        <f>IF(D27="","",SUMIF(Puertas!$K$15:$K$114,B27,Puertas!$U$15:$U$114)+SUMIF(Puertas!$O$15:$O$114,B27,Puertas!$W$15:$W$114))</f>
        <v/>
      </c>
      <c r="DW27" s="110" t="str">
        <f t="shared" si="6"/>
        <v/>
      </c>
      <c r="DX27" s="108" t="str">
        <f t="shared" si="15"/>
        <v/>
      </c>
      <c r="DY27" s="109" t="str">
        <f t="shared" si="16"/>
        <v/>
      </c>
      <c r="DZ27" s="111"/>
      <c r="EA27" s="111"/>
      <c r="EB27" s="109" t="e">
        <f>ABS(IF(D27="","",SUMIF(Puertas!$K$15:$K$114,B27,Puertas!$V$15:$V$114)+SUMIF(Puertas!$O$15:$O$114,B27,Puertas!$X$15:$X$114)))</f>
        <v>#VALUE!</v>
      </c>
      <c r="EC27" s="109" t="str">
        <f t="shared" si="17"/>
        <v/>
      </c>
      <c r="ED27" s="110" t="str">
        <f t="shared" si="18"/>
        <v/>
      </c>
      <c r="EE27" s="42"/>
      <c r="EF27" s="6" t="b">
        <v>0</v>
      </c>
      <c r="EG27" s="6" t="b">
        <v>0</v>
      </c>
      <c r="EH27" s="5" t="e">
        <f t="shared" si="19"/>
        <v>#VALUE!</v>
      </c>
      <c r="EI27" s="5" t="e">
        <f t="shared" si="20"/>
        <v>#VALUE!</v>
      </c>
      <c r="EJ27" s="3">
        <f t="shared" si="21"/>
        <v>0</v>
      </c>
      <c r="EK27" s="3">
        <f t="shared" si="22"/>
        <v>0</v>
      </c>
      <c r="EL27" s="5" t="e">
        <f t="shared" si="23"/>
        <v>#VALUE!</v>
      </c>
      <c r="EM27" s="5" t="e">
        <f t="shared" si="24"/>
        <v>#VALUE!</v>
      </c>
    </row>
    <row r="28" spans="1:143" x14ac:dyDescent="0.3">
      <c r="A28" s="1">
        <v>12</v>
      </c>
      <c r="B28" s="23">
        <v>12</v>
      </c>
      <c r="C28" s="311"/>
      <c r="D28" s="311"/>
      <c r="E28" s="324"/>
      <c r="F28" s="331"/>
      <c r="G28" s="326"/>
      <c r="H28" s="448"/>
      <c r="I28" s="327"/>
      <c r="J28" s="324"/>
      <c r="K28" s="328"/>
      <c r="L28" s="329"/>
      <c r="M28" s="24">
        <f t="shared" si="7"/>
        <v>0</v>
      </c>
      <c r="N28" s="25">
        <f t="shared" si="8"/>
        <v>0</v>
      </c>
      <c r="O28" s="25">
        <f t="shared" si="25"/>
        <v>0</v>
      </c>
      <c r="P28" s="25">
        <f t="shared" si="26"/>
        <v>0</v>
      </c>
      <c r="Q28" s="25">
        <f t="shared" si="27"/>
        <v>0</v>
      </c>
      <c r="R28" s="25">
        <f t="shared" si="28"/>
        <v>0</v>
      </c>
      <c r="S28" s="25">
        <f t="shared" si="29"/>
        <v>0</v>
      </c>
      <c r="T28" s="25">
        <f t="shared" si="30"/>
        <v>0</v>
      </c>
      <c r="U28" s="25">
        <f t="shared" si="31"/>
        <v>0</v>
      </c>
      <c r="V28" s="25">
        <f t="shared" si="32"/>
        <v>0</v>
      </c>
      <c r="W28" s="25">
        <f t="shared" si="33"/>
        <v>0</v>
      </c>
      <c r="X28" s="25">
        <f t="shared" ref="X28:X59" si="34">IF($X$27=0,0,IF(AND($A28=$A27,$A28&lt;&gt;0,X27&lt;&gt;0),$M28,0))</f>
        <v>0</v>
      </c>
      <c r="Y28" s="25">
        <f>IF(X28&lt;&gt;0,0,IF(OR($A28=0,$A28=$A27),0,$M28))</f>
        <v>0</v>
      </c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 t="str">
        <v/>
      </c>
      <c r="DK28" s="34" t="str">
        <f t="shared" si="9"/>
        <v/>
      </c>
      <c r="DL28" s="29" t="str">
        <f t="shared" si="2"/>
        <v/>
      </c>
      <c r="DM28" s="35" t="str">
        <f t="shared" si="3"/>
        <v/>
      </c>
      <c r="DN28" s="24">
        <f t="shared" si="10"/>
        <v>20</v>
      </c>
      <c r="DO28" s="24">
        <f t="shared" si="11"/>
        <v>0</v>
      </c>
      <c r="DP28" s="24">
        <f t="shared" si="12"/>
        <v>0</v>
      </c>
      <c r="DQ28" s="24">
        <f t="shared" si="13"/>
        <v>20</v>
      </c>
      <c r="DR28" s="24" t="str">
        <f t="shared" si="14"/>
        <v/>
      </c>
      <c r="DS28" s="26" t="str">
        <f>IF(ISERROR(CEILING(($DQ28*$DL28/60),Puertas!$S$4)),"",CEILING(($DQ28*$DL28/60),Puertas!$S$4))</f>
        <v/>
      </c>
      <c r="DT28" s="26" t="str">
        <f t="shared" si="4"/>
        <v/>
      </c>
      <c r="DU28" s="112" t="str">
        <f t="shared" si="5"/>
        <v/>
      </c>
      <c r="DV28" s="113" t="str">
        <f>IF(D28="","",SUMIF(Puertas!$K$15:$K$114,B28,Puertas!$U$15:$U$114)+SUMIF(Puertas!$O$15:$O$114,B28,Puertas!$W$15:$W$114))</f>
        <v/>
      </c>
      <c r="DW28" s="114" t="str">
        <f t="shared" si="6"/>
        <v/>
      </c>
      <c r="DX28" s="112" t="str">
        <f t="shared" si="15"/>
        <v/>
      </c>
      <c r="DY28" s="113" t="str">
        <f t="shared" si="16"/>
        <v/>
      </c>
      <c r="DZ28" s="115"/>
      <c r="EA28" s="115"/>
      <c r="EB28" s="113" t="e">
        <f>ABS(IF(D28="","",SUMIF(Puertas!$K$15:$K$114,B28,Puertas!$V$15:$V$114)+SUMIF(Puertas!$O$15:$O$114,B28,Puertas!$X$15:$X$114)))</f>
        <v>#VALUE!</v>
      </c>
      <c r="EC28" s="113" t="str">
        <f t="shared" si="17"/>
        <v/>
      </c>
      <c r="ED28" s="114" t="str">
        <f t="shared" si="18"/>
        <v/>
      </c>
      <c r="EE28" s="43"/>
      <c r="EF28" s="6" t="b">
        <v>0</v>
      </c>
      <c r="EG28" s="6" t="b">
        <v>0</v>
      </c>
      <c r="EH28" s="5" t="e">
        <f t="shared" si="19"/>
        <v>#VALUE!</v>
      </c>
      <c r="EI28" s="5" t="e">
        <f t="shared" si="20"/>
        <v>#VALUE!</v>
      </c>
      <c r="EJ28" s="3">
        <f t="shared" si="21"/>
        <v>0</v>
      </c>
      <c r="EK28" s="3">
        <f t="shared" si="22"/>
        <v>0</v>
      </c>
      <c r="EL28" s="5" t="e">
        <f t="shared" si="23"/>
        <v>#VALUE!</v>
      </c>
      <c r="EM28" s="5" t="e">
        <f t="shared" si="24"/>
        <v>#VALUE!</v>
      </c>
    </row>
    <row r="29" spans="1:143" x14ac:dyDescent="0.3">
      <c r="A29" s="1">
        <v>13</v>
      </c>
      <c r="B29" s="15">
        <v>13</v>
      </c>
      <c r="C29" s="309"/>
      <c r="D29" s="309"/>
      <c r="E29" s="312"/>
      <c r="F29" s="332"/>
      <c r="G29" s="314"/>
      <c r="H29" s="446"/>
      <c r="I29" s="315"/>
      <c r="J29" s="312"/>
      <c r="K29" s="316"/>
      <c r="L29" s="317"/>
      <c r="M29" s="16">
        <f t="shared" si="7"/>
        <v>0</v>
      </c>
      <c r="N29" s="17">
        <f t="shared" si="8"/>
        <v>0</v>
      </c>
      <c r="O29" s="17">
        <f t="shared" si="25"/>
        <v>0</v>
      </c>
      <c r="P29" s="17">
        <f t="shared" si="26"/>
        <v>0</v>
      </c>
      <c r="Q29" s="17">
        <f t="shared" si="27"/>
        <v>0</v>
      </c>
      <c r="R29" s="17">
        <f t="shared" si="28"/>
        <v>0</v>
      </c>
      <c r="S29" s="17">
        <f t="shared" si="29"/>
        <v>0</v>
      </c>
      <c r="T29" s="17">
        <f t="shared" si="30"/>
        <v>0</v>
      </c>
      <c r="U29" s="17">
        <f t="shared" si="31"/>
        <v>0</v>
      </c>
      <c r="V29" s="17">
        <f t="shared" si="32"/>
        <v>0</v>
      </c>
      <c r="W29" s="17">
        <f t="shared" si="33"/>
        <v>0</v>
      </c>
      <c r="X29" s="17">
        <f t="shared" si="34"/>
        <v>0</v>
      </c>
      <c r="Y29" s="17">
        <f t="shared" ref="Y29:Y60" si="35">IF($Y$28=0,0,IF(AND($A29=$A28,$A29&lt;&gt;0,Y28&lt;&gt;0),$M29,0))</f>
        <v>0</v>
      </c>
      <c r="Z29" s="17">
        <f>IF(Y29&lt;&gt;0,0,IF(OR($A29=0,$A29=$A28),0,$M29))</f>
        <v>0</v>
      </c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  <c r="BX29" s="17"/>
      <c r="BY29" s="17"/>
      <c r="BZ29" s="17"/>
      <c r="CA29" s="17"/>
      <c r="CB29" s="17"/>
      <c r="CC29" s="17"/>
      <c r="CD29" s="17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17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17" t="str">
        <v/>
      </c>
      <c r="DK29" s="30" t="str">
        <f t="shared" si="9"/>
        <v/>
      </c>
      <c r="DL29" s="27" t="str">
        <f t="shared" si="2"/>
        <v/>
      </c>
      <c r="DM29" s="31" t="str">
        <f t="shared" si="3"/>
        <v/>
      </c>
      <c r="DN29" s="16">
        <f t="shared" si="10"/>
        <v>20</v>
      </c>
      <c r="DO29" s="16">
        <f t="shared" si="11"/>
        <v>0</v>
      </c>
      <c r="DP29" s="16">
        <f t="shared" si="12"/>
        <v>0</v>
      </c>
      <c r="DQ29" s="16">
        <f t="shared" si="13"/>
        <v>20</v>
      </c>
      <c r="DR29" s="16" t="str">
        <f t="shared" si="14"/>
        <v/>
      </c>
      <c r="DS29" s="18" t="str">
        <f>IF(ISERROR(CEILING(($DQ29*$DL29/60),Puertas!$S$4)),"",CEILING(($DQ29*$DL29/60),Puertas!$S$4))</f>
        <v/>
      </c>
      <c r="DT29" s="18" t="str">
        <f t="shared" si="4"/>
        <v/>
      </c>
      <c r="DU29" s="104" t="str">
        <f t="shared" si="5"/>
        <v/>
      </c>
      <c r="DV29" s="105" t="str">
        <f>IF(D29="","",SUMIF(Puertas!$K$15:$K$114,B29,Puertas!$U$15:$U$114)+SUMIF(Puertas!$O$15:$O$114,B29,Puertas!$W$15:$W$114))</f>
        <v/>
      </c>
      <c r="DW29" s="106" t="str">
        <f t="shared" si="6"/>
        <v/>
      </c>
      <c r="DX29" s="104" t="str">
        <f t="shared" si="15"/>
        <v/>
      </c>
      <c r="DY29" s="105" t="str">
        <f t="shared" si="16"/>
        <v/>
      </c>
      <c r="DZ29" s="107"/>
      <c r="EA29" s="107"/>
      <c r="EB29" s="105" t="e">
        <f>ABS(IF(D29="","",SUMIF(Puertas!$K$15:$K$114,B29,Puertas!$V$15:$V$114)+SUMIF(Puertas!$O$15:$O$114,B29,Puertas!$X$15:$X$114)))</f>
        <v>#VALUE!</v>
      </c>
      <c r="EC29" s="105" t="str">
        <f t="shared" si="17"/>
        <v/>
      </c>
      <c r="ED29" s="106" t="str">
        <f t="shared" si="18"/>
        <v/>
      </c>
      <c r="EE29" s="41"/>
      <c r="EF29" s="6" t="b">
        <v>0</v>
      </c>
      <c r="EG29" s="6" t="b">
        <v>0</v>
      </c>
      <c r="EH29" s="5" t="e">
        <f t="shared" si="19"/>
        <v>#VALUE!</v>
      </c>
      <c r="EI29" s="5" t="e">
        <f t="shared" si="20"/>
        <v>#VALUE!</v>
      </c>
      <c r="EJ29" s="3">
        <f t="shared" si="21"/>
        <v>0</v>
      </c>
      <c r="EK29" s="3">
        <f t="shared" si="22"/>
        <v>0</v>
      </c>
      <c r="EL29" s="5" t="e">
        <f t="shared" si="23"/>
        <v>#VALUE!</v>
      </c>
      <c r="EM29" s="5" t="e">
        <f t="shared" si="24"/>
        <v>#VALUE!</v>
      </c>
    </row>
    <row r="30" spans="1:143" x14ac:dyDescent="0.3">
      <c r="A30" s="1">
        <v>14</v>
      </c>
      <c r="B30" s="19">
        <v>14</v>
      </c>
      <c r="C30" s="310"/>
      <c r="D30" s="310"/>
      <c r="E30" s="318"/>
      <c r="F30" s="330"/>
      <c r="G30" s="320"/>
      <c r="H30" s="447"/>
      <c r="I30" s="321"/>
      <c r="J30" s="318"/>
      <c r="K30" s="322"/>
      <c r="L30" s="323"/>
      <c r="M30" s="20">
        <f t="shared" si="7"/>
        <v>0</v>
      </c>
      <c r="N30" s="21">
        <f t="shared" si="8"/>
        <v>0</v>
      </c>
      <c r="O30" s="21">
        <f t="shared" si="25"/>
        <v>0</v>
      </c>
      <c r="P30" s="21">
        <f t="shared" si="26"/>
        <v>0</v>
      </c>
      <c r="Q30" s="21">
        <f t="shared" si="27"/>
        <v>0</v>
      </c>
      <c r="R30" s="21">
        <f t="shared" si="28"/>
        <v>0</v>
      </c>
      <c r="S30" s="21">
        <f t="shared" si="29"/>
        <v>0</v>
      </c>
      <c r="T30" s="21">
        <f t="shared" si="30"/>
        <v>0</v>
      </c>
      <c r="U30" s="21">
        <f t="shared" si="31"/>
        <v>0</v>
      </c>
      <c r="V30" s="21">
        <f t="shared" si="32"/>
        <v>0</v>
      </c>
      <c r="W30" s="21">
        <f t="shared" si="33"/>
        <v>0</v>
      </c>
      <c r="X30" s="21">
        <f t="shared" si="34"/>
        <v>0</v>
      </c>
      <c r="Y30" s="21">
        <f t="shared" si="35"/>
        <v>0</v>
      </c>
      <c r="Z30" s="21">
        <f t="shared" ref="Z30:Z61" si="36">IF($Z$29=0,0,IF(AND($A30=$A29,$A30&lt;&gt;0,Z29&lt;&gt;0),$M30,0))</f>
        <v>0</v>
      </c>
      <c r="AA30" s="21">
        <f>IF(Z30&lt;&gt;0,0,IF(OR($A30=0,$A30=$A29),0,$M30))</f>
        <v>0</v>
      </c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  <c r="CD30" s="21"/>
      <c r="CE30" s="21"/>
      <c r="CF30" s="21"/>
      <c r="CG30" s="21"/>
      <c r="CH30" s="21"/>
      <c r="CI30" s="21"/>
      <c r="CJ30" s="21"/>
      <c r="CK30" s="21"/>
      <c r="CL30" s="21"/>
      <c r="CM30" s="21"/>
      <c r="CN30" s="21"/>
      <c r="CO30" s="21"/>
      <c r="CP30" s="21"/>
      <c r="CQ30" s="21"/>
      <c r="CR30" s="21"/>
      <c r="CS30" s="21"/>
      <c r="CT30" s="21"/>
      <c r="CU30" s="21"/>
      <c r="CV30" s="21"/>
      <c r="CW30" s="21"/>
      <c r="CX30" s="21"/>
      <c r="CY30" s="21"/>
      <c r="CZ30" s="21"/>
      <c r="DA30" s="21"/>
      <c r="DB30" s="21"/>
      <c r="DC30" s="21"/>
      <c r="DD30" s="21"/>
      <c r="DE30" s="21"/>
      <c r="DF30" s="21"/>
      <c r="DG30" s="21"/>
      <c r="DH30" s="21"/>
      <c r="DI30" s="21"/>
      <c r="DJ30" s="21" t="str">
        <v/>
      </c>
      <c r="DK30" s="32" t="str">
        <f t="shared" si="9"/>
        <v/>
      </c>
      <c r="DL30" s="28" t="str">
        <f t="shared" si="2"/>
        <v/>
      </c>
      <c r="DM30" s="33" t="str">
        <f t="shared" si="3"/>
        <v/>
      </c>
      <c r="DN30" s="20">
        <f t="shared" si="10"/>
        <v>20</v>
      </c>
      <c r="DO30" s="20">
        <f t="shared" si="11"/>
        <v>0</v>
      </c>
      <c r="DP30" s="20">
        <f t="shared" si="12"/>
        <v>0</v>
      </c>
      <c r="DQ30" s="20">
        <f t="shared" si="13"/>
        <v>20</v>
      </c>
      <c r="DR30" s="20" t="str">
        <f t="shared" si="14"/>
        <v/>
      </c>
      <c r="DS30" s="22" t="str">
        <f>IF(ISERROR(CEILING(($DQ30*$DL30/60),Puertas!$S$4)),"",CEILING(($DQ30*$DL30/60),Puertas!$S$4))</f>
        <v/>
      </c>
      <c r="DT30" s="22" t="str">
        <f t="shared" si="4"/>
        <v/>
      </c>
      <c r="DU30" s="108" t="str">
        <f t="shared" si="5"/>
        <v/>
      </c>
      <c r="DV30" s="109" t="str">
        <f>IF(D30="","",SUMIF(Puertas!$K$15:$K$114,B30,Puertas!$U$15:$U$114)+SUMIF(Puertas!$O$15:$O$114,B30,Puertas!$W$15:$W$114))</f>
        <v/>
      </c>
      <c r="DW30" s="110" t="str">
        <f t="shared" si="6"/>
        <v/>
      </c>
      <c r="DX30" s="108" t="str">
        <f t="shared" si="15"/>
        <v/>
      </c>
      <c r="DY30" s="109" t="str">
        <f t="shared" si="16"/>
        <v/>
      </c>
      <c r="DZ30" s="111"/>
      <c r="EA30" s="111"/>
      <c r="EB30" s="109" t="e">
        <f>ABS(IF(D30="","",SUMIF(Puertas!$K$15:$K$114,B30,Puertas!$V$15:$V$114)+SUMIF(Puertas!$O$15:$O$114,B30,Puertas!$X$15:$X$114)))</f>
        <v>#VALUE!</v>
      </c>
      <c r="EC30" s="109" t="str">
        <f t="shared" si="17"/>
        <v/>
      </c>
      <c r="ED30" s="110" t="str">
        <f t="shared" si="18"/>
        <v/>
      </c>
      <c r="EE30" s="42"/>
      <c r="EF30" s="6" t="b">
        <v>0</v>
      </c>
      <c r="EG30" s="6" t="b">
        <v>0</v>
      </c>
      <c r="EH30" s="5" t="e">
        <f t="shared" si="19"/>
        <v>#VALUE!</v>
      </c>
      <c r="EI30" s="5" t="e">
        <f t="shared" si="20"/>
        <v>#VALUE!</v>
      </c>
      <c r="EJ30" s="3">
        <f t="shared" si="21"/>
        <v>0</v>
      </c>
      <c r="EK30" s="3">
        <f t="shared" si="22"/>
        <v>0</v>
      </c>
      <c r="EL30" s="5" t="e">
        <f t="shared" si="23"/>
        <v>#VALUE!</v>
      </c>
      <c r="EM30" s="5" t="e">
        <f t="shared" si="24"/>
        <v>#VALUE!</v>
      </c>
    </row>
    <row r="31" spans="1:143" x14ac:dyDescent="0.3">
      <c r="A31" s="1">
        <v>15</v>
      </c>
      <c r="B31" s="23">
        <v>15</v>
      </c>
      <c r="C31" s="311"/>
      <c r="D31" s="311"/>
      <c r="E31" s="324"/>
      <c r="F31" s="331"/>
      <c r="G31" s="326"/>
      <c r="H31" s="448"/>
      <c r="I31" s="327"/>
      <c r="J31" s="324"/>
      <c r="K31" s="328"/>
      <c r="L31" s="329"/>
      <c r="M31" s="24">
        <f t="shared" si="7"/>
        <v>0</v>
      </c>
      <c r="N31" s="25">
        <f t="shared" si="8"/>
        <v>0</v>
      </c>
      <c r="O31" s="25">
        <f t="shared" si="25"/>
        <v>0</v>
      </c>
      <c r="P31" s="25">
        <f t="shared" si="26"/>
        <v>0</v>
      </c>
      <c r="Q31" s="25">
        <f t="shared" si="27"/>
        <v>0</v>
      </c>
      <c r="R31" s="25">
        <f t="shared" si="28"/>
        <v>0</v>
      </c>
      <c r="S31" s="25">
        <f t="shared" si="29"/>
        <v>0</v>
      </c>
      <c r="T31" s="25">
        <f t="shared" si="30"/>
        <v>0</v>
      </c>
      <c r="U31" s="25">
        <f t="shared" si="31"/>
        <v>0</v>
      </c>
      <c r="V31" s="25">
        <f t="shared" si="32"/>
        <v>0</v>
      </c>
      <c r="W31" s="25">
        <f t="shared" si="33"/>
        <v>0</v>
      </c>
      <c r="X31" s="25">
        <f t="shared" si="34"/>
        <v>0</v>
      </c>
      <c r="Y31" s="25">
        <f t="shared" si="35"/>
        <v>0</v>
      </c>
      <c r="Z31" s="25">
        <f t="shared" si="36"/>
        <v>0</v>
      </c>
      <c r="AA31" s="25">
        <f t="shared" ref="AA31:AA62" si="37">IF($AA$30=0,0,IF(AND($A31=$A30,$A31&lt;&gt;0,AA30&lt;&gt;0),$M31,0))</f>
        <v>0</v>
      </c>
      <c r="AB31" s="25">
        <f>IF(AA31&lt;&gt;0,0,IF(OR($A31=0,$A31=$A30),0,$M31))</f>
        <v>0</v>
      </c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 t="str">
        <v/>
      </c>
      <c r="DK31" s="34" t="str">
        <f t="shared" si="9"/>
        <v/>
      </c>
      <c r="DL31" s="29" t="str">
        <f t="shared" si="2"/>
        <v/>
      </c>
      <c r="DM31" s="35" t="str">
        <f t="shared" si="3"/>
        <v/>
      </c>
      <c r="DN31" s="24">
        <f t="shared" si="10"/>
        <v>20</v>
      </c>
      <c r="DO31" s="24">
        <f t="shared" si="11"/>
        <v>0</v>
      </c>
      <c r="DP31" s="24">
        <f t="shared" si="12"/>
        <v>0</v>
      </c>
      <c r="DQ31" s="24">
        <f t="shared" si="13"/>
        <v>20</v>
      </c>
      <c r="DR31" s="24" t="str">
        <f t="shared" si="14"/>
        <v/>
      </c>
      <c r="DS31" s="26" t="str">
        <f>IF(ISERROR(CEILING(($DQ31*$DL31/60),Puertas!$S$4)),"",CEILING(($DQ31*$DL31/60),Puertas!$S$4))</f>
        <v/>
      </c>
      <c r="DT31" s="26" t="str">
        <f t="shared" si="4"/>
        <v/>
      </c>
      <c r="DU31" s="112" t="str">
        <f t="shared" si="5"/>
        <v/>
      </c>
      <c r="DV31" s="113" t="str">
        <f>IF(D31="","",SUMIF(Puertas!$K$15:$K$114,B31,Puertas!$U$15:$U$114)+SUMIF(Puertas!$O$15:$O$114,B31,Puertas!$W$15:$W$114))</f>
        <v/>
      </c>
      <c r="DW31" s="114" t="str">
        <f t="shared" si="6"/>
        <v/>
      </c>
      <c r="DX31" s="112" t="str">
        <f t="shared" si="15"/>
        <v/>
      </c>
      <c r="DY31" s="113" t="str">
        <f t="shared" si="16"/>
        <v/>
      </c>
      <c r="DZ31" s="115"/>
      <c r="EA31" s="115"/>
      <c r="EB31" s="113" t="e">
        <f>ABS(IF(D31="","",SUMIF(Puertas!$K$15:$K$114,B31,Puertas!$V$15:$V$114)+SUMIF(Puertas!$O$15:$O$114,B31,Puertas!$X$15:$X$114)))</f>
        <v>#VALUE!</v>
      </c>
      <c r="EC31" s="113" t="str">
        <f t="shared" si="17"/>
        <v/>
      </c>
      <c r="ED31" s="114" t="str">
        <f t="shared" si="18"/>
        <v/>
      </c>
      <c r="EE31" s="43"/>
      <c r="EF31" s="6" t="b">
        <v>0</v>
      </c>
      <c r="EG31" s="6" t="b">
        <v>0</v>
      </c>
      <c r="EH31" s="5" t="e">
        <f t="shared" si="19"/>
        <v>#VALUE!</v>
      </c>
      <c r="EI31" s="5" t="e">
        <f t="shared" si="20"/>
        <v>#VALUE!</v>
      </c>
      <c r="EJ31" s="3">
        <f t="shared" si="21"/>
        <v>0</v>
      </c>
      <c r="EK31" s="3">
        <f t="shared" si="22"/>
        <v>0</v>
      </c>
      <c r="EL31" s="5" t="e">
        <f t="shared" si="23"/>
        <v>#VALUE!</v>
      </c>
      <c r="EM31" s="5" t="e">
        <f t="shared" si="24"/>
        <v>#VALUE!</v>
      </c>
    </row>
    <row r="32" spans="1:143" x14ac:dyDescent="0.3">
      <c r="A32" s="1">
        <v>16</v>
      </c>
      <c r="B32" s="15">
        <v>16</v>
      </c>
      <c r="C32" s="309"/>
      <c r="D32" s="309"/>
      <c r="E32" s="312"/>
      <c r="F32" s="332"/>
      <c r="G32" s="314"/>
      <c r="H32" s="446"/>
      <c r="I32" s="315"/>
      <c r="J32" s="312"/>
      <c r="K32" s="316"/>
      <c r="L32" s="317"/>
      <c r="M32" s="16">
        <f t="shared" si="7"/>
        <v>0</v>
      </c>
      <c r="N32" s="17">
        <f t="shared" si="8"/>
        <v>0</v>
      </c>
      <c r="O32" s="17">
        <f t="shared" si="25"/>
        <v>0</v>
      </c>
      <c r="P32" s="17">
        <f t="shared" si="26"/>
        <v>0</v>
      </c>
      <c r="Q32" s="17">
        <f t="shared" si="27"/>
        <v>0</v>
      </c>
      <c r="R32" s="17">
        <f t="shared" si="28"/>
        <v>0</v>
      </c>
      <c r="S32" s="17">
        <f t="shared" si="29"/>
        <v>0</v>
      </c>
      <c r="T32" s="17">
        <f t="shared" si="30"/>
        <v>0</v>
      </c>
      <c r="U32" s="17">
        <f t="shared" si="31"/>
        <v>0</v>
      </c>
      <c r="V32" s="17">
        <f t="shared" si="32"/>
        <v>0</v>
      </c>
      <c r="W32" s="17">
        <f t="shared" si="33"/>
        <v>0</v>
      </c>
      <c r="X32" s="17">
        <f t="shared" si="34"/>
        <v>0</v>
      </c>
      <c r="Y32" s="17">
        <f t="shared" si="35"/>
        <v>0</v>
      </c>
      <c r="Z32" s="17">
        <f t="shared" si="36"/>
        <v>0</v>
      </c>
      <c r="AA32" s="17">
        <f t="shared" si="37"/>
        <v>0</v>
      </c>
      <c r="AB32" s="17">
        <f t="shared" ref="AB32:AB63" si="38">IF($AB$31=0,0,IF(AND($A32=$A31,$A32&lt;&gt;0,AB31&lt;&gt;0),$M32,0))</f>
        <v>0</v>
      </c>
      <c r="AC32" s="17">
        <f>IF(AB32&lt;&gt;0,0,IF(OR($A32=0,$A32=$A31),0,$M32))</f>
        <v>0</v>
      </c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17" t="str">
        <v/>
      </c>
      <c r="DK32" s="30" t="str">
        <f t="shared" si="9"/>
        <v/>
      </c>
      <c r="DL32" s="27" t="str">
        <f t="shared" si="2"/>
        <v/>
      </c>
      <c r="DM32" s="31" t="str">
        <f t="shared" si="3"/>
        <v/>
      </c>
      <c r="DN32" s="16">
        <f t="shared" si="10"/>
        <v>20</v>
      </c>
      <c r="DO32" s="16">
        <f t="shared" si="11"/>
        <v>0</v>
      </c>
      <c r="DP32" s="16">
        <f t="shared" si="12"/>
        <v>0</v>
      </c>
      <c r="DQ32" s="16">
        <f t="shared" si="13"/>
        <v>20</v>
      </c>
      <c r="DR32" s="16" t="str">
        <f t="shared" si="14"/>
        <v/>
      </c>
      <c r="DS32" s="18" t="str">
        <f>IF(ISERROR(CEILING(($DQ32*$DL32/60),Puertas!$S$4)),"",CEILING(($DQ32*$DL32/60),Puertas!$S$4))</f>
        <v/>
      </c>
      <c r="DT32" s="18" t="str">
        <f t="shared" si="4"/>
        <v/>
      </c>
      <c r="DU32" s="104" t="str">
        <f t="shared" si="5"/>
        <v/>
      </c>
      <c r="DV32" s="105" t="str">
        <f>IF(D32="","",SUMIF(Puertas!$K$15:$K$114,B32,Puertas!$U$15:$U$114)+SUMIF(Puertas!$O$15:$O$114,B32,Puertas!$W$15:$W$114))</f>
        <v/>
      </c>
      <c r="DW32" s="106" t="str">
        <f t="shared" si="6"/>
        <v/>
      </c>
      <c r="DX32" s="104" t="str">
        <f t="shared" si="15"/>
        <v/>
      </c>
      <c r="DY32" s="105" t="str">
        <f t="shared" si="16"/>
        <v/>
      </c>
      <c r="DZ32" s="107"/>
      <c r="EA32" s="107"/>
      <c r="EB32" s="105" t="e">
        <f>ABS(IF(D32="","",SUMIF(Puertas!$K$15:$K$114,B32,Puertas!$V$15:$V$114)+SUMIF(Puertas!$O$15:$O$114,B32,Puertas!$X$15:$X$114)))</f>
        <v>#VALUE!</v>
      </c>
      <c r="EC32" s="105" t="str">
        <f t="shared" si="17"/>
        <v/>
      </c>
      <c r="ED32" s="106" t="str">
        <f t="shared" si="18"/>
        <v/>
      </c>
      <c r="EE32" s="41"/>
      <c r="EF32" s="6" t="b">
        <v>0</v>
      </c>
      <c r="EG32" s="6" t="b">
        <v>0</v>
      </c>
      <c r="EH32" s="5" t="e">
        <f t="shared" si="19"/>
        <v>#VALUE!</v>
      </c>
      <c r="EI32" s="5" t="e">
        <f t="shared" si="20"/>
        <v>#VALUE!</v>
      </c>
      <c r="EJ32" s="3">
        <f t="shared" si="21"/>
        <v>0</v>
      </c>
      <c r="EK32" s="3">
        <f t="shared" si="22"/>
        <v>0</v>
      </c>
      <c r="EL32" s="5" t="e">
        <f t="shared" si="23"/>
        <v>#VALUE!</v>
      </c>
      <c r="EM32" s="5" t="e">
        <f t="shared" si="24"/>
        <v>#VALUE!</v>
      </c>
    </row>
    <row r="33" spans="1:143" x14ac:dyDescent="0.3">
      <c r="A33" s="1">
        <v>17</v>
      </c>
      <c r="B33" s="19">
        <v>17</v>
      </c>
      <c r="C33" s="310"/>
      <c r="D33" s="310"/>
      <c r="E33" s="318"/>
      <c r="F33" s="330"/>
      <c r="G33" s="320"/>
      <c r="H33" s="447"/>
      <c r="I33" s="321"/>
      <c r="J33" s="318"/>
      <c r="K33" s="322"/>
      <c r="L33" s="323"/>
      <c r="M33" s="20">
        <f t="shared" si="7"/>
        <v>0</v>
      </c>
      <c r="N33" s="21">
        <f t="shared" si="8"/>
        <v>0</v>
      </c>
      <c r="O33" s="21">
        <f t="shared" si="25"/>
        <v>0</v>
      </c>
      <c r="P33" s="21">
        <f t="shared" si="26"/>
        <v>0</v>
      </c>
      <c r="Q33" s="21">
        <f t="shared" si="27"/>
        <v>0</v>
      </c>
      <c r="R33" s="21">
        <f t="shared" si="28"/>
        <v>0</v>
      </c>
      <c r="S33" s="21">
        <f t="shared" si="29"/>
        <v>0</v>
      </c>
      <c r="T33" s="21">
        <f t="shared" si="30"/>
        <v>0</v>
      </c>
      <c r="U33" s="21">
        <f t="shared" si="31"/>
        <v>0</v>
      </c>
      <c r="V33" s="21">
        <f t="shared" si="32"/>
        <v>0</v>
      </c>
      <c r="W33" s="21">
        <f t="shared" si="33"/>
        <v>0</v>
      </c>
      <c r="X33" s="21">
        <f t="shared" si="34"/>
        <v>0</v>
      </c>
      <c r="Y33" s="21">
        <f t="shared" si="35"/>
        <v>0</v>
      </c>
      <c r="Z33" s="21">
        <f t="shared" si="36"/>
        <v>0</v>
      </c>
      <c r="AA33" s="21">
        <f t="shared" si="37"/>
        <v>0</v>
      </c>
      <c r="AB33" s="21">
        <f t="shared" si="38"/>
        <v>0</v>
      </c>
      <c r="AC33" s="21">
        <f t="shared" ref="AC33:AC64" si="39">IF($AC$32=0,0,IF(AND($A33=$A32,$A33&lt;&gt;0,AC32&lt;&gt;0),$M33,0))</f>
        <v>0</v>
      </c>
      <c r="AD33" s="21">
        <f>IF(AC33&lt;&gt;0,0,IF(OR($A33=0,$A33=$A32),0,$M33))</f>
        <v>0</v>
      </c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 t="str">
        <v/>
      </c>
      <c r="DK33" s="32" t="str">
        <f t="shared" si="9"/>
        <v/>
      </c>
      <c r="DL33" s="28" t="str">
        <f t="shared" si="2"/>
        <v/>
      </c>
      <c r="DM33" s="33" t="str">
        <f t="shared" si="3"/>
        <v/>
      </c>
      <c r="DN33" s="20">
        <f t="shared" si="10"/>
        <v>20</v>
      </c>
      <c r="DO33" s="20">
        <f t="shared" si="11"/>
        <v>0</v>
      </c>
      <c r="DP33" s="20">
        <f t="shared" si="12"/>
        <v>0</v>
      </c>
      <c r="DQ33" s="20">
        <f t="shared" si="13"/>
        <v>20</v>
      </c>
      <c r="DR33" s="20" t="str">
        <f t="shared" si="14"/>
        <v/>
      </c>
      <c r="DS33" s="22" t="str">
        <f>IF(ISERROR(CEILING(($DQ33*$DL33/60),Puertas!$S$4)),"",CEILING(($DQ33*$DL33/60),Puertas!$S$4))</f>
        <v/>
      </c>
      <c r="DT33" s="22" t="str">
        <f t="shared" si="4"/>
        <v/>
      </c>
      <c r="DU33" s="108" t="str">
        <f t="shared" si="5"/>
        <v/>
      </c>
      <c r="DV33" s="109" t="str">
        <f>IF(D33="","",SUMIF(Puertas!$K$15:$K$114,B33,Puertas!$U$15:$U$114)+SUMIF(Puertas!$O$15:$O$114,B33,Puertas!$W$15:$W$114))</f>
        <v/>
      </c>
      <c r="DW33" s="110" t="str">
        <f t="shared" si="6"/>
        <v/>
      </c>
      <c r="DX33" s="108" t="str">
        <f t="shared" si="15"/>
        <v/>
      </c>
      <c r="DY33" s="109" t="str">
        <f t="shared" si="16"/>
        <v/>
      </c>
      <c r="DZ33" s="111"/>
      <c r="EA33" s="111"/>
      <c r="EB33" s="109" t="e">
        <f>ABS(IF(D33="","",SUMIF(Puertas!$K$15:$K$114,B33,Puertas!$V$15:$V$114)+SUMIF(Puertas!$O$15:$O$114,B33,Puertas!$X$15:$X$114)))</f>
        <v>#VALUE!</v>
      </c>
      <c r="EC33" s="109" t="str">
        <f t="shared" si="17"/>
        <v/>
      </c>
      <c r="ED33" s="110" t="str">
        <f t="shared" si="18"/>
        <v/>
      </c>
      <c r="EE33" s="42"/>
      <c r="EF33" s="6" t="b">
        <v>0</v>
      </c>
      <c r="EG33" s="6" t="b">
        <v>0</v>
      </c>
      <c r="EH33" s="5" t="e">
        <f t="shared" si="19"/>
        <v>#VALUE!</v>
      </c>
      <c r="EI33" s="5" t="e">
        <f t="shared" si="20"/>
        <v>#VALUE!</v>
      </c>
      <c r="EJ33" s="3">
        <f t="shared" si="21"/>
        <v>0</v>
      </c>
      <c r="EK33" s="3">
        <f t="shared" si="22"/>
        <v>0</v>
      </c>
      <c r="EL33" s="5" t="e">
        <f t="shared" si="23"/>
        <v>#VALUE!</v>
      </c>
      <c r="EM33" s="5" t="e">
        <f t="shared" si="24"/>
        <v>#VALUE!</v>
      </c>
    </row>
    <row r="34" spans="1:143" x14ac:dyDescent="0.3">
      <c r="A34" s="1">
        <v>18</v>
      </c>
      <c r="B34" s="23">
        <v>18</v>
      </c>
      <c r="C34" s="311"/>
      <c r="D34" s="311"/>
      <c r="E34" s="324"/>
      <c r="F34" s="331"/>
      <c r="G34" s="326"/>
      <c r="H34" s="448"/>
      <c r="I34" s="327"/>
      <c r="J34" s="324"/>
      <c r="K34" s="328"/>
      <c r="L34" s="329"/>
      <c r="M34" s="24">
        <f t="shared" si="7"/>
        <v>0</v>
      </c>
      <c r="N34" s="25">
        <f t="shared" si="8"/>
        <v>0</v>
      </c>
      <c r="O34" s="25">
        <f t="shared" si="25"/>
        <v>0</v>
      </c>
      <c r="P34" s="25">
        <f t="shared" si="26"/>
        <v>0</v>
      </c>
      <c r="Q34" s="25">
        <f t="shared" si="27"/>
        <v>0</v>
      </c>
      <c r="R34" s="25">
        <f t="shared" si="28"/>
        <v>0</v>
      </c>
      <c r="S34" s="25">
        <f t="shared" si="29"/>
        <v>0</v>
      </c>
      <c r="T34" s="25">
        <f t="shared" si="30"/>
        <v>0</v>
      </c>
      <c r="U34" s="25">
        <f t="shared" si="31"/>
        <v>0</v>
      </c>
      <c r="V34" s="25">
        <f t="shared" si="32"/>
        <v>0</v>
      </c>
      <c r="W34" s="25">
        <f t="shared" si="33"/>
        <v>0</v>
      </c>
      <c r="X34" s="25">
        <f t="shared" si="34"/>
        <v>0</v>
      </c>
      <c r="Y34" s="25">
        <f t="shared" si="35"/>
        <v>0</v>
      </c>
      <c r="Z34" s="25">
        <f t="shared" si="36"/>
        <v>0</v>
      </c>
      <c r="AA34" s="25">
        <f t="shared" si="37"/>
        <v>0</v>
      </c>
      <c r="AB34" s="25">
        <f t="shared" si="38"/>
        <v>0</v>
      </c>
      <c r="AC34" s="25">
        <f t="shared" si="39"/>
        <v>0</v>
      </c>
      <c r="AD34" s="25">
        <f t="shared" ref="AD34:AD65" si="40">IF($AD$33=0,0,IF(AND($A34=$A33,$A34&lt;&gt;0,AD33&lt;&gt;0),$M34,0))</f>
        <v>0</v>
      </c>
      <c r="AE34" s="25">
        <f>IF(AD34&lt;&gt;0,0,IF(OR($A34=0,$A34=$A33),0,$M34))</f>
        <v>0</v>
      </c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 t="str">
        <v/>
      </c>
      <c r="DK34" s="34" t="str">
        <f t="shared" si="9"/>
        <v/>
      </c>
      <c r="DL34" s="29" t="str">
        <f t="shared" si="2"/>
        <v/>
      </c>
      <c r="DM34" s="35" t="str">
        <f t="shared" si="3"/>
        <v/>
      </c>
      <c r="DN34" s="24">
        <f t="shared" si="10"/>
        <v>20</v>
      </c>
      <c r="DO34" s="24">
        <f t="shared" si="11"/>
        <v>0</v>
      </c>
      <c r="DP34" s="24">
        <f t="shared" si="12"/>
        <v>0</v>
      </c>
      <c r="DQ34" s="24">
        <f t="shared" si="13"/>
        <v>20</v>
      </c>
      <c r="DR34" s="24" t="str">
        <f t="shared" si="14"/>
        <v/>
      </c>
      <c r="DS34" s="26" t="str">
        <f>IF(ISERROR(CEILING(($DQ34*$DL34/60),Puertas!$S$4)),"",CEILING(($DQ34*$DL34/60),Puertas!$S$4))</f>
        <v/>
      </c>
      <c r="DT34" s="26" t="str">
        <f t="shared" si="4"/>
        <v/>
      </c>
      <c r="DU34" s="112" t="str">
        <f t="shared" si="5"/>
        <v/>
      </c>
      <c r="DV34" s="113" t="str">
        <f>IF(D34="","",SUMIF(Puertas!$K$15:$K$114,B34,Puertas!$U$15:$U$114)+SUMIF(Puertas!$O$15:$O$114,B34,Puertas!$W$15:$W$114))</f>
        <v/>
      </c>
      <c r="DW34" s="114" t="str">
        <f t="shared" si="6"/>
        <v/>
      </c>
      <c r="DX34" s="112" t="str">
        <f t="shared" si="15"/>
        <v/>
      </c>
      <c r="DY34" s="113" t="str">
        <f t="shared" si="16"/>
        <v/>
      </c>
      <c r="DZ34" s="115"/>
      <c r="EA34" s="115"/>
      <c r="EB34" s="113" t="e">
        <f>ABS(IF(D34="","",SUMIF(Puertas!$K$15:$K$114,B34,Puertas!$V$15:$V$114)+SUMIF(Puertas!$O$15:$O$114,B34,Puertas!$X$15:$X$114)))</f>
        <v>#VALUE!</v>
      </c>
      <c r="EC34" s="113" t="str">
        <f t="shared" si="17"/>
        <v/>
      </c>
      <c r="ED34" s="114" t="str">
        <f t="shared" si="18"/>
        <v/>
      </c>
      <c r="EE34" s="43"/>
      <c r="EF34" s="6" t="b">
        <v>0</v>
      </c>
      <c r="EG34" s="6" t="b">
        <v>0</v>
      </c>
      <c r="EH34" s="5" t="e">
        <f t="shared" si="19"/>
        <v>#VALUE!</v>
      </c>
      <c r="EI34" s="5" t="e">
        <f t="shared" si="20"/>
        <v>#VALUE!</v>
      </c>
      <c r="EJ34" s="3">
        <f t="shared" si="21"/>
        <v>0</v>
      </c>
      <c r="EK34" s="3">
        <f t="shared" si="22"/>
        <v>0</v>
      </c>
      <c r="EL34" s="5" t="e">
        <f t="shared" si="23"/>
        <v>#VALUE!</v>
      </c>
      <c r="EM34" s="5" t="e">
        <f t="shared" si="24"/>
        <v>#VALUE!</v>
      </c>
    </row>
    <row r="35" spans="1:143" x14ac:dyDescent="0.3">
      <c r="A35" s="1">
        <v>19</v>
      </c>
      <c r="B35" s="15">
        <v>19</v>
      </c>
      <c r="C35" s="309"/>
      <c r="D35" s="309"/>
      <c r="E35" s="312"/>
      <c r="F35" s="332"/>
      <c r="G35" s="314"/>
      <c r="H35" s="446"/>
      <c r="I35" s="315"/>
      <c r="J35" s="312"/>
      <c r="K35" s="316"/>
      <c r="L35" s="317"/>
      <c r="M35" s="16">
        <f t="shared" si="7"/>
        <v>0</v>
      </c>
      <c r="N35" s="17">
        <f t="shared" si="8"/>
        <v>0</v>
      </c>
      <c r="O35" s="17">
        <f t="shared" si="25"/>
        <v>0</v>
      </c>
      <c r="P35" s="17">
        <f t="shared" si="26"/>
        <v>0</v>
      </c>
      <c r="Q35" s="17">
        <f t="shared" si="27"/>
        <v>0</v>
      </c>
      <c r="R35" s="17">
        <f t="shared" si="28"/>
        <v>0</v>
      </c>
      <c r="S35" s="17">
        <f t="shared" si="29"/>
        <v>0</v>
      </c>
      <c r="T35" s="17">
        <f t="shared" si="30"/>
        <v>0</v>
      </c>
      <c r="U35" s="17">
        <f t="shared" si="31"/>
        <v>0</v>
      </c>
      <c r="V35" s="17">
        <f t="shared" si="32"/>
        <v>0</v>
      </c>
      <c r="W35" s="17">
        <f t="shared" si="33"/>
        <v>0</v>
      </c>
      <c r="X35" s="17">
        <f t="shared" si="34"/>
        <v>0</v>
      </c>
      <c r="Y35" s="17">
        <f t="shared" si="35"/>
        <v>0</v>
      </c>
      <c r="Z35" s="17">
        <f t="shared" si="36"/>
        <v>0</v>
      </c>
      <c r="AA35" s="17">
        <f t="shared" si="37"/>
        <v>0</v>
      </c>
      <c r="AB35" s="17">
        <f t="shared" si="38"/>
        <v>0</v>
      </c>
      <c r="AC35" s="17">
        <f t="shared" si="39"/>
        <v>0</v>
      </c>
      <c r="AD35" s="17">
        <f t="shared" si="40"/>
        <v>0</v>
      </c>
      <c r="AE35" s="17">
        <f t="shared" ref="AE35:AE66" si="41">IF($AE$34=0,0,IF(AND($A35=$A34,$A35&lt;&gt;0,AE34&lt;&gt;0),$M35,0))</f>
        <v>0</v>
      </c>
      <c r="AF35" s="17">
        <f>IF(AE35&lt;&gt;0,0,IF(OR($A35=0,$A35=$A34),0,$M35))</f>
        <v>0</v>
      </c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 t="str">
        <v/>
      </c>
      <c r="DK35" s="30" t="str">
        <f t="shared" si="9"/>
        <v/>
      </c>
      <c r="DL35" s="27" t="str">
        <f t="shared" si="2"/>
        <v/>
      </c>
      <c r="DM35" s="31" t="str">
        <f t="shared" si="3"/>
        <v/>
      </c>
      <c r="DN35" s="16">
        <f t="shared" si="10"/>
        <v>20</v>
      </c>
      <c r="DO35" s="16">
        <f t="shared" si="11"/>
        <v>0</v>
      </c>
      <c r="DP35" s="16">
        <f t="shared" si="12"/>
        <v>0</v>
      </c>
      <c r="DQ35" s="16">
        <f t="shared" si="13"/>
        <v>20</v>
      </c>
      <c r="DR35" s="16" t="str">
        <f t="shared" si="14"/>
        <v/>
      </c>
      <c r="DS35" s="18" t="str">
        <f>IF(ISERROR(CEILING(($DQ35*$DL35/60),Puertas!$S$4)),"",CEILING(($DQ35*$DL35/60),Puertas!$S$4))</f>
        <v/>
      </c>
      <c r="DT35" s="18" t="str">
        <f t="shared" si="4"/>
        <v/>
      </c>
      <c r="DU35" s="104" t="str">
        <f t="shared" si="5"/>
        <v/>
      </c>
      <c r="DV35" s="105" t="str">
        <f>IF(D35="","",SUMIF(Puertas!$K$15:$K$114,B35,Puertas!$U$15:$U$114)+SUMIF(Puertas!$O$15:$O$114,B35,Puertas!$W$15:$W$114))</f>
        <v/>
      </c>
      <c r="DW35" s="106" t="str">
        <f t="shared" si="6"/>
        <v/>
      </c>
      <c r="DX35" s="104" t="str">
        <f t="shared" si="15"/>
        <v/>
      </c>
      <c r="DY35" s="105" t="str">
        <f t="shared" si="16"/>
        <v/>
      </c>
      <c r="DZ35" s="107"/>
      <c r="EA35" s="107"/>
      <c r="EB35" s="105" t="e">
        <f>ABS(IF(D35="","",SUMIF(Puertas!$K$15:$K$114,B35,Puertas!$V$15:$V$114)+SUMIF(Puertas!$O$15:$O$114,B35,Puertas!$X$15:$X$114)))</f>
        <v>#VALUE!</v>
      </c>
      <c r="EC35" s="105" t="str">
        <f t="shared" si="17"/>
        <v/>
      </c>
      <c r="ED35" s="106" t="str">
        <f t="shared" si="18"/>
        <v/>
      </c>
      <c r="EE35" s="41"/>
      <c r="EF35" s="6" t="b">
        <v>0</v>
      </c>
      <c r="EG35" s="6" t="b">
        <v>0</v>
      </c>
      <c r="EH35" s="5" t="e">
        <f t="shared" si="19"/>
        <v>#VALUE!</v>
      </c>
      <c r="EI35" s="5" t="e">
        <f t="shared" si="20"/>
        <v>#VALUE!</v>
      </c>
      <c r="EJ35" s="3">
        <f t="shared" si="21"/>
        <v>0</v>
      </c>
      <c r="EK35" s="3">
        <f t="shared" si="22"/>
        <v>0</v>
      </c>
      <c r="EL35" s="5" t="e">
        <f t="shared" si="23"/>
        <v>#VALUE!</v>
      </c>
      <c r="EM35" s="5" t="e">
        <f t="shared" si="24"/>
        <v>#VALUE!</v>
      </c>
    </row>
    <row r="36" spans="1:143" x14ac:dyDescent="0.3">
      <c r="A36" s="1">
        <v>20</v>
      </c>
      <c r="B36" s="19">
        <v>20</v>
      </c>
      <c r="C36" s="310"/>
      <c r="D36" s="310"/>
      <c r="E36" s="318"/>
      <c r="F36" s="330"/>
      <c r="G36" s="320"/>
      <c r="H36" s="447"/>
      <c r="I36" s="321"/>
      <c r="J36" s="318"/>
      <c r="K36" s="322"/>
      <c r="L36" s="323"/>
      <c r="M36" s="20">
        <f t="shared" si="7"/>
        <v>0</v>
      </c>
      <c r="N36" s="21">
        <f t="shared" si="8"/>
        <v>0</v>
      </c>
      <c r="O36" s="21">
        <f t="shared" si="25"/>
        <v>0</v>
      </c>
      <c r="P36" s="21">
        <f t="shared" si="26"/>
        <v>0</v>
      </c>
      <c r="Q36" s="21">
        <f t="shared" si="27"/>
        <v>0</v>
      </c>
      <c r="R36" s="21">
        <f t="shared" si="28"/>
        <v>0</v>
      </c>
      <c r="S36" s="21">
        <f t="shared" si="29"/>
        <v>0</v>
      </c>
      <c r="T36" s="21">
        <f t="shared" si="30"/>
        <v>0</v>
      </c>
      <c r="U36" s="21">
        <f t="shared" si="31"/>
        <v>0</v>
      </c>
      <c r="V36" s="21">
        <f t="shared" si="32"/>
        <v>0</v>
      </c>
      <c r="W36" s="21">
        <f t="shared" si="33"/>
        <v>0</v>
      </c>
      <c r="X36" s="21">
        <f t="shared" si="34"/>
        <v>0</v>
      </c>
      <c r="Y36" s="21">
        <f t="shared" si="35"/>
        <v>0</v>
      </c>
      <c r="Z36" s="21">
        <f t="shared" si="36"/>
        <v>0</v>
      </c>
      <c r="AA36" s="21">
        <f t="shared" si="37"/>
        <v>0</v>
      </c>
      <c r="AB36" s="21">
        <f t="shared" si="38"/>
        <v>0</v>
      </c>
      <c r="AC36" s="21">
        <f t="shared" si="39"/>
        <v>0</v>
      </c>
      <c r="AD36" s="21">
        <f t="shared" si="40"/>
        <v>0</v>
      </c>
      <c r="AE36" s="21">
        <f t="shared" si="41"/>
        <v>0</v>
      </c>
      <c r="AF36" s="21">
        <f t="shared" ref="AF36:AF67" si="42">IF($AF$35=0,0,IF(AND($A36=$A35,$A36&lt;&gt;0,AF35&lt;&gt;0),$M36,0))</f>
        <v>0</v>
      </c>
      <c r="AG36" s="21">
        <f>IF(AF36&lt;&gt;0,0,IF(OR($A36=0,$A36=$A35),0,$M36))</f>
        <v>0</v>
      </c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 t="str">
        <v/>
      </c>
      <c r="DK36" s="32" t="str">
        <f t="shared" si="9"/>
        <v/>
      </c>
      <c r="DL36" s="28" t="str">
        <f t="shared" si="2"/>
        <v/>
      </c>
      <c r="DM36" s="33" t="str">
        <f t="shared" si="3"/>
        <v/>
      </c>
      <c r="DN36" s="20">
        <f t="shared" si="10"/>
        <v>20</v>
      </c>
      <c r="DO36" s="20">
        <f t="shared" si="11"/>
        <v>0</v>
      </c>
      <c r="DP36" s="20">
        <f t="shared" si="12"/>
        <v>0</v>
      </c>
      <c r="DQ36" s="20">
        <f t="shared" si="13"/>
        <v>20</v>
      </c>
      <c r="DR36" s="20" t="str">
        <f t="shared" si="14"/>
        <v/>
      </c>
      <c r="DS36" s="22" t="str">
        <f>IF(ISERROR(CEILING(($DQ36*$DL36/60),Puertas!$S$4)),"",CEILING(($DQ36*$DL36/60),Puertas!$S$4))</f>
        <v/>
      </c>
      <c r="DT36" s="22" t="str">
        <f t="shared" si="4"/>
        <v/>
      </c>
      <c r="DU36" s="108" t="str">
        <f t="shared" si="5"/>
        <v/>
      </c>
      <c r="DV36" s="109" t="str">
        <f>IF(D36="","",SUMIF(Puertas!$K$15:$K$114,B36,Puertas!$U$15:$U$114)+SUMIF(Puertas!$O$15:$O$114,B36,Puertas!$W$15:$W$114))</f>
        <v/>
      </c>
      <c r="DW36" s="110" t="str">
        <f t="shared" si="6"/>
        <v/>
      </c>
      <c r="DX36" s="108" t="str">
        <f t="shared" si="15"/>
        <v/>
      </c>
      <c r="DY36" s="109" t="str">
        <f t="shared" si="16"/>
        <v/>
      </c>
      <c r="DZ36" s="111"/>
      <c r="EA36" s="111"/>
      <c r="EB36" s="109" t="e">
        <f>ABS(IF(D36="","",SUMIF(Puertas!$K$15:$K$114,B36,Puertas!$V$15:$V$114)+SUMIF(Puertas!$O$15:$O$114,B36,Puertas!$X$15:$X$114)))</f>
        <v>#VALUE!</v>
      </c>
      <c r="EC36" s="109" t="str">
        <f t="shared" si="17"/>
        <v/>
      </c>
      <c r="ED36" s="110" t="str">
        <f t="shared" si="18"/>
        <v/>
      </c>
      <c r="EE36" s="42"/>
      <c r="EF36" s="6" t="b">
        <v>0</v>
      </c>
      <c r="EG36" s="6" t="b">
        <v>0</v>
      </c>
      <c r="EH36" s="5" t="e">
        <f t="shared" si="19"/>
        <v>#VALUE!</v>
      </c>
      <c r="EI36" s="5" t="e">
        <f t="shared" si="20"/>
        <v>#VALUE!</v>
      </c>
      <c r="EJ36" s="3">
        <f t="shared" si="21"/>
        <v>0</v>
      </c>
      <c r="EK36" s="3">
        <f t="shared" si="22"/>
        <v>0</v>
      </c>
      <c r="EL36" s="5" t="e">
        <f t="shared" si="23"/>
        <v>#VALUE!</v>
      </c>
      <c r="EM36" s="5" t="e">
        <f t="shared" si="24"/>
        <v>#VALUE!</v>
      </c>
    </row>
    <row r="37" spans="1:143" x14ac:dyDescent="0.3">
      <c r="A37" s="1">
        <v>21</v>
      </c>
      <c r="B37" s="23">
        <v>21</v>
      </c>
      <c r="C37" s="311"/>
      <c r="D37" s="311"/>
      <c r="E37" s="324"/>
      <c r="F37" s="331"/>
      <c r="G37" s="326"/>
      <c r="H37" s="448"/>
      <c r="I37" s="327"/>
      <c r="J37" s="324"/>
      <c r="K37" s="328"/>
      <c r="L37" s="329"/>
      <c r="M37" s="24">
        <f t="shared" si="7"/>
        <v>0</v>
      </c>
      <c r="N37" s="25">
        <f t="shared" si="8"/>
        <v>0</v>
      </c>
      <c r="O37" s="25">
        <f t="shared" si="25"/>
        <v>0</v>
      </c>
      <c r="P37" s="25">
        <f t="shared" si="26"/>
        <v>0</v>
      </c>
      <c r="Q37" s="25">
        <f t="shared" si="27"/>
        <v>0</v>
      </c>
      <c r="R37" s="25">
        <f t="shared" si="28"/>
        <v>0</v>
      </c>
      <c r="S37" s="25">
        <f t="shared" si="29"/>
        <v>0</v>
      </c>
      <c r="T37" s="25">
        <f t="shared" si="30"/>
        <v>0</v>
      </c>
      <c r="U37" s="25">
        <f t="shared" si="31"/>
        <v>0</v>
      </c>
      <c r="V37" s="25">
        <f t="shared" si="32"/>
        <v>0</v>
      </c>
      <c r="W37" s="25">
        <f t="shared" si="33"/>
        <v>0</v>
      </c>
      <c r="X37" s="25">
        <f t="shared" si="34"/>
        <v>0</v>
      </c>
      <c r="Y37" s="25">
        <f t="shared" si="35"/>
        <v>0</v>
      </c>
      <c r="Z37" s="25">
        <f t="shared" si="36"/>
        <v>0</v>
      </c>
      <c r="AA37" s="25">
        <f t="shared" si="37"/>
        <v>0</v>
      </c>
      <c r="AB37" s="25">
        <f t="shared" si="38"/>
        <v>0</v>
      </c>
      <c r="AC37" s="25">
        <f t="shared" si="39"/>
        <v>0</v>
      </c>
      <c r="AD37" s="25">
        <f t="shared" si="40"/>
        <v>0</v>
      </c>
      <c r="AE37" s="25">
        <f t="shared" si="41"/>
        <v>0</v>
      </c>
      <c r="AF37" s="25">
        <f t="shared" si="42"/>
        <v>0</v>
      </c>
      <c r="AG37" s="25">
        <f t="shared" ref="AG37:AG68" si="43">IF($AG$36=0,0,IF(AND($A37=$A36,$A37&lt;&gt;0,AG36&lt;&gt;0),$M37,0))</f>
        <v>0</v>
      </c>
      <c r="AH37" s="25">
        <f>IF(AG37&lt;&gt;0,0,IF(OR($A37=0,$A37=$A36),0,$M37))</f>
        <v>0</v>
      </c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 t="str">
        <v/>
      </c>
      <c r="DK37" s="34" t="str">
        <f t="shared" si="9"/>
        <v/>
      </c>
      <c r="DL37" s="29" t="str">
        <f t="shared" si="2"/>
        <v/>
      </c>
      <c r="DM37" s="35" t="str">
        <f t="shared" si="3"/>
        <v/>
      </c>
      <c r="DN37" s="24">
        <f t="shared" si="10"/>
        <v>20</v>
      </c>
      <c r="DO37" s="24">
        <f t="shared" si="11"/>
        <v>0</v>
      </c>
      <c r="DP37" s="24">
        <f t="shared" si="12"/>
        <v>0</v>
      </c>
      <c r="DQ37" s="24">
        <f t="shared" si="13"/>
        <v>20</v>
      </c>
      <c r="DR37" s="24" t="str">
        <f t="shared" si="14"/>
        <v/>
      </c>
      <c r="DS37" s="26" t="str">
        <f>IF(ISERROR(CEILING(($DQ37*$DL37/60),Puertas!$S$4)),"",CEILING(($DQ37*$DL37/60),Puertas!$S$4))</f>
        <v/>
      </c>
      <c r="DT37" s="26" t="str">
        <f t="shared" si="4"/>
        <v/>
      </c>
      <c r="DU37" s="112" t="str">
        <f t="shared" si="5"/>
        <v/>
      </c>
      <c r="DV37" s="113" t="str">
        <f>IF(D37="","",SUMIF(Puertas!$K$15:$K$114,B37,Puertas!$U$15:$U$114)+SUMIF(Puertas!$O$15:$O$114,B37,Puertas!$W$15:$W$114))</f>
        <v/>
      </c>
      <c r="DW37" s="114" t="str">
        <f t="shared" si="6"/>
        <v/>
      </c>
      <c r="DX37" s="112" t="str">
        <f t="shared" si="15"/>
        <v/>
      </c>
      <c r="DY37" s="113" t="str">
        <f t="shared" si="16"/>
        <v/>
      </c>
      <c r="DZ37" s="115"/>
      <c r="EA37" s="115"/>
      <c r="EB37" s="113" t="e">
        <f>ABS(IF(D37="","",SUMIF(Puertas!$K$15:$K$114,B37,Puertas!$V$15:$V$114)+SUMIF(Puertas!$O$15:$O$114,B37,Puertas!$X$15:$X$114)))</f>
        <v>#VALUE!</v>
      </c>
      <c r="EC37" s="113" t="str">
        <f t="shared" si="17"/>
        <v/>
      </c>
      <c r="ED37" s="114" t="str">
        <f t="shared" si="18"/>
        <v/>
      </c>
      <c r="EE37" s="43"/>
      <c r="EF37" s="6" t="b">
        <v>0</v>
      </c>
      <c r="EG37" s="6" t="b">
        <v>0</v>
      </c>
      <c r="EH37" s="5" t="e">
        <f t="shared" si="19"/>
        <v>#VALUE!</v>
      </c>
      <c r="EI37" s="5" t="e">
        <f t="shared" si="20"/>
        <v>#VALUE!</v>
      </c>
      <c r="EJ37" s="3">
        <f t="shared" si="21"/>
        <v>0</v>
      </c>
      <c r="EK37" s="3">
        <f t="shared" si="22"/>
        <v>0</v>
      </c>
      <c r="EL37" s="5" t="e">
        <f t="shared" si="23"/>
        <v>#VALUE!</v>
      </c>
      <c r="EM37" s="5" t="e">
        <f t="shared" si="24"/>
        <v>#VALUE!</v>
      </c>
    </row>
    <row r="38" spans="1:143" x14ac:dyDescent="0.3">
      <c r="A38" s="1">
        <v>22</v>
      </c>
      <c r="B38" s="15">
        <v>22</v>
      </c>
      <c r="C38" s="309"/>
      <c r="D38" s="309"/>
      <c r="E38" s="312"/>
      <c r="F38" s="332"/>
      <c r="G38" s="314"/>
      <c r="H38" s="446"/>
      <c r="I38" s="315"/>
      <c r="J38" s="312"/>
      <c r="K38" s="316"/>
      <c r="L38" s="317"/>
      <c r="M38" s="16">
        <f t="shared" si="7"/>
        <v>0</v>
      </c>
      <c r="N38" s="17">
        <f t="shared" si="8"/>
        <v>0</v>
      </c>
      <c r="O38" s="17">
        <f t="shared" si="25"/>
        <v>0</v>
      </c>
      <c r="P38" s="17">
        <f t="shared" si="26"/>
        <v>0</v>
      </c>
      <c r="Q38" s="17">
        <f t="shared" si="27"/>
        <v>0</v>
      </c>
      <c r="R38" s="17">
        <f t="shared" si="28"/>
        <v>0</v>
      </c>
      <c r="S38" s="17">
        <f t="shared" si="29"/>
        <v>0</v>
      </c>
      <c r="T38" s="17">
        <f t="shared" si="30"/>
        <v>0</v>
      </c>
      <c r="U38" s="17">
        <f t="shared" si="31"/>
        <v>0</v>
      </c>
      <c r="V38" s="17">
        <f t="shared" si="32"/>
        <v>0</v>
      </c>
      <c r="W38" s="17">
        <f t="shared" si="33"/>
        <v>0</v>
      </c>
      <c r="X38" s="17">
        <f t="shared" si="34"/>
        <v>0</v>
      </c>
      <c r="Y38" s="17">
        <f t="shared" si="35"/>
        <v>0</v>
      </c>
      <c r="Z38" s="17">
        <f t="shared" si="36"/>
        <v>0</v>
      </c>
      <c r="AA38" s="17">
        <f t="shared" si="37"/>
        <v>0</v>
      </c>
      <c r="AB38" s="17">
        <f t="shared" si="38"/>
        <v>0</v>
      </c>
      <c r="AC38" s="17">
        <f t="shared" si="39"/>
        <v>0</v>
      </c>
      <c r="AD38" s="17">
        <f t="shared" si="40"/>
        <v>0</v>
      </c>
      <c r="AE38" s="17">
        <f t="shared" si="41"/>
        <v>0</v>
      </c>
      <c r="AF38" s="17">
        <f t="shared" si="42"/>
        <v>0</v>
      </c>
      <c r="AG38" s="17">
        <f t="shared" si="43"/>
        <v>0</v>
      </c>
      <c r="AH38" s="17">
        <f t="shared" ref="AH38:AH69" si="44">IF($AH$37=0,0,IF(AND($A38=$A37,$A38&lt;&gt;0,AH37&lt;&gt;0),$M38,0))</f>
        <v>0</v>
      </c>
      <c r="AI38" s="17">
        <f>IF(AH38&lt;&gt;0,0,IF(OR($A38=0,$A38=$A37),0,$M38))</f>
        <v>0</v>
      </c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 t="str">
        <v/>
      </c>
      <c r="DK38" s="30" t="str">
        <f t="shared" si="9"/>
        <v/>
      </c>
      <c r="DL38" s="27" t="str">
        <f t="shared" si="2"/>
        <v/>
      </c>
      <c r="DM38" s="31" t="str">
        <f t="shared" si="3"/>
        <v/>
      </c>
      <c r="DN38" s="16">
        <f t="shared" si="10"/>
        <v>20</v>
      </c>
      <c r="DO38" s="16">
        <f t="shared" si="11"/>
        <v>0</v>
      </c>
      <c r="DP38" s="16">
        <f t="shared" si="12"/>
        <v>0</v>
      </c>
      <c r="DQ38" s="16">
        <f t="shared" si="13"/>
        <v>20</v>
      </c>
      <c r="DR38" s="16" t="str">
        <f t="shared" si="14"/>
        <v/>
      </c>
      <c r="DS38" s="18" t="str">
        <f>IF(ISERROR(CEILING(($DQ38*$DL38/60),Puertas!$S$4)),"",CEILING(($DQ38*$DL38/60),Puertas!$S$4))</f>
        <v/>
      </c>
      <c r="DT38" s="18" t="str">
        <f t="shared" si="4"/>
        <v/>
      </c>
      <c r="DU38" s="104" t="str">
        <f t="shared" si="5"/>
        <v/>
      </c>
      <c r="DV38" s="105" t="str">
        <f>IF(D38="","",SUMIF(Puertas!$K$15:$K$114,B38,Puertas!$U$15:$U$114)+SUMIF(Puertas!$O$15:$O$114,B38,Puertas!$W$15:$W$114))</f>
        <v/>
      </c>
      <c r="DW38" s="106" t="str">
        <f t="shared" si="6"/>
        <v/>
      </c>
      <c r="DX38" s="104" t="str">
        <f t="shared" si="15"/>
        <v/>
      </c>
      <c r="DY38" s="105" t="str">
        <f t="shared" si="16"/>
        <v/>
      </c>
      <c r="DZ38" s="107"/>
      <c r="EA38" s="107"/>
      <c r="EB38" s="105" t="e">
        <f>ABS(IF(D38="","",SUMIF(Puertas!$K$15:$K$114,B38,Puertas!$V$15:$V$114)+SUMIF(Puertas!$O$15:$O$114,B38,Puertas!$X$15:$X$114)))</f>
        <v>#VALUE!</v>
      </c>
      <c r="EC38" s="105" t="str">
        <f t="shared" si="17"/>
        <v/>
      </c>
      <c r="ED38" s="106" t="str">
        <f t="shared" si="18"/>
        <v/>
      </c>
      <c r="EE38" s="41"/>
      <c r="EF38" s="6" t="b">
        <v>0</v>
      </c>
      <c r="EG38" s="6" t="b">
        <v>0</v>
      </c>
      <c r="EH38" s="5" t="e">
        <f t="shared" si="19"/>
        <v>#VALUE!</v>
      </c>
      <c r="EI38" s="5" t="e">
        <f t="shared" si="20"/>
        <v>#VALUE!</v>
      </c>
      <c r="EJ38" s="3">
        <f t="shared" si="21"/>
        <v>0</v>
      </c>
      <c r="EK38" s="3">
        <f t="shared" si="22"/>
        <v>0</v>
      </c>
      <c r="EL38" s="5" t="e">
        <f t="shared" si="23"/>
        <v>#VALUE!</v>
      </c>
      <c r="EM38" s="5" t="e">
        <f t="shared" si="24"/>
        <v>#VALUE!</v>
      </c>
    </row>
    <row r="39" spans="1:143" x14ac:dyDescent="0.3">
      <c r="A39" s="1">
        <v>23</v>
      </c>
      <c r="B39" s="19">
        <v>23</v>
      </c>
      <c r="C39" s="310"/>
      <c r="D39" s="310"/>
      <c r="E39" s="318"/>
      <c r="F39" s="330"/>
      <c r="G39" s="320"/>
      <c r="H39" s="447"/>
      <c r="I39" s="321"/>
      <c r="J39" s="318"/>
      <c r="K39" s="322"/>
      <c r="L39" s="323"/>
      <c r="M39" s="20">
        <f t="shared" si="7"/>
        <v>0</v>
      </c>
      <c r="N39" s="21">
        <f t="shared" si="8"/>
        <v>0</v>
      </c>
      <c r="O39" s="21">
        <f t="shared" si="25"/>
        <v>0</v>
      </c>
      <c r="P39" s="21">
        <f t="shared" si="26"/>
        <v>0</v>
      </c>
      <c r="Q39" s="21">
        <f t="shared" si="27"/>
        <v>0</v>
      </c>
      <c r="R39" s="21">
        <f t="shared" si="28"/>
        <v>0</v>
      </c>
      <c r="S39" s="21">
        <f t="shared" si="29"/>
        <v>0</v>
      </c>
      <c r="T39" s="21">
        <f t="shared" si="30"/>
        <v>0</v>
      </c>
      <c r="U39" s="21">
        <f t="shared" si="31"/>
        <v>0</v>
      </c>
      <c r="V39" s="21">
        <f t="shared" si="32"/>
        <v>0</v>
      </c>
      <c r="W39" s="21">
        <f t="shared" si="33"/>
        <v>0</v>
      </c>
      <c r="X39" s="21">
        <f t="shared" si="34"/>
        <v>0</v>
      </c>
      <c r="Y39" s="21">
        <f t="shared" si="35"/>
        <v>0</v>
      </c>
      <c r="Z39" s="21">
        <f t="shared" si="36"/>
        <v>0</v>
      </c>
      <c r="AA39" s="21">
        <f t="shared" si="37"/>
        <v>0</v>
      </c>
      <c r="AB39" s="21">
        <f t="shared" si="38"/>
        <v>0</v>
      </c>
      <c r="AC39" s="21">
        <f t="shared" si="39"/>
        <v>0</v>
      </c>
      <c r="AD39" s="21">
        <f t="shared" si="40"/>
        <v>0</v>
      </c>
      <c r="AE39" s="21">
        <f t="shared" si="41"/>
        <v>0</v>
      </c>
      <c r="AF39" s="21">
        <f t="shared" si="42"/>
        <v>0</v>
      </c>
      <c r="AG39" s="21">
        <f t="shared" si="43"/>
        <v>0</v>
      </c>
      <c r="AH39" s="21">
        <f t="shared" si="44"/>
        <v>0</v>
      </c>
      <c r="AI39" s="21">
        <f t="shared" ref="AI39:AI70" si="45">IF($AI$38=0,0,IF(AND($A39=$A38,$A39&lt;&gt;0,AI38&lt;&gt;0),$M39,0))</f>
        <v>0</v>
      </c>
      <c r="AJ39" s="21">
        <f>IF(AI39&lt;&gt;0,0,IF(OR($A39=0,$A39=$A38),0,$M39))</f>
        <v>0</v>
      </c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 t="str">
        <v/>
      </c>
      <c r="DK39" s="32" t="str">
        <f t="shared" si="9"/>
        <v/>
      </c>
      <c r="DL39" s="28" t="str">
        <f t="shared" si="2"/>
        <v/>
      </c>
      <c r="DM39" s="33" t="str">
        <f t="shared" si="3"/>
        <v/>
      </c>
      <c r="DN39" s="20">
        <f t="shared" si="10"/>
        <v>20</v>
      </c>
      <c r="DO39" s="20">
        <f t="shared" si="11"/>
        <v>0</v>
      </c>
      <c r="DP39" s="20">
        <f t="shared" si="12"/>
        <v>0</v>
      </c>
      <c r="DQ39" s="20">
        <f t="shared" si="13"/>
        <v>20</v>
      </c>
      <c r="DR39" s="20" t="str">
        <f t="shared" si="14"/>
        <v/>
      </c>
      <c r="DS39" s="22" t="str">
        <f>IF(ISERROR(CEILING(($DQ39*$DL39/60),Puertas!$S$4)),"",CEILING(($DQ39*$DL39/60),Puertas!$S$4))</f>
        <v/>
      </c>
      <c r="DT39" s="22" t="str">
        <f t="shared" si="4"/>
        <v/>
      </c>
      <c r="DU39" s="108" t="str">
        <f t="shared" si="5"/>
        <v/>
      </c>
      <c r="DV39" s="109" t="str">
        <f>IF(D39="","",SUMIF(Puertas!$K$15:$K$114,B39,Puertas!$U$15:$U$114)+SUMIF(Puertas!$O$15:$O$114,B39,Puertas!$W$15:$W$114))</f>
        <v/>
      </c>
      <c r="DW39" s="110" t="str">
        <f t="shared" si="6"/>
        <v/>
      </c>
      <c r="DX39" s="108" t="str">
        <f t="shared" si="15"/>
        <v/>
      </c>
      <c r="DY39" s="109" t="str">
        <f t="shared" si="16"/>
        <v/>
      </c>
      <c r="DZ39" s="111"/>
      <c r="EA39" s="111"/>
      <c r="EB39" s="109" t="e">
        <f>ABS(IF(D39="","",SUMIF(Puertas!$K$15:$K$114,B39,Puertas!$V$15:$V$114)+SUMIF(Puertas!$O$15:$O$114,B39,Puertas!$X$15:$X$114)))</f>
        <v>#VALUE!</v>
      </c>
      <c r="EC39" s="109" t="str">
        <f t="shared" si="17"/>
        <v/>
      </c>
      <c r="ED39" s="110" t="str">
        <f t="shared" si="18"/>
        <v/>
      </c>
      <c r="EE39" s="42"/>
      <c r="EF39" s="6" t="b">
        <v>0</v>
      </c>
      <c r="EG39" s="6" t="b">
        <v>0</v>
      </c>
      <c r="EH39" s="5" t="e">
        <f t="shared" si="19"/>
        <v>#VALUE!</v>
      </c>
      <c r="EI39" s="5" t="e">
        <f t="shared" si="20"/>
        <v>#VALUE!</v>
      </c>
      <c r="EJ39" s="3">
        <f t="shared" si="21"/>
        <v>0</v>
      </c>
      <c r="EK39" s="3">
        <f t="shared" si="22"/>
        <v>0</v>
      </c>
      <c r="EL39" s="5" t="e">
        <f t="shared" si="23"/>
        <v>#VALUE!</v>
      </c>
      <c r="EM39" s="5" t="e">
        <f t="shared" si="24"/>
        <v>#VALUE!</v>
      </c>
    </row>
    <row r="40" spans="1:143" x14ac:dyDescent="0.3">
      <c r="A40" s="1">
        <v>24</v>
      </c>
      <c r="B40" s="23">
        <v>24</v>
      </c>
      <c r="C40" s="311"/>
      <c r="D40" s="311"/>
      <c r="E40" s="324"/>
      <c r="F40" s="331"/>
      <c r="G40" s="326"/>
      <c r="H40" s="448"/>
      <c r="I40" s="327"/>
      <c r="J40" s="324"/>
      <c r="K40" s="328"/>
      <c r="L40" s="329"/>
      <c r="M40" s="24">
        <f t="shared" si="7"/>
        <v>0</v>
      </c>
      <c r="N40" s="25">
        <f t="shared" si="8"/>
        <v>0</v>
      </c>
      <c r="O40" s="25">
        <f t="shared" si="25"/>
        <v>0</v>
      </c>
      <c r="P40" s="25">
        <f t="shared" si="26"/>
        <v>0</v>
      </c>
      <c r="Q40" s="25">
        <f t="shared" si="27"/>
        <v>0</v>
      </c>
      <c r="R40" s="25">
        <f t="shared" si="28"/>
        <v>0</v>
      </c>
      <c r="S40" s="25">
        <f t="shared" si="29"/>
        <v>0</v>
      </c>
      <c r="T40" s="25">
        <f t="shared" si="30"/>
        <v>0</v>
      </c>
      <c r="U40" s="25">
        <f t="shared" si="31"/>
        <v>0</v>
      </c>
      <c r="V40" s="25">
        <f t="shared" si="32"/>
        <v>0</v>
      </c>
      <c r="W40" s="25">
        <f t="shared" si="33"/>
        <v>0</v>
      </c>
      <c r="X40" s="25">
        <f t="shared" si="34"/>
        <v>0</v>
      </c>
      <c r="Y40" s="25">
        <f t="shared" si="35"/>
        <v>0</v>
      </c>
      <c r="Z40" s="25">
        <f t="shared" si="36"/>
        <v>0</v>
      </c>
      <c r="AA40" s="25">
        <f t="shared" si="37"/>
        <v>0</v>
      </c>
      <c r="AB40" s="25">
        <f t="shared" si="38"/>
        <v>0</v>
      </c>
      <c r="AC40" s="25">
        <f t="shared" si="39"/>
        <v>0</v>
      </c>
      <c r="AD40" s="25">
        <f t="shared" si="40"/>
        <v>0</v>
      </c>
      <c r="AE40" s="25">
        <f t="shared" si="41"/>
        <v>0</v>
      </c>
      <c r="AF40" s="25">
        <f t="shared" si="42"/>
        <v>0</v>
      </c>
      <c r="AG40" s="25">
        <f t="shared" si="43"/>
        <v>0</v>
      </c>
      <c r="AH40" s="25">
        <f t="shared" si="44"/>
        <v>0</v>
      </c>
      <c r="AI40" s="25">
        <f t="shared" si="45"/>
        <v>0</v>
      </c>
      <c r="AJ40" s="25">
        <f t="shared" ref="AJ40:AJ71" si="46">IF($AJ$39=0,0,IF(AND($A40=$A39,$A40&lt;&gt;0,AJ39&lt;&gt;0),$M40,0))</f>
        <v>0</v>
      </c>
      <c r="AK40" s="25">
        <f>IF(AJ40&lt;&gt;0,0,IF(OR($A40=0,$A40=$A39),0,$M40))</f>
        <v>0</v>
      </c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 t="str">
        <v/>
      </c>
      <c r="DK40" s="34" t="str">
        <f t="shared" si="9"/>
        <v/>
      </c>
      <c r="DL40" s="29" t="str">
        <f t="shared" si="2"/>
        <v/>
      </c>
      <c r="DM40" s="35" t="str">
        <f t="shared" si="3"/>
        <v/>
      </c>
      <c r="DN40" s="24">
        <f t="shared" si="10"/>
        <v>20</v>
      </c>
      <c r="DO40" s="24">
        <f t="shared" si="11"/>
        <v>0</v>
      </c>
      <c r="DP40" s="24">
        <f t="shared" si="12"/>
        <v>0</v>
      </c>
      <c r="DQ40" s="24">
        <f t="shared" si="13"/>
        <v>20</v>
      </c>
      <c r="DR40" s="24" t="str">
        <f t="shared" si="14"/>
        <v/>
      </c>
      <c r="DS40" s="26" t="str">
        <f>IF(ISERROR(CEILING(($DQ40*$DL40/60),Puertas!$S$4)),"",CEILING(($DQ40*$DL40/60),Puertas!$S$4))</f>
        <v/>
      </c>
      <c r="DT40" s="26" t="str">
        <f t="shared" si="4"/>
        <v/>
      </c>
      <c r="DU40" s="112" t="str">
        <f t="shared" si="5"/>
        <v/>
      </c>
      <c r="DV40" s="113" t="str">
        <f>IF(D40="","",SUMIF(Puertas!$K$15:$K$114,B40,Puertas!$U$15:$U$114)+SUMIF(Puertas!$O$15:$O$114,B40,Puertas!$W$15:$W$114))</f>
        <v/>
      </c>
      <c r="DW40" s="114" t="str">
        <f t="shared" si="6"/>
        <v/>
      </c>
      <c r="DX40" s="112" t="str">
        <f t="shared" si="15"/>
        <v/>
      </c>
      <c r="DY40" s="113" t="str">
        <f t="shared" si="16"/>
        <v/>
      </c>
      <c r="DZ40" s="115"/>
      <c r="EA40" s="115"/>
      <c r="EB40" s="113" t="e">
        <f>ABS(IF(D40="","",SUMIF(Puertas!$K$15:$K$114,B40,Puertas!$V$15:$V$114)+SUMIF(Puertas!$O$15:$O$114,B40,Puertas!$X$15:$X$114)))</f>
        <v>#VALUE!</v>
      </c>
      <c r="EC40" s="113" t="str">
        <f t="shared" si="17"/>
        <v/>
      </c>
      <c r="ED40" s="114" t="str">
        <f t="shared" si="18"/>
        <v/>
      </c>
      <c r="EE40" s="43"/>
      <c r="EF40" s="6" t="b">
        <v>0</v>
      </c>
      <c r="EG40" s="6" t="b">
        <v>0</v>
      </c>
      <c r="EH40" s="5" t="e">
        <f t="shared" si="19"/>
        <v>#VALUE!</v>
      </c>
      <c r="EI40" s="5" t="e">
        <f t="shared" si="20"/>
        <v>#VALUE!</v>
      </c>
      <c r="EJ40" s="3">
        <f t="shared" si="21"/>
        <v>0</v>
      </c>
      <c r="EK40" s="3">
        <f t="shared" si="22"/>
        <v>0</v>
      </c>
      <c r="EL40" s="5" t="e">
        <f t="shared" si="23"/>
        <v>#VALUE!</v>
      </c>
      <c r="EM40" s="5" t="e">
        <f t="shared" si="24"/>
        <v>#VALUE!</v>
      </c>
    </row>
    <row r="41" spans="1:143" x14ac:dyDescent="0.3">
      <c r="A41" s="1">
        <v>25</v>
      </c>
      <c r="B41" s="15">
        <v>25</v>
      </c>
      <c r="C41" s="309"/>
      <c r="D41" s="309"/>
      <c r="E41" s="312"/>
      <c r="F41" s="332"/>
      <c r="G41" s="314"/>
      <c r="H41" s="446"/>
      <c r="I41" s="315"/>
      <c r="J41" s="312"/>
      <c r="K41" s="316"/>
      <c r="L41" s="317"/>
      <c r="M41" s="16">
        <f t="shared" si="7"/>
        <v>0</v>
      </c>
      <c r="N41" s="17">
        <f t="shared" si="8"/>
        <v>0</v>
      </c>
      <c r="O41" s="17">
        <f t="shared" si="25"/>
        <v>0</v>
      </c>
      <c r="P41" s="17">
        <f t="shared" si="26"/>
        <v>0</v>
      </c>
      <c r="Q41" s="17">
        <f t="shared" si="27"/>
        <v>0</v>
      </c>
      <c r="R41" s="17">
        <f t="shared" si="28"/>
        <v>0</v>
      </c>
      <c r="S41" s="17">
        <f t="shared" si="29"/>
        <v>0</v>
      </c>
      <c r="T41" s="17">
        <f t="shared" si="30"/>
        <v>0</v>
      </c>
      <c r="U41" s="17">
        <f t="shared" si="31"/>
        <v>0</v>
      </c>
      <c r="V41" s="17">
        <f t="shared" si="32"/>
        <v>0</v>
      </c>
      <c r="W41" s="17">
        <f t="shared" si="33"/>
        <v>0</v>
      </c>
      <c r="X41" s="17">
        <f t="shared" si="34"/>
        <v>0</v>
      </c>
      <c r="Y41" s="17">
        <f t="shared" si="35"/>
        <v>0</v>
      </c>
      <c r="Z41" s="17">
        <f t="shared" si="36"/>
        <v>0</v>
      </c>
      <c r="AA41" s="17">
        <f t="shared" si="37"/>
        <v>0</v>
      </c>
      <c r="AB41" s="17">
        <f t="shared" si="38"/>
        <v>0</v>
      </c>
      <c r="AC41" s="17">
        <f t="shared" si="39"/>
        <v>0</v>
      </c>
      <c r="AD41" s="17">
        <f t="shared" si="40"/>
        <v>0</v>
      </c>
      <c r="AE41" s="17">
        <f t="shared" si="41"/>
        <v>0</v>
      </c>
      <c r="AF41" s="17">
        <f t="shared" si="42"/>
        <v>0</v>
      </c>
      <c r="AG41" s="17">
        <f t="shared" si="43"/>
        <v>0</v>
      </c>
      <c r="AH41" s="17">
        <f t="shared" si="44"/>
        <v>0</v>
      </c>
      <c r="AI41" s="17">
        <f t="shared" si="45"/>
        <v>0</v>
      </c>
      <c r="AJ41" s="17">
        <f t="shared" si="46"/>
        <v>0</v>
      </c>
      <c r="AK41" s="17">
        <f t="shared" ref="AK41:AK72" si="47">IF($AK$40=0,0,IF(AND($A41=$A40,$A41&lt;&gt;0,AK40&lt;&gt;0),$M41,0))</f>
        <v>0</v>
      </c>
      <c r="AL41" s="17">
        <f>IF(AK41&lt;&gt;0,0,IF(OR($A41=0,$A41=$A40),0,$M41))</f>
        <v>0</v>
      </c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17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 t="str">
        <v/>
      </c>
      <c r="DK41" s="30" t="str">
        <f t="shared" si="9"/>
        <v/>
      </c>
      <c r="DL41" s="27" t="str">
        <f t="shared" si="2"/>
        <v/>
      </c>
      <c r="DM41" s="31" t="str">
        <f t="shared" si="3"/>
        <v/>
      </c>
      <c r="DN41" s="16">
        <f t="shared" si="10"/>
        <v>20</v>
      </c>
      <c r="DO41" s="16">
        <f t="shared" si="11"/>
        <v>0</v>
      </c>
      <c r="DP41" s="16">
        <f t="shared" si="12"/>
        <v>0</v>
      </c>
      <c r="DQ41" s="16">
        <f t="shared" si="13"/>
        <v>20</v>
      </c>
      <c r="DR41" s="16" t="str">
        <f t="shared" si="14"/>
        <v/>
      </c>
      <c r="DS41" s="18" t="str">
        <f>IF(ISERROR(CEILING(($DQ41*$DL41/60),Puertas!$S$4)),"",CEILING(($DQ41*$DL41/60),Puertas!$S$4))</f>
        <v/>
      </c>
      <c r="DT41" s="18" t="str">
        <f t="shared" si="4"/>
        <v/>
      </c>
      <c r="DU41" s="104" t="str">
        <f t="shared" si="5"/>
        <v/>
      </c>
      <c r="DV41" s="105" t="str">
        <f>IF(D41="","",SUMIF(Puertas!$K$15:$K$114,B41,Puertas!$U$15:$U$114)+SUMIF(Puertas!$O$15:$O$114,B41,Puertas!$W$15:$W$114))</f>
        <v/>
      </c>
      <c r="DW41" s="106" t="str">
        <f t="shared" si="6"/>
        <v/>
      </c>
      <c r="DX41" s="104" t="str">
        <f t="shared" si="15"/>
        <v/>
      </c>
      <c r="DY41" s="105" t="str">
        <f t="shared" si="16"/>
        <v/>
      </c>
      <c r="DZ41" s="107"/>
      <c r="EA41" s="107"/>
      <c r="EB41" s="105" t="e">
        <f>ABS(IF(D41="","",SUMIF(Puertas!$K$15:$K$114,B41,Puertas!$V$15:$V$114)+SUMIF(Puertas!$O$15:$O$114,B41,Puertas!$X$15:$X$114)))</f>
        <v>#VALUE!</v>
      </c>
      <c r="EC41" s="105" t="str">
        <f t="shared" si="17"/>
        <v/>
      </c>
      <c r="ED41" s="106" t="str">
        <f t="shared" si="18"/>
        <v/>
      </c>
      <c r="EE41" s="41"/>
      <c r="EF41" s="6" t="b">
        <v>0</v>
      </c>
      <c r="EG41" s="6" t="b">
        <v>0</v>
      </c>
      <c r="EH41" s="5" t="e">
        <f t="shared" si="19"/>
        <v>#VALUE!</v>
      </c>
      <c r="EI41" s="5" t="e">
        <f t="shared" si="20"/>
        <v>#VALUE!</v>
      </c>
      <c r="EJ41" s="3">
        <f t="shared" si="21"/>
        <v>0</v>
      </c>
      <c r="EK41" s="3">
        <f t="shared" si="22"/>
        <v>0</v>
      </c>
      <c r="EL41" s="5" t="e">
        <f t="shared" si="23"/>
        <v>#VALUE!</v>
      </c>
      <c r="EM41" s="5" t="e">
        <f t="shared" si="24"/>
        <v>#VALUE!</v>
      </c>
    </row>
    <row r="42" spans="1:143" x14ac:dyDescent="0.3">
      <c r="A42" s="1">
        <v>26</v>
      </c>
      <c r="B42" s="19">
        <v>26</v>
      </c>
      <c r="C42" s="310"/>
      <c r="D42" s="310"/>
      <c r="E42" s="318"/>
      <c r="F42" s="330"/>
      <c r="G42" s="320"/>
      <c r="H42" s="447"/>
      <c r="I42" s="321"/>
      <c r="J42" s="318"/>
      <c r="K42" s="322"/>
      <c r="L42" s="323"/>
      <c r="M42" s="20">
        <f t="shared" si="7"/>
        <v>0</v>
      </c>
      <c r="N42" s="21">
        <f t="shared" si="8"/>
        <v>0</v>
      </c>
      <c r="O42" s="21">
        <f t="shared" si="25"/>
        <v>0</v>
      </c>
      <c r="P42" s="21">
        <f t="shared" si="26"/>
        <v>0</v>
      </c>
      <c r="Q42" s="21">
        <f t="shared" si="27"/>
        <v>0</v>
      </c>
      <c r="R42" s="21">
        <f t="shared" si="28"/>
        <v>0</v>
      </c>
      <c r="S42" s="21">
        <f t="shared" si="29"/>
        <v>0</v>
      </c>
      <c r="T42" s="21">
        <f t="shared" si="30"/>
        <v>0</v>
      </c>
      <c r="U42" s="21">
        <f t="shared" si="31"/>
        <v>0</v>
      </c>
      <c r="V42" s="21">
        <f t="shared" si="32"/>
        <v>0</v>
      </c>
      <c r="W42" s="21">
        <f t="shared" si="33"/>
        <v>0</v>
      </c>
      <c r="X42" s="21">
        <f t="shared" si="34"/>
        <v>0</v>
      </c>
      <c r="Y42" s="21">
        <f t="shared" si="35"/>
        <v>0</v>
      </c>
      <c r="Z42" s="21">
        <f t="shared" si="36"/>
        <v>0</v>
      </c>
      <c r="AA42" s="21">
        <f t="shared" si="37"/>
        <v>0</v>
      </c>
      <c r="AB42" s="21">
        <f t="shared" si="38"/>
        <v>0</v>
      </c>
      <c r="AC42" s="21">
        <f t="shared" si="39"/>
        <v>0</v>
      </c>
      <c r="AD42" s="21">
        <f t="shared" si="40"/>
        <v>0</v>
      </c>
      <c r="AE42" s="21">
        <f t="shared" si="41"/>
        <v>0</v>
      </c>
      <c r="AF42" s="21">
        <f t="shared" si="42"/>
        <v>0</v>
      </c>
      <c r="AG42" s="21">
        <f t="shared" si="43"/>
        <v>0</v>
      </c>
      <c r="AH42" s="21">
        <f t="shared" si="44"/>
        <v>0</v>
      </c>
      <c r="AI42" s="21">
        <f t="shared" si="45"/>
        <v>0</v>
      </c>
      <c r="AJ42" s="21">
        <f t="shared" si="46"/>
        <v>0</v>
      </c>
      <c r="AK42" s="21">
        <f t="shared" si="47"/>
        <v>0</v>
      </c>
      <c r="AL42" s="21">
        <f t="shared" ref="AL42:AL73" si="48">IF($AL$41=0,0,IF(AND($A42=$A41,$A42&lt;&gt;0,AL41&lt;&gt;0),$M42,0))</f>
        <v>0</v>
      </c>
      <c r="AM42" s="21">
        <f>IF(AL42&lt;&gt;0,0,IF(OR($A42=0,$A42=$A41),0,$M42))</f>
        <v>0</v>
      </c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 t="str">
        <v/>
      </c>
      <c r="DK42" s="32" t="str">
        <f t="shared" si="9"/>
        <v/>
      </c>
      <c r="DL42" s="28" t="str">
        <f t="shared" si="2"/>
        <v/>
      </c>
      <c r="DM42" s="33" t="str">
        <f t="shared" si="3"/>
        <v/>
      </c>
      <c r="DN42" s="20">
        <f t="shared" si="10"/>
        <v>20</v>
      </c>
      <c r="DO42" s="20">
        <f t="shared" si="11"/>
        <v>0</v>
      </c>
      <c r="DP42" s="20">
        <f t="shared" si="12"/>
        <v>0</v>
      </c>
      <c r="DQ42" s="20">
        <f t="shared" si="13"/>
        <v>20</v>
      </c>
      <c r="DR42" s="20" t="str">
        <f t="shared" si="14"/>
        <v/>
      </c>
      <c r="DS42" s="22" t="str">
        <f>IF(ISERROR(CEILING(($DQ42*$DL42/60),Puertas!$S$4)),"",CEILING(($DQ42*$DL42/60),Puertas!$S$4))</f>
        <v/>
      </c>
      <c r="DT42" s="22" t="str">
        <f t="shared" si="4"/>
        <v/>
      </c>
      <c r="DU42" s="108" t="str">
        <f t="shared" si="5"/>
        <v/>
      </c>
      <c r="DV42" s="109" t="str">
        <f>IF(D42="","",SUMIF(Puertas!$K$15:$K$114,B42,Puertas!$U$15:$U$114)+SUMIF(Puertas!$O$15:$O$114,B42,Puertas!$W$15:$W$114))</f>
        <v/>
      </c>
      <c r="DW42" s="110" t="str">
        <f t="shared" si="6"/>
        <v/>
      </c>
      <c r="DX42" s="108" t="str">
        <f t="shared" si="15"/>
        <v/>
      </c>
      <c r="DY42" s="109" t="str">
        <f t="shared" si="16"/>
        <v/>
      </c>
      <c r="DZ42" s="111"/>
      <c r="EA42" s="111"/>
      <c r="EB42" s="109" t="e">
        <f>ABS(IF(D42="","",SUMIF(Puertas!$K$15:$K$114,B42,Puertas!$V$15:$V$114)+SUMIF(Puertas!$O$15:$O$114,B42,Puertas!$X$15:$X$114)))</f>
        <v>#VALUE!</v>
      </c>
      <c r="EC42" s="109" t="str">
        <f t="shared" si="17"/>
        <v/>
      </c>
      <c r="ED42" s="110" t="str">
        <f t="shared" si="18"/>
        <v/>
      </c>
      <c r="EE42" s="42"/>
      <c r="EF42" s="6" t="b">
        <v>0</v>
      </c>
      <c r="EG42" s="6" t="b">
        <v>0</v>
      </c>
      <c r="EH42" s="5" t="e">
        <f t="shared" si="19"/>
        <v>#VALUE!</v>
      </c>
      <c r="EI42" s="5" t="e">
        <f t="shared" si="20"/>
        <v>#VALUE!</v>
      </c>
      <c r="EJ42" s="3">
        <f t="shared" si="21"/>
        <v>0</v>
      </c>
      <c r="EK42" s="3">
        <f t="shared" si="22"/>
        <v>0</v>
      </c>
      <c r="EL42" s="5" t="e">
        <f t="shared" si="23"/>
        <v>#VALUE!</v>
      </c>
      <c r="EM42" s="5" t="e">
        <f t="shared" si="24"/>
        <v>#VALUE!</v>
      </c>
    </row>
    <row r="43" spans="1:143" x14ac:dyDescent="0.3">
      <c r="A43" s="1">
        <v>27</v>
      </c>
      <c r="B43" s="23">
        <v>27</v>
      </c>
      <c r="C43" s="311"/>
      <c r="D43" s="311"/>
      <c r="E43" s="324"/>
      <c r="F43" s="331"/>
      <c r="G43" s="326"/>
      <c r="H43" s="448"/>
      <c r="I43" s="327"/>
      <c r="J43" s="324"/>
      <c r="K43" s="328"/>
      <c r="L43" s="329"/>
      <c r="M43" s="24">
        <f t="shared" si="7"/>
        <v>0</v>
      </c>
      <c r="N43" s="25">
        <f t="shared" si="8"/>
        <v>0</v>
      </c>
      <c r="O43" s="25">
        <f t="shared" si="25"/>
        <v>0</v>
      </c>
      <c r="P43" s="25">
        <f t="shared" si="26"/>
        <v>0</v>
      </c>
      <c r="Q43" s="25">
        <f t="shared" si="27"/>
        <v>0</v>
      </c>
      <c r="R43" s="25">
        <f t="shared" si="28"/>
        <v>0</v>
      </c>
      <c r="S43" s="25">
        <f t="shared" si="29"/>
        <v>0</v>
      </c>
      <c r="T43" s="25">
        <f t="shared" si="30"/>
        <v>0</v>
      </c>
      <c r="U43" s="25">
        <f t="shared" si="31"/>
        <v>0</v>
      </c>
      <c r="V43" s="25">
        <f t="shared" si="32"/>
        <v>0</v>
      </c>
      <c r="W43" s="25">
        <f t="shared" si="33"/>
        <v>0</v>
      </c>
      <c r="X43" s="25">
        <f t="shared" si="34"/>
        <v>0</v>
      </c>
      <c r="Y43" s="25">
        <f t="shared" si="35"/>
        <v>0</v>
      </c>
      <c r="Z43" s="25">
        <f t="shared" si="36"/>
        <v>0</v>
      </c>
      <c r="AA43" s="25">
        <f t="shared" si="37"/>
        <v>0</v>
      </c>
      <c r="AB43" s="25">
        <f t="shared" si="38"/>
        <v>0</v>
      </c>
      <c r="AC43" s="25">
        <f t="shared" si="39"/>
        <v>0</v>
      </c>
      <c r="AD43" s="25">
        <f t="shared" si="40"/>
        <v>0</v>
      </c>
      <c r="AE43" s="25">
        <f t="shared" si="41"/>
        <v>0</v>
      </c>
      <c r="AF43" s="25">
        <f t="shared" si="42"/>
        <v>0</v>
      </c>
      <c r="AG43" s="25">
        <f t="shared" si="43"/>
        <v>0</v>
      </c>
      <c r="AH43" s="25">
        <f t="shared" si="44"/>
        <v>0</v>
      </c>
      <c r="AI43" s="25">
        <f t="shared" si="45"/>
        <v>0</v>
      </c>
      <c r="AJ43" s="25">
        <f t="shared" si="46"/>
        <v>0</v>
      </c>
      <c r="AK43" s="25">
        <f t="shared" si="47"/>
        <v>0</v>
      </c>
      <c r="AL43" s="25">
        <f t="shared" si="48"/>
        <v>0</v>
      </c>
      <c r="AM43" s="25">
        <f t="shared" ref="AM43:AM74" si="49">IF($AM$42=0,0,IF(AND($A43=$A42,$A43&lt;&gt;0,AM42&lt;&gt;0),$M43,0))</f>
        <v>0</v>
      </c>
      <c r="AN43" s="25">
        <f>IF(AM43&lt;&gt;0,0,IF(OR($A43=0,$A43=$A42),0,$M43))</f>
        <v>0</v>
      </c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 t="str">
        <v/>
      </c>
      <c r="DK43" s="34" t="str">
        <f t="shared" si="9"/>
        <v/>
      </c>
      <c r="DL43" s="29" t="str">
        <f t="shared" si="2"/>
        <v/>
      </c>
      <c r="DM43" s="35" t="str">
        <f t="shared" si="3"/>
        <v/>
      </c>
      <c r="DN43" s="24">
        <f t="shared" si="10"/>
        <v>20</v>
      </c>
      <c r="DO43" s="24">
        <f t="shared" si="11"/>
        <v>0</v>
      </c>
      <c r="DP43" s="24">
        <f t="shared" si="12"/>
        <v>0</v>
      </c>
      <c r="DQ43" s="24">
        <f t="shared" si="13"/>
        <v>20</v>
      </c>
      <c r="DR43" s="24" t="str">
        <f t="shared" si="14"/>
        <v/>
      </c>
      <c r="DS43" s="26" t="str">
        <f>IF(ISERROR(CEILING(($DQ43*$DL43/60),Puertas!$S$4)),"",CEILING(($DQ43*$DL43/60),Puertas!$S$4))</f>
        <v/>
      </c>
      <c r="DT43" s="26" t="str">
        <f t="shared" si="4"/>
        <v/>
      </c>
      <c r="DU43" s="112" t="str">
        <f t="shared" si="5"/>
        <v/>
      </c>
      <c r="DV43" s="113" t="str">
        <f>IF(D43="","",SUMIF(Puertas!$K$15:$K$114,B43,Puertas!$U$15:$U$114)+SUMIF(Puertas!$O$15:$O$114,B43,Puertas!$W$15:$W$114))</f>
        <v/>
      </c>
      <c r="DW43" s="114" t="str">
        <f t="shared" si="6"/>
        <v/>
      </c>
      <c r="DX43" s="112" t="str">
        <f t="shared" si="15"/>
        <v/>
      </c>
      <c r="DY43" s="113" t="str">
        <f t="shared" si="16"/>
        <v/>
      </c>
      <c r="DZ43" s="115"/>
      <c r="EA43" s="115"/>
      <c r="EB43" s="113" t="e">
        <f>ABS(IF(D43="","",SUMIF(Puertas!$K$15:$K$114,B43,Puertas!$V$15:$V$114)+SUMIF(Puertas!$O$15:$O$114,B43,Puertas!$X$15:$X$114)))</f>
        <v>#VALUE!</v>
      </c>
      <c r="EC43" s="113" t="str">
        <f t="shared" si="17"/>
        <v/>
      </c>
      <c r="ED43" s="114" t="str">
        <f t="shared" si="18"/>
        <v/>
      </c>
      <c r="EE43" s="43"/>
      <c r="EF43" s="6" t="b">
        <v>0</v>
      </c>
      <c r="EG43" s="6" t="b">
        <v>0</v>
      </c>
      <c r="EH43" s="5" t="e">
        <f t="shared" si="19"/>
        <v>#VALUE!</v>
      </c>
      <c r="EI43" s="5" t="e">
        <f t="shared" si="20"/>
        <v>#VALUE!</v>
      </c>
      <c r="EJ43" s="3">
        <f t="shared" si="21"/>
        <v>0</v>
      </c>
      <c r="EK43" s="3">
        <f t="shared" si="22"/>
        <v>0</v>
      </c>
      <c r="EL43" s="5" t="e">
        <f t="shared" si="23"/>
        <v>#VALUE!</v>
      </c>
      <c r="EM43" s="5" t="e">
        <f t="shared" si="24"/>
        <v>#VALUE!</v>
      </c>
    </row>
    <row r="44" spans="1:143" x14ac:dyDescent="0.3">
      <c r="A44" s="1">
        <v>28</v>
      </c>
      <c r="B44" s="15">
        <v>28</v>
      </c>
      <c r="C44" s="309"/>
      <c r="D44" s="309"/>
      <c r="E44" s="312"/>
      <c r="F44" s="332"/>
      <c r="G44" s="314"/>
      <c r="H44" s="446"/>
      <c r="I44" s="315"/>
      <c r="J44" s="312"/>
      <c r="K44" s="316"/>
      <c r="L44" s="317"/>
      <c r="M44" s="16">
        <f t="shared" si="7"/>
        <v>0</v>
      </c>
      <c r="N44" s="17">
        <f t="shared" si="8"/>
        <v>0</v>
      </c>
      <c r="O44" s="17">
        <f t="shared" si="25"/>
        <v>0</v>
      </c>
      <c r="P44" s="17">
        <f t="shared" si="26"/>
        <v>0</v>
      </c>
      <c r="Q44" s="17">
        <f t="shared" si="27"/>
        <v>0</v>
      </c>
      <c r="R44" s="17">
        <f t="shared" si="28"/>
        <v>0</v>
      </c>
      <c r="S44" s="17">
        <f t="shared" si="29"/>
        <v>0</v>
      </c>
      <c r="T44" s="17">
        <f t="shared" si="30"/>
        <v>0</v>
      </c>
      <c r="U44" s="17">
        <f t="shared" si="31"/>
        <v>0</v>
      </c>
      <c r="V44" s="17">
        <f t="shared" si="32"/>
        <v>0</v>
      </c>
      <c r="W44" s="17">
        <f t="shared" si="33"/>
        <v>0</v>
      </c>
      <c r="X44" s="17">
        <f t="shared" si="34"/>
        <v>0</v>
      </c>
      <c r="Y44" s="17">
        <f t="shared" si="35"/>
        <v>0</v>
      </c>
      <c r="Z44" s="17">
        <f t="shared" si="36"/>
        <v>0</v>
      </c>
      <c r="AA44" s="17">
        <f t="shared" si="37"/>
        <v>0</v>
      </c>
      <c r="AB44" s="17">
        <f t="shared" si="38"/>
        <v>0</v>
      </c>
      <c r="AC44" s="17">
        <f t="shared" si="39"/>
        <v>0</v>
      </c>
      <c r="AD44" s="17">
        <f t="shared" si="40"/>
        <v>0</v>
      </c>
      <c r="AE44" s="17">
        <f t="shared" si="41"/>
        <v>0</v>
      </c>
      <c r="AF44" s="17">
        <f t="shared" si="42"/>
        <v>0</v>
      </c>
      <c r="AG44" s="17">
        <f t="shared" si="43"/>
        <v>0</v>
      </c>
      <c r="AH44" s="17">
        <f t="shared" si="44"/>
        <v>0</v>
      </c>
      <c r="AI44" s="17">
        <f t="shared" si="45"/>
        <v>0</v>
      </c>
      <c r="AJ44" s="17">
        <f t="shared" si="46"/>
        <v>0</v>
      </c>
      <c r="AK44" s="17">
        <f t="shared" si="47"/>
        <v>0</v>
      </c>
      <c r="AL44" s="17">
        <f t="shared" si="48"/>
        <v>0</v>
      </c>
      <c r="AM44" s="17">
        <f t="shared" si="49"/>
        <v>0</v>
      </c>
      <c r="AN44" s="17">
        <f t="shared" ref="AN44:AN75" si="50">IF($AN$43=0,0,IF(AND($A44=$A43,$A44&lt;&gt;0,AN43&lt;&gt;0),$M44,0))</f>
        <v>0</v>
      </c>
      <c r="AO44" s="17">
        <f>IF(AN44&lt;&gt;0,0,IF(OR($A44=0,$A44=$A43),0,$M44))</f>
        <v>0</v>
      </c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17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 t="str">
        <v/>
      </c>
      <c r="DK44" s="30" t="str">
        <f t="shared" si="9"/>
        <v/>
      </c>
      <c r="DL44" s="27" t="str">
        <f t="shared" si="2"/>
        <v/>
      </c>
      <c r="DM44" s="31" t="str">
        <f t="shared" si="3"/>
        <v/>
      </c>
      <c r="DN44" s="16">
        <f t="shared" si="10"/>
        <v>20</v>
      </c>
      <c r="DO44" s="16">
        <f t="shared" si="11"/>
        <v>0</v>
      </c>
      <c r="DP44" s="16">
        <f t="shared" si="12"/>
        <v>0</v>
      </c>
      <c r="DQ44" s="16">
        <f t="shared" si="13"/>
        <v>20</v>
      </c>
      <c r="DR44" s="16" t="str">
        <f t="shared" si="14"/>
        <v/>
      </c>
      <c r="DS44" s="18" t="str">
        <f>IF(ISERROR(CEILING(($DQ44*$DL44/60),Puertas!$S$4)),"",CEILING(($DQ44*$DL44/60),Puertas!$S$4))</f>
        <v/>
      </c>
      <c r="DT44" s="18" t="str">
        <f t="shared" si="4"/>
        <v/>
      </c>
      <c r="DU44" s="104" t="str">
        <f t="shared" si="5"/>
        <v/>
      </c>
      <c r="DV44" s="105" t="str">
        <f>IF(D44="","",SUMIF(Puertas!$K$15:$K$114,B44,Puertas!$U$15:$U$114)+SUMIF(Puertas!$O$15:$O$114,B44,Puertas!$W$15:$W$114))</f>
        <v/>
      </c>
      <c r="DW44" s="106" t="str">
        <f t="shared" si="6"/>
        <v/>
      </c>
      <c r="DX44" s="104" t="str">
        <f t="shared" si="15"/>
        <v/>
      </c>
      <c r="DY44" s="105" t="str">
        <f t="shared" si="16"/>
        <v/>
      </c>
      <c r="DZ44" s="107"/>
      <c r="EA44" s="107"/>
      <c r="EB44" s="105" t="e">
        <f>ABS(IF(D44="","",SUMIF(Puertas!$K$15:$K$114,B44,Puertas!$V$15:$V$114)+SUMIF(Puertas!$O$15:$O$114,B44,Puertas!$X$15:$X$114)))</f>
        <v>#VALUE!</v>
      </c>
      <c r="EC44" s="105" t="str">
        <f t="shared" si="17"/>
        <v/>
      </c>
      <c r="ED44" s="106" t="str">
        <f t="shared" si="18"/>
        <v/>
      </c>
      <c r="EE44" s="41"/>
      <c r="EF44" s="6" t="b">
        <v>0</v>
      </c>
      <c r="EG44" s="6" t="b">
        <v>0</v>
      </c>
      <c r="EH44" s="5" t="e">
        <f t="shared" si="19"/>
        <v>#VALUE!</v>
      </c>
      <c r="EI44" s="5" t="e">
        <f t="shared" si="20"/>
        <v>#VALUE!</v>
      </c>
      <c r="EJ44" s="3">
        <f t="shared" si="21"/>
        <v>0</v>
      </c>
      <c r="EK44" s="3">
        <f t="shared" si="22"/>
        <v>0</v>
      </c>
      <c r="EL44" s="5" t="e">
        <f t="shared" si="23"/>
        <v>#VALUE!</v>
      </c>
      <c r="EM44" s="5" t="e">
        <f t="shared" si="24"/>
        <v>#VALUE!</v>
      </c>
    </row>
    <row r="45" spans="1:143" x14ac:dyDescent="0.3">
      <c r="A45" s="1">
        <v>29</v>
      </c>
      <c r="B45" s="19">
        <v>29</v>
      </c>
      <c r="C45" s="310"/>
      <c r="D45" s="310"/>
      <c r="E45" s="318"/>
      <c r="F45" s="330"/>
      <c r="G45" s="320"/>
      <c r="H45" s="447"/>
      <c r="I45" s="321"/>
      <c r="J45" s="318"/>
      <c r="K45" s="322"/>
      <c r="L45" s="323"/>
      <c r="M45" s="20">
        <f t="shared" si="7"/>
        <v>0</v>
      </c>
      <c r="N45" s="21">
        <f t="shared" si="8"/>
        <v>0</v>
      </c>
      <c r="O45" s="21">
        <f t="shared" si="25"/>
        <v>0</v>
      </c>
      <c r="P45" s="21">
        <f t="shared" si="26"/>
        <v>0</v>
      </c>
      <c r="Q45" s="21">
        <f t="shared" si="27"/>
        <v>0</v>
      </c>
      <c r="R45" s="21">
        <f t="shared" si="28"/>
        <v>0</v>
      </c>
      <c r="S45" s="21">
        <f t="shared" si="29"/>
        <v>0</v>
      </c>
      <c r="T45" s="21">
        <f t="shared" si="30"/>
        <v>0</v>
      </c>
      <c r="U45" s="21">
        <f t="shared" si="31"/>
        <v>0</v>
      </c>
      <c r="V45" s="21">
        <f t="shared" si="32"/>
        <v>0</v>
      </c>
      <c r="W45" s="21">
        <f t="shared" si="33"/>
        <v>0</v>
      </c>
      <c r="X45" s="21">
        <f t="shared" si="34"/>
        <v>0</v>
      </c>
      <c r="Y45" s="21">
        <f t="shared" si="35"/>
        <v>0</v>
      </c>
      <c r="Z45" s="21">
        <f t="shared" si="36"/>
        <v>0</v>
      </c>
      <c r="AA45" s="21">
        <f t="shared" si="37"/>
        <v>0</v>
      </c>
      <c r="AB45" s="21">
        <f t="shared" si="38"/>
        <v>0</v>
      </c>
      <c r="AC45" s="21">
        <f t="shared" si="39"/>
        <v>0</v>
      </c>
      <c r="AD45" s="21">
        <f t="shared" si="40"/>
        <v>0</v>
      </c>
      <c r="AE45" s="21">
        <f t="shared" si="41"/>
        <v>0</v>
      </c>
      <c r="AF45" s="21">
        <f t="shared" si="42"/>
        <v>0</v>
      </c>
      <c r="AG45" s="21">
        <f t="shared" si="43"/>
        <v>0</v>
      </c>
      <c r="AH45" s="21">
        <f t="shared" si="44"/>
        <v>0</v>
      </c>
      <c r="AI45" s="21">
        <f t="shared" si="45"/>
        <v>0</v>
      </c>
      <c r="AJ45" s="21">
        <f t="shared" si="46"/>
        <v>0</v>
      </c>
      <c r="AK45" s="21">
        <f t="shared" si="47"/>
        <v>0</v>
      </c>
      <c r="AL45" s="21">
        <f t="shared" si="48"/>
        <v>0</v>
      </c>
      <c r="AM45" s="21">
        <f t="shared" si="49"/>
        <v>0</v>
      </c>
      <c r="AN45" s="21">
        <f t="shared" si="50"/>
        <v>0</v>
      </c>
      <c r="AO45" s="21">
        <f t="shared" ref="AO45:AO76" si="51">IF($AO$44=0,0,IF(AND($A45=$A44,$A45&lt;&gt;0,AO44&lt;&gt;0),$M45,0))</f>
        <v>0</v>
      </c>
      <c r="AP45" s="21">
        <f>IF(AO45&lt;&gt;0,0,IF(OR($A45=0,$A45=$A44),0,$M45))</f>
        <v>0</v>
      </c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 t="str">
        <v/>
      </c>
      <c r="DK45" s="32" t="str">
        <f t="shared" si="9"/>
        <v/>
      </c>
      <c r="DL45" s="28" t="str">
        <f t="shared" si="2"/>
        <v/>
      </c>
      <c r="DM45" s="33" t="str">
        <f t="shared" si="3"/>
        <v/>
      </c>
      <c r="DN45" s="20">
        <f t="shared" si="10"/>
        <v>20</v>
      </c>
      <c r="DO45" s="20">
        <f t="shared" si="11"/>
        <v>0</v>
      </c>
      <c r="DP45" s="20">
        <f t="shared" si="12"/>
        <v>0</v>
      </c>
      <c r="DQ45" s="20">
        <f t="shared" si="13"/>
        <v>20</v>
      </c>
      <c r="DR45" s="20" t="str">
        <f t="shared" si="14"/>
        <v/>
      </c>
      <c r="DS45" s="22" t="str">
        <f>IF(ISERROR(CEILING(($DQ45*$DL45/60),Puertas!$S$4)),"",CEILING(($DQ45*$DL45/60),Puertas!$S$4))</f>
        <v/>
      </c>
      <c r="DT45" s="22" t="str">
        <f t="shared" si="4"/>
        <v/>
      </c>
      <c r="DU45" s="108" t="str">
        <f t="shared" si="5"/>
        <v/>
      </c>
      <c r="DV45" s="109" t="str">
        <f>IF(D45="","",SUMIF(Puertas!$K$15:$K$114,B45,Puertas!$U$15:$U$114)+SUMIF(Puertas!$O$15:$O$114,B45,Puertas!$W$15:$W$114))</f>
        <v/>
      </c>
      <c r="DW45" s="110" t="str">
        <f t="shared" si="6"/>
        <v/>
      </c>
      <c r="DX45" s="108" t="str">
        <f t="shared" si="15"/>
        <v/>
      </c>
      <c r="DY45" s="109" t="str">
        <f t="shared" si="16"/>
        <v/>
      </c>
      <c r="DZ45" s="111"/>
      <c r="EA45" s="111"/>
      <c r="EB45" s="109" t="e">
        <f>ABS(IF(D45="","",SUMIF(Puertas!$K$15:$K$114,B45,Puertas!$V$15:$V$114)+SUMIF(Puertas!$O$15:$O$114,B45,Puertas!$X$15:$X$114)))</f>
        <v>#VALUE!</v>
      </c>
      <c r="EC45" s="109" t="str">
        <f t="shared" si="17"/>
        <v/>
      </c>
      <c r="ED45" s="110" t="str">
        <f t="shared" si="18"/>
        <v/>
      </c>
      <c r="EE45" s="42"/>
      <c r="EF45" s="6" t="b">
        <v>0</v>
      </c>
      <c r="EG45" s="6" t="b">
        <v>0</v>
      </c>
      <c r="EH45" s="5" t="e">
        <f t="shared" si="19"/>
        <v>#VALUE!</v>
      </c>
      <c r="EI45" s="5" t="e">
        <f t="shared" si="20"/>
        <v>#VALUE!</v>
      </c>
      <c r="EJ45" s="3">
        <f t="shared" si="21"/>
        <v>0</v>
      </c>
      <c r="EK45" s="3">
        <f t="shared" si="22"/>
        <v>0</v>
      </c>
      <c r="EL45" s="5" t="e">
        <f t="shared" si="23"/>
        <v>#VALUE!</v>
      </c>
      <c r="EM45" s="5" t="e">
        <f t="shared" si="24"/>
        <v>#VALUE!</v>
      </c>
    </row>
    <row r="46" spans="1:143" x14ac:dyDescent="0.3">
      <c r="A46" s="1">
        <v>30</v>
      </c>
      <c r="B46" s="23">
        <v>30</v>
      </c>
      <c r="C46" s="311"/>
      <c r="D46" s="311"/>
      <c r="E46" s="324"/>
      <c r="F46" s="331"/>
      <c r="G46" s="326"/>
      <c r="H46" s="448"/>
      <c r="I46" s="327"/>
      <c r="J46" s="324"/>
      <c r="K46" s="328"/>
      <c r="L46" s="329"/>
      <c r="M46" s="24">
        <f t="shared" si="7"/>
        <v>0</v>
      </c>
      <c r="N46" s="25">
        <f t="shared" si="8"/>
        <v>0</v>
      </c>
      <c r="O46" s="25">
        <f t="shared" si="25"/>
        <v>0</v>
      </c>
      <c r="P46" s="25">
        <f t="shared" si="26"/>
        <v>0</v>
      </c>
      <c r="Q46" s="25">
        <f t="shared" si="27"/>
        <v>0</v>
      </c>
      <c r="R46" s="25">
        <f t="shared" si="28"/>
        <v>0</v>
      </c>
      <c r="S46" s="25">
        <f t="shared" si="29"/>
        <v>0</v>
      </c>
      <c r="T46" s="25">
        <f t="shared" si="30"/>
        <v>0</v>
      </c>
      <c r="U46" s="25">
        <f t="shared" si="31"/>
        <v>0</v>
      </c>
      <c r="V46" s="25">
        <f t="shared" si="32"/>
        <v>0</v>
      </c>
      <c r="W46" s="25">
        <f t="shared" si="33"/>
        <v>0</v>
      </c>
      <c r="X46" s="25">
        <f t="shared" si="34"/>
        <v>0</v>
      </c>
      <c r="Y46" s="25">
        <f t="shared" si="35"/>
        <v>0</v>
      </c>
      <c r="Z46" s="25">
        <f t="shared" si="36"/>
        <v>0</v>
      </c>
      <c r="AA46" s="25">
        <f t="shared" si="37"/>
        <v>0</v>
      </c>
      <c r="AB46" s="25">
        <f t="shared" si="38"/>
        <v>0</v>
      </c>
      <c r="AC46" s="25">
        <f t="shared" si="39"/>
        <v>0</v>
      </c>
      <c r="AD46" s="25">
        <f t="shared" si="40"/>
        <v>0</v>
      </c>
      <c r="AE46" s="25">
        <f t="shared" si="41"/>
        <v>0</v>
      </c>
      <c r="AF46" s="25">
        <f t="shared" si="42"/>
        <v>0</v>
      </c>
      <c r="AG46" s="25">
        <f t="shared" si="43"/>
        <v>0</v>
      </c>
      <c r="AH46" s="25">
        <f t="shared" si="44"/>
        <v>0</v>
      </c>
      <c r="AI46" s="25">
        <f t="shared" si="45"/>
        <v>0</v>
      </c>
      <c r="AJ46" s="25">
        <f t="shared" si="46"/>
        <v>0</v>
      </c>
      <c r="AK46" s="25">
        <f t="shared" si="47"/>
        <v>0</v>
      </c>
      <c r="AL46" s="25">
        <f t="shared" si="48"/>
        <v>0</v>
      </c>
      <c r="AM46" s="25">
        <f t="shared" si="49"/>
        <v>0</v>
      </c>
      <c r="AN46" s="25">
        <f t="shared" si="50"/>
        <v>0</v>
      </c>
      <c r="AO46" s="25">
        <f t="shared" si="51"/>
        <v>0</v>
      </c>
      <c r="AP46" s="25">
        <f t="shared" ref="AP46:AP77" si="52">IF($AP$45=0,0,IF(AND($A46=$A45,$A46&lt;&gt;0,AP45&lt;&gt;0),$M46,0))</f>
        <v>0</v>
      </c>
      <c r="AQ46" s="25">
        <f>IF(AP46&lt;&gt;0,0,IF(OR($A46=0,$A46=$A45),0,$M46))</f>
        <v>0</v>
      </c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 t="str">
        <v/>
      </c>
      <c r="DK46" s="34" t="str">
        <f t="shared" si="9"/>
        <v/>
      </c>
      <c r="DL46" s="29" t="str">
        <f t="shared" si="2"/>
        <v/>
      </c>
      <c r="DM46" s="35" t="str">
        <f t="shared" si="3"/>
        <v/>
      </c>
      <c r="DN46" s="24">
        <f t="shared" si="10"/>
        <v>20</v>
      </c>
      <c r="DO46" s="24">
        <f t="shared" si="11"/>
        <v>0</v>
      </c>
      <c r="DP46" s="24">
        <f t="shared" si="12"/>
        <v>0</v>
      </c>
      <c r="DQ46" s="24">
        <f t="shared" si="13"/>
        <v>20</v>
      </c>
      <c r="DR46" s="24" t="str">
        <f t="shared" si="14"/>
        <v/>
      </c>
      <c r="DS46" s="26" t="str">
        <f>IF(ISERROR(CEILING(($DQ46*$DL46/60),Puertas!$S$4)),"",CEILING(($DQ46*$DL46/60),Puertas!$S$4))</f>
        <v/>
      </c>
      <c r="DT46" s="26" t="str">
        <f t="shared" si="4"/>
        <v/>
      </c>
      <c r="DU46" s="112" t="str">
        <f t="shared" si="5"/>
        <v/>
      </c>
      <c r="DV46" s="113" t="str">
        <f>IF(D46="","",SUMIF(Puertas!$K$15:$K$114,B46,Puertas!$U$15:$U$114)+SUMIF(Puertas!$O$15:$O$114,B46,Puertas!$W$15:$W$114))</f>
        <v/>
      </c>
      <c r="DW46" s="114" t="str">
        <f t="shared" si="6"/>
        <v/>
      </c>
      <c r="DX46" s="112" t="str">
        <f t="shared" si="15"/>
        <v/>
      </c>
      <c r="DY46" s="113" t="str">
        <f t="shared" si="16"/>
        <v/>
      </c>
      <c r="DZ46" s="115"/>
      <c r="EA46" s="115"/>
      <c r="EB46" s="113" t="e">
        <f>ABS(IF(D46="","",SUMIF(Puertas!$K$15:$K$114,B46,Puertas!$V$15:$V$114)+SUMIF(Puertas!$O$15:$O$114,B46,Puertas!$X$15:$X$114)))</f>
        <v>#VALUE!</v>
      </c>
      <c r="EC46" s="113" t="str">
        <f t="shared" si="17"/>
        <v/>
      </c>
      <c r="ED46" s="114" t="str">
        <f t="shared" si="18"/>
        <v/>
      </c>
      <c r="EE46" s="43"/>
      <c r="EF46" s="6" t="b">
        <v>0</v>
      </c>
      <c r="EG46" s="6" t="b">
        <v>0</v>
      </c>
      <c r="EH46" s="5" t="e">
        <f t="shared" si="19"/>
        <v>#VALUE!</v>
      </c>
      <c r="EI46" s="5" t="e">
        <f t="shared" si="20"/>
        <v>#VALUE!</v>
      </c>
      <c r="EJ46" s="3">
        <f t="shared" si="21"/>
        <v>0</v>
      </c>
      <c r="EK46" s="3">
        <f t="shared" si="22"/>
        <v>0</v>
      </c>
      <c r="EL46" s="5" t="e">
        <f t="shared" si="23"/>
        <v>#VALUE!</v>
      </c>
      <c r="EM46" s="5" t="e">
        <f t="shared" si="24"/>
        <v>#VALUE!</v>
      </c>
    </row>
    <row r="47" spans="1:143" x14ac:dyDescent="0.3">
      <c r="A47" s="1">
        <v>31</v>
      </c>
      <c r="B47" s="15">
        <v>31</v>
      </c>
      <c r="C47" s="309"/>
      <c r="D47" s="309"/>
      <c r="E47" s="312"/>
      <c r="F47" s="332"/>
      <c r="G47" s="314"/>
      <c r="H47" s="446"/>
      <c r="I47" s="315"/>
      <c r="J47" s="312"/>
      <c r="K47" s="316"/>
      <c r="L47" s="317"/>
      <c r="M47" s="16">
        <f t="shared" si="7"/>
        <v>0</v>
      </c>
      <c r="N47" s="17">
        <f t="shared" si="8"/>
        <v>0</v>
      </c>
      <c r="O47" s="17">
        <f t="shared" si="25"/>
        <v>0</v>
      </c>
      <c r="P47" s="17">
        <f t="shared" si="26"/>
        <v>0</v>
      </c>
      <c r="Q47" s="17">
        <f t="shared" si="27"/>
        <v>0</v>
      </c>
      <c r="R47" s="17">
        <f t="shared" si="28"/>
        <v>0</v>
      </c>
      <c r="S47" s="17">
        <f t="shared" si="29"/>
        <v>0</v>
      </c>
      <c r="T47" s="17">
        <f t="shared" si="30"/>
        <v>0</v>
      </c>
      <c r="U47" s="17">
        <f t="shared" si="31"/>
        <v>0</v>
      </c>
      <c r="V47" s="17">
        <f t="shared" si="32"/>
        <v>0</v>
      </c>
      <c r="W47" s="17">
        <f t="shared" si="33"/>
        <v>0</v>
      </c>
      <c r="X47" s="17">
        <f t="shared" si="34"/>
        <v>0</v>
      </c>
      <c r="Y47" s="17">
        <f t="shared" si="35"/>
        <v>0</v>
      </c>
      <c r="Z47" s="17">
        <f t="shared" si="36"/>
        <v>0</v>
      </c>
      <c r="AA47" s="17">
        <f t="shared" si="37"/>
        <v>0</v>
      </c>
      <c r="AB47" s="17">
        <f t="shared" si="38"/>
        <v>0</v>
      </c>
      <c r="AC47" s="17">
        <f t="shared" si="39"/>
        <v>0</v>
      </c>
      <c r="AD47" s="17">
        <f t="shared" si="40"/>
        <v>0</v>
      </c>
      <c r="AE47" s="17">
        <f t="shared" si="41"/>
        <v>0</v>
      </c>
      <c r="AF47" s="17">
        <f t="shared" si="42"/>
        <v>0</v>
      </c>
      <c r="AG47" s="17">
        <f t="shared" si="43"/>
        <v>0</v>
      </c>
      <c r="AH47" s="17">
        <f t="shared" si="44"/>
        <v>0</v>
      </c>
      <c r="AI47" s="17">
        <f t="shared" si="45"/>
        <v>0</v>
      </c>
      <c r="AJ47" s="17">
        <f t="shared" si="46"/>
        <v>0</v>
      </c>
      <c r="AK47" s="17">
        <f t="shared" si="47"/>
        <v>0</v>
      </c>
      <c r="AL47" s="17">
        <f t="shared" si="48"/>
        <v>0</v>
      </c>
      <c r="AM47" s="17">
        <f t="shared" si="49"/>
        <v>0</v>
      </c>
      <c r="AN47" s="17">
        <f t="shared" si="50"/>
        <v>0</v>
      </c>
      <c r="AO47" s="17">
        <f t="shared" si="51"/>
        <v>0</v>
      </c>
      <c r="AP47" s="17">
        <f t="shared" si="52"/>
        <v>0</v>
      </c>
      <c r="AQ47" s="17">
        <f t="shared" ref="AQ47:AQ78" si="53">IF($AQ$46=0,0,IF(AND($A47=$A46,$A47&lt;&gt;0,AQ46&lt;&gt;0),$M47,0))</f>
        <v>0</v>
      </c>
      <c r="AR47" s="17">
        <f>IF(AQ47&lt;&gt;0,0,IF(OR($A47=0,$A47=$A46),0,$M47))</f>
        <v>0</v>
      </c>
      <c r="AS47" s="17"/>
      <c r="AT47" s="17"/>
      <c r="AU47" s="17"/>
      <c r="AV47" s="17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17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17" t="str">
        <v/>
      </c>
      <c r="DK47" s="30" t="str">
        <f t="shared" si="9"/>
        <v/>
      </c>
      <c r="DL47" s="27" t="str">
        <f t="shared" si="2"/>
        <v/>
      </c>
      <c r="DM47" s="31" t="str">
        <f t="shared" si="3"/>
        <v/>
      </c>
      <c r="DN47" s="16">
        <f t="shared" si="10"/>
        <v>20</v>
      </c>
      <c r="DO47" s="16">
        <f t="shared" si="11"/>
        <v>0</v>
      </c>
      <c r="DP47" s="16">
        <f t="shared" si="12"/>
        <v>0</v>
      </c>
      <c r="DQ47" s="16">
        <f t="shared" si="13"/>
        <v>20</v>
      </c>
      <c r="DR47" s="16" t="str">
        <f t="shared" si="14"/>
        <v/>
      </c>
      <c r="DS47" s="18" t="str">
        <f>IF(ISERROR(CEILING(($DQ47*$DL47/60),Puertas!$S$4)),"",CEILING(($DQ47*$DL47/60),Puertas!$S$4))</f>
        <v/>
      </c>
      <c r="DT47" s="18" t="str">
        <f t="shared" si="4"/>
        <v/>
      </c>
      <c r="DU47" s="104" t="str">
        <f t="shared" si="5"/>
        <v/>
      </c>
      <c r="DV47" s="105" t="str">
        <f>IF(D47="","",SUMIF(Puertas!$K$15:$K$114,B47,Puertas!$U$15:$U$114)+SUMIF(Puertas!$O$15:$O$114,B47,Puertas!$W$15:$W$114))</f>
        <v/>
      </c>
      <c r="DW47" s="106" t="str">
        <f t="shared" si="6"/>
        <v/>
      </c>
      <c r="DX47" s="104" t="str">
        <f t="shared" si="15"/>
        <v/>
      </c>
      <c r="DY47" s="105" t="str">
        <f t="shared" si="16"/>
        <v/>
      </c>
      <c r="DZ47" s="107"/>
      <c r="EA47" s="107"/>
      <c r="EB47" s="105" t="e">
        <f>ABS(IF(D47="","",SUMIF(Puertas!$K$15:$K$114,B47,Puertas!$V$15:$V$114)+SUMIF(Puertas!$O$15:$O$114,B47,Puertas!$X$15:$X$114)))</f>
        <v>#VALUE!</v>
      </c>
      <c r="EC47" s="105" t="str">
        <f t="shared" si="17"/>
        <v/>
      </c>
      <c r="ED47" s="106" t="str">
        <f t="shared" si="18"/>
        <v/>
      </c>
      <c r="EE47" s="41"/>
      <c r="EF47" s="6" t="b">
        <v>0</v>
      </c>
      <c r="EG47" s="6" t="b">
        <v>0</v>
      </c>
      <c r="EH47" s="5" t="e">
        <f t="shared" si="19"/>
        <v>#VALUE!</v>
      </c>
      <c r="EI47" s="5" t="e">
        <f t="shared" si="20"/>
        <v>#VALUE!</v>
      </c>
      <c r="EJ47" s="3">
        <f t="shared" si="21"/>
        <v>0</v>
      </c>
      <c r="EK47" s="3">
        <f t="shared" si="22"/>
        <v>0</v>
      </c>
      <c r="EL47" s="5" t="e">
        <f t="shared" si="23"/>
        <v>#VALUE!</v>
      </c>
      <c r="EM47" s="5" t="e">
        <f t="shared" si="24"/>
        <v>#VALUE!</v>
      </c>
    </row>
    <row r="48" spans="1:143" x14ac:dyDescent="0.3">
      <c r="A48" s="1">
        <v>32</v>
      </c>
      <c r="B48" s="19">
        <v>32</v>
      </c>
      <c r="C48" s="310"/>
      <c r="D48" s="310"/>
      <c r="E48" s="318"/>
      <c r="F48" s="330"/>
      <c r="G48" s="320"/>
      <c r="H48" s="447"/>
      <c r="I48" s="321"/>
      <c r="J48" s="318"/>
      <c r="K48" s="322"/>
      <c r="L48" s="323"/>
      <c r="M48" s="20">
        <f t="shared" si="7"/>
        <v>0</v>
      </c>
      <c r="N48" s="21">
        <f t="shared" si="8"/>
        <v>0</v>
      </c>
      <c r="O48" s="21">
        <f t="shared" si="25"/>
        <v>0</v>
      </c>
      <c r="P48" s="21">
        <f t="shared" si="26"/>
        <v>0</v>
      </c>
      <c r="Q48" s="21">
        <f t="shared" si="27"/>
        <v>0</v>
      </c>
      <c r="R48" s="21">
        <f t="shared" si="28"/>
        <v>0</v>
      </c>
      <c r="S48" s="21">
        <f t="shared" si="29"/>
        <v>0</v>
      </c>
      <c r="T48" s="21">
        <f t="shared" si="30"/>
        <v>0</v>
      </c>
      <c r="U48" s="21">
        <f t="shared" si="31"/>
        <v>0</v>
      </c>
      <c r="V48" s="21">
        <f t="shared" si="32"/>
        <v>0</v>
      </c>
      <c r="W48" s="21">
        <f t="shared" si="33"/>
        <v>0</v>
      </c>
      <c r="X48" s="21">
        <f t="shared" si="34"/>
        <v>0</v>
      </c>
      <c r="Y48" s="21">
        <f t="shared" si="35"/>
        <v>0</v>
      </c>
      <c r="Z48" s="21">
        <f t="shared" si="36"/>
        <v>0</v>
      </c>
      <c r="AA48" s="21">
        <f t="shared" si="37"/>
        <v>0</v>
      </c>
      <c r="AB48" s="21">
        <f t="shared" si="38"/>
        <v>0</v>
      </c>
      <c r="AC48" s="21">
        <f t="shared" si="39"/>
        <v>0</v>
      </c>
      <c r="AD48" s="21">
        <f t="shared" si="40"/>
        <v>0</v>
      </c>
      <c r="AE48" s="21">
        <f t="shared" si="41"/>
        <v>0</v>
      </c>
      <c r="AF48" s="21">
        <f t="shared" si="42"/>
        <v>0</v>
      </c>
      <c r="AG48" s="21">
        <f t="shared" si="43"/>
        <v>0</v>
      </c>
      <c r="AH48" s="21">
        <f t="shared" si="44"/>
        <v>0</v>
      </c>
      <c r="AI48" s="21">
        <f t="shared" si="45"/>
        <v>0</v>
      </c>
      <c r="AJ48" s="21">
        <f t="shared" si="46"/>
        <v>0</v>
      </c>
      <c r="AK48" s="21">
        <f t="shared" si="47"/>
        <v>0</v>
      </c>
      <c r="AL48" s="21">
        <f t="shared" si="48"/>
        <v>0</v>
      </c>
      <c r="AM48" s="21">
        <f t="shared" si="49"/>
        <v>0</v>
      </c>
      <c r="AN48" s="21">
        <f t="shared" si="50"/>
        <v>0</v>
      </c>
      <c r="AO48" s="21">
        <f t="shared" si="51"/>
        <v>0</v>
      </c>
      <c r="AP48" s="21">
        <f t="shared" si="52"/>
        <v>0</v>
      </c>
      <c r="AQ48" s="21">
        <f t="shared" si="53"/>
        <v>0</v>
      </c>
      <c r="AR48" s="21">
        <f t="shared" ref="AR48:AR79" si="54">IF($AR$47=0,0,IF(AND($A48=$A47,$A48&lt;&gt;0,AR47&lt;&gt;0),$M48,0))</f>
        <v>0</v>
      </c>
      <c r="AS48" s="21">
        <f>IF(AR48&lt;&gt;0,0,IF(OR($A48=0,$A48=$A47),0,$M48))</f>
        <v>0</v>
      </c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 t="str">
        <v/>
      </c>
      <c r="DK48" s="32" t="str">
        <f t="shared" si="9"/>
        <v/>
      </c>
      <c r="DL48" s="28" t="str">
        <f t="shared" si="2"/>
        <v/>
      </c>
      <c r="DM48" s="33" t="str">
        <f t="shared" si="3"/>
        <v/>
      </c>
      <c r="DN48" s="20">
        <f t="shared" si="10"/>
        <v>20</v>
      </c>
      <c r="DO48" s="20">
        <f t="shared" si="11"/>
        <v>0</v>
      </c>
      <c r="DP48" s="20">
        <f t="shared" si="12"/>
        <v>0</v>
      </c>
      <c r="DQ48" s="20">
        <f t="shared" si="13"/>
        <v>20</v>
      </c>
      <c r="DR48" s="20" t="str">
        <f t="shared" si="14"/>
        <v/>
      </c>
      <c r="DS48" s="22" t="str">
        <f>IF(ISERROR(CEILING(($DQ48*$DL48/60),Puertas!$S$4)),"",CEILING(($DQ48*$DL48/60),Puertas!$S$4))</f>
        <v/>
      </c>
      <c r="DT48" s="22" t="str">
        <f t="shared" si="4"/>
        <v/>
      </c>
      <c r="DU48" s="108" t="str">
        <f t="shared" si="5"/>
        <v/>
      </c>
      <c r="DV48" s="109" t="str">
        <f>IF(D48="","",SUMIF(Puertas!$K$15:$K$114,B48,Puertas!$U$15:$U$114)+SUMIF(Puertas!$O$15:$O$114,B48,Puertas!$W$15:$W$114))</f>
        <v/>
      </c>
      <c r="DW48" s="110" t="str">
        <f t="shared" si="6"/>
        <v/>
      </c>
      <c r="DX48" s="108" t="str">
        <f t="shared" si="15"/>
        <v/>
      </c>
      <c r="DY48" s="109" t="str">
        <f t="shared" si="16"/>
        <v/>
      </c>
      <c r="DZ48" s="111"/>
      <c r="EA48" s="111"/>
      <c r="EB48" s="109" t="e">
        <f>ABS(IF(D48="","",SUMIF(Puertas!$K$15:$K$114,B48,Puertas!$V$15:$V$114)+SUMIF(Puertas!$O$15:$O$114,B48,Puertas!$X$15:$X$114)))</f>
        <v>#VALUE!</v>
      </c>
      <c r="EC48" s="109" t="str">
        <f t="shared" si="17"/>
        <v/>
      </c>
      <c r="ED48" s="110" t="str">
        <f t="shared" si="18"/>
        <v/>
      </c>
      <c r="EE48" s="42"/>
      <c r="EF48" s="6" t="b">
        <v>0</v>
      </c>
      <c r="EG48" s="6" t="b">
        <v>0</v>
      </c>
      <c r="EH48" s="5" t="e">
        <f t="shared" si="19"/>
        <v>#VALUE!</v>
      </c>
      <c r="EI48" s="5" t="e">
        <f t="shared" si="20"/>
        <v>#VALUE!</v>
      </c>
      <c r="EJ48" s="3">
        <f t="shared" si="21"/>
        <v>0</v>
      </c>
      <c r="EK48" s="3">
        <f t="shared" si="22"/>
        <v>0</v>
      </c>
      <c r="EL48" s="5" t="e">
        <f t="shared" si="23"/>
        <v>#VALUE!</v>
      </c>
      <c r="EM48" s="5" t="e">
        <f t="shared" si="24"/>
        <v>#VALUE!</v>
      </c>
    </row>
    <row r="49" spans="1:143" x14ac:dyDescent="0.3">
      <c r="A49" s="1">
        <v>33</v>
      </c>
      <c r="B49" s="23">
        <v>33</v>
      </c>
      <c r="C49" s="311"/>
      <c r="D49" s="311"/>
      <c r="E49" s="324"/>
      <c r="F49" s="331"/>
      <c r="G49" s="326"/>
      <c r="H49" s="448"/>
      <c r="I49" s="327"/>
      <c r="J49" s="324"/>
      <c r="K49" s="328"/>
      <c r="L49" s="329"/>
      <c r="M49" s="24">
        <f t="shared" si="7"/>
        <v>0</v>
      </c>
      <c r="N49" s="25">
        <f t="shared" si="8"/>
        <v>0</v>
      </c>
      <c r="O49" s="25">
        <f t="shared" si="25"/>
        <v>0</v>
      </c>
      <c r="P49" s="25">
        <f t="shared" si="26"/>
        <v>0</v>
      </c>
      <c r="Q49" s="25">
        <f t="shared" si="27"/>
        <v>0</v>
      </c>
      <c r="R49" s="25">
        <f t="shared" si="28"/>
        <v>0</v>
      </c>
      <c r="S49" s="25">
        <f t="shared" si="29"/>
        <v>0</v>
      </c>
      <c r="T49" s="25">
        <f t="shared" si="30"/>
        <v>0</v>
      </c>
      <c r="U49" s="25">
        <f t="shared" si="31"/>
        <v>0</v>
      </c>
      <c r="V49" s="25">
        <f t="shared" si="32"/>
        <v>0</v>
      </c>
      <c r="W49" s="25">
        <f t="shared" si="33"/>
        <v>0</v>
      </c>
      <c r="X49" s="25">
        <f t="shared" si="34"/>
        <v>0</v>
      </c>
      <c r="Y49" s="25">
        <f t="shared" si="35"/>
        <v>0</v>
      </c>
      <c r="Z49" s="25">
        <f t="shared" si="36"/>
        <v>0</v>
      </c>
      <c r="AA49" s="25">
        <f t="shared" si="37"/>
        <v>0</v>
      </c>
      <c r="AB49" s="25">
        <f t="shared" si="38"/>
        <v>0</v>
      </c>
      <c r="AC49" s="25">
        <f t="shared" si="39"/>
        <v>0</v>
      </c>
      <c r="AD49" s="25">
        <f t="shared" si="40"/>
        <v>0</v>
      </c>
      <c r="AE49" s="25">
        <f t="shared" si="41"/>
        <v>0</v>
      </c>
      <c r="AF49" s="25">
        <f t="shared" si="42"/>
        <v>0</v>
      </c>
      <c r="AG49" s="25">
        <f t="shared" si="43"/>
        <v>0</v>
      </c>
      <c r="AH49" s="25">
        <f t="shared" si="44"/>
        <v>0</v>
      </c>
      <c r="AI49" s="25">
        <f t="shared" si="45"/>
        <v>0</v>
      </c>
      <c r="AJ49" s="25">
        <f t="shared" si="46"/>
        <v>0</v>
      </c>
      <c r="AK49" s="25">
        <f t="shared" si="47"/>
        <v>0</v>
      </c>
      <c r="AL49" s="25">
        <f t="shared" si="48"/>
        <v>0</v>
      </c>
      <c r="AM49" s="25">
        <f t="shared" si="49"/>
        <v>0</v>
      </c>
      <c r="AN49" s="25">
        <f t="shared" si="50"/>
        <v>0</v>
      </c>
      <c r="AO49" s="25">
        <f t="shared" si="51"/>
        <v>0</v>
      </c>
      <c r="AP49" s="25">
        <f t="shared" si="52"/>
        <v>0</v>
      </c>
      <c r="AQ49" s="25">
        <f t="shared" si="53"/>
        <v>0</v>
      </c>
      <c r="AR49" s="25">
        <f t="shared" si="54"/>
        <v>0</v>
      </c>
      <c r="AS49" s="25">
        <f t="shared" ref="AS49:AS80" si="55">IF($AS$48=0,0,IF(AND($A49=$A48,$A49&lt;&gt;0,AS48&lt;&gt;0),$M49,0))</f>
        <v>0</v>
      </c>
      <c r="AT49" s="25">
        <f>IF(AS49&lt;&gt;0,0,IF(OR($A49=0,$A49=$A48),0,$M49))</f>
        <v>0</v>
      </c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 t="str">
        <v/>
      </c>
      <c r="DK49" s="34" t="str">
        <f t="shared" si="9"/>
        <v/>
      </c>
      <c r="DL49" s="29" t="str">
        <f t="shared" ref="DL49:DL80" si="56">IF(DK49="","",DK49/(0.3048^3))</f>
        <v/>
      </c>
      <c r="DM49" s="35" t="str">
        <f t="shared" ref="DM49:DM80" si="57">IF(OR($D49="",$DL49=""),"",IF(ISERROR(($DU49*60)/$DL49),0,($DU49*60)/$DL49))</f>
        <v/>
      </c>
      <c r="DN49" s="24">
        <f t="shared" si="10"/>
        <v>20</v>
      </c>
      <c r="DO49" s="24">
        <f t="shared" si="11"/>
        <v>0</v>
      </c>
      <c r="DP49" s="24">
        <f t="shared" si="12"/>
        <v>0</v>
      </c>
      <c r="DQ49" s="24">
        <f t="shared" si="13"/>
        <v>20</v>
      </c>
      <c r="DR49" s="24" t="str">
        <f t="shared" si="14"/>
        <v/>
      </c>
      <c r="DS49" s="26" t="str">
        <f>IF(ISERROR(CEILING(($DQ49*$DL49/60),Puertas!$S$4)),"",CEILING(($DQ49*$DL49/60),Puertas!$S$4))</f>
        <v/>
      </c>
      <c r="DT49" s="26" t="str">
        <f t="shared" ref="DT49:DT80" si="58">IFERROR(EC49-DV49,"")</f>
        <v/>
      </c>
      <c r="DU49" s="112" t="str">
        <f t="shared" ref="DU49:DU80" si="59">IF(ISERROR(EC49-DV49),"",IF(EC49-DV49&gt;0,MAX(EC49-DV49,DS49),DS49))</f>
        <v/>
      </c>
      <c r="DV49" s="113" t="str">
        <f>IF(D49="","",SUMIF(Puertas!$K$15:$K$114,B49,Puertas!$U$15:$U$114)+SUMIF(Puertas!$O$15:$O$114,B49,Puertas!$W$15:$W$114))</f>
        <v/>
      </c>
      <c r="DW49" s="114" t="str">
        <f t="shared" ref="DW49:DW80" si="60">IF(AND(OR(DU49&lt;&gt;0,DV49&lt;&gt;0),DU49&lt;&gt;"",DV49&lt;&gt;""),SUM(DU49:DV49),"")</f>
        <v/>
      </c>
      <c r="DX49" s="112" t="str">
        <f t="shared" si="15"/>
        <v/>
      </c>
      <c r="DY49" s="113" t="str">
        <f t="shared" si="16"/>
        <v/>
      </c>
      <c r="DZ49" s="115"/>
      <c r="EA49" s="115"/>
      <c r="EB49" s="113" t="e">
        <f>ABS(IF(D49="","",SUMIF(Puertas!$K$15:$K$114,B49,Puertas!$V$15:$V$114)+SUMIF(Puertas!$O$15:$O$114,B49,Puertas!$X$15:$X$114)))</f>
        <v>#VALUE!</v>
      </c>
      <c r="EC49" s="113" t="str">
        <f t="shared" si="17"/>
        <v/>
      </c>
      <c r="ED49" s="114" t="str">
        <f t="shared" si="18"/>
        <v/>
      </c>
      <c r="EE49" s="43"/>
      <c r="EF49" s="6" t="b">
        <v>0</v>
      </c>
      <c r="EG49" s="6" t="b">
        <v>0</v>
      </c>
      <c r="EH49" s="5" t="e">
        <f t="shared" si="19"/>
        <v>#VALUE!</v>
      </c>
      <c r="EI49" s="5" t="e">
        <f t="shared" si="20"/>
        <v>#VALUE!</v>
      </c>
      <c r="EJ49" s="3">
        <f t="shared" si="21"/>
        <v>0</v>
      </c>
      <c r="EK49" s="3">
        <f t="shared" si="22"/>
        <v>0</v>
      </c>
      <c r="EL49" s="5" t="e">
        <f t="shared" si="23"/>
        <v>#VALUE!</v>
      </c>
      <c r="EM49" s="5" t="e">
        <f t="shared" si="24"/>
        <v>#VALUE!</v>
      </c>
    </row>
    <row r="50" spans="1:143" x14ac:dyDescent="0.3">
      <c r="A50" s="1">
        <v>34</v>
      </c>
      <c r="B50" s="15">
        <v>34</v>
      </c>
      <c r="C50" s="309"/>
      <c r="D50" s="309"/>
      <c r="E50" s="312"/>
      <c r="F50" s="332"/>
      <c r="G50" s="314"/>
      <c r="H50" s="446"/>
      <c r="I50" s="315"/>
      <c r="J50" s="312"/>
      <c r="K50" s="316"/>
      <c r="L50" s="317"/>
      <c r="M50" s="16">
        <f t="shared" si="7"/>
        <v>0</v>
      </c>
      <c r="N50" s="17">
        <f t="shared" si="8"/>
        <v>0</v>
      </c>
      <c r="O50" s="17">
        <f t="shared" si="25"/>
        <v>0</v>
      </c>
      <c r="P50" s="17">
        <f t="shared" si="26"/>
        <v>0</v>
      </c>
      <c r="Q50" s="17">
        <f t="shared" si="27"/>
        <v>0</v>
      </c>
      <c r="R50" s="17">
        <f t="shared" si="28"/>
        <v>0</v>
      </c>
      <c r="S50" s="17">
        <f t="shared" si="29"/>
        <v>0</v>
      </c>
      <c r="T50" s="17">
        <f t="shared" si="30"/>
        <v>0</v>
      </c>
      <c r="U50" s="17">
        <f t="shared" si="31"/>
        <v>0</v>
      </c>
      <c r="V50" s="17">
        <f t="shared" si="32"/>
        <v>0</v>
      </c>
      <c r="W50" s="17">
        <f t="shared" si="33"/>
        <v>0</v>
      </c>
      <c r="X50" s="17">
        <f t="shared" si="34"/>
        <v>0</v>
      </c>
      <c r="Y50" s="17">
        <f t="shared" si="35"/>
        <v>0</v>
      </c>
      <c r="Z50" s="17">
        <f t="shared" si="36"/>
        <v>0</v>
      </c>
      <c r="AA50" s="17">
        <f t="shared" si="37"/>
        <v>0</v>
      </c>
      <c r="AB50" s="17">
        <f t="shared" si="38"/>
        <v>0</v>
      </c>
      <c r="AC50" s="17">
        <f t="shared" si="39"/>
        <v>0</v>
      </c>
      <c r="AD50" s="17">
        <f t="shared" si="40"/>
        <v>0</v>
      </c>
      <c r="AE50" s="17">
        <f t="shared" si="41"/>
        <v>0</v>
      </c>
      <c r="AF50" s="17">
        <f t="shared" si="42"/>
        <v>0</v>
      </c>
      <c r="AG50" s="17">
        <f t="shared" si="43"/>
        <v>0</v>
      </c>
      <c r="AH50" s="17">
        <f t="shared" si="44"/>
        <v>0</v>
      </c>
      <c r="AI50" s="17">
        <f t="shared" si="45"/>
        <v>0</v>
      </c>
      <c r="AJ50" s="17">
        <f t="shared" si="46"/>
        <v>0</v>
      </c>
      <c r="AK50" s="17">
        <f t="shared" si="47"/>
        <v>0</v>
      </c>
      <c r="AL50" s="17">
        <f t="shared" si="48"/>
        <v>0</v>
      </c>
      <c r="AM50" s="17">
        <f t="shared" si="49"/>
        <v>0</v>
      </c>
      <c r="AN50" s="17">
        <f t="shared" si="50"/>
        <v>0</v>
      </c>
      <c r="AO50" s="17">
        <f t="shared" si="51"/>
        <v>0</v>
      </c>
      <c r="AP50" s="17">
        <f t="shared" si="52"/>
        <v>0</v>
      </c>
      <c r="AQ50" s="17">
        <f t="shared" si="53"/>
        <v>0</v>
      </c>
      <c r="AR50" s="17">
        <f t="shared" si="54"/>
        <v>0</v>
      </c>
      <c r="AS50" s="17">
        <f t="shared" si="55"/>
        <v>0</v>
      </c>
      <c r="AT50" s="17">
        <f t="shared" ref="AT50:AT81" si="61">IF($AT$49=0,0,IF(AND($A50=$A49,$A50&lt;&gt;0,AT49&lt;&gt;0),$M50,0))</f>
        <v>0</v>
      </c>
      <c r="AU50" s="17">
        <f>IF(AT50&lt;&gt;0,0,IF(OR($A50=0,$A50=$A49),0,$M50))</f>
        <v>0</v>
      </c>
      <c r="AV50" s="17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17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17" t="str">
        <v/>
      </c>
      <c r="DK50" s="30" t="str">
        <f t="shared" si="9"/>
        <v/>
      </c>
      <c r="DL50" s="27" t="str">
        <f t="shared" si="56"/>
        <v/>
      </c>
      <c r="DM50" s="31" t="str">
        <f t="shared" si="57"/>
        <v/>
      </c>
      <c r="DN50" s="16">
        <f t="shared" si="10"/>
        <v>20</v>
      </c>
      <c r="DO50" s="16">
        <f t="shared" si="11"/>
        <v>0</v>
      </c>
      <c r="DP50" s="16">
        <f t="shared" si="12"/>
        <v>0</v>
      </c>
      <c r="DQ50" s="16">
        <f t="shared" si="13"/>
        <v>20</v>
      </c>
      <c r="DR50" s="16" t="str">
        <f t="shared" si="14"/>
        <v/>
      </c>
      <c r="DS50" s="18" t="str">
        <f>IF(ISERROR(CEILING(($DQ50*$DL50/60),Puertas!$S$4)),"",CEILING(($DQ50*$DL50/60),Puertas!$S$4))</f>
        <v/>
      </c>
      <c r="DT50" s="18" t="str">
        <f t="shared" si="58"/>
        <v/>
      </c>
      <c r="DU50" s="104" t="str">
        <f t="shared" si="59"/>
        <v/>
      </c>
      <c r="DV50" s="105" t="str">
        <f>IF(D50="","",SUMIF(Puertas!$K$15:$K$114,B50,Puertas!$U$15:$U$114)+SUMIF(Puertas!$O$15:$O$114,B50,Puertas!$W$15:$W$114))</f>
        <v/>
      </c>
      <c r="DW50" s="106" t="str">
        <f t="shared" si="60"/>
        <v/>
      </c>
      <c r="DX50" s="104" t="str">
        <f t="shared" si="15"/>
        <v/>
      </c>
      <c r="DY50" s="105" t="str">
        <f t="shared" si="16"/>
        <v/>
      </c>
      <c r="DZ50" s="107"/>
      <c r="EA50" s="107"/>
      <c r="EB50" s="105" t="e">
        <f>ABS(IF(D50="","",SUMIF(Puertas!$K$15:$K$114,B50,Puertas!$V$15:$V$114)+SUMIF(Puertas!$O$15:$O$114,B50,Puertas!$X$15:$X$114)))</f>
        <v>#VALUE!</v>
      </c>
      <c r="EC50" s="105" t="str">
        <f t="shared" si="17"/>
        <v/>
      </c>
      <c r="ED50" s="106" t="str">
        <f t="shared" si="18"/>
        <v/>
      </c>
      <c r="EE50" s="41"/>
      <c r="EF50" s="6" t="b">
        <v>0</v>
      </c>
      <c r="EG50" s="6" t="b">
        <v>0</v>
      </c>
      <c r="EH50" s="5" t="e">
        <f t="shared" si="19"/>
        <v>#VALUE!</v>
      </c>
      <c r="EI50" s="5" t="e">
        <f t="shared" si="20"/>
        <v>#VALUE!</v>
      </c>
      <c r="EJ50" s="3">
        <f t="shared" si="21"/>
        <v>0</v>
      </c>
      <c r="EK50" s="3">
        <f t="shared" si="22"/>
        <v>0</v>
      </c>
      <c r="EL50" s="5" t="e">
        <f t="shared" si="23"/>
        <v>#VALUE!</v>
      </c>
      <c r="EM50" s="5" t="e">
        <f t="shared" si="24"/>
        <v>#VALUE!</v>
      </c>
    </row>
    <row r="51" spans="1:143" x14ac:dyDescent="0.3">
      <c r="A51" s="1">
        <v>35</v>
      </c>
      <c r="B51" s="19">
        <v>35</v>
      </c>
      <c r="C51" s="310"/>
      <c r="D51" s="310"/>
      <c r="E51" s="318"/>
      <c r="F51" s="330"/>
      <c r="G51" s="320"/>
      <c r="H51" s="447"/>
      <c r="I51" s="321"/>
      <c r="J51" s="318"/>
      <c r="K51" s="322"/>
      <c r="L51" s="323"/>
      <c r="M51" s="20">
        <f t="shared" si="7"/>
        <v>0</v>
      </c>
      <c r="N51" s="21">
        <f t="shared" si="8"/>
        <v>0</v>
      </c>
      <c r="O51" s="21">
        <f t="shared" ref="O51:O82" si="62">IF($O$18=0,0,IF(AND($A51=$A50,$A51&lt;&gt;0,O50&lt;&gt;0),$M51,0))</f>
        <v>0</v>
      </c>
      <c r="P51" s="21">
        <f t="shared" si="26"/>
        <v>0</v>
      </c>
      <c r="Q51" s="21">
        <f t="shared" si="27"/>
        <v>0</v>
      </c>
      <c r="R51" s="21">
        <f t="shared" si="28"/>
        <v>0</v>
      </c>
      <c r="S51" s="21">
        <f t="shared" si="29"/>
        <v>0</v>
      </c>
      <c r="T51" s="21">
        <f t="shared" si="30"/>
        <v>0</v>
      </c>
      <c r="U51" s="21">
        <f t="shared" si="31"/>
        <v>0</v>
      </c>
      <c r="V51" s="21">
        <f t="shared" si="32"/>
        <v>0</v>
      </c>
      <c r="W51" s="21">
        <f t="shared" si="33"/>
        <v>0</v>
      </c>
      <c r="X51" s="21">
        <f t="shared" si="34"/>
        <v>0</v>
      </c>
      <c r="Y51" s="21">
        <f t="shared" si="35"/>
        <v>0</v>
      </c>
      <c r="Z51" s="21">
        <f t="shared" si="36"/>
        <v>0</v>
      </c>
      <c r="AA51" s="21">
        <f t="shared" si="37"/>
        <v>0</v>
      </c>
      <c r="AB51" s="21">
        <f t="shared" si="38"/>
        <v>0</v>
      </c>
      <c r="AC51" s="21">
        <f t="shared" si="39"/>
        <v>0</v>
      </c>
      <c r="AD51" s="21">
        <f t="shared" si="40"/>
        <v>0</v>
      </c>
      <c r="AE51" s="21">
        <f t="shared" si="41"/>
        <v>0</v>
      </c>
      <c r="AF51" s="21">
        <f t="shared" si="42"/>
        <v>0</v>
      </c>
      <c r="AG51" s="21">
        <f t="shared" si="43"/>
        <v>0</v>
      </c>
      <c r="AH51" s="21">
        <f t="shared" si="44"/>
        <v>0</v>
      </c>
      <c r="AI51" s="21">
        <f t="shared" si="45"/>
        <v>0</v>
      </c>
      <c r="AJ51" s="21">
        <f t="shared" si="46"/>
        <v>0</v>
      </c>
      <c r="AK51" s="21">
        <f t="shared" si="47"/>
        <v>0</v>
      </c>
      <c r="AL51" s="21">
        <f t="shared" si="48"/>
        <v>0</v>
      </c>
      <c r="AM51" s="21">
        <f t="shared" si="49"/>
        <v>0</v>
      </c>
      <c r="AN51" s="21">
        <f t="shared" si="50"/>
        <v>0</v>
      </c>
      <c r="AO51" s="21">
        <f t="shared" si="51"/>
        <v>0</v>
      </c>
      <c r="AP51" s="21">
        <f t="shared" si="52"/>
        <v>0</v>
      </c>
      <c r="AQ51" s="21">
        <f t="shared" si="53"/>
        <v>0</v>
      </c>
      <c r="AR51" s="21">
        <f t="shared" si="54"/>
        <v>0</v>
      </c>
      <c r="AS51" s="21">
        <f t="shared" si="55"/>
        <v>0</v>
      </c>
      <c r="AT51" s="21">
        <f t="shared" si="61"/>
        <v>0</v>
      </c>
      <c r="AU51" s="21">
        <f t="shared" ref="AU51:AU82" si="63">IF($AU$50=0,0,IF(AND($A51=$A50,$A51&lt;&gt;0,AU50&lt;&gt;0),$M51,0))</f>
        <v>0</v>
      </c>
      <c r="AV51" s="21">
        <f>IF(AU51&lt;&gt;0,0,IF(OR($A51=0,$A51=$A50),0,$M51))</f>
        <v>0</v>
      </c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  <c r="BJ51" s="21"/>
      <c r="BK51" s="21"/>
      <c r="BL51" s="21"/>
      <c r="BM51" s="21"/>
      <c r="BN51" s="21"/>
      <c r="BO51" s="21"/>
      <c r="BP51" s="21"/>
      <c r="BQ51" s="21"/>
      <c r="BR51" s="21"/>
      <c r="BS51" s="21"/>
      <c r="BT51" s="21"/>
      <c r="BU51" s="21"/>
      <c r="BV51" s="21"/>
      <c r="BW51" s="21"/>
      <c r="BX51" s="21"/>
      <c r="BY51" s="21"/>
      <c r="BZ51" s="21"/>
      <c r="CA51" s="21"/>
      <c r="CB51" s="21"/>
      <c r="CC51" s="21"/>
      <c r="CD51" s="21"/>
      <c r="CE51" s="21"/>
      <c r="CF51" s="21"/>
      <c r="CG51" s="21"/>
      <c r="CH51" s="21"/>
      <c r="CI51" s="21"/>
      <c r="CJ51" s="21"/>
      <c r="CK51" s="21"/>
      <c r="CL51" s="21"/>
      <c r="CM51" s="21"/>
      <c r="CN51" s="21"/>
      <c r="CO51" s="21"/>
      <c r="CP51" s="21"/>
      <c r="CQ51" s="21"/>
      <c r="CR51" s="21"/>
      <c r="CS51" s="21"/>
      <c r="CT51" s="21"/>
      <c r="CU51" s="21"/>
      <c r="CV51" s="21"/>
      <c r="CW51" s="21"/>
      <c r="CX51" s="21"/>
      <c r="CY51" s="21"/>
      <c r="CZ51" s="21"/>
      <c r="DA51" s="21"/>
      <c r="DB51" s="21"/>
      <c r="DC51" s="21"/>
      <c r="DD51" s="21"/>
      <c r="DE51" s="21"/>
      <c r="DF51" s="21"/>
      <c r="DG51" s="21"/>
      <c r="DH51" s="21"/>
      <c r="DI51" s="21"/>
      <c r="DJ51" s="21" t="str">
        <v/>
      </c>
      <c r="DK51" s="32" t="str">
        <f t="shared" si="9"/>
        <v/>
      </c>
      <c r="DL51" s="28" t="str">
        <f t="shared" si="56"/>
        <v/>
      </c>
      <c r="DM51" s="33" t="str">
        <f t="shared" si="57"/>
        <v/>
      </c>
      <c r="DN51" s="20">
        <f t="shared" si="10"/>
        <v>20</v>
      </c>
      <c r="DO51" s="20">
        <f t="shared" si="11"/>
        <v>0</v>
      </c>
      <c r="DP51" s="20">
        <f t="shared" si="12"/>
        <v>0</v>
      </c>
      <c r="DQ51" s="20">
        <f t="shared" si="13"/>
        <v>20</v>
      </c>
      <c r="DR51" s="20" t="str">
        <f t="shared" si="14"/>
        <v/>
      </c>
      <c r="DS51" s="22" t="str">
        <f>IF(ISERROR(CEILING(($DQ51*$DL51/60),Puertas!$S$4)),"",CEILING(($DQ51*$DL51/60),Puertas!$S$4))</f>
        <v/>
      </c>
      <c r="DT51" s="22" t="str">
        <f t="shared" si="58"/>
        <v/>
      </c>
      <c r="DU51" s="108" t="str">
        <f t="shared" si="59"/>
        <v/>
      </c>
      <c r="DV51" s="109" t="str">
        <f>IF(D51="","",SUMIF(Puertas!$K$15:$K$114,B51,Puertas!$U$15:$U$114)+SUMIF(Puertas!$O$15:$O$114,B51,Puertas!$W$15:$W$114))</f>
        <v/>
      </c>
      <c r="DW51" s="110" t="str">
        <f t="shared" si="60"/>
        <v/>
      </c>
      <c r="DX51" s="108" t="str">
        <f t="shared" si="15"/>
        <v/>
      </c>
      <c r="DY51" s="109" t="str">
        <f t="shared" si="16"/>
        <v/>
      </c>
      <c r="DZ51" s="111"/>
      <c r="EA51" s="111"/>
      <c r="EB51" s="109" t="e">
        <f>ABS(IF(D51="","",SUMIF(Puertas!$K$15:$K$114,B51,Puertas!$V$15:$V$114)+SUMIF(Puertas!$O$15:$O$114,B51,Puertas!$X$15:$X$114)))</f>
        <v>#VALUE!</v>
      </c>
      <c r="EC51" s="109" t="str">
        <f t="shared" si="17"/>
        <v/>
      </c>
      <c r="ED51" s="110" t="str">
        <f t="shared" si="18"/>
        <v/>
      </c>
      <c r="EE51" s="42"/>
      <c r="EF51" s="6" t="b">
        <v>0</v>
      </c>
      <c r="EG51" s="6" t="b">
        <v>0</v>
      </c>
      <c r="EH51" s="5" t="e">
        <f t="shared" si="19"/>
        <v>#VALUE!</v>
      </c>
      <c r="EI51" s="5" t="e">
        <f t="shared" si="20"/>
        <v>#VALUE!</v>
      </c>
      <c r="EJ51" s="3">
        <f t="shared" si="21"/>
        <v>0</v>
      </c>
      <c r="EK51" s="3">
        <f t="shared" si="22"/>
        <v>0</v>
      </c>
      <c r="EL51" s="5" t="e">
        <f t="shared" si="23"/>
        <v>#VALUE!</v>
      </c>
      <c r="EM51" s="5" t="e">
        <f t="shared" si="24"/>
        <v>#VALUE!</v>
      </c>
    </row>
    <row r="52" spans="1:143" x14ac:dyDescent="0.3">
      <c r="A52" s="1">
        <v>36</v>
      </c>
      <c r="B52" s="23">
        <v>36</v>
      </c>
      <c r="C52" s="311"/>
      <c r="D52" s="311"/>
      <c r="E52" s="324"/>
      <c r="F52" s="331"/>
      <c r="G52" s="326"/>
      <c r="H52" s="448"/>
      <c r="I52" s="327"/>
      <c r="J52" s="324"/>
      <c r="K52" s="328"/>
      <c r="L52" s="329"/>
      <c r="M52" s="24">
        <f t="shared" si="7"/>
        <v>0</v>
      </c>
      <c r="N52" s="25">
        <f t="shared" si="8"/>
        <v>0</v>
      </c>
      <c r="O52" s="25">
        <f t="shared" si="62"/>
        <v>0</v>
      </c>
      <c r="P52" s="25">
        <f t="shared" ref="P52:P83" si="64">IF($P$19=0,0,IF(AND($A52=$A51,$A52&lt;&gt;0,P51&lt;&gt;0),$M52,0))</f>
        <v>0</v>
      </c>
      <c r="Q52" s="25">
        <f t="shared" si="27"/>
        <v>0</v>
      </c>
      <c r="R52" s="25">
        <f t="shared" si="28"/>
        <v>0</v>
      </c>
      <c r="S52" s="25">
        <f t="shared" si="29"/>
        <v>0</v>
      </c>
      <c r="T52" s="25">
        <f t="shared" si="30"/>
        <v>0</v>
      </c>
      <c r="U52" s="25">
        <f t="shared" si="31"/>
        <v>0</v>
      </c>
      <c r="V52" s="25">
        <f t="shared" si="32"/>
        <v>0</v>
      </c>
      <c r="W52" s="25">
        <f t="shared" si="33"/>
        <v>0</v>
      </c>
      <c r="X52" s="25">
        <f t="shared" si="34"/>
        <v>0</v>
      </c>
      <c r="Y52" s="25">
        <f t="shared" si="35"/>
        <v>0</v>
      </c>
      <c r="Z52" s="25">
        <f t="shared" si="36"/>
        <v>0</v>
      </c>
      <c r="AA52" s="25">
        <f t="shared" si="37"/>
        <v>0</v>
      </c>
      <c r="AB52" s="25">
        <f t="shared" si="38"/>
        <v>0</v>
      </c>
      <c r="AC52" s="25">
        <f t="shared" si="39"/>
        <v>0</v>
      </c>
      <c r="AD52" s="25">
        <f t="shared" si="40"/>
        <v>0</v>
      </c>
      <c r="AE52" s="25">
        <f t="shared" si="41"/>
        <v>0</v>
      </c>
      <c r="AF52" s="25">
        <f t="shared" si="42"/>
        <v>0</v>
      </c>
      <c r="AG52" s="25">
        <f t="shared" si="43"/>
        <v>0</v>
      </c>
      <c r="AH52" s="25">
        <f t="shared" si="44"/>
        <v>0</v>
      </c>
      <c r="AI52" s="25">
        <f t="shared" si="45"/>
        <v>0</v>
      </c>
      <c r="AJ52" s="25">
        <f t="shared" si="46"/>
        <v>0</v>
      </c>
      <c r="AK52" s="25">
        <f t="shared" si="47"/>
        <v>0</v>
      </c>
      <c r="AL52" s="25">
        <f t="shared" si="48"/>
        <v>0</v>
      </c>
      <c r="AM52" s="25">
        <f t="shared" si="49"/>
        <v>0</v>
      </c>
      <c r="AN52" s="25">
        <f t="shared" si="50"/>
        <v>0</v>
      </c>
      <c r="AO52" s="25">
        <f t="shared" si="51"/>
        <v>0</v>
      </c>
      <c r="AP52" s="25">
        <f t="shared" si="52"/>
        <v>0</v>
      </c>
      <c r="AQ52" s="25">
        <f t="shared" si="53"/>
        <v>0</v>
      </c>
      <c r="AR52" s="25">
        <f t="shared" si="54"/>
        <v>0</v>
      </c>
      <c r="AS52" s="25">
        <f t="shared" si="55"/>
        <v>0</v>
      </c>
      <c r="AT52" s="25">
        <f t="shared" si="61"/>
        <v>0</v>
      </c>
      <c r="AU52" s="25">
        <f t="shared" si="63"/>
        <v>0</v>
      </c>
      <c r="AV52" s="25">
        <f t="shared" ref="AV52:AV83" si="65">IF($AV$51=0,0,IF(AND($A52=$A51,$A52&lt;&gt;0,AV51&lt;&gt;0),$M52,0))</f>
        <v>0</v>
      </c>
      <c r="AW52" s="25">
        <f>IF(AV52&lt;&gt;0,0,IF(OR($A52=0,$A52=$A51),0,$M52))</f>
        <v>0</v>
      </c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 t="str">
        <v/>
      </c>
      <c r="DK52" s="34" t="str">
        <f t="shared" si="9"/>
        <v/>
      </c>
      <c r="DL52" s="29" t="str">
        <f t="shared" si="56"/>
        <v/>
      </c>
      <c r="DM52" s="35" t="str">
        <f t="shared" si="57"/>
        <v/>
      </c>
      <c r="DN52" s="24">
        <f t="shared" si="10"/>
        <v>20</v>
      </c>
      <c r="DO52" s="24">
        <f t="shared" si="11"/>
        <v>0</v>
      </c>
      <c r="DP52" s="24">
        <f t="shared" si="12"/>
        <v>0</v>
      </c>
      <c r="DQ52" s="24">
        <f t="shared" si="13"/>
        <v>20</v>
      </c>
      <c r="DR52" s="24" t="str">
        <f t="shared" si="14"/>
        <v/>
      </c>
      <c r="DS52" s="26" t="str">
        <f>IF(ISERROR(CEILING(($DQ52*$DL52/60),Puertas!$S$4)),"",CEILING(($DQ52*$DL52/60),Puertas!$S$4))</f>
        <v/>
      </c>
      <c r="DT52" s="26" t="str">
        <f t="shared" si="58"/>
        <v/>
      </c>
      <c r="DU52" s="112" t="str">
        <f t="shared" si="59"/>
        <v/>
      </c>
      <c r="DV52" s="113" t="str">
        <f>IF(D52="","",SUMIF(Puertas!$K$15:$K$114,B52,Puertas!$U$15:$U$114)+SUMIF(Puertas!$O$15:$O$114,B52,Puertas!$W$15:$W$114))</f>
        <v/>
      </c>
      <c r="DW52" s="114" t="str">
        <f t="shared" si="60"/>
        <v/>
      </c>
      <c r="DX52" s="112" t="str">
        <f t="shared" si="15"/>
        <v/>
      </c>
      <c r="DY52" s="113" t="str">
        <f t="shared" si="16"/>
        <v/>
      </c>
      <c r="DZ52" s="115"/>
      <c r="EA52" s="115"/>
      <c r="EB52" s="113" t="e">
        <f>ABS(IF(D52="","",SUMIF(Puertas!$K$15:$K$114,B52,Puertas!$V$15:$V$114)+SUMIF(Puertas!$O$15:$O$114,B52,Puertas!$X$15:$X$114)))</f>
        <v>#VALUE!</v>
      </c>
      <c r="EC52" s="113" t="str">
        <f t="shared" si="17"/>
        <v/>
      </c>
      <c r="ED52" s="114" t="str">
        <f t="shared" si="18"/>
        <v/>
      </c>
      <c r="EE52" s="43"/>
      <c r="EF52" s="6" t="b">
        <v>0</v>
      </c>
      <c r="EG52" s="6" t="b">
        <v>0</v>
      </c>
      <c r="EH52" s="5" t="e">
        <f t="shared" si="19"/>
        <v>#VALUE!</v>
      </c>
      <c r="EI52" s="5" t="e">
        <f t="shared" si="20"/>
        <v>#VALUE!</v>
      </c>
      <c r="EJ52" s="3">
        <f t="shared" si="21"/>
        <v>0</v>
      </c>
      <c r="EK52" s="3">
        <f t="shared" si="22"/>
        <v>0</v>
      </c>
      <c r="EL52" s="5" t="e">
        <f t="shared" si="23"/>
        <v>#VALUE!</v>
      </c>
      <c r="EM52" s="5" t="e">
        <f t="shared" si="24"/>
        <v>#VALUE!</v>
      </c>
    </row>
    <row r="53" spans="1:143" x14ac:dyDescent="0.3">
      <c r="A53" s="1">
        <v>37</v>
      </c>
      <c r="B53" s="15">
        <v>37</v>
      </c>
      <c r="C53" s="309"/>
      <c r="D53" s="309"/>
      <c r="E53" s="312"/>
      <c r="F53" s="332"/>
      <c r="G53" s="314"/>
      <c r="H53" s="446"/>
      <c r="I53" s="315"/>
      <c r="J53" s="312"/>
      <c r="K53" s="316"/>
      <c r="L53" s="317"/>
      <c r="M53" s="16">
        <f t="shared" si="7"/>
        <v>0</v>
      </c>
      <c r="N53" s="17">
        <f t="shared" si="8"/>
        <v>0</v>
      </c>
      <c r="O53" s="17">
        <f t="shared" si="62"/>
        <v>0</v>
      </c>
      <c r="P53" s="17">
        <f t="shared" si="64"/>
        <v>0</v>
      </c>
      <c r="Q53" s="17">
        <f t="shared" ref="Q53:Q84" si="66">IF($Q$20=0,0,IF(AND($A53=$A52,$A53&lt;&gt;0,Q52&lt;&gt;0),$M53,0))</f>
        <v>0</v>
      </c>
      <c r="R53" s="17">
        <f t="shared" si="28"/>
        <v>0</v>
      </c>
      <c r="S53" s="17">
        <f t="shared" si="29"/>
        <v>0</v>
      </c>
      <c r="T53" s="17">
        <f t="shared" si="30"/>
        <v>0</v>
      </c>
      <c r="U53" s="17">
        <f t="shared" si="31"/>
        <v>0</v>
      </c>
      <c r="V53" s="17">
        <f t="shared" si="32"/>
        <v>0</v>
      </c>
      <c r="W53" s="17">
        <f t="shared" si="33"/>
        <v>0</v>
      </c>
      <c r="X53" s="17">
        <f t="shared" si="34"/>
        <v>0</v>
      </c>
      <c r="Y53" s="17">
        <f t="shared" si="35"/>
        <v>0</v>
      </c>
      <c r="Z53" s="17">
        <f t="shared" si="36"/>
        <v>0</v>
      </c>
      <c r="AA53" s="17">
        <f t="shared" si="37"/>
        <v>0</v>
      </c>
      <c r="AB53" s="17">
        <f t="shared" si="38"/>
        <v>0</v>
      </c>
      <c r="AC53" s="17">
        <f t="shared" si="39"/>
        <v>0</v>
      </c>
      <c r="AD53" s="17">
        <f t="shared" si="40"/>
        <v>0</v>
      </c>
      <c r="AE53" s="17">
        <f t="shared" si="41"/>
        <v>0</v>
      </c>
      <c r="AF53" s="17">
        <f t="shared" si="42"/>
        <v>0</v>
      </c>
      <c r="AG53" s="17">
        <f t="shared" si="43"/>
        <v>0</v>
      </c>
      <c r="AH53" s="17">
        <f t="shared" si="44"/>
        <v>0</v>
      </c>
      <c r="AI53" s="17">
        <f t="shared" si="45"/>
        <v>0</v>
      </c>
      <c r="AJ53" s="17">
        <f t="shared" si="46"/>
        <v>0</v>
      </c>
      <c r="AK53" s="17">
        <f t="shared" si="47"/>
        <v>0</v>
      </c>
      <c r="AL53" s="17">
        <f t="shared" si="48"/>
        <v>0</v>
      </c>
      <c r="AM53" s="17">
        <f t="shared" si="49"/>
        <v>0</v>
      </c>
      <c r="AN53" s="17">
        <f t="shared" si="50"/>
        <v>0</v>
      </c>
      <c r="AO53" s="17">
        <f t="shared" si="51"/>
        <v>0</v>
      </c>
      <c r="AP53" s="17">
        <f t="shared" si="52"/>
        <v>0</v>
      </c>
      <c r="AQ53" s="17">
        <f t="shared" si="53"/>
        <v>0</v>
      </c>
      <c r="AR53" s="17">
        <f t="shared" si="54"/>
        <v>0</v>
      </c>
      <c r="AS53" s="17">
        <f t="shared" si="55"/>
        <v>0</v>
      </c>
      <c r="AT53" s="17">
        <f t="shared" si="61"/>
        <v>0</v>
      </c>
      <c r="AU53" s="17">
        <f t="shared" si="63"/>
        <v>0</v>
      </c>
      <c r="AV53" s="17">
        <f t="shared" si="65"/>
        <v>0</v>
      </c>
      <c r="AW53" s="17">
        <f t="shared" ref="AW53:AW84" si="67">IF($AW$52=0,0,IF(AND($A53=$A52,$A53&lt;&gt;0,AW52&lt;&gt;0),$M53,0))</f>
        <v>0</v>
      </c>
      <c r="AX53" s="17">
        <f>IF(AW53&lt;&gt;0,0,IF(OR($A53=0,$A53=$A52),0,$M53))</f>
        <v>0</v>
      </c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17" t="str">
        <v/>
      </c>
      <c r="DK53" s="30" t="str">
        <f t="shared" si="9"/>
        <v/>
      </c>
      <c r="DL53" s="27" t="str">
        <f t="shared" si="56"/>
        <v/>
      </c>
      <c r="DM53" s="31" t="str">
        <f t="shared" si="57"/>
        <v/>
      </c>
      <c r="DN53" s="16">
        <f t="shared" si="10"/>
        <v>20</v>
      </c>
      <c r="DO53" s="16">
        <f t="shared" si="11"/>
        <v>0</v>
      </c>
      <c r="DP53" s="16">
        <f t="shared" si="12"/>
        <v>0</v>
      </c>
      <c r="DQ53" s="16">
        <f t="shared" si="13"/>
        <v>20</v>
      </c>
      <c r="DR53" s="16" t="str">
        <f t="shared" si="14"/>
        <v/>
      </c>
      <c r="DS53" s="18" t="str">
        <f>IF(ISERROR(CEILING(($DQ53*$DL53/60),Puertas!$S$4)),"",CEILING(($DQ53*$DL53/60),Puertas!$S$4))</f>
        <v/>
      </c>
      <c r="DT53" s="18" t="str">
        <f t="shared" si="58"/>
        <v/>
      </c>
      <c r="DU53" s="104" t="str">
        <f t="shared" si="59"/>
        <v/>
      </c>
      <c r="DV53" s="105" t="str">
        <f>IF(D53="","",SUMIF(Puertas!$K$15:$K$114,B53,Puertas!$U$15:$U$114)+SUMIF(Puertas!$O$15:$O$114,B53,Puertas!$W$15:$W$114))</f>
        <v/>
      </c>
      <c r="DW53" s="106" t="str">
        <f t="shared" si="60"/>
        <v/>
      </c>
      <c r="DX53" s="104" t="str">
        <f t="shared" si="15"/>
        <v/>
      </c>
      <c r="DY53" s="105" t="str">
        <f t="shared" si="16"/>
        <v/>
      </c>
      <c r="DZ53" s="107"/>
      <c r="EA53" s="107"/>
      <c r="EB53" s="105" t="e">
        <f>ABS(IF(D53="","",SUMIF(Puertas!$K$15:$K$114,B53,Puertas!$V$15:$V$114)+SUMIF(Puertas!$O$15:$O$114,B53,Puertas!$X$15:$X$114)))</f>
        <v>#VALUE!</v>
      </c>
      <c r="EC53" s="105" t="str">
        <f t="shared" si="17"/>
        <v/>
      </c>
      <c r="ED53" s="106" t="str">
        <f t="shared" si="18"/>
        <v/>
      </c>
      <c r="EE53" s="41"/>
      <c r="EF53" s="6" t="b">
        <v>0</v>
      </c>
      <c r="EG53" s="6" t="b">
        <v>0</v>
      </c>
      <c r="EH53" s="5" t="e">
        <f t="shared" si="19"/>
        <v>#VALUE!</v>
      </c>
      <c r="EI53" s="5" t="e">
        <f t="shared" si="20"/>
        <v>#VALUE!</v>
      </c>
      <c r="EJ53" s="3">
        <f t="shared" si="21"/>
        <v>0</v>
      </c>
      <c r="EK53" s="3">
        <f t="shared" si="22"/>
        <v>0</v>
      </c>
      <c r="EL53" s="5" t="e">
        <f t="shared" si="23"/>
        <v>#VALUE!</v>
      </c>
      <c r="EM53" s="5" t="e">
        <f t="shared" si="24"/>
        <v>#VALUE!</v>
      </c>
    </row>
    <row r="54" spans="1:143" x14ac:dyDescent="0.3">
      <c r="A54" s="1">
        <v>38</v>
      </c>
      <c r="B54" s="19">
        <v>38</v>
      </c>
      <c r="C54" s="310"/>
      <c r="D54" s="310"/>
      <c r="E54" s="318"/>
      <c r="F54" s="330"/>
      <c r="G54" s="320"/>
      <c r="H54" s="447"/>
      <c r="I54" s="321"/>
      <c r="J54" s="318"/>
      <c r="K54" s="322"/>
      <c r="L54" s="323"/>
      <c r="M54" s="20">
        <f t="shared" si="7"/>
        <v>0</v>
      </c>
      <c r="N54" s="21">
        <f t="shared" si="8"/>
        <v>0</v>
      </c>
      <c r="O54" s="21">
        <f t="shared" si="62"/>
        <v>0</v>
      </c>
      <c r="P54" s="21">
        <f t="shared" si="64"/>
        <v>0</v>
      </c>
      <c r="Q54" s="21">
        <f t="shared" si="66"/>
        <v>0</v>
      </c>
      <c r="R54" s="21">
        <f t="shared" ref="R54:R85" si="68">IF($R$21=0,0,IF(AND($A54=$A53,$A54&lt;&gt;0,R53&lt;&gt;0),$M54,0))</f>
        <v>0</v>
      </c>
      <c r="S54" s="21">
        <f t="shared" si="29"/>
        <v>0</v>
      </c>
      <c r="T54" s="21">
        <f t="shared" si="30"/>
        <v>0</v>
      </c>
      <c r="U54" s="21">
        <f t="shared" si="31"/>
        <v>0</v>
      </c>
      <c r="V54" s="21">
        <f t="shared" si="32"/>
        <v>0</v>
      </c>
      <c r="W54" s="21">
        <f t="shared" si="33"/>
        <v>0</v>
      </c>
      <c r="X54" s="21">
        <f t="shared" si="34"/>
        <v>0</v>
      </c>
      <c r="Y54" s="21">
        <f t="shared" si="35"/>
        <v>0</v>
      </c>
      <c r="Z54" s="21">
        <f t="shared" si="36"/>
        <v>0</v>
      </c>
      <c r="AA54" s="21">
        <f t="shared" si="37"/>
        <v>0</v>
      </c>
      <c r="AB54" s="21">
        <f t="shared" si="38"/>
        <v>0</v>
      </c>
      <c r="AC54" s="21">
        <f t="shared" si="39"/>
        <v>0</v>
      </c>
      <c r="AD54" s="21">
        <f t="shared" si="40"/>
        <v>0</v>
      </c>
      <c r="AE54" s="21">
        <f t="shared" si="41"/>
        <v>0</v>
      </c>
      <c r="AF54" s="21">
        <f t="shared" si="42"/>
        <v>0</v>
      </c>
      <c r="AG54" s="21">
        <f t="shared" si="43"/>
        <v>0</v>
      </c>
      <c r="AH54" s="21">
        <f t="shared" si="44"/>
        <v>0</v>
      </c>
      <c r="AI54" s="21">
        <f t="shared" si="45"/>
        <v>0</v>
      </c>
      <c r="AJ54" s="21">
        <f t="shared" si="46"/>
        <v>0</v>
      </c>
      <c r="AK54" s="21">
        <f t="shared" si="47"/>
        <v>0</v>
      </c>
      <c r="AL54" s="21">
        <f t="shared" si="48"/>
        <v>0</v>
      </c>
      <c r="AM54" s="21">
        <f t="shared" si="49"/>
        <v>0</v>
      </c>
      <c r="AN54" s="21">
        <f t="shared" si="50"/>
        <v>0</v>
      </c>
      <c r="AO54" s="21">
        <f t="shared" si="51"/>
        <v>0</v>
      </c>
      <c r="AP54" s="21">
        <f t="shared" si="52"/>
        <v>0</v>
      </c>
      <c r="AQ54" s="21">
        <f t="shared" si="53"/>
        <v>0</v>
      </c>
      <c r="AR54" s="21">
        <f t="shared" si="54"/>
        <v>0</v>
      </c>
      <c r="AS54" s="21">
        <f t="shared" si="55"/>
        <v>0</v>
      </c>
      <c r="AT54" s="21">
        <f t="shared" si="61"/>
        <v>0</v>
      </c>
      <c r="AU54" s="21">
        <f t="shared" si="63"/>
        <v>0</v>
      </c>
      <c r="AV54" s="21">
        <f t="shared" si="65"/>
        <v>0</v>
      </c>
      <c r="AW54" s="21">
        <f t="shared" si="67"/>
        <v>0</v>
      </c>
      <c r="AX54" s="21">
        <f t="shared" ref="AX54:AX85" si="69">IF($AX$53=0,0,IF(AND($A54=$A53,$A54&lt;&gt;0,AX53&lt;&gt;0),$M54,0))</f>
        <v>0</v>
      </c>
      <c r="AY54" s="21">
        <f>IF(AX54&lt;&gt;0,0,IF(OR($A54=0,$A54=$A53),0,$M54))</f>
        <v>0</v>
      </c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 t="str">
        <v/>
      </c>
      <c r="DK54" s="32" t="str">
        <f t="shared" si="9"/>
        <v/>
      </c>
      <c r="DL54" s="28" t="str">
        <f t="shared" si="56"/>
        <v/>
      </c>
      <c r="DM54" s="33" t="str">
        <f t="shared" si="57"/>
        <v/>
      </c>
      <c r="DN54" s="20">
        <f t="shared" si="10"/>
        <v>20</v>
      </c>
      <c r="DO54" s="20">
        <f t="shared" si="11"/>
        <v>0</v>
      </c>
      <c r="DP54" s="20">
        <f t="shared" si="12"/>
        <v>0</v>
      </c>
      <c r="DQ54" s="20">
        <f t="shared" si="13"/>
        <v>20</v>
      </c>
      <c r="DR54" s="20" t="str">
        <f t="shared" si="14"/>
        <v/>
      </c>
      <c r="DS54" s="22" t="str">
        <f>IF(ISERROR(CEILING(($DQ54*$DL54/60),Puertas!$S$4)),"",CEILING(($DQ54*$DL54/60),Puertas!$S$4))</f>
        <v/>
      </c>
      <c r="DT54" s="22" t="str">
        <f t="shared" si="58"/>
        <v/>
      </c>
      <c r="DU54" s="108" t="str">
        <f t="shared" si="59"/>
        <v/>
      </c>
      <c r="DV54" s="109" t="str">
        <f>IF(D54="","",SUMIF(Puertas!$K$15:$K$114,B54,Puertas!$U$15:$U$114)+SUMIF(Puertas!$O$15:$O$114,B54,Puertas!$W$15:$W$114))</f>
        <v/>
      </c>
      <c r="DW54" s="110" t="str">
        <f t="shared" si="60"/>
        <v/>
      </c>
      <c r="DX54" s="108" t="str">
        <f t="shared" si="15"/>
        <v/>
      </c>
      <c r="DY54" s="109" t="str">
        <f t="shared" si="16"/>
        <v/>
      </c>
      <c r="DZ54" s="111"/>
      <c r="EA54" s="111"/>
      <c r="EB54" s="109" t="e">
        <f>ABS(IF(D54="","",SUMIF(Puertas!$K$15:$K$114,B54,Puertas!$V$15:$V$114)+SUMIF(Puertas!$O$15:$O$114,B54,Puertas!$X$15:$X$114)))</f>
        <v>#VALUE!</v>
      </c>
      <c r="EC54" s="109" t="str">
        <f t="shared" si="17"/>
        <v/>
      </c>
      <c r="ED54" s="110" t="str">
        <f t="shared" si="18"/>
        <v/>
      </c>
      <c r="EE54" s="42"/>
      <c r="EF54" s="6" t="b">
        <v>0</v>
      </c>
      <c r="EG54" s="6" t="b">
        <v>0</v>
      </c>
      <c r="EH54" s="5" t="e">
        <f t="shared" si="19"/>
        <v>#VALUE!</v>
      </c>
      <c r="EI54" s="5" t="e">
        <f t="shared" si="20"/>
        <v>#VALUE!</v>
      </c>
      <c r="EJ54" s="3">
        <f t="shared" si="21"/>
        <v>0</v>
      </c>
      <c r="EK54" s="3">
        <f t="shared" si="22"/>
        <v>0</v>
      </c>
      <c r="EL54" s="5" t="e">
        <f t="shared" si="23"/>
        <v>#VALUE!</v>
      </c>
      <c r="EM54" s="5" t="e">
        <f t="shared" si="24"/>
        <v>#VALUE!</v>
      </c>
    </row>
    <row r="55" spans="1:143" x14ac:dyDescent="0.3">
      <c r="A55" s="1">
        <v>39</v>
      </c>
      <c r="B55" s="23">
        <v>39</v>
      </c>
      <c r="C55" s="311"/>
      <c r="D55" s="311"/>
      <c r="E55" s="324"/>
      <c r="F55" s="331"/>
      <c r="G55" s="326"/>
      <c r="H55" s="448"/>
      <c r="I55" s="327"/>
      <c r="J55" s="324"/>
      <c r="K55" s="328"/>
      <c r="L55" s="329"/>
      <c r="M55" s="24">
        <f t="shared" si="7"/>
        <v>0</v>
      </c>
      <c r="N55" s="25">
        <f t="shared" si="8"/>
        <v>0</v>
      </c>
      <c r="O55" s="25">
        <f t="shared" si="62"/>
        <v>0</v>
      </c>
      <c r="P55" s="25">
        <f t="shared" si="64"/>
        <v>0</v>
      </c>
      <c r="Q55" s="25">
        <f t="shared" si="66"/>
        <v>0</v>
      </c>
      <c r="R55" s="25">
        <f t="shared" si="68"/>
        <v>0</v>
      </c>
      <c r="S55" s="25">
        <f t="shared" ref="S55:S86" si="70">IF($S$22=0,0,IF(AND($A55=$A54,$A55&lt;&gt;0,S54&lt;&gt;0),$M55,0))</f>
        <v>0</v>
      </c>
      <c r="T55" s="25">
        <f t="shared" si="30"/>
        <v>0</v>
      </c>
      <c r="U55" s="25">
        <f t="shared" si="31"/>
        <v>0</v>
      </c>
      <c r="V55" s="25">
        <f t="shared" si="32"/>
        <v>0</v>
      </c>
      <c r="W55" s="25">
        <f t="shared" si="33"/>
        <v>0</v>
      </c>
      <c r="X55" s="25">
        <f t="shared" si="34"/>
        <v>0</v>
      </c>
      <c r="Y55" s="25">
        <f t="shared" si="35"/>
        <v>0</v>
      </c>
      <c r="Z55" s="25">
        <f t="shared" si="36"/>
        <v>0</v>
      </c>
      <c r="AA55" s="25">
        <f t="shared" si="37"/>
        <v>0</v>
      </c>
      <c r="AB55" s="25">
        <f t="shared" si="38"/>
        <v>0</v>
      </c>
      <c r="AC55" s="25">
        <f t="shared" si="39"/>
        <v>0</v>
      </c>
      <c r="AD55" s="25">
        <f t="shared" si="40"/>
        <v>0</v>
      </c>
      <c r="AE55" s="25">
        <f t="shared" si="41"/>
        <v>0</v>
      </c>
      <c r="AF55" s="25">
        <f t="shared" si="42"/>
        <v>0</v>
      </c>
      <c r="AG55" s="25">
        <f t="shared" si="43"/>
        <v>0</v>
      </c>
      <c r="AH55" s="25">
        <f t="shared" si="44"/>
        <v>0</v>
      </c>
      <c r="AI55" s="25">
        <f t="shared" si="45"/>
        <v>0</v>
      </c>
      <c r="AJ55" s="25">
        <f t="shared" si="46"/>
        <v>0</v>
      </c>
      <c r="AK55" s="25">
        <f t="shared" si="47"/>
        <v>0</v>
      </c>
      <c r="AL55" s="25">
        <f t="shared" si="48"/>
        <v>0</v>
      </c>
      <c r="AM55" s="25">
        <f t="shared" si="49"/>
        <v>0</v>
      </c>
      <c r="AN55" s="25">
        <f t="shared" si="50"/>
        <v>0</v>
      </c>
      <c r="AO55" s="25">
        <f t="shared" si="51"/>
        <v>0</v>
      </c>
      <c r="AP55" s="25">
        <f t="shared" si="52"/>
        <v>0</v>
      </c>
      <c r="AQ55" s="25">
        <f t="shared" si="53"/>
        <v>0</v>
      </c>
      <c r="AR55" s="25">
        <f t="shared" si="54"/>
        <v>0</v>
      </c>
      <c r="AS55" s="25">
        <f t="shared" si="55"/>
        <v>0</v>
      </c>
      <c r="AT55" s="25">
        <f t="shared" si="61"/>
        <v>0</v>
      </c>
      <c r="AU55" s="25">
        <f t="shared" si="63"/>
        <v>0</v>
      </c>
      <c r="AV55" s="25">
        <f t="shared" si="65"/>
        <v>0</v>
      </c>
      <c r="AW55" s="25">
        <f t="shared" si="67"/>
        <v>0</v>
      </c>
      <c r="AX55" s="25">
        <f t="shared" si="69"/>
        <v>0</v>
      </c>
      <c r="AY55" s="25">
        <f t="shared" ref="AY55:AY86" si="71">IF($AY$54=0,0,IF(AND($A55=$A54,$A55&lt;&gt;0,AY54&lt;&gt;0),$M55,0))</f>
        <v>0</v>
      </c>
      <c r="AZ55" s="25">
        <f>IF(AY55&lt;&gt;0,0,IF(OR($A55=0,$A55=$A54),0,$M55))</f>
        <v>0</v>
      </c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 t="str">
        <v/>
      </c>
      <c r="DK55" s="34" t="str">
        <f t="shared" si="9"/>
        <v/>
      </c>
      <c r="DL55" s="29" t="str">
        <f t="shared" si="56"/>
        <v/>
      </c>
      <c r="DM55" s="35" t="str">
        <f t="shared" si="57"/>
        <v/>
      </c>
      <c r="DN55" s="24">
        <f t="shared" si="10"/>
        <v>20</v>
      </c>
      <c r="DO55" s="24">
        <f t="shared" si="11"/>
        <v>0</v>
      </c>
      <c r="DP55" s="24">
        <f t="shared" si="12"/>
        <v>0</v>
      </c>
      <c r="DQ55" s="24">
        <f t="shared" si="13"/>
        <v>20</v>
      </c>
      <c r="DR55" s="24" t="str">
        <f t="shared" si="14"/>
        <v/>
      </c>
      <c r="DS55" s="26" t="str">
        <f>IF(ISERROR(CEILING(($DQ55*$DL55/60),Puertas!$S$4)),"",CEILING(($DQ55*$DL55/60),Puertas!$S$4))</f>
        <v/>
      </c>
      <c r="DT55" s="26" t="str">
        <f t="shared" si="58"/>
        <v/>
      </c>
      <c r="DU55" s="112" t="str">
        <f t="shared" si="59"/>
        <v/>
      </c>
      <c r="DV55" s="113" t="str">
        <f>IF(D55="","",SUMIF(Puertas!$K$15:$K$114,B55,Puertas!$U$15:$U$114)+SUMIF(Puertas!$O$15:$O$114,B55,Puertas!$W$15:$W$114))</f>
        <v/>
      </c>
      <c r="DW55" s="114" t="str">
        <f t="shared" si="60"/>
        <v/>
      </c>
      <c r="DX55" s="112" t="str">
        <f t="shared" si="15"/>
        <v/>
      </c>
      <c r="DY55" s="113" t="str">
        <f t="shared" si="16"/>
        <v/>
      </c>
      <c r="DZ55" s="115"/>
      <c r="EA55" s="115"/>
      <c r="EB55" s="113" t="e">
        <f>ABS(IF(D55="","",SUMIF(Puertas!$K$15:$K$114,B55,Puertas!$V$15:$V$114)+SUMIF(Puertas!$O$15:$O$114,B55,Puertas!$X$15:$X$114)))</f>
        <v>#VALUE!</v>
      </c>
      <c r="EC55" s="113" t="str">
        <f t="shared" si="17"/>
        <v/>
      </c>
      <c r="ED55" s="114" t="str">
        <f t="shared" si="18"/>
        <v/>
      </c>
      <c r="EE55" s="43"/>
      <c r="EF55" s="6" t="b">
        <v>0</v>
      </c>
      <c r="EG55" s="6" t="b">
        <v>0</v>
      </c>
      <c r="EH55" s="5" t="e">
        <f t="shared" si="19"/>
        <v>#VALUE!</v>
      </c>
      <c r="EI55" s="5" t="e">
        <f t="shared" si="20"/>
        <v>#VALUE!</v>
      </c>
      <c r="EJ55" s="3">
        <f t="shared" si="21"/>
        <v>0</v>
      </c>
      <c r="EK55" s="3">
        <f t="shared" si="22"/>
        <v>0</v>
      </c>
      <c r="EL55" s="5" t="e">
        <f t="shared" si="23"/>
        <v>#VALUE!</v>
      </c>
      <c r="EM55" s="5" t="e">
        <f t="shared" si="24"/>
        <v>#VALUE!</v>
      </c>
    </row>
    <row r="56" spans="1:143" x14ac:dyDescent="0.3">
      <c r="A56" s="1">
        <v>40</v>
      </c>
      <c r="B56" s="15">
        <v>40</v>
      </c>
      <c r="C56" s="309"/>
      <c r="D56" s="309"/>
      <c r="E56" s="312"/>
      <c r="F56" s="332"/>
      <c r="G56" s="314"/>
      <c r="H56" s="446"/>
      <c r="I56" s="315"/>
      <c r="J56" s="312"/>
      <c r="K56" s="316"/>
      <c r="L56" s="317"/>
      <c r="M56" s="16">
        <f t="shared" si="7"/>
        <v>0</v>
      </c>
      <c r="N56" s="17">
        <f t="shared" si="8"/>
        <v>0</v>
      </c>
      <c r="O56" s="17">
        <f t="shared" si="62"/>
        <v>0</v>
      </c>
      <c r="P56" s="17">
        <f t="shared" si="64"/>
        <v>0</v>
      </c>
      <c r="Q56" s="17">
        <f t="shared" si="66"/>
        <v>0</v>
      </c>
      <c r="R56" s="17">
        <f t="shared" si="68"/>
        <v>0</v>
      </c>
      <c r="S56" s="17">
        <f t="shared" si="70"/>
        <v>0</v>
      </c>
      <c r="T56" s="17">
        <f t="shared" ref="T56:T87" si="72">IF($T$23=0,0,IF(AND($A56=$A55,$A56&lt;&gt;0,T55&lt;&gt;0),$M56,0))</f>
        <v>0</v>
      </c>
      <c r="U56" s="17">
        <f t="shared" si="31"/>
        <v>0</v>
      </c>
      <c r="V56" s="17">
        <f t="shared" si="32"/>
        <v>0</v>
      </c>
      <c r="W56" s="17">
        <f t="shared" si="33"/>
        <v>0</v>
      </c>
      <c r="X56" s="17">
        <f t="shared" si="34"/>
        <v>0</v>
      </c>
      <c r="Y56" s="17">
        <f t="shared" si="35"/>
        <v>0</v>
      </c>
      <c r="Z56" s="17">
        <f t="shared" si="36"/>
        <v>0</v>
      </c>
      <c r="AA56" s="17">
        <f t="shared" si="37"/>
        <v>0</v>
      </c>
      <c r="AB56" s="17">
        <f t="shared" si="38"/>
        <v>0</v>
      </c>
      <c r="AC56" s="17">
        <f t="shared" si="39"/>
        <v>0</v>
      </c>
      <c r="AD56" s="17">
        <f t="shared" si="40"/>
        <v>0</v>
      </c>
      <c r="AE56" s="17">
        <f t="shared" si="41"/>
        <v>0</v>
      </c>
      <c r="AF56" s="17">
        <f t="shared" si="42"/>
        <v>0</v>
      </c>
      <c r="AG56" s="17">
        <f t="shared" si="43"/>
        <v>0</v>
      </c>
      <c r="AH56" s="17">
        <f t="shared" si="44"/>
        <v>0</v>
      </c>
      <c r="AI56" s="17">
        <f t="shared" si="45"/>
        <v>0</v>
      </c>
      <c r="AJ56" s="17">
        <f t="shared" si="46"/>
        <v>0</v>
      </c>
      <c r="AK56" s="17">
        <f t="shared" si="47"/>
        <v>0</v>
      </c>
      <c r="AL56" s="17">
        <f t="shared" si="48"/>
        <v>0</v>
      </c>
      <c r="AM56" s="17">
        <f t="shared" si="49"/>
        <v>0</v>
      </c>
      <c r="AN56" s="17">
        <f t="shared" si="50"/>
        <v>0</v>
      </c>
      <c r="AO56" s="17">
        <f t="shared" si="51"/>
        <v>0</v>
      </c>
      <c r="AP56" s="17">
        <f t="shared" si="52"/>
        <v>0</v>
      </c>
      <c r="AQ56" s="17">
        <f t="shared" si="53"/>
        <v>0</v>
      </c>
      <c r="AR56" s="17">
        <f t="shared" si="54"/>
        <v>0</v>
      </c>
      <c r="AS56" s="17">
        <f t="shared" si="55"/>
        <v>0</v>
      </c>
      <c r="AT56" s="17">
        <f t="shared" si="61"/>
        <v>0</v>
      </c>
      <c r="AU56" s="17">
        <f t="shared" si="63"/>
        <v>0</v>
      </c>
      <c r="AV56" s="17">
        <f t="shared" si="65"/>
        <v>0</v>
      </c>
      <c r="AW56" s="17">
        <f t="shared" si="67"/>
        <v>0</v>
      </c>
      <c r="AX56" s="17">
        <f t="shared" si="69"/>
        <v>0</v>
      </c>
      <c r="AY56" s="17">
        <f t="shared" si="71"/>
        <v>0</v>
      </c>
      <c r="AZ56" s="17">
        <f t="shared" ref="AZ56:AZ87" si="73">IF($AZ$55=0,0,IF(AND($A56=$A55,$A56&lt;&gt;0,AZ55&lt;&gt;0),$M56,0))</f>
        <v>0</v>
      </c>
      <c r="BA56" s="17">
        <f>IF(AZ56&lt;&gt;0,0,IF(OR($A56=0,$A56=$A55),0,$M56))</f>
        <v>0</v>
      </c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 t="str">
        <v/>
      </c>
      <c r="DK56" s="30" t="str">
        <f t="shared" si="9"/>
        <v/>
      </c>
      <c r="DL56" s="27" t="str">
        <f t="shared" si="56"/>
        <v/>
      </c>
      <c r="DM56" s="31" t="str">
        <f t="shared" si="57"/>
        <v/>
      </c>
      <c r="DN56" s="16">
        <f t="shared" si="10"/>
        <v>20</v>
      </c>
      <c r="DO56" s="16">
        <f t="shared" si="11"/>
        <v>0</v>
      </c>
      <c r="DP56" s="16">
        <f t="shared" si="12"/>
        <v>0</v>
      </c>
      <c r="DQ56" s="16">
        <f t="shared" si="13"/>
        <v>20</v>
      </c>
      <c r="DR56" s="16" t="str">
        <f t="shared" si="14"/>
        <v/>
      </c>
      <c r="DS56" s="18" t="str">
        <f>IF(ISERROR(CEILING(($DQ56*$DL56/60),Puertas!$S$4)),"",CEILING(($DQ56*$DL56/60),Puertas!$S$4))</f>
        <v/>
      </c>
      <c r="DT56" s="18" t="str">
        <f t="shared" si="58"/>
        <v/>
      </c>
      <c r="DU56" s="104" t="str">
        <f t="shared" si="59"/>
        <v/>
      </c>
      <c r="DV56" s="105" t="str">
        <f>IF(D56="","",SUMIF(Puertas!$K$15:$K$114,B56,Puertas!$U$15:$U$114)+SUMIF(Puertas!$O$15:$O$114,B56,Puertas!$W$15:$W$114))</f>
        <v/>
      </c>
      <c r="DW56" s="106" t="str">
        <f t="shared" si="60"/>
        <v/>
      </c>
      <c r="DX56" s="104" t="str">
        <f t="shared" si="15"/>
        <v/>
      </c>
      <c r="DY56" s="105" t="str">
        <f t="shared" si="16"/>
        <v/>
      </c>
      <c r="DZ56" s="107"/>
      <c r="EA56" s="107"/>
      <c r="EB56" s="105" t="e">
        <f>ABS(IF(D56="","",SUMIF(Puertas!$K$15:$K$114,B56,Puertas!$V$15:$V$114)+SUMIF(Puertas!$O$15:$O$114,B56,Puertas!$X$15:$X$114)))</f>
        <v>#VALUE!</v>
      </c>
      <c r="EC56" s="105" t="str">
        <f t="shared" si="17"/>
        <v/>
      </c>
      <c r="ED56" s="106" t="str">
        <f t="shared" si="18"/>
        <v/>
      </c>
      <c r="EE56" s="41"/>
      <c r="EF56" s="6" t="b">
        <v>0</v>
      </c>
      <c r="EG56" s="6" t="b">
        <v>0</v>
      </c>
      <c r="EH56" s="5" t="e">
        <f t="shared" si="19"/>
        <v>#VALUE!</v>
      </c>
      <c r="EI56" s="5" t="e">
        <f t="shared" si="20"/>
        <v>#VALUE!</v>
      </c>
      <c r="EJ56" s="3">
        <f t="shared" si="21"/>
        <v>0</v>
      </c>
      <c r="EK56" s="3">
        <f t="shared" si="22"/>
        <v>0</v>
      </c>
      <c r="EL56" s="5" t="e">
        <f t="shared" si="23"/>
        <v>#VALUE!</v>
      </c>
      <c r="EM56" s="5" t="e">
        <f t="shared" si="24"/>
        <v>#VALUE!</v>
      </c>
    </row>
    <row r="57" spans="1:143" x14ac:dyDescent="0.3">
      <c r="A57" s="1">
        <v>41</v>
      </c>
      <c r="B57" s="19">
        <v>41</v>
      </c>
      <c r="C57" s="310"/>
      <c r="D57" s="310"/>
      <c r="E57" s="318"/>
      <c r="F57" s="330"/>
      <c r="G57" s="320"/>
      <c r="H57" s="447"/>
      <c r="I57" s="321"/>
      <c r="J57" s="318"/>
      <c r="K57" s="322"/>
      <c r="L57" s="323"/>
      <c r="M57" s="20">
        <f t="shared" si="7"/>
        <v>0</v>
      </c>
      <c r="N57" s="21">
        <f t="shared" ref="N57:N82" si="74">IF($A57=$A$17,M57,0)</f>
        <v>0</v>
      </c>
      <c r="O57" s="21">
        <f t="shared" si="62"/>
        <v>0</v>
      </c>
      <c r="P57" s="21">
        <f t="shared" si="64"/>
        <v>0</v>
      </c>
      <c r="Q57" s="21">
        <f t="shared" si="66"/>
        <v>0</v>
      </c>
      <c r="R57" s="21">
        <f t="shared" si="68"/>
        <v>0</v>
      </c>
      <c r="S57" s="21">
        <f t="shared" si="70"/>
        <v>0</v>
      </c>
      <c r="T57" s="21">
        <f t="shared" si="72"/>
        <v>0</v>
      </c>
      <c r="U57" s="21">
        <f t="shared" ref="U57:U88" si="75">IF($U$24=0,0,IF(AND($A57=$A56,$A57&lt;&gt;0,U56&lt;&gt;0),$M57,0))</f>
        <v>0</v>
      </c>
      <c r="V57" s="21">
        <f t="shared" si="32"/>
        <v>0</v>
      </c>
      <c r="W57" s="21">
        <f t="shared" si="33"/>
        <v>0</v>
      </c>
      <c r="X57" s="21">
        <f t="shared" si="34"/>
        <v>0</v>
      </c>
      <c r="Y57" s="21">
        <f t="shared" si="35"/>
        <v>0</v>
      </c>
      <c r="Z57" s="21">
        <f t="shared" si="36"/>
        <v>0</v>
      </c>
      <c r="AA57" s="21">
        <f t="shared" si="37"/>
        <v>0</v>
      </c>
      <c r="AB57" s="21">
        <f t="shared" si="38"/>
        <v>0</v>
      </c>
      <c r="AC57" s="21">
        <f t="shared" si="39"/>
        <v>0</v>
      </c>
      <c r="AD57" s="21">
        <f t="shared" si="40"/>
        <v>0</v>
      </c>
      <c r="AE57" s="21">
        <f t="shared" si="41"/>
        <v>0</v>
      </c>
      <c r="AF57" s="21">
        <f t="shared" si="42"/>
        <v>0</v>
      </c>
      <c r="AG57" s="21">
        <f t="shared" si="43"/>
        <v>0</v>
      </c>
      <c r="AH57" s="21">
        <f t="shared" si="44"/>
        <v>0</v>
      </c>
      <c r="AI57" s="21">
        <f t="shared" si="45"/>
        <v>0</v>
      </c>
      <c r="AJ57" s="21">
        <f t="shared" si="46"/>
        <v>0</v>
      </c>
      <c r="AK57" s="21">
        <f t="shared" si="47"/>
        <v>0</v>
      </c>
      <c r="AL57" s="21">
        <f t="shared" si="48"/>
        <v>0</v>
      </c>
      <c r="AM57" s="21">
        <f t="shared" si="49"/>
        <v>0</v>
      </c>
      <c r="AN57" s="21">
        <f t="shared" si="50"/>
        <v>0</v>
      </c>
      <c r="AO57" s="21">
        <f t="shared" si="51"/>
        <v>0</v>
      </c>
      <c r="AP57" s="21">
        <f t="shared" si="52"/>
        <v>0</v>
      </c>
      <c r="AQ57" s="21">
        <f t="shared" si="53"/>
        <v>0</v>
      </c>
      <c r="AR57" s="21">
        <f t="shared" si="54"/>
        <v>0</v>
      </c>
      <c r="AS57" s="21">
        <f t="shared" si="55"/>
        <v>0</v>
      </c>
      <c r="AT57" s="21">
        <f t="shared" si="61"/>
        <v>0</v>
      </c>
      <c r="AU57" s="21">
        <f t="shared" si="63"/>
        <v>0</v>
      </c>
      <c r="AV57" s="21">
        <f t="shared" si="65"/>
        <v>0</v>
      </c>
      <c r="AW57" s="21">
        <f t="shared" si="67"/>
        <v>0</v>
      </c>
      <c r="AX57" s="21">
        <f t="shared" si="69"/>
        <v>0</v>
      </c>
      <c r="AY57" s="21">
        <f t="shared" si="71"/>
        <v>0</v>
      </c>
      <c r="AZ57" s="21">
        <f t="shared" si="73"/>
        <v>0</v>
      </c>
      <c r="BA57" s="21">
        <f t="shared" ref="BA57:BA88" si="76">IF($BA$56=0,0,IF(AND($A57=$A56,$A57&lt;&gt;0,BA56&lt;&gt;0),$M57,0))</f>
        <v>0</v>
      </c>
      <c r="BB57" s="21">
        <f>IF(BA57&lt;&gt;0,0,IF(OR($A57=0,$A57=$A56),0,$M57))</f>
        <v>0</v>
      </c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1"/>
      <c r="CE57" s="21"/>
      <c r="CF57" s="21"/>
      <c r="CG57" s="21"/>
      <c r="CH57" s="21"/>
      <c r="CI57" s="21"/>
      <c r="CJ57" s="21"/>
      <c r="CK57" s="21"/>
      <c r="CL57" s="21"/>
      <c r="CM57" s="21"/>
      <c r="CN57" s="21"/>
      <c r="CO57" s="21"/>
      <c r="CP57" s="21"/>
      <c r="CQ57" s="21"/>
      <c r="CR57" s="21"/>
      <c r="CS57" s="21"/>
      <c r="CT57" s="21"/>
      <c r="CU57" s="21"/>
      <c r="CV57" s="21"/>
      <c r="CW57" s="21"/>
      <c r="CX57" s="21"/>
      <c r="CY57" s="21"/>
      <c r="CZ57" s="21"/>
      <c r="DA57" s="21"/>
      <c r="DB57" s="21"/>
      <c r="DC57" s="21"/>
      <c r="DD57" s="21"/>
      <c r="DE57" s="21"/>
      <c r="DF57" s="21"/>
      <c r="DG57" s="21"/>
      <c r="DH57" s="21"/>
      <c r="DI57" s="21"/>
      <c r="DJ57" s="21" t="str">
        <v/>
      </c>
      <c r="DK57" s="32" t="str">
        <f t="shared" si="9"/>
        <v/>
      </c>
      <c r="DL57" s="28" t="str">
        <f t="shared" si="56"/>
        <v/>
      </c>
      <c r="DM57" s="33" t="str">
        <f t="shared" si="57"/>
        <v/>
      </c>
      <c r="DN57" s="20">
        <f t="shared" si="10"/>
        <v>20</v>
      </c>
      <c r="DO57" s="20">
        <f t="shared" si="11"/>
        <v>0</v>
      </c>
      <c r="DP57" s="20">
        <f t="shared" si="12"/>
        <v>0</v>
      </c>
      <c r="DQ57" s="20">
        <f t="shared" si="13"/>
        <v>20</v>
      </c>
      <c r="DR57" s="20" t="str">
        <f t="shared" si="14"/>
        <v/>
      </c>
      <c r="DS57" s="22" t="str">
        <f>IF(ISERROR(CEILING(($DQ57*$DL57/60),Puertas!$S$4)),"",CEILING(($DQ57*$DL57/60),Puertas!$S$4))</f>
        <v/>
      </c>
      <c r="DT57" s="22" t="str">
        <f t="shared" si="58"/>
        <v/>
      </c>
      <c r="DU57" s="108" t="str">
        <f t="shared" si="59"/>
        <v/>
      </c>
      <c r="DV57" s="109" t="str">
        <f>IF(D57="","",SUMIF(Puertas!$K$15:$K$114,B57,Puertas!$U$15:$U$114)+SUMIF(Puertas!$O$15:$O$114,B57,Puertas!$W$15:$W$114))</f>
        <v/>
      </c>
      <c r="DW57" s="110" t="str">
        <f t="shared" si="60"/>
        <v/>
      </c>
      <c r="DX57" s="108" t="str">
        <f t="shared" si="15"/>
        <v/>
      </c>
      <c r="DY57" s="109" t="str">
        <f t="shared" si="16"/>
        <v/>
      </c>
      <c r="DZ57" s="111"/>
      <c r="EA57" s="111"/>
      <c r="EB57" s="109" t="e">
        <f>ABS(IF(D57="","",SUMIF(Puertas!$K$15:$K$114,B57,Puertas!$V$15:$V$114)+SUMIF(Puertas!$O$15:$O$114,B57,Puertas!$X$15:$X$114)))</f>
        <v>#VALUE!</v>
      </c>
      <c r="EC57" s="109" t="str">
        <f t="shared" si="17"/>
        <v/>
      </c>
      <c r="ED57" s="110" t="str">
        <f t="shared" si="18"/>
        <v/>
      </c>
      <c r="EE57" s="42"/>
      <c r="EF57" s="6" t="b">
        <v>0</v>
      </c>
      <c r="EG57" s="6" t="b">
        <v>0</v>
      </c>
      <c r="EH57" s="5" t="e">
        <f t="shared" si="19"/>
        <v>#VALUE!</v>
      </c>
      <c r="EI57" s="5" t="e">
        <f t="shared" si="20"/>
        <v>#VALUE!</v>
      </c>
      <c r="EJ57" s="3">
        <f t="shared" si="21"/>
        <v>0</v>
      </c>
      <c r="EK57" s="3">
        <f t="shared" si="22"/>
        <v>0</v>
      </c>
      <c r="EL57" s="5" t="e">
        <f t="shared" si="23"/>
        <v>#VALUE!</v>
      </c>
      <c r="EM57" s="5" t="e">
        <f t="shared" si="24"/>
        <v>#VALUE!</v>
      </c>
    </row>
    <row r="58" spans="1:143" x14ac:dyDescent="0.3">
      <c r="A58" s="1">
        <v>42</v>
      </c>
      <c r="B58" s="23">
        <v>42</v>
      </c>
      <c r="C58" s="311"/>
      <c r="D58" s="311"/>
      <c r="E58" s="324"/>
      <c r="F58" s="331"/>
      <c r="G58" s="326"/>
      <c r="H58" s="448"/>
      <c r="I58" s="327"/>
      <c r="J58" s="324"/>
      <c r="K58" s="328"/>
      <c r="L58" s="329"/>
      <c r="M58" s="24">
        <f t="shared" si="7"/>
        <v>0</v>
      </c>
      <c r="N58" s="25">
        <f t="shared" si="74"/>
        <v>0</v>
      </c>
      <c r="O58" s="25">
        <f t="shared" si="62"/>
        <v>0</v>
      </c>
      <c r="P58" s="25">
        <f t="shared" si="64"/>
        <v>0</v>
      </c>
      <c r="Q58" s="25">
        <f t="shared" si="66"/>
        <v>0</v>
      </c>
      <c r="R58" s="25">
        <f t="shared" si="68"/>
        <v>0</v>
      </c>
      <c r="S58" s="25">
        <f t="shared" si="70"/>
        <v>0</v>
      </c>
      <c r="T58" s="25">
        <f t="shared" si="72"/>
        <v>0</v>
      </c>
      <c r="U58" s="25">
        <f t="shared" si="75"/>
        <v>0</v>
      </c>
      <c r="V58" s="25">
        <f t="shared" ref="V58:V89" si="77">IF($V$25=0,0,IF(AND($A58=$A57,$A58&lt;&gt;0,V57&lt;&gt;0),$M58,0))</f>
        <v>0</v>
      </c>
      <c r="W58" s="25">
        <f t="shared" si="33"/>
        <v>0</v>
      </c>
      <c r="X58" s="25">
        <f t="shared" si="34"/>
        <v>0</v>
      </c>
      <c r="Y58" s="25">
        <f t="shared" si="35"/>
        <v>0</v>
      </c>
      <c r="Z58" s="25">
        <f t="shared" si="36"/>
        <v>0</v>
      </c>
      <c r="AA58" s="25">
        <f t="shared" si="37"/>
        <v>0</v>
      </c>
      <c r="AB58" s="25">
        <f t="shared" si="38"/>
        <v>0</v>
      </c>
      <c r="AC58" s="25">
        <f t="shared" si="39"/>
        <v>0</v>
      </c>
      <c r="AD58" s="25">
        <f t="shared" si="40"/>
        <v>0</v>
      </c>
      <c r="AE58" s="25">
        <f t="shared" si="41"/>
        <v>0</v>
      </c>
      <c r="AF58" s="25">
        <f t="shared" si="42"/>
        <v>0</v>
      </c>
      <c r="AG58" s="25">
        <f t="shared" si="43"/>
        <v>0</v>
      </c>
      <c r="AH58" s="25">
        <f t="shared" si="44"/>
        <v>0</v>
      </c>
      <c r="AI58" s="25">
        <f t="shared" si="45"/>
        <v>0</v>
      </c>
      <c r="AJ58" s="25">
        <f t="shared" si="46"/>
        <v>0</v>
      </c>
      <c r="AK58" s="25">
        <f t="shared" si="47"/>
        <v>0</v>
      </c>
      <c r="AL58" s="25">
        <f t="shared" si="48"/>
        <v>0</v>
      </c>
      <c r="AM58" s="25">
        <f t="shared" si="49"/>
        <v>0</v>
      </c>
      <c r="AN58" s="25">
        <f t="shared" si="50"/>
        <v>0</v>
      </c>
      <c r="AO58" s="25">
        <f t="shared" si="51"/>
        <v>0</v>
      </c>
      <c r="AP58" s="25">
        <f t="shared" si="52"/>
        <v>0</v>
      </c>
      <c r="AQ58" s="25">
        <f t="shared" si="53"/>
        <v>0</v>
      </c>
      <c r="AR58" s="25">
        <f t="shared" si="54"/>
        <v>0</v>
      </c>
      <c r="AS58" s="25">
        <f t="shared" si="55"/>
        <v>0</v>
      </c>
      <c r="AT58" s="25">
        <f t="shared" si="61"/>
        <v>0</v>
      </c>
      <c r="AU58" s="25">
        <f t="shared" si="63"/>
        <v>0</v>
      </c>
      <c r="AV58" s="25">
        <f t="shared" si="65"/>
        <v>0</v>
      </c>
      <c r="AW58" s="25">
        <f t="shared" si="67"/>
        <v>0</v>
      </c>
      <c r="AX58" s="25">
        <f t="shared" si="69"/>
        <v>0</v>
      </c>
      <c r="AY58" s="25">
        <f t="shared" si="71"/>
        <v>0</v>
      </c>
      <c r="AZ58" s="25">
        <f t="shared" si="73"/>
        <v>0</v>
      </c>
      <c r="BA58" s="25">
        <f t="shared" si="76"/>
        <v>0</v>
      </c>
      <c r="BB58" s="25">
        <f t="shared" ref="BB58:BB89" si="78">IF($BB$57=0,0,IF(AND($A58=$A57,$A58&lt;&gt;0,BB57&lt;&gt;0),$M58,0))</f>
        <v>0</v>
      </c>
      <c r="BC58" s="25">
        <f>IF(BB58&lt;&gt;0,0,IF(OR($A58=0,$A58=$A57),0,$M58))</f>
        <v>0</v>
      </c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 t="str">
        <v/>
      </c>
      <c r="DK58" s="34" t="str">
        <f t="shared" si="9"/>
        <v/>
      </c>
      <c r="DL58" s="29" t="str">
        <f t="shared" si="56"/>
        <v/>
      </c>
      <c r="DM58" s="35" t="str">
        <f t="shared" si="57"/>
        <v/>
      </c>
      <c r="DN58" s="24">
        <f t="shared" si="10"/>
        <v>20</v>
      </c>
      <c r="DO58" s="24">
        <f t="shared" si="11"/>
        <v>0</v>
      </c>
      <c r="DP58" s="24">
        <f t="shared" si="12"/>
        <v>0</v>
      </c>
      <c r="DQ58" s="24">
        <f t="shared" si="13"/>
        <v>20</v>
      </c>
      <c r="DR58" s="24" t="str">
        <f t="shared" si="14"/>
        <v/>
      </c>
      <c r="DS58" s="26" t="str">
        <f>IF(ISERROR(CEILING(($DQ58*$DL58/60),Puertas!$S$4)),"",CEILING(($DQ58*$DL58/60),Puertas!$S$4))</f>
        <v/>
      </c>
      <c r="DT58" s="26" t="str">
        <f t="shared" si="58"/>
        <v/>
      </c>
      <c r="DU58" s="112" t="str">
        <f t="shared" si="59"/>
        <v/>
      </c>
      <c r="DV58" s="113" t="str">
        <f>IF(D58="","",SUMIF(Puertas!$K$15:$K$114,B58,Puertas!$U$15:$U$114)+SUMIF(Puertas!$O$15:$O$114,B58,Puertas!$W$15:$W$114))</f>
        <v/>
      </c>
      <c r="DW58" s="114" t="str">
        <f t="shared" si="60"/>
        <v/>
      </c>
      <c r="DX58" s="112" t="str">
        <f t="shared" si="15"/>
        <v/>
      </c>
      <c r="DY58" s="113" t="str">
        <f t="shared" si="16"/>
        <v/>
      </c>
      <c r="DZ58" s="115"/>
      <c r="EA58" s="115"/>
      <c r="EB58" s="113" t="e">
        <f>ABS(IF(D58="","",SUMIF(Puertas!$K$15:$K$114,B58,Puertas!$V$15:$V$114)+SUMIF(Puertas!$O$15:$O$114,B58,Puertas!$X$15:$X$114)))</f>
        <v>#VALUE!</v>
      </c>
      <c r="EC58" s="113" t="str">
        <f t="shared" si="17"/>
        <v/>
      </c>
      <c r="ED58" s="114" t="str">
        <f t="shared" si="18"/>
        <v/>
      </c>
      <c r="EE58" s="43"/>
      <c r="EF58" s="6" t="b">
        <v>0</v>
      </c>
      <c r="EG58" s="6" t="b">
        <v>0</v>
      </c>
      <c r="EH58" s="5" t="e">
        <f t="shared" si="19"/>
        <v>#VALUE!</v>
      </c>
      <c r="EI58" s="5" t="e">
        <f t="shared" si="20"/>
        <v>#VALUE!</v>
      </c>
      <c r="EJ58" s="3">
        <f t="shared" si="21"/>
        <v>0</v>
      </c>
      <c r="EK58" s="3">
        <f t="shared" si="22"/>
        <v>0</v>
      </c>
      <c r="EL58" s="5" t="e">
        <f t="shared" si="23"/>
        <v>#VALUE!</v>
      </c>
      <c r="EM58" s="5" t="e">
        <f t="shared" si="24"/>
        <v>#VALUE!</v>
      </c>
    </row>
    <row r="59" spans="1:143" x14ac:dyDescent="0.3">
      <c r="A59" s="1">
        <v>43</v>
      </c>
      <c r="B59" s="15">
        <v>43</v>
      </c>
      <c r="C59" s="309"/>
      <c r="D59" s="309"/>
      <c r="E59" s="312"/>
      <c r="F59" s="332"/>
      <c r="G59" s="314"/>
      <c r="H59" s="446"/>
      <c r="I59" s="315"/>
      <c r="J59" s="312"/>
      <c r="K59" s="316"/>
      <c r="L59" s="317"/>
      <c r="M59" s="16">
        <f t="shared" si="7"/>
        <v>0</v>
      </c>
      <c r="N59" s="17">
        <f t="shared" si="74"/>
        <v>0</v>
      </c>
      <c r="O59" s="17">
        <f t="shared" si="62"/>
        <v>0</v>
      </c>
      <c r="P59" s="17">
        <f t="shared" si="64"/>
        <v>0</v>
      </c>
      <c r="Q59" s="17">
        <f t="shared" si="66"/>
        <v>0</v>
      </c>
      <c r="R59" s="17">
        <f t="shared" si="68"/>
        <v>0</v>
      </c>
      <c r="S59" s="17">
        <f t="shared" si="70"/>
        <v>0</v>
      </c>
      <c r="T59" s="17">
        <f t="shared" si="72"/>
        <v>0</v>
      </c>
      <c r="U59" s="17">
        <f t="shared" si="75"/>
        <v>0</v>
      </c>
      <c r="V59" s="17">
        <f t="shared" si="77"/>
        <v>0</v>
      </c>
      <c r="W59" s="17">
        <f t="shared" ref="W59:W90" si="79">IF($W$26=0,0,IF(AND($A59=$A58,$A59&lt;&gt;0,W58&lt;&gt;0),$M59,0))</f>
        <v>0</v>
      </c>
      <c r="X59" s="17">
        <f t="shared" si="34"/>
        <v>0</v>
      </c>
      <c r="Y59" s="17">
        <f t="shared" si="35"/>
        <v>0</v>
      </c>
      <c r="Z59" s="17">
        <f t="shared" si="36"/>
        <v>0</v>
      </c>
      <c r="AA59" s="17">
        <f t="shared" si="37"/>
        <v>0</v>
      </c>
      <c r="AB59" s="17">
        <f t="shared" si="38"/>
        <v>0</v>
      </c>
      <c r="AC59" s="17">
        <f t="shared" si="39"/>
        <v>0</v>
      </c>
      <c r="AD59" s="17">
        <f t="shared" si="40"/>
        <v>0</v>
      </c>
      <c r="AE59" s="17">
        <f t="shared" si="41"/>
        <v>0</v>
      </c>
      <c r="AF59" s="17">
        <f t="shared" si="42"/>
        <v>0</v>
      </c>
      <c r="AG59" s="17">
        <f t="shared" si="43"/>
        <v>0</v>
      </c>
      <c r="AH59" s="17">
        <f t="shared" si="44"/>
        <v>0</v>
      </c>
      <c r="AI59" s="17">
        <f t="shared" si="45"/>
        <v>0</v>
      </c>
      <c r="AJ59" s="17">
        <f t="shared" si="46"/>
        <v>0</v>
      </c>
      <c r="AK59" s="17">
        <f t="shared" si="47"/>
        <v>0</v>
      </c>
      <c r="AL59" s="17">
        <f t="shared" si="48"/>
        <v>0</v>
      </c>
      <c r="AM59" s="17">
        <f t="shared" si="49"/>
        <v>0</v>
      </c>
      <c r="AN59" s="17">
        <f t="shared" si="50"/>
        <v>0</v>
      </c>
      <c r="AO59" s="17">
        <f t="shared" si="51"/>
        <v>0</v>
      </c>
      <c r="AP59" s="17">
        <f t="shared" si="52"/>
        <v>0</v>
      </c>
      <c r="AQ59" s="17">
        <f t="shared" si="53"/>
        <v>0</v>
      </c>
      <c r="AR59" s="17">
        <f t="shared" si="54"/>
        <v>0</v>
      </c>
      <c r="AS59" s="17">
        <f t="shared" si="55"/>
        <v>0</v>
      </c>
      <c r="AT59" s="17">
        <f t="shared" si="61"/>
        <v>0</v>
      </c>
      <c r="AU59" s="17">
        <f t="shared" si="63"/>
        <v>0</v>
      </c>
      <c r="AV59" s="17">
        <f t="shared" si="65"/>
        <v>0</v>
      </c>
      <c r="AW59" s="17">
        <f t="shared" si="67"/>
        <v>0</v>
      </c>
      <c r="AX59" s="17">
        <f t="shared" si="69"/>
        <v>0</v>
      </c>
      <c r="AY59" s="17">
        <f t="shared" si="71"/>
        <v>0</v>
      </c>
      <c r="AZ59" s="17">
        <f t="shared" si="73"/>
        <v>0</v>
      </c>
      <c r="BA59" s="17">
        <f t="shared" si="76"/>
        <v>0</v>
      </c>
      <c r="BB59" s="17">
        <f t="shared" si="78"/>
        <v>0</v>
      </c>
      <c r="BC59" s="17">
        <f t="shared" ref="BC59:BC90" si="80">IF($BC$58=0,0,IF(AND($A59=$A58,$A59&lt;&gt;0,BC58&lt;&gt;0),$M59,0))</f>
        <v>0</v>
      </c>
      <c r="BD59" s="17">
        <f>IF(BC59&lt;&gt;0,0,IF(OR($A59=0,$A59=$A58),0,$M59))</f>
        <v>0</v>
      </c>
      <c r="BE59" s="17"/>
      <c r="BF59" s="17"/>
      <c r="BG59" s="17"/>
      <c r="BH59" s="17"/>
      <c r="BI59" s="17"/>
      <c r="BJ59" s="17"/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 t="str">
        <v/>
      </c>
      <c r="DK59" s="30" t="str">
        <f t="shared" si="9"/>
        <v/>
      </c>
      <c r="DL59" s="27" t="str">
        <f t="shared" si="56"/>
        <v/>
      </c>
      <c r="DM59" s="31" t="str">
        <f t="shared" si="57"/>
        <v/>
      </c>
      <c r="DN59" s="16">
        <f t="shared" si="10"/>
        <v>20</v>
      </c>
      <c r="DO59" s="16">
        <f t="shared" si="11"/>
        <v>0</v>
      </c>
      <c r="DP59" s="16">
        <f t="shared" si="12"/>
        <v>0</v>
      </c>
      <c r="DQ59" s="16">
        <f t="shared" si="13"/>
        <v>20</v>
      </c>
      <c r="DR59" s="16" t="str">
        <f t="shared" si="14"/>
        <v/>
      </c>
      <c r="DS59" s="18" t="str">
        <f>IF(ISERROR(CEILING(($DQ59*$DL59/60),Puertas!$S$4)),"",CEILING(($DQ59*$DL59/60),Puertas!$S$4))</f>
        <v/>
      </c>
      <c r="DT59" s="18" t="str">
        <f t="shared" si="58"/>
        <v/>
      </c>
      <c r="DU59" s="104" t="str">
        <f t="shared" si="59"/>
        <v/>
      </c>
      <c r="DV59" s="105" t="str">
        <f>IF(D59="","",SUMIF(Puertas!$K$15:$K$114,B59,Puertas!$U$15:$U$114)+SUMIF(Puertas!$O$15:$O$114,B59,Puertas!$W$15:$W$114))</f>
        <v/>
      </c>
      <c r="DW59" s="106" t="str">
        <f t="shared" si="60"/>
        <v/>
      </c>
      <c r="DX59" s="104" t="str">
        <f t="shared" si="15"/>
        <v/>
      </c>
      <c r="DY59" s="105" t="str">
        <f t="shared" si="16"/>
        <v/>
      </c>
      <c r="DZ59" s="107"/>
      <c r="EA59" s="107"/>
      <c r="EB59" s="105" t="e">
        <f>ABS(IF(D59="","",SUMIF(Puertas!$K$15:$K$114,B59,Puertas!$V$15:$V$114)+SUMIF(Puertas!$O$15:$O$114,B59,Puertas!$X$15:$X$114)))</f>
        <v>#VALUE!</v>
      </c>
      <c r="EC59" s="105" t="str">
        <f t="shared" si="17"/>
        <v/>
      </c>
      <c r="ED59" s="106" t="str">
        <f t="shared" si="18"/>
        <v/>
      </c>
      <c r="EE59" s="41"/>
      <c r="EF59" s="6" t="b">
        <v>0</v>
      </c>
      <c r="EG59" s="6" t="b">
        <v>0</v>
      </c>
      <c r="EH59" s="5" t="e">
        <f t="shared" si="19"/>
        <v>#VALUE!</v>
      </c>
      <c r="EI59" s="5" t="e">
        <f t="shared" si="20"/>
        <v>#VALUE!</v>
      </c>
      <c r="EJ59" s="3">
        <f t="shared" si="21"/>
        <v>0</v>
      </c>
      <c r="EK59" s="3">
        <f t="shared" si="22"/>
        <v>0</v>
      </c>
      <c r="EL59" s="5" t="e">
        <f t="shared" si="23"/>
        <v>#VALUE!</v>
      </c>
      <c r="EM59" s="5" t="e">
        <f t="shared" si="24"/>
        <v>#VALUE!</v>
      </c>
    </row>
    <row r="60" spans="1:143" x14ac:dyDescent="0.3">
      <c r="A60" s="1">
        <v>44</v>
      </c>
      <c r="B60" s="19">
        <v>44</v>
      </c>
      <c r="C60" s="310"/>
      <c r="D60" s="310"/>
      <c r="E60" s="318"/>
      <c r="F60" s="330"/>
      <c r="G60" s="320"/>
      <c r="H60" s="447"/>
      <c r="I60" s="321"/>
      <c r="J60" s="318"/>
      <c r="K60" s="322"/>
      <c r="L60" s="323"/>
      <c r="M60" s="20">
        <f t="shared" si="7"/>
        <v>0</v>
      </c>
      <c r="N60" s="21">
        <f t="shared" si="74"/>
        <v>0</v>
      </c>
      <c r="O60" s="21">
        <f t="shared" si="62"/>
        <v>0</v>
      </c>
      <c r="P60" s="21">
        <f t="shared" si="64"/>
        <v>0</v>
      </c>
      <c r="Q60" s="21">
        <f t="shared" si="66"/>
        <v>0</v>
      </c>
      <c r="R60" s="21">
        <f t="shared" si="68"/>
        <v>0</v>
      </c>
      <c r="S60" s="21">
        <f t="shared" si="70"/>
        <v>0</v>
      </c>
      <c r="T60" s="21">
        <f t="shared" si="72"/>
        <v>0</v>
      </c>
      <c r="U60" s="21">
        <f t="shared" si="75"/>
        <v>0</v>
      </c>
      <c r="V60" s="21">
        <f t="shared" si="77"/>
        <v>0</v>
      </c>
      <c r="W60" s="21">
        <f t="shared" si="79"/>
        <v>0</v>
      </c>
      <c r="X60" s="21">
        <f t="shared" ref="X60:X91" si="81">IF($X$27=0,0,IF(AND($A60=$A59,$A60&lt;&gt;0,X59&lt;&gt;0),$M60,0))</f>
        <v>0</v>
      </c>
      <c r="Y60" s="21">
        <f t="shared" si="35"/>
        <v>0</v>
      </c>
      <c r="Z60" s="21">
        <f t="shared" si="36"/>
        <v>0</v>
      </c>
      <c r="AA60" s="21">
        <f t="shared" si="37"/>
        <v>0</v>
      </c>
      <c r="AB60" s="21">
        <f t="shared" si="38"/>
        <v>0</v>
      </c>
      <c r="AC60" s="21">
        <f t="shared" si="39"/>
        <v>0</v>
      </c>
      <c r="AD60" s="21">
        <f t="shared" si="40"/>
        <v>0</v>
      </c>
      <c r="AE60" s="21">
        <f t="shared" si="41"/>
        <v>0</v>
      </c>
      <c r="AF60" s="21">
        <f t="shared" si="42"/>
        <v>0</v>
      </c>
      <c r="AG60" s="21">
        <f t="shared" si="43"/>
        <v>0</v>
      </c>
      <c r="AH60" s="21">
        <f t="shared" si="44"/>
        <v>0</v>
      </c>
      <c r="AI60" s="21">
        <f t="shared" si="45"/>
        <v>0</v>
      </c>
      <c r="AJ60" s="21">
        <f t="shared" si="46"/>
        <v>0</v>
      </c>
      <c r="AK60" s="21">
        <f t="shared" si="47"/>
        <v>0</v>
      </c>
      <c r="AL60" s="21">
        <f t="shared" si="48"/>
        <v>0</v>
      </c>
      <c r="AM60" s="21">
        <f t="shared" si="49"/>
        <v>0</v>
      </c>
      <c r="AN60" s="21">
        <f t="shared" si="50"/>
        <v>0</v>
      </c>
      <c r="AO60" s="21">
        <f t="shared" si="51"/>
        <v>0</v>
      </c>
      <c r="AP60" s="21">
        <f t="shared" si="52"/>
        <v>0</v>
      </c>
      <c r="AQ60" s="21">
        <f t="shared" si="53"/>
        <v>0</v>
      </c>
      <c r="AR60" s="21">
        <f t="shared" si="54"/>
        <v>0</v>
      </c>
      <c r="AS60" s="21">
        <f t="shared" si="55"/>
        <v>0</v>
      </c>
      <c r="AT60" s="21">
        <f t="shared" si="61"/>
        <v>0</v>
      </c>
      <c r="AU60" s="21">
        <f t="shared" si="63"/>
        <v>0</v>
      </c>
      <c r="AV60" s="21">
        <f t="shared" si="65"/>
        <v>0</v>
      </c>
      <c r="AW60" s="21">
        <f t="shared" si="67"/>
        <v>0</v>
      </c>
      <c r="AX60" s="21">
        <f t="shared" si="69"/>
        <v>0</v>
      </c>
      <c r="AY60" s="21">
        <f t="shared" si="71"/>
        <v>0</v>
      </c>
      <c r="AZ60" s="21">
        <f t="shared" si="73"/>
        <v>0</v>
      </c>
      <c r="BA60" s="21">
        <f t="shared" si="76"/>
        <v>0</v>
      </c>
      <c r="BB60" s="21">
        <f t="shared" si="78"/>
        <v>0</v>
      </c>
      <c r="BC60" s="21">
        <f t="shared" si="80"/>
        <v>0</v>
      </c>
      <c r="BD60" s="21">
        <f t="shared" ref="BD60:BD91" si="82">IF($BD$59=0,0,IF(AND($A60=$A59,$A60&lt;&gt;0,BD59&lt;&gt;0),$M60,0))</f>
        <v>0</v>
      </c>
      <c r="BE60" s="21">
        <f>IF(BD60&lt;&gt;0,0,IF(OR($A60=0,$A60=$A59),0,$M60))</f>
        <v>0</v>
      </c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1"/>
      <c r="CE60" s="21"/>
      <c r="CF60" s="21"/>
      <c r="CG60" s="21"/>
      <c r="CH60" s="21"/>
      <c r="CI60" s="21"/>
      <c r="CJ60" s="21"/>
      <c r="CK60" s="21"/>
      <c r="CL60" s="21"/>
      <c r="CM60" s="21"/>
      <c r="CN60" s="21"/>
      <c r="CO60" s="21"/>
      <c r="CP60" s="21"/>
      <c r="CQ60" s="21"/>
      <c r="CR60" s="21"/>
      <c r="CS60" s="21"/>
      <c r="CT60" s="21"/>
      <c r="CU60" s="21"/>
      <c r="CV60" s="21"/>
      <c r="CW60" s="21"/>
      <c r="CX60" s="21"/>
      <c r="CY60" s="21"/>
      <c r="CZ60" s="21"/>
      <c r="DA60" s="21"/>
      <c r="DB60" s="21"/>
      <c r="DC60" s="21"/>
      <c r="DD60" s="21"/>
      <c r="DE60" s="21"/>
      <c r="DF60" s="21"/>
      <c r="DG60" s="21"/>
      <c r="DH60" s="21"/>
      <c r="DI60" s="21"/>
      <c r="DJ60" s="21" t="str">
        <v/>
      </c>
      <c r="DK60" s="32" t="str">
        <f t="shared" si="9"/>
        <v/>
      </c>
      <c r="DL60" s="28" t="str">
        <f t="shared" si="56"/>
        <v/>
      </c>
      <c r="DM60" s="33" t="str">
        <f t="shared" si="57"/>
        <v/>
      </c>
      <c r="DN60" s="20">
        <f t="shared" si="10"/>
        <v>20</v>
      </c>
      <c r="DO60" s="20">
        <f t="shared" si="11"/>
        <v>0</v>
      </c>
      <c r="DP60" s="20">
        <f t="shared" si="12"/>
        <v>0</v>
      </c>
      <c r="DQ60" s="20">
        <f t="shared" si="13"/>
        <v>20</v>
      </c>
      <c r="DR60" s="20" t="str">
        <f t="shared" si="14"/>
        <v/>
      </c>
      <c r="DS60" s="22" t="str">
        <f>IF(ISERROR(CEILING(($DQ60*$DL60/60),Puertas!$S$4)),"",CEILING(($DQ60*$DL60/60),Puertas!$S$4))</f>
        <v/>
      </c>
      <c r="DT60" s="22" t="str">
        <f t="shared" si="58"/>
        <v/>
      </c>
      <c r="DU60" s="108" t="str">
        <f t="shared" si="59"/>
        <v/>
      </c>
      <c r="DV60" s="109" t="str">
        <f>IF(D60="","",SUMIF(Puertas!$K$15:$K$114,B60,Puertas!$U$15:$U$114)+SUMIF(Puertas!$O$15:$O$114,B60,Puertas!$W$15:$W$114))</f>
        <v/>
      </c>
      <c r="DW60" s="110" t="str">
        <f t="shared" si="60"/>
        <v/>
      </c>
      <c r="DX60" s="108" t="str">
        <f t="shared" si="15"/>
        <v/>
      </c>
      <c r="DY60" s="109" t="str">
        <f t="shared" si="16"/>
        <v/>
      </c>
      <c r="DZ60" s="111"/>
      <c r="EA60" s="111"/>
      <c r="EB60" s="109" t="e">
        <f>ABS(IF(D60="","",SUMIF(Puertas!$K$15:$K$114,B60,Puertas!$V$15:$V$114)+SUMIF(Puertas!$O$15:$O$114,B60,Puertas!$X$15:$X$114)))</f>
        <v>#VALUE!</v>
      </c>
      <c r="EC60" s="109" t="str">
        <f t="shared" si="17"/>
        <v/>
      </c>
      <c r="ED60" s="110" t="str">
        <f t="shared" si="18"/>
        <v/>
      </c>
      <c r="EE60" s="42"/>
      <c r="EF60" s="6" t="b">
        <v>0</v>
      </c>
      <c r="EG60" s="6" t="b">
        <v>0</v>
      </c>
      <c r="EH60" s="5" t="e">
        <f t="shared" si="19"/>
        <v>#VALUE!</v>
      </c>
      <c r="EI60" s="5" t="e">
        <f t="shared" si="20"/>
        <v>#VALUE!</v>
      </c>
      <c r="EJ60" s="3">
        <f t="shared" si="21"/>
        <v>0</v>
      </c>
      <c r="EK60" s="3">
        <f t="shared" si="22"/>
        <v>0</v>
      </c>
      <c r="EL60" s="5" t="e">
        <f t="shared" si="23"/>
        <v>#VALUE!</v>
      </c>
      <c r="EM60" s="5" t="e">
        <f t="shared" si="24"/>
        <v>#VALUE!</v>
      </c>
    </row>
    <row r="61" spans="1:143" x14ac:dyDescent="0.3">
      <c r="A61" s="1">
        <v>45</v>
      </c>
      <c r="B61" s="23">
        <v>45</v>
      </c>
      <c r="C61" s="311"/>
      <c r="D61" s="311"/>
      <c r="E61" s="324"/>
      <c r="F61" s="331"/>
      <c r="G61" s="326"/>
      <c r="H61" s="448"/>
      <c r="I61" s="327"/>
      <c r="J61" s="324"/>
      <c r="K61" s="328"/>
      <c r="L61" s="329"/>
      <c r="M61" s="24">
        <f t="shared" si="7"/>
        <v>0</v>
      </c>
      <c r="N61" s="25">
        <f t="shared" si="74"/>
        <v>0</v>
      </c>
      <c r="O61" s="25">
        <f t="shared" si="62"/>
        <v>0</v>
      </c>
      <c r="P61" s="25">
        <f t="shared" si="64"/>
        <v>0</v>
      </c>
      <c r="Q61" s="25">
        <f t="shared" si="66"/>
        <v>0</v>
      </c>
      <c r="R61" s="25">
        <f t="shared" si="68"/>
        <v>0</v>
      </c>
      <c r="S61" s="25">
        <f t="shared" si="70"/>
        <v>0</v>
      </c>
      <c r="T61" s="25">
        <f t="shared" si="72"/>
        <v>0</v>
      </c>
      <c r="U61" s="25">
        <f t="shared" si="75"/>
        <v>0</v>
      </c>
      <c r="V61" s="25">
        <f t="shared" si="77"/>
        <v>0</v>
      </c>
      <c r="W61" s="25">
        <f t="shared" si="79"/>
        <v>0</v>
      </c>
      <c r="X61" s="25">
        <f t="shared" si="81"/>
        <v>0</v>
      </c>
      <c r="Y61" s="25">
        <f t="shared" ref="Y61:Y92" si="83">IF($Y$28=0,0,IF(AND($A61=$A60,$A61&lt;&gt;0,Y60&lt;&gt;0),$M61,0))</f>
        <v>0</v>
      </c>
      <c r="Z61" s="25">
        <f t="shared" si="36"/>
        <v>0</v>
      </c>
      <c r="AA61" s="25">
        <f t="shared" si="37"/>
        <v>0</v>
      </c>
      <c r="AB61" s="25">
        <f t="shared" si="38"/>
        <v>0</v>
      </c>
      <c r="AC61" s="25">
        <f t="shared" si="39"/>
        <v>0</v>
      </c>
      <c r="AD61" s="25">
        <f t="shared" si="40"/>
        <v>0</v>
      </c>
      <c r="AE61" s="25">
        <f t="shared" si="41"/>
        <v>0</v>
      </c>
      <c r="AF61" s="25">
        <f t="shared" si="42"/>
        <v>0</v>
      </c>
      <c r="AG61" s="25">
        <f t="shared" si="43"/>
        <v>0</v>
      </c>
      <c r="AH61" s="25">
        <f t="shared" si="44"/>
        <v>0</v>
      </c>
      <c r="AI61" s="25">
        <f t="shared" si="45"/>
        <v>0</v>
      </c>
      <c r="AJ61" s="25">
        <f t="shared" si="46"/>
        <v>0</v>
      </c>
      <c r="AK61" s="25">
        <f t="shared" si="47"/>
        <v>0</v>
      </c>
      <c r="AL61" s="25">
        <f t="shared" si="48"/>
        <v>0</v>
      </c>
      <c r="AM61" s="25">
        <f t="shared" si="49"/>
        <v>0</v>
      </c>
      <c r="AN61" s="25">
        <f t="shared" si="50"/>
        <v>0</v>
      </c>
      <c r="AO61" s="25">
        <f t="shared" si="51"/>
        <v>0</v>
      </c>
      <c r="AP61" s="25">
        <f t="shared" si="52"/>
        <v>0</v>
      </c>
      <c r="AQ61" s="25">
        <f t="shared" si="53"/>
        <v>0</v>
      </c>
      <c r="AR61" s="25">
        <f t="shared" si="54"/>
        <v>0</v>
      </c>
      <c r="AS61" s="25">
        <f t="shared" si="55"/>
        <v>0</v>
      </c>
      <c r="AT61" s="25">
        <f t="shared" si="61"/>
        <v>0</v>
      </c>
      <c r="AU61" s="25">
        <f t="shared" si="63"/>
        <v>0</v>
      </c>
      <c r="AV61" s="25">
        <f t="shared" si="65"/>
        <v>0</v>
      </c>
      <c r="AW61" s="25">
        <f t="shared" si="67"/>
        <v>0</v>
      </c>
      <c r="AX61" s="25">
        <f t="shared" si="69"/>
        <v>0</v>
      </c>
      <c r="AY61" s="25">
        <f t="shared" si="71"/>
        <v>0</v>
      </c>
      <c r="AZ61" s="25">
        <f t="shared" si="73"/>
        <v>0</v>
      </c>
      <c r="BA61" s="25">
        <f t="shared" si="76"/>
        <v>0</v>
      </c>
      <c r="BB61" s="25">
        <f t="shared" si="78"/>
        <v>0</v>
      </c>
      <c r="BC61" s="25">
        <f t="shared" si="80"/>
        <v>0</v>
      </c>
      <c r="BD61" s="25">
        <f t="shared" si="82"/>
        <v>0</v>
      </c>
      <c r="BE61" s="25">
        <f t="shared" ref="BE61:BE92" si="84">IF($BE$60=0,0,IF(AND($A61=$A60,$A61&lt;&gt;0,BE60&lt;&gt;0),$M61,0))</f>
        <v>0</v>
      </c>
      <c r="BF61" s="25">
        <f>IF(BE61&lt;&gt;0,0,IF(OR($A61=0,$A61=$A60),0,$M61))</f>
        <v>0</v>
      </c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 t="str">
        <v/>
      </c>
      <c r="DK61" s="34" t="str">
        <f t="shared" si="9"/>
        <v/>
      </c>
      <c r="DL61" s="29" t="str">
        <f t="shared" si="56"/>
        <v/>
      </c>
      <c r="DM61" s="35" t="str">
        <f t="shared" si="57"/>
        <v/>
      </c>
      <c r="DN61" s="24">
        <f t="shared" si="10"/>
        <v>20</v>
      </c>
      <c r="DO61" s="24">
        <f t="shared" si="11"/>
        <v>0</v>
      </c>
      <c r="DP61" s="24">
        <f t="shared" si="12"/>
        <v>0</v>
      </c>
      <c r="DQ61" s="24">
        <f t="shared" si="13"/>
        <v>20</v>
      </c>
      <c r="DR61" s="24" t="str">
        <f t="shared" si="14"/>
        <v/>
      </c>
      <c r="DS61" s="26" t="str">
        <f>IF(ISERROR(CEILING(($DQ61*$DL61/60),Puertas!$S$4)),"",CEILING(($DQ61*$DL61/60),Puertas!$S$4))</f>
        <v/>
      </c>
      <c r="DT61" s="26" t="str">
        <f t="shared" si="58"/>
        <v/>
      </c>
      <c r="DU61" s="112" t="str">
        <f t="shared" si="59"/>
        <v/>
      </c>
      <c r="DV61" s="113" t="str">
        <f>IF(D61="","",SUMIF(Puertas!$K$15:$K$114,B61,Puertas!$U$15:$U$114)+SUMIF(Puertas!$O$15:$O$114,B61,Puertas!$W$15:$W$114))</f>
        <v/>
      </c>
      <c r="DW61" s="114" t="str">
        <f t="shared" si="60"/>
        <v/>
      </c>
      <c r="DX61" s="112" t="str">
        <f t="shared" si="15"/>
        <v/>
      </c>
      <c r="DY61" s="113" t="str">
        <f t="shared" si="16"/>
        <v/>
      </c>
      <c r="DZ61" s="115"/>
      <c r="EA61" s="115"/>
      <c r="EB61" s="113" t="e">
        <f>ABS(IF(D61="","",SUMIF(Puertas!$K$15:$K$114,B61,Puertas!$V$15:$V$114)+SUMIF(Puertas!$O$15:$O$114,B61,Puertas!$X$15:$X$114)))</f>
        <v>#VALUE!</v>
      </c>
      <c r="EC61" s="113" t="str">
        <f t="shared" si="17"/>
        <v/>
      </c>
      <c r="ED61" s="114" t="str">
        <f t="shared" si="18"/>
        <v/>
      </c>
      <c r="EE61" s="43"/>
      <c r="EF61" s="6" t="b">
        <v>0</v>
      </c>
      <c r="EG61" s="6" t="b">
        <v>0</v>
      </c>
      <c r="EH61" s="5" t="e">
        <f t="shared" si="19"/>
        <v>#VALUE!</v>
      </c>
      <c r="EI61" s="5" t="e">
        <f t="shared" si="20"/>
        <v>#VALUE!</v>
      </c>
      <c r="EJ61" s="3">
        <f t="shared" si="21"/>
        <v>0</v>
      </c>
      <c r="EK61" s="3">
        <f t="shared" si="22"/>
        <v>0</v>
      </c>
      <c r="EL61" s="5" t="e">
        <f t="shared" si="23"/>
        <v>#VALUE!</v>
      </c>
      <c r="EM61" s="5" t="e">
        <f t="shared" si="24"/>
        <v>#VALUE!</v>
      </c>
    </row>
    <row r="62" spans="1:143" x14ac:dyDescent="0.3">
      <c r="A62" s="1">
        <v>46</v>
      </c>
      <c r="B62" s="15">
        <v>46</v>
      </c>
      <c r="C62" s="309"/>
      <c r="D62" s="309"/>
      <c r="E62" s="312"/>
      <c r="F62" s="332"/>
      <c r="G62" s="314"/>
      <c r="H62" s="446"/>
      <c r="I62" s="315"/>
      <c r="J62" s="312"/>
      <c r="K62" s="316"/>
      <c r="L62" s="317"/>
      <c r="M62" s="16">
        <f t="shared" si="7"/>
        <v>0</v>
      </c>
      <c r="N62" s="17">
        <f t="shared" si="74"/>
        <v>0</v>
      </c>
      <c r="O62" s="17">
        <f t="shared" si="62"/>
        <v>0</v>
      </c>
      <c r="P62" s="17">
        <f t="shared" si="64"/>
        <v>0</v>
      </c>
      <c r="Q62" s="17">
        <f t="shared" si="66"/>
        <v>0</v>
      </c>
      <c r="R62" s="17">
        <f t="shared" si="68"/>
        <v>0</v>
      </c>
      <c r="S62" s="17">
        <f t="shared" si="70"/>
        <v>0</v>
      </c>
      <c r="T62" s="17">
        <f t="shared" si="72"/>
        <v>0</v>
      </c>
      <c r="U62" s="17">
        <f t="shared" si="75"/>
        <v>0</v>
      </c>
      <c r="V62" s="17">
        <f t="shared" si="77"/>
        <v>0</v>
      </c>
      <c r="W62" s="17">
        <f t="shared" si="79"/>
        <v>0</v>
      </c>
      <c r="X62" s="17">
        <f t="shared" si="81"/>
        <v>0</v>
      </c>
      <c r="Y62" s="17">
        <f t="shared" si="83"/>
        <v>0</v>
      </c>
      <c r="Z62" s="17">
        <f t="shared" ref="Z62:Z93" si="85">IF($Z$29=0,0,IF(AND($A62=$A61,$A62&lt;&gt;0,Z61&lt;&gt;0),$M62,0))</f>
        <v>0</v>
      </c>
      <c r="AA62" s="17">
        <f t="shared" si="37"/>
        <v>0</v>
      </c>
      <c r="AB62" s="17">
        <f t="shared" si="38"/>
        <v>0</v>
      </c>
      <c r="AC62" s="17">
        <f t="shared" si="39"/>
        <v>0</v>
      </c>
      <c r="AD62" s="17">
        <f t="shared" si="40"/>
        <v>0</v>
      </c>
      <c r="AE62" s="17">
        <f t="shared" si="41"/>
        <v>0</v>
      </c>
      <c r="AF62" s="17">
        <f t="shared" si="42"/>
        <v>0</v>
      </c>
      <c r="AG62" s="17">
        <f t="shared" si="43"/>
        <v>0</v>
      </c>
      <c r="AH62" s="17">
        <f t="shared" si="44"/>
        <v>0</v>
      </c>
      <c r="AI62" s="17">
        <f t="shared" si="45"/>
        <v>0</v>
      </c>
      <c r="AJ62" s="17">
        <f t="shared" si="46"/>
        <v>0</v>
      </c>
      <c r="AK62" s="17">
        <f t="shared" si="47"/>
        <v>0</v>
      </c>
      <c r="AL62" s="17">
        <f t="shared" si="48"/>
        <v>0</v>
      </c>
      <c r="AM62" s="17">
        <f t="shared" si="49"/>
        <v>0</v>
      </c>
      <c r="AN62" s="17">
        <f t="shared" si="50"/>
        <v>0</v>
      </c>
      <c r="AO62" s="17">
        <f t="shared" si="51"/>
        <v>0</v>
      </c>
      <c r="AP62" s="17">
        <f t="shared" si="52"/>
        <v>0</v>
      </c>
      <c r="AQ62" s="17">
        <f t="shared" si="53"/>
        <v>0</v>
      </c>
      <c r="AR62" s="17">
        <f t="shared" si="54"/>
        <v>0</v>
      </c>
      <c r="AS62" s="17">
        <f t="shared" si="55"/>
        <v>0</v>
      </c>
      <c r="AT62" s="17">
        <f t="shared" si="61"/>
        <v>0</v>
      </c>
      <c r="AU62" s="17">
        <f t="shared" si="63"/>
        <v>0</v>
      </c>
      <c r="AV62" s="17">
        <f t="shared" si="65"/>
        <v>0</v>
      </c>
      <c r="AW62" s="17">
        <f t="shared" si="67"/>
        <v>0</v>
      </c>
      <c r="AX62" s="17">
        <f t="shared" si="69"/>
        <v>0</v>
      </c>
      <c r="AY62" s="17">
        <f t="shared" si="71"/>
        <v>0</v>
      </c>
      <c r="AZ62" s="17">
        <f t="shared" si="73"/>
        <v>0</v>
      </c>
      <c r="BA62" s="17">
        <f t="shared" si="76"/>
        <v>0</v>
      </c>
      <c r="BB62" s="17">
        <f t="shared" si="78"/>
        <v>0</v>
      </c>
      <c r="BC62" s="17">
        <f t="shared" si="80"/>
        <v>0</v>
      </c>
      <c r="BD62" s="17">
        <f t="shared" si="82"/>
        <v>0</v>
      </c>
      <c r="BE62" s="17">
        <f t="shared" si="84"/>
        <v>0</v>
      </c>
      <c r="BF62" s="17">
        <f t="shared" ref="BF62:BF93" si="86">IF($BF$61=0,0,IF(AND($A62=$A61,$A62&lt;&gt;0,BF61&lt;&gt;0),$M62,0))</f>
        <v>0</v>
      </c>
      <c r="BG62" s="17">
        <f>IF(BF62&lt;&gt;0,0,IF(OR($A62=0,$A62=$A61),0,$M62))</f>
        <v>0</v>
      </c>
      <c r="BH62" s="17"/>
      <c r="BI62" s="17"/>
      <c r="BJ62" s="17"/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17" t="str">
        <v/>
      </c>
      <c r="DK62" s="30" t="str">
        <f t="shared" si="9"/>
        <v/>
      </c>
      <c r="DL62" s="27" t="str">
        <f t="shared" si="56"/>
        <v/>
      </c>
      <c r="DM62" s="31" t="str">
        <f t="shared" si="57"/>
        <v/>
      </c>
      <c r="DN62" s="16">
        <f t="shared" si="10"/>
        <v>20</v>
      </c>
      <c r="DO62" s="16">
        <f t="shared" si="11"/>
        <v>0</v>
      </c>
      <c r="DP62" s="16">
        <f t="shared" si="12"/>
        <v>0</v>
      </c>
      <c r="DQ62" s="16">
        <f t="shared" si="13"/>
        <v>20</v>
      </c>
      <c r="DR62" s="16" t="str">
        <f t="shared" si="14"/>
        <v/>
      </c>
      <c r="DS62" s="18" t="str">
        <f>IF(ISERROR(CEILING(($DQ62*$DL62/60),Puertas!$S$4)),"",CEILING(($DQ62*$DL62/60),Puertas!$S$4))</f>
        <v/>
      </c>
      <c r="DT62" s="18" t="str">
        <f t="shared" si="58"/>
        <v/>
      </c>
      <c r="DU62" s="104" t="str">
        <f t="shared" si="59"/>
        <v/>
      </c>
      <c r="DV62" s="105" t="str">
        <f>IF(D62="","",SUMIF(Puertas!$K$15:$K$114,B62,Puertas!$U$15:$U$114)+SUMIF(Puertas!$O$15:$O$114,B62,Puertas!$W$15:$W$114))</f>
        <v/>
      </c>
      <c r="DW62" s="106" t="str">
        <f t="shared" si="60"/>
        <v/>
      </c>
      <c r="DX62" s="104" t="str">
        <f t="shared" si="15"/>
        <v/>
      </c>
      <c r="DY62" s="105" t="str">
        <f t="shared" si="16"/>
        <v/>
      </c>
      <c r="DZ62" s="107"/>
      <c r="EA62" s="107"/>
      <c r="EB62" s="105" t="e">
        <f>ABS(IF(D62="","",SUMIF(Puertas!$K$15:$K$114,B62,Puertas!$V$15:$V$114)+SUMIF(Puertas!$O$15:$O$114,B62,Puertas!$X$15:$X$114)))</f>
        <v>#VALUE!</v>
      </c>
      <c r="EC62" s="105" t="str">
        <f t="shared" si="17"/>
        <v/>
      </c>
      <c r="ED62" s="106" t="str">
        <f t="shared" si="18"/>
        <v/>
      </c>
      <c r="EE62" s="41"/>
      <c r="EF62" s="6" t="b">
        <v>0</v>
      </c>
      <c r="EG62" s="6" t="b">
        <v>0</v>
      </c>
      <c r="EH62" s="5" t="e">
        <f t="shared" si="19"/>
        <v>#VALUE!</v>
      </c>
      <c r="EI62" s="5" t="e">
        <f t="shared" si="20"/>
        <v>#VALUE!</v>
      </c>
      <c r="EJ62" s="3">
        <f t="shared" si="21"/>
        <v>0</v>
      </c>
      <c r="EK62" s="3">
        <f t="shared" si="22"/>
        <v>0</v>
      </c>
      <c r="EL62" s="5" t="e">
        <f t="shared" si="23"/>
        <v>#VALUE!</v>
      </c>
      <c r="EM62" s="5" t="e">
        <f t="shared" si="24"/>
        <v>#VALUE!</v>
      </c>
    </row>
    <row r="63" spans="1:143" x14ac:dyDescent="0.3">
      <c r="A63" s="1">
        <v>47</v>
      </c>
      <c r="B63" s="19">
        <v>47</v>
      </c>
      <c r="C63" s="310"/>
      <c r="D63" s="310"/>
      <c r="E63" s="318"/>
      <c r="F63" s="330"/>
      <c r="G63" s="320"/>
      <c r="H63" s="447"/>
      <c r="I63" s="321"/>
      <c r="J63" s="318"/>
      <c r="K63" s="322"/>
      <c r="L63" s="323"/>
      <c r="M63" s="20">
        <f t="shared" si="7"/>
        <v>0</v>
      </c>
      <c r="N63" s="21">
        <f t="shared" si="74"/>
        <v>0</v>
      </c>
      <c r="O63" s="21">
        <f t="shared" si="62"/>
        <v>0</v>
      </c>
      <c r="P63" s="21">
        <f t="shared" si="64"/>
        <v>0</v>
      </c>
      <c r="Q63" s="21">
        <f t="shared" si="66"/>
        <v>0</v>
      </c>
      <c r="R63" s="21">
        <f t="shared" si="68"/>
        <v>0</v>
      </c>
      <c r="S63" s="21">
        <f t="shared" si="70"/>
        <v>0</v>
      </c>
      <c r="T63" s="21">
        <f t="shared" si="72"/>
        <v>0</v>
      </c>
      <c r="U63" s="21">
        <f t="shared" si="75"/>
        <v>0</v>
      </c>
      <c r="V63" s="21">
        <f t="shared" si="77"/>
        <v>0</v>
      </c>
      <c r="W63" s="21">
        <f t="shared" si="79"/>
        <v>0</v>
      </c>
      <c r="X63" s="21">
        <f t="shared" si="81"/>
        <v>0</v>
      </c>
      <c r="Y63" s="21">
        <f t="shared" si="83"/>
        <v>0</v>
      </c>
      <c r="Z63" s="21">
        <f t="shared" si="85"/>
        <v>0</v>
      </c>
      <c r="AA63" s="21">
        <f t="shared" ref="AA63:AA94" si="87">IF($AA$30=0,0,IF(AND($A63=$A62,$A63&lt;&gt;0,AA62&lt;&gt;0),$M63,0))</f>
        <v>0</v>
      </c>
      <c r="AB63" s="21">
        <f t="shared" si="38"/>
        <v>0</v>
      </c>
      <c r="AC63" s="21">
        <f t="shared" si="39"/>
        <v>0</v>
      </c>
      <c r="AD63" s="21">
        <f t="shared" si="40"/>
        <v>0</v>
      </c>
      <c r="AE63" s="21">
        <f t="shared" si="41"/>
        <v>0</v>
      </c>
      <c r="AF63" s="21">
        <f t="shared" si="42"/>
        <v>0</v>
      </c>
      <c r="AG63" s="21">
        <f t="shared" si="43"/>
        <v>0</v>
      </c>
      <c r="AH63" s="21">
        <f t="shared" si="44"/>
        <v>0</v>
      </c>
      <c r="AI63" s="21">
        <f t="shared" si="45"/>
        <v>0</v>
      </c>
      <c r="AJ63" s="21">
        <f t="shared" si="46"/>
        <v>0</v>
      </c>
      <c r="AK63" s="21">
        <f t="shared" si="47"/>
        <v>0</v>
      </c>
      <c r="AL63" s="21">
        <f t="shared" si="48"/>
        <v>0</v>
      </c>
      <c r="AM63" s="21">
        <f t="shared" si="49"/>
        <v>0</v>
      </c>
      <c r="AN63" s="21">
        <f t="shared" si="50"/>
        <v>0</v>
      </c>
      <c r="AO63" s="21">
        <f t="shared" si="51"/>
        <v>0</v>
      </c>
      <c r="AP63" s="21">
        <f t="shared" si="52"/>
        <v>0</v>
      </c>
      <c r="AQ63" s="21">
        <f t="shared" si="53"/>
        <v>0</v>
      </c>
      <c r="AR63" s="21">
        <f t="shared" si="54"/>
        <v>0</v>
      </c>
      <c r="AS63" s="21">
        <f t="shared" si="55"/>
        <v>0</v>
      </c>
      <c r="AT63" s="21">
        <f t="shared" si="61"/>
        <v>0</v>
      </c>
      <c r="AU63" s="21">
        <f t="shared" si="63"/>
        <v>0</v>
      </c>
      <c r="AV63" s="21">
        <f t="shared" si="65"/>
        <v>0</v>
      </c>
      <c r="AW63" s="21">
        <f t="shared" si="67"/>
        <v>0</v>
      </c>
      <c r="AX63" s="21">
        <f t="shared" si="69"/>
        <v>0</v>
      </c>
      <c r="AY63" s="21">
        <f t="shared" si="71"/>
        <v>0</v>
      </c>
      <c r="AZ63" s="21">
        <f t="shared" si="73"/>
        <v>0</v>
      </c>
      <c r="BA63" s="21">
        <f t="shared" si="76"/>
        <v>0</v>
      </c>
      <c r="BB63" s="21">
        <f t="shared" si="78"/>
        <v>0</v>
      </c>
      <c r="BC63" s="21">
        <f t="shared" si="80"/>
        <v>0</v>
      </c>
      <c r="BD63" s="21">
        <f t="shared" si="82"/>
        <v>0</v>
      </c>
      <c r="BE63" s="21">
        <f t="shared" si="84"/>
        <v>0</v>
      </c>
      <c r="BF63" s="21">
        <f t="shared" si="86"/>
        <v>0</v>
      </c>
      <c r="BG63" s="21">
        <f t="shared" ref="BG63:BG94" si="88">IF($BG$62=0,0,IF(AND($A63=$A62,$A63&lt;&gt;0,BG62&lt;&gt;0),$M63,0))</f>
        <v>0</v>
      </c>
      <c r="BH63" s="21">
        <f>IF(BG63&lt;&gt;0,0,IF(OR($A63=0,$A63=$A62),0,$M63))</f>
        <v>0</v>
      </c>
      <c r="BI63" s="21"/>
      <c r="BJ63" s="21"/>
      <c r="BK63" s="21"/>
      <c r="BL63" s="21"/>
      <c r="BM63" s="21"/>
      <c r="BN63" s="21"/>
      <c r="BO63" s="21"/>
      <c r="BP63" s="21"/>
      <c r="BQ63" s="21"/>
      <c r="BR63" s="21"/>
      <c r="BS63" s="21"/>
      <c r="BT63" s="21"/>
      <c r="BU63" s="21"/>
      <c r="BV63" s="21"/>
      <c r="BW63" s="21"/>
      <c r="BX63" s="21"/>
      <c r="BY63" s="21"/>
      <c r="BZ63" s="21"/>
      <c r="CA63" s="21"/>
      <c r="CB63" s="21"/>
      <c r="CC63" s="21"/>
      <c r="CD63" s="21"/>
      <c r="CE63" s="21"/>
      <c r="CF63" s="21"/>
      <c r="CG63" s="21"/>
      <c r="CH63" s="21"/>
      <c r="CI63" s="21"/>
      <c r="CJ63" s="21"/>
      <c r="CK63" s="21"/>
      <c r="CL63" s="21"/>
      <c r="CM63" s="21"/>
      <c r="CN63" s="21"/>
      <c r="CO63" s="21"/>
      <c r="CP63" s="21"/>
      <c r="CQ63" s="21"/>
      <c r="CR63" s="21"/>
      <c r="CS63" s="21"/>
      <c r="CT63" s="21"/>
      <c r="CU63" s="21"/>
      <c r="CV63" s="21"/>
      <c r="CW63" s="21"/>
      <c r="CX63" s="21"/>
      <c r="CY63" s="21"/>
      <c r="CZ63" s="21"/>
      <c r="DA63" s="21"/>
      <c r="DB63" s="21"/>
      <c r="DC63" s="21"/>
      <c r="DD63" s="21"/>
      <c r="DE63" s="21"/>
      <c r="DF63" s="21"/>
      <c r="DG63" s="21"/>
      <c r="DH63" s="21"/>
      <c r="DI63" s="21"/>
      <c r="DJ63" s="21" t="str">
        <v/>
      </c>
      <c r="DK63" s="32" t="str">
        <f t="shared" si="9"/>
        <v/>
      </c>
      <c r="DL63" s="28" t="str">
        <f t="shared" si="56"/>
        <v/>
      </c>
      <c r="DM63" s="33" t="str">
        <f t="shared" si="57"/>
        <v/>
      </c>
      <c r="DN63" s="20">
        <f t="shared" si="10"/>
        <v>20</v>
      </c>
      <c r="DO63" s="20">
        <f t="shared" si="11"/>
        <v>0</v>
      </c>
      <c r="DP63" s="20">
        <f t="shared" si="12"/>
        <v>0</v>
      </c>
      <c r="DQ63" s="20">
        <f t="shared" si="13"/>
        <v>20</v>
      </c>
      <c r="DR63" s="20" t="str">
        <f t="shared" si="14"/>
        <v/>
      </c>
      <c r="DS63" s="22" t="str">
        <f>IF(ISERROR(CEILING(($DQ63*$DL63/60),Puertas!$S$4)),"",CEILING(($DQ63*$DL63/60),Puertas!$S$4))</f>
        <v/>
      </c>
      <c r="DT63" s="22" t="str">
        <f t="shared" si="58"/>
        <v/>
      </c>
      <c r="DU63" s="108" t="str">
        <f t="shared" si="59"/>
        <v/>
      </c>
      <c r="DV63" s="109" t="str">
        <f>IF(D63="","",SUMIF(Puertas!$K$15:$K$114,B63,Puertas!$U$15:$U$114)+SUMIF(Puertas!$O$15:$O$114,B63,Puertas!$W$15:$W$114))</f>
        <v/>
      </c>
      <c r="DW63" s="110" t="str">
        <f t="shared" si="60"/>
        <v/>
      </c>
      <c r="DX63" s="108" t="str">
        <f t="shared" si="15"/>
        <v/>
      </c>
      <c r="DY63" s="109" t="str">
        <f t="shared" si="16"/>
        <v/>
      </c>
      <c r="DZ63" s="111"/>
      <c r="EA63" s="111"/>
      <c r="EB63" s="109" t="e">
        <f>ABS(IF(D63="","",SUMIF(Puertas!$K$15:$K$114,B63,Puertas!$V$15:$V$114)+SUMIF(Puertas!$O$15:$O$114,B63,Puertas!$X$15:$X$114)))</f>
        <v>#VALUE!</v>
      </c>
      <c r="EC63" s="109" t="str">
        <f t="shared" si="17"/>
        <v/>
      </c>
      <c r="ED63" s="110" t="str">
        <f t="shared" si="18"/>
        <v/>
      </c>
      <c r="EE63" s="42"/>
      <c r="EF63" s="6" t="b">
        <v>0</v>
      </c>
      <c r="EG63" s="6" t="b">
        <v>0</v>
      </c>
      <c r="EH63" s="5" t="e">
        <f t="shared" si="19"/>
        <v>#VALUE!</v>
      </c>
      <c r="EI63" s="5" t="e">
        <f t="shared" si="20"/>
        <v>#VALUE!</v>
      </c>
      <c r="EJ63" s="3">
        <f t="shared" si="21"/>
        <v>0</v>
      </c>
      <c r="EK63" s="3">
        <f t="shared" si="22"/>
        <v>0</v>
      </c>
      <c r="EL63" s="5" t="e">
        <f t="shared" si="23"/>
        <v>#VALUE!</v>
      </c>
      <c r="EM63" s="5" t="e">
        <f t="shared" si="24"/>
        <v>#VALUE!</v>
      </c>
    </row>
    <row r="64" spans="1:143" x14ac:dyDescent="0.3">
      <c r="A64" s="1">
        <v>48</v>
      </c>
      <c r="B64" s="23">
        <v>48</v>
      </c>
      <c r="C64" s="311"/>
      <c r="D64" s="311"/>
      <c r="E64" s="324"/>
      <c r="F64" s="331"/>
      <c r="G64" s="326"/>
      <c r="H64" s="448"/>
      <c r="I64" s="327"/>
      <c r="J64" s="324"/>
      <c r="K64" s="328"/>
      <c r="L64" s="329"/>
      <c r="M64" s="24">
        <f t="shared" si="7"/>
        <v>0</v>
      </c>
      <c r="N64" s="25">
        <f t="shared" si="74"/>
        <v>0</v>
      </c>
      <c r="O64" s="25">
        <f t="shared" si="62"/>
        <v>0</v>
      </c>
      <c r="P64" s="25">
        <f t="shared" si="64"/>
        <v>0</v>
      </c>
      <c r="Q64" s="25">
        <f t="shared" si="66"/>
        <v>0</v>
      </c>
      <c r="R64" s="25">
        <f t="shared" si="68"/>
        <v>0</v>
      </c>
      <c r="S64" s="25">
        <f t="shared" si="70"/>
        <v>0</v>
      </c>
      <c r="T64" s="25">
        <f t="shared" si="72"/>
        <v>0</v>
      </c>
      <c r="U64" s="25">
        <f t="shared" si="75"/>
        <v>0</v>
      </c>
      <c r="V64" s="25">
        <f t="shared" si="77"/>
        <v>0</v>
      </c>
      <c r="W64" s="25">
        <f t="shared" si="79"/>
        <v>0</v>
      </c>
      <c r="X64" s="25">
        <f t="shared" si="81"/>
        <v>0</v>
      </c>
      <c r="Y64" s="25">
        <f t="shared" si="83"/>
        <v>0</v>
      </c>
      <c r="Z64" s="25">
        <f t="shared" si="85"/>
        <v>0</v>
      </c>
      <c r="AA64" s="25">
        <f t="shared" si="87"/>
        <v>0</v>
      </c>
      <c r="AB64" s="25">
        <f t="shared" ref="AB64:AB95" si="89">IF($AB$31=0,0,IF(AND($A64=$A63,$A64&lt;&gt;0,AB63&lt;&gt;0),$M64,0))</f>
        <v>0</v>
      </c>
      <c r="AC64" s="25">
        <f t="shared" si="39"/>
        <v>0</v>
      </c>
      <c r="AD64" s="25">
        <f t="shared" si="40"/>
        <v>0</v>
      </c>
      <c r="AE64" s="25">
        <f t="shared" si="41"/>
        <v>0</v>
      </c>
      <c r="AF64" s="25">
        <f t="shared" si="42"/>
        <v>0</v>
      </c>
      <c r="AG64" s="25">
        <f t="shared" si="43"/>
        <v>0</v>
      </c>
      <c r="AH64" s="25">
        <f t="shared" si="44"/>
        <v>0</v>
      </c>
      <c r="AI64" s="25">
        <f t="shared" si="45"/>
        <v>0</v>
      </c>
      <c r="AJ64" s="25">
        <f t="shared" si="46"/>
        <v>0</v>
      </c>
      <c r="AK64" s="25">
        <f t="shared" si="47"/>
        <v>0</v>
      </c>
      <c r="AL64" s="25">
        <f t="shared" si="48"/>
        <v>0</v>
      </c>
      <c r="AM64" s="25">
        <f t="shared" si="49"/>
        <v>0</v>
      </c>
      <c r="AN64" s="25">
        <f t="shared" si="50"/>
        <v>0</v>
      </c>
      <c r="AO64" s="25">
        <f t="shared" si="51"/>
        <v>0</v>
      </c>
      <c r="AP64" s="25">
        <f t="shared" si="52"/>
        <v>0</v>
      </c>
      <c r="AQ64" s="25">
        <f t="shared" si="53"/>
        <v>0</v>
      </c>
      <c r="AR64" s="25">
        <f t="shared" si="54"/>
        <v>0</v>
      </c>
      <c r="AS64" s="25">
        <f t="shared" si="55"/>
        <v>0</v>
      </c>
      <c r="AT64" s="25">
        <f t="shared" si="61"/>
        <v>0</v>
      </c>
      <c r="AU64" s="25">
        <f t="shared" si="63"/>
        <v>0</v>
      </c>
      <c r="AV64" s="25">
        <f t="shared" si="65"/>
        <v>0</v>
      </c>
      <c r="AW64" s="25">
        <f t="shared" si="67"/>
        <v>0</v>
      </c>
      <c r="AX64" s="25">
        <f t="shared" si="69"/>
        <v>0</v>
      </c>
      <c r="AY64" s="25">
        <f t="shared" si="71"/>
        <v>0</v>
      </c>
      <c r="AZ64" s="25">
        <f t="shared" si="73"/>
        <v>0</v>
      </c>
      <c r="BA64" s="25">
        <f t="shared" si="76"/>
        <v>0</v>
      </c>
      <c r="BB64" s="25">
        <f t="shared" si="78"/>
        <v>0</v>
      </c>
      <c r="BC64" s="25">
        <f t="shared" si="80"/>
        <v>0</v>
      </c>
      <c r="BD64" s="25">
        <f t="shared" si="82"/>
        <v>0</v>
      </c>
      <c r="BE64" s="25">
        <f t="shared" si="84"/>
        <v>0</v>
      </c>
      <c r="BF64" s="25">
        <f t="shared" si="86"/>
        <v>0</v>
      </c>
      <c r="BG64" s="25">
        <f t="shared" si="88"/>
        <v>0</v>
      </c>
      <c r="BH64" s="25">
        <f t="shared" ref="BH64:BH95" si="90">IF($BH$63=0,0,IF(AND($A64=$A63,$A64&lt;&gt;0,BH63&lt;&gt;0),$M64,0))</f>
        <v>0</v>
      </c>
      <c r="BI64" s="25">
        <f>IF(BH64&lt;&gt;0,0,IF(OR($A64=0,$A64=$A63),0,$M64))</f>
        <v>0</v>
      </c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 t="str">
        <v/>
      </c>
      <c r="DK64" s="34" t="str">
        <f t="shared" si="9"/>
        <v/>
      </c>
      <c r="DL64" s="29" t="str">
        <f t="shared" si="56"/>
        <v/>
      </c>
      <c r="DM64" s="35" t="str">
        <f t="shared" si="57"/>
        <v/>
      </c>
      <c r="DN64" s="24">
        <f t="shared" si="10"/>
        <v>20</v>
      </c>
      <c r="DO64" s="24">
        <f t="shared" si="11"/>
        <v>0</v>
      </c>
      <c r="DP64" s="24">
        <f t="shared" si="12"/>
        <v>0</v>
      </c>
      <c r="DQ64" s="24">
        <f t="shared" si="13"/>
        <v>20</v>
      </c>
      <c r="DR64" s="24" t="str">
        <f t="shared" si="14"/>
        <v/>
      </c>
      <c r="DS64" s="26" t="str">
        <f>IF(ISERROR(CEILING(($DQ64*$DL64/60),Puertas!$S$4)),"",CEILING(($DQ64*$DL64/60),Puertas!$S$4))</f>
        <v/>
      </c>
      <c r="DT64" s="26" t="str">
        <f t="shared" si="58"/>
        <v/>
      </c>
      <c r="DU64" s="112" t="str">
        <f t="shared" si="59"/>
        <v/>
      </c>
      <c r="DV64" s="113" t="str">
        <f>IF(D64="","",SUMIF(Puertas!$K$15:$K$114,B64,Puertas!$U$15:$U$114)+SUMIF(Puertas!$O$15:$O$114,B64,Puertas!$W$15:$W$114))</f>
        <v/>
      </c>
      <c r="DW64" s="114" t="str">
        <f t="shared" si="60"/>
        <v/>
      </c>
      <c r="DX64" s="112" t="str">
        <f t="shared" si="15"/>
        <v/>
      </c>
      <c r="DY64" s="113" t="str">
        <f t="shared" si="16"/>
        <v/>
      </c>
      <c r="DZ64" s="115"/>
      <c r="EA64" s="115"/>
      <c r="EB64" s="113" t="e">
        <f>ABS(IF(D64="","",SUMIF(Puertas!$K$15:$K$114,B64,Puertas!$V$15:$V$114)+SUMIF(Puertas!$O$15:$O$114,B64,Puertas!$X$15:$X$114)))</f>
        <v>#VALUE!</v>
      </c>
      <c r="EC64" s="113" t="str">
        <f t="shared" si="17"/>
        <v/>
      </c>
      <c r="ED64" s="114" t="str">
        <f t="shared" si="18"/>
        <v/>
      </c>
      <c r="EE64" s="43"/>
      <c r="EF64" s="6" t="b">
        <v>0</v>
      </c>
      <c r="EG64" s="6" t="b">
        <v>0</v>
      </c>
      <c r="EH64" s="5" t="e">
        <f t="shared" si="19"/>
        <v>#VALUE!</v>
      </c>
      <c r="EI64" s="5" t="e">
        <f t="shared" si="20"/>
        <v>#VALUE!</v>
      </c>
      <c r="EJ64" s="3">
        <f t="shared" si="21"/>
        <v>0</v>
      </c>
      <c r="EK64" s="3">
        <f t="shared" si="22"/>
        <v>0</v>
      </c>
      <c r="EL64" s="5" t="e">
        <f t="shared" si="23"/>
        <v>#VALUE!</v>
      </c>
      <c r="EM64" s="5" t="e">
        <f t="shared" si="24"/>
        <v>#VALUE!</v>
      </c>
    </row>
    <row r="65" spans="1:143" x14ac:dyDescent="0.3">
      <c r="A65" s="1">
        <v>49</v>
      </c>
      <c r="B65" s="15">
        <v>49</v>
      </c>
      <c r="C65" s="309"/>
      <c r="D65" s="309"/>
      <c r="E65" s="312"/>
      <c r="F65" s="332"/>
      <c r="G65" s="314"/>
      <c r="H65" s="446"/>
      <c r="I65" s="315"/>
      <c r="J65" s="312"/>
      <c r="K65" s="316"/>
      <c r="L65" s="317"/>
      <c r="M65" s="16">
        <f t="shared" si="7"/>
        <v>0</v>
      </c>
      <c r="N65" s="17">
        <f t="shared" si="74"/>
        <v>0</v>
      </c>
      <c r="O65" s="17">
        <f t="shared" si="62"/>
        <v>0</v>
      </c>
      <c r="P65" s="17">
        <f t="shared" si="64"/>
        <v>0</v>
      </c>
      <c r="Q65" s="17">
        <f t="shared" si="66"/>
        <v>0</v>
      </c>
      <c r="R65" s="17">
        <f t="shared" si="68"/>
        <v>0</v>
      </c>
      <c r="S65" s="17">
        <f t="shared" si="70"/>
        <v>0</v>
      </c>
      <c r="T65" s="17">
        <f t="shared" si="72"/>
        <v>0</v>
      </c>
      <c r="U65" s="17">
        <f t="shared" si="75"/>
        <v>0</v>
      </c>
      <c r="V65" s="17">
        <f t="shared" si="77"/>
        <v>0</v>
      </c>
      <c r="W65" s="17">
        <f t="shared" si="79"/>
        <v>0</v>
      </c>
      <c r="X65" s="17">
        <f t="shared" si="81"/>
        <v>0</v>
      </c>
      <c r="Y65" s="17">
        <f t="shared" si="83"/>
        <v>0</v>
      </c>
      <c r="Z65" s="17">
        <f t="shared" si="85"/>
        <v>0</v>
      </c>
      <c r="AA65" s="17">
        <f t="shared" si="87"/>
        <v>0</v>
      </c>
      <c r="AB65" s="17">
        <f t="shared" si="89"/>
        <v>0</v>
      </c>
      <c r="AC65" s="17">
        <f t="shared" ref="AC65:AC96" si="91">IF($AC$32=0,0,IF(AND($A65=$A64,$A65&lt;&gt;0,AC64&lt;&gt;0),$M65,0))</f>
        <v>0</v>
      </c>
      <c r="AD65" s="17">
        <f t="shared" si="40"/>
        <v>0</v>
      </c>
      <c r="AE65" s="17">
        <f t="shared" si="41"/>
        <v>0</v>
      </c>
      <c r="AF65" s="17">
        <f t="shared" si="42"/>
        <v>0</v>
      </c>
      <c r="AG65" s="17">
        <f t="shared" si="43"/>
        <v>0</v>
      </c>
      <c r="AH65" s="17">
        <f t="shared" si="44"/>
        <v>0</v>
      </c>
      <c r="AI65" s="17">
        <f t="shared" si="45"/>
        <v>0</v>
      </c>
      <c r="AJ65" s="17">
        <f t="shared" si="46"/>
        <v>0</v>
      </c>
      <c r="AK65" s="17">
        <f t="shared" si="47"/>
        <v>0</v>
      </c>
      <c r="AL65" s="17">
        <f t="shared" si="48"/>
        <v>0</v>
      </c>
      <c r="AM65" s="17">
        <f t="shared" si="49"/>
        <v>0</v>
      </c>
      <c r="AN65" s="17">
        <f t="shared" si="50"/>
        <v>0</v>
      </c>
      <c r="AO65" s="17">
        <f t="shared" si="51"/>
        <v>0</v>
      </c>
      <c r="AP65" s="17">
        <f t="shared" si="52"/>
        <v>0</v>
      </c>
      <c r="AQ65" s="17">
        <f t="shared" si="53"/>
        <v>0</v>
      </c>
      <c r="AR65" s="17">
        <f t="shared" si="54"/>
        <v>0</v>
      </c>
      <c r="AS65" s="17">
        <f t="shared" si="55"/>
        <v>0</v>
      </c>
      <c r="AT65" s="17">
        <f t="shared" si="61"/>
        <v>0</v>
      </c>
      <c r="AU65" s="17">
        <f t="shared" si="63"/>
        <v>0</v>
      </c>
      <c r="AV65" s="17">
        <f t="shared" si="65"/>
        <v>0</v>
      </c>
      <c r="AW65" s="17">
        <f t="shared" si="67"/>
        <v>0</v>
      </c>
      <c r="AX65" s="17">
        <f t="shared" si="69"/>
        <v>0</v>
      </c>
      <c r="AY65" s="17">
        <f t="shared" si="71"/>
        <v>0</v>
      </c>
      <c r="AZ65" s="17">
        <f t="shared" si="73"/>
        <v>0</v>
      </c>
      <c r="BA65" s="17">
        <f t="shared" si="76"/>
        <v>0</v>
      </c>
      <c r="BB65" s="17">
        <f t="shared" si="78"/>
        <v>0</v>
      </c>
      <c r="BC65" s="17">
        <f t="shared" si="80"/>
        <v>0</v>
      </c>
      <c r="BD65" s="17">
        <f t="shared" si="82"/>
        <v>0</v>
      </c>
      <c r="BE65" s="17">
        <f t="shared" si="84"/>
        <v>0</v>
      </c>
      <c r="BF65" s="17">
        <f t="shared" si="86"/>
        <v>0</v>
      </c>
      <c r="BG65" s="17">
        <f t="shared" si="88"/>
        <v>0</v>
      </c>
      <c r="BH65" s="17">
        <f t="shared" si="90"/>
        <v>0</v>
      </c>
      <c r="BI65" s="17">
        <f t="shared" ref="BI65:BI96" si="92">IF($BI$64=0,0,IF(AND($A65=$A64,$A65&lt;&gt;0,BI64&lt;&gt;0),$M65,0))</f>
        <v>0</v>
      </c>
      <c r="BJ65" s="17">
        <f>IF(BI65&lt;&gt;0,0,IF(OR($A65=0,$A65=$A64),0,$M65))</f>
        <v>0</v>
      </c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17" t="str">
        <v/>
      </c>
      <c r="DK65" s="30" t="str">
        <f t="shared" si="9"/>
        <v/>
      </c>
      <c r="DL65" s="27" t="str">
        <f t="shared" si="56"/>
        <v/>
      </c>
      <c r="DM65" s="31" t="str">
        <f t="shared" si="57"/>
        <v/>
      </c>
      <c r="DN65" s="16">
        <f t="shared" si="10"/>
        <v>20</v>
      </c>
      <c r="DO65" s="16">
        <f t="shared" si="11"/>
        <v>0</v>
      </c>
      <c r="DP65" s="16">
        <f t="shared" si="12"/>
        <v>0</v>
      </c>
      <c r="DQ65" s="16">
        <f t="shared" si="13"/>
        <v>20</v>
      </c>
      <c r="DR65" s="16" t="str">
        <f t="shared" si="14"/>
        <v/>
      </c>
      <c r="DS65" s="18" t="str">
        <f>IF(ISERROR(CEILING(($DQ65*$DL65/60),Puertas!$S$4)),"",CEILING(($DQ65*$DL65/60),Puertas!$S$4))</f>
        <v/>
      </c>
      <c r="DT65" s="18" t="str">
        <f t="shared" si="58"/>
        <v/>
      </c>
      <c r="DU65" s="104" t="str">
        <f t="shared" si="59"/>
        <v/>
      </c>
      <c r="DV65" s="105" t="str">
        <f>IF(D65="","",SUMIF(Puertas!$K$15:$K$114,B65,Puertas!$U$15:$U$114)+SUMIF(Puertas!$O$15:$O$114,B65,Puertas!$W$15:$W$114))</f>
        <v/>
      </c>
      <c r="DW65" s="106" t="str">
        <f t="shared" si="60"/>
        <v/>
      </c>
      <c r="DX65" s="104" t="str">
        <f t="shared" si="15"/>
        <v/>
      </c>
      <c r="DY65" s="105" t="str">
        <f t="shared" si="16"/>
        <v/>
      </c>
      <c r="DZ65" s="107"/>
      <c r="EA65" s="107"/>
      <c r="EB65" s="105" t="e">
        <f>ABS(IF(D65="","",SUMIF(Puertas!$K$15:$K$114,B65,Puertas!$V$15:$V$114)+SUMIF(Puertas!$O$15:$O$114,B65,Puertas!$X$15:$X$114)))</f>
        <v>#VALUE!</v>
      </c>
      <c r="EC65" s="105" t="str">
        <f t="shared" si="17"/>
        <v/>
      </c>
      <c r="ED65" s="106" t="str">
        <f t="shared" si="18"/>
        <v/>
      </c>
      <c r="EE65" s="41"/>
      <c r="EF65" s="6" t="b">
        <v>0</v>
      </c>
      <c r="EG65" s="6" t="b">
        <v>0</v>
      </c>
      <c r="EH65" s="5" t="e">
        <f t="shared" si="19"/>
        <v>#VALUE!</v>
      </c>
      <c r="EI65" s="5" t="e">
        <f t="shared" si="20"/>
        <v>#VALUE!</v>
      </c>
      <c r="EJ65" s="3">
        <f t="shared" si="21"/>
        <v>0</v>
      </c>
      <c r="EK65" s="3">
        <f t="shared" si="22"/>
        <v>0</v>
      </c>
      <c r="EL65" s="5" t="e">
        <f t="shared" si="23"/>
        <v>#VALUE!</v>
      </c>
      <c r="EM65" s="5" t="e">
        <f t="shared" si="24"/>
        <v>#VALUE!</v>
      </c>
    </row>
    <row r="66" spans="1:143" x14ac:dyDescent="0.3">
      <c r="A66" s="1">
        <v>50</v>
      </c>
      <c r="B66" s="19">
        <v>50</v>
      </c>
      <c r="C66" s="310"/>
      <c r="D66" s="310"/>
      <c r="E66" s="318"/>
      <c r="F66" s="330"/>
      <c r="G66" s="320"/>
      <c r="H66" s="447"/>
      <c r="I66" s="321"/>
      <c r="J66" s="318"/>
      <c r="K66" s="322"/>
      <c r="L66" s="323"/>
      <c r="M66" s="20">
        <f t="shared" si="7"/>
        <v>0</v>
      </c>
      <c r="N66" s="21">
        <f t="shared" si="74"/>
        <v>0</v>
      </c>
      <c r="O66" s="21">
        <f t="shared" si="62"/>
        <v>0</v>
      </c>
      <c r="P66" s="21">
        <f t="shared" si="64"/>
        <v>0</v>
      </c>
      <c r="Q66" s="21">
        <f t="shared" si="66"/>
        <v>0</v>
      </c>
      <c r="R66" s="21">
        <f t="shared" si="68"/>
        <v>0</v>
      </c>
      <c r="S66" s="21">
        <f t="shared" si="70"/>
        <v>0</v>
      </c>
      <c r="T66" s="21">
        <f t="shared" si="72"/>
        <v>0</v>
      </c>
      <c r="U66" s="21">
        <f t="shared" si="75"/>
        <v>0</v>
      </c>
      <c r="V66" s="21">
        <f t="shared" si="77"/>
        <v>0</v>
      </c>
      <c r="W66" s="21">
        <f t="shared" si="79"/>
        <v>0</v>
      </c>
      <c r="X66" s="21">
        <f t="shared" si="81"/>
        <v>0</v>
      </c>
      <c r="Y66" s="21">
        <f t="shared" si="83"/>
        <v>0</v>
      </c>
      <c r="Z66" s="21">
        <f t="shared" si="85"/>
        <v>0</v>
      </c>
      <c r="AA66" s="21">
        <f t="shared" si="87"/>
        <v>0</v>
      </c>
      <c r="AB66" s="21">
        <f t="shared" si="89"/>
        <v>0</v>
      </c>
      <c r="AC66" s="21">
        <f t="shared" si="91"/>
        <v>0</v>
      </c>
      <c r="AD66" s="21">
        <f t="shared" ref="AD66:AD97" si="93">IF($AD$33=0,0,IF(AND($A66=$A65,$A66&lt;&gt;0,AD65&lt;&gt;0),$M66,0))</f>
        <v>0</v>
      </c>
      <c r="AE66" s="21">
        <f t="shared" si="41"/>
        <v>0</v>
      </c>
      <c r="AF66" s="21">
        <f t="shared" si="42"/>
        <v>0</v>
      </c>
      <c r="AG66" s="21">
        <f t="shared" si="43"/>
        <v>0</v>
      </c>
      <c r="AH66" s="21">
        <f t="shared" si="44"/>
        <v>0</v>
      </c>
      <c r="AI66" s="21">
        <f t="shared" si="45"/>
        <v>0</v>
      </c>
      <c r="AJ66" s="21">
        <f t="shared" si="46"/>
        <v>0</v>
      </c>
      <c r="AK66" s="21">
        <f t="shared" si="47"/>
        <v>0</v>
      </c>
      <c r="AL66" s="21">
        <f t="shared" si="48"/>
        <v>0</v>
      </c>
      <c r="AM66" s="21">
        <f t="shared" si="49"/>
        <v>0</v>
      </c>
      <c r="AN66" s="21">
        <f t="shared" si="50"/>
        <v>0</v>
      </c>
      <c r="AO66" s="21">
        <f t="shared" si="51"/>
        <v>0</v>
      </c>
      <c r="AP66" s="21">
        <f t="shared" si="52"/>
        <v>0</v>
      </c>
      <c r="AQ66" s="21">
        <f t="shared" si="53"/>
        <v>0</v>
      </c>
      <c r="AR66" s="21">
        <f t="shared" si="54"/>
        <v>0</v>
      </c>
      <c r="AS66" s="21">
        <f t="shared" si="55"/>
        <v>0</v>
      </c>
      <c r="AT66" s="21">
        <f t="shared" si="61"/>
        <v>0</v>
      </c>
      <c r="AU66" s="21">
        <f t="shared" si="63"/>
        <v>0</v>
      </c>
      <c r="AV66" s="21">
        <f t="shared" si="65"/>
        <v>0</v>
      </c>
      <c r="AW66" s="21">
        <f t="shared" si="67"/>
        <v>0</v>
      </c>
      <c r="AX66" s="21">
        <f t="shared" si="69"/>
        <v>0</v>
      </c>
      <c r="AY66" s="21">
        <f t="shared" si="71"/>
        <v>0</v>
      </c>
      <c r="AZ66" s="21">
        <f t="shared" si="73"/>
        <v>0</v>
      </c>
      <c r="BA66" s="21">
        <f t="shared" si="76"/>
        <v>0</v>
      </c>
      <c r="BB66" s="21">
        <f t="shared" si="78"/>
        <v>0</v>
      </c>
      <c r="BC66" s="21">
        <f t="shared" si="80"/>
        <v>0</v>
      </c>
      <c r="BD66" s="21">
        <f t="shared" si="82"/>
        <v>0</v>
      </c>
      <c r="BE66" s="21">
        <f t="shared" si="84"/>
        <v>0</v>
      </c>
      <c r="BF66" s="21">
        <f t="shared" si="86"/>
        <v>0</v>
      </c>
      <c r="BG66" s="21">
        <f t="shared" si="88"/>
        <v>0</v>
      </c>
      <c r="BH66" s="21">
        <f t="shared" si="90"/>
        <v>0</v>
      </c>
      <c r="BI66" s="21">
        <f t="shared" si="92"/>
        <v>0</v>
      </c>
      <c r="BJ66" s="21">
        <f t="shared" ref="BJ66:BJ97" si="94">IF($BJ$65=0,0,IF(AND($A66=$A65,$A66&lt;&gt;0,BJ65&lt;&gt;0),$M66,0))</f>
        <v>0</v>
      </c>
      <c r="BK66" s="21">
        <f>IF(BJ66&lt;&gt;0,0,IF(OR($A66=0,$A66=$A65),0,$M66))</f>
        <v>0</v>
      </c>
      <c r="BL66" s="21"/>
      <c r="BM66" s="21"/>
      <c r="BN66" s="21"/>
      <c r="BO66" s="21"/>
      <c r="BP66" s="21"/>
      <c r="BQ66" s="21"/>
      <c r="BR66" s="21"/>
      <c r="BS66" s="21"/>
      <c r="BT66" s="21"/>
      <c r="BU66" s="21"/>
      <c r="BV66" s="21"/>
      <c r="BW66" s="21"/>
      <c r="BX66" s="21"/>
      <c r="BY66" s="21"/>
      <c r="BZ66" s="21"/>
      <c r="CA66" s="21"/>
      <c r="CB66" s="21"/>
      <c r="CC66" s="21"/>
      <c r="CD66" s="21"/>
      <c r="CE66" s="21"/>
      <c r="CF66" s="21"/>
      <c r="CG66" s="21"/>
      <c r="CH66" s="21"/>
      <c r="CI66" s="21"/>
      <c r="CJ66" s="21"/>
      <c r="CK66" s="21"/>
      <c r="CL66" s="21"/>
      <c r="CM66" s="21"/>
      <c r="CN66" s="21"/>
      <c r="CO66" s="21"/>
      <c r="CP66" s="21"/>
      <c r="CQ66" s="21"/>
      <c r="CR66" s="21"/>
      <c r="CS66" s="21"/>
      <c r="CT66" s="21"/>
      <c r="CU66" s="21"/>
      <c r="CV66" s="21"/>
      <c r="CW66" s="21"/>
      <c r="CX66" s="21"/>
      <c r="CY66" s="21"/>
      <c r="CZ66" s="21"/>
      <c r="DA66" s="21"/>
      <c r="DB66" s="21"/>
      <c r="DC66" s="21"/>
      <c r="DD66" s="21"/>
      <c r="DE66" s="21"/>
      <c r="DF66" s="21"/>
      <c r="DG66" s="21"/>
      <c r="DH66" s="21"/>
      <c r="DI66" s="21"/>
      <c r="DJ66" s="21" t="str">
        <v/>
      </c>
      <c r="DK66" s="32" t="str">
        <f t="shared" si="9"/>
        <v/>
      </c>
      <c r="DL66" s="28" t="str">
        <f t="shared" si="56"/>
        <v/>
      </c>
      <c r="DM66" s="33" t="str">
        <f t="shared" si="57"/>
        <v/>
      </c>
      <c r="DN66" s="20">
        <f t="shared" si="10"/>
        <v>20</v>
      </c>
      <c r="DO66" s="20">
        <f t="shared" si="11"/>
        <v>0</v>
      </c>
      <c r="DP66" s="20">
        <f t="shared" si="12"/>
        <v>0</v>
      </c>
      <c r="DQ66" s="20">
        <f t="shared" si="13"/>
        <v>20</v>
      </c>
      <c r="DR66" s="20" t="str">
        <f t="shared" si="14"/>
        <v/>
      </c>
      <c r="DS66" s="22" t="str">
        <f>IF(ISERROR(CEILING(($DQ66*$DL66/60),Puertas!$S$4)),"",CEILING(($DQ66*$DL66/60),Puertas!$S$4))</f>
        <v/>
      </c>
      <c r="DT66" s="22" t="str">
        <f t="shared" si="58"/>
        <v/>
      </c>
      <c r="DU66" s="108" t="str">
        <f t="shared" si="59"/>
        <v/>
      </c>
      <c r="DV66" s="109" t="str">
        <f>IF(D66="","",SUMIF(Puertas!$K$15:$K$114,B66,Puertas!$U$15:$U$114)+SUMIF(Puertas!$O$15:$O$114,B66,Puertas!$W$15:$W$114))</f>
        <v/>
      </c>
      <c r="DW66" s="110" t="str">
        <f t="shared" si="60"/>
        <v/>
      </c>
      <c r="DX66" s="108" t="str">
        <f t="shared" si="15"/>
        <v/>
      </c>
      <c r="DY66" s="109" t="str">
        <f t="shared" si="16"/>
        <v/>
      </c>
      <c r="DZ66" s="111"/>
      <c r="EA66" s="111"/>
      <c r="EB66" s="109" t="e">
        <f>ABS(IF(D66="","",SUMIF(Puertas!$K$15:$K$114,B66,Puertas!$V$15:$V$114)+SUMIF(Puertas!$O$15:$O$114,B66,Puertas!$X$15:$X$114)))</f>
        <v>#VALUE!</v>
      </c>
      <c r="EC66" s="109" t="str">
        <f t="shared" si="17"/>
        <v/>
      </c>
      <c r="ED66" s="110" t="str">
        <f t="shared" si="18"/>
        <v/>
      </c>
      <c r="EE66" s="42"/>
      <c r="EF66" s="6" t="b">
        <v>0</v>
      </c>
      <c r="EG66" s="6" t="b">
        <v>0</v>
      </c>
      <c r="EH66" s="5" t="e">
        <f t="shared" si="19"/>
        <v>#VALUE!</v>
      </c>
      <c r="EI66" s="5" t="e">
        <f t="shared" si="20"/>
        <v>#VALUE!</v>
      </c>
      <c r="EJ66" s="3">
        <f t="shared" si="21"/>
        <v>0</v>
      </c>
      <c r="EK66" s="3">
        <f t="shared" si="22"/>
        <v>0</v>
      </c>
      <c r="EL66" s="5" t="e">
        <f t="shared" si="23"/>
        <v>#VALUE!</v>
      </c>
      <c r="EM66" s="5" t="e">
        <f t="shared" si="24"/>
        <v>#VALUE!</v>
      </c>
    </row>
    <row r="67" spans="1:143" x14ac:dyDescent="0.3">
      <c r="A67" s="1">
        <v>51</v>
      </c>
      <c r="B67" s="23">
        <v>51</v>
      </c>
      <c r="C67" s="311"/>
      <c r="D67" s="311"/>
      <c r="E67" s="324"/>
      <c r="F67" s="331"/>
      <c r="G67" s="326"/>
      <c r="H67" s="448"/>
      <c r="I67" s="327"/>
      <c r="J67" s="324"/>
      <c r="K67" s="328"/>
      <c r="L67" s="329"/>
      <c r="M67" s="24">
        <f t="shared" si="7"/>
        <v>0</v>
      </c>
      <c r="N67" s="25">
        <f t="shared" si="74"/>
        <v>0</v>
      </c>
      <c r="O67" s="25">
        <f t="shared" si="62"/>
        <v>0</v>
      </c>
      <c r="P67" s="25">
        <f t="shared" si="64"/>
        <v>0</v>
      </c>
      <c r="Q67" s="25">
        <f t="shared" si="66"/>
        <v>0</v>
      </c>
      <c r="R67" s="25">
        <f t="shared" si="68"/>
        <v>0</v>
      </c>
      <c r="S67" s="25">
        <f t="shared" si="70"/>
        <v>0</v>
      </c>
      <c r="T67" s="25">
        <f t="shared" si="72"/>
        <v>0</v>
      </c>
      <c r="U67" s="25">
        <f t="shared" si="75"/>
        <v>0</v>
      </c>
      <c r="V67" s="25">
        <f t="shared" si="77"/>
        <v>0</v>
      </c>
      <c r="W67" s="25">
        <f t="shared" si="79"/>
        <v>0</v>
      </c>
      <c r="X67" s="25">
        <f t="shared" si="81"/>
        <v>0</v>
      </c>
      <c r="Y67" s="25">
        <f t="shared" si="83"/>
        <v>0</v>
      </c>
      <c r="Z67" s="25">
        <f t="shared" si="85"/>
        <v>0</v>
      </c>
      <c r="AA67" s="25">
        <f t="shared" si="87"/>
        <v>0</v>
      </c>
      <c r="AB67" s="25">
        <f t="shared" si="89"/>
        <v>0</v>
      </c>
      <c r="AC67" s="25">
        <f t="shared" si="91"/>
        <v>0</v>
      </c>
      <c r="AD67" s="25">
        <f t="shared" si="93"/>
        <v>0</v>
      </c>
      <c r="AE67" s="25">
        <f t="shared" ref="AE67:AE98" si="95">IF($AE$34=0,0,IF(AND($A67=$A66,$A67&lt;&gt;0,AE66&lt;&gt;0),$M67,0))</f>
        <v>0</v>
      </c>
      <c r="AF67" s="25">
        <f t="shared" si="42"/>
        <v>0</v>
      </c>
      <c r="AG67" s="25">
        <f t="shared" si="43"/>
        <v>0</v>
      </c>
      <c r="AH67" s="25">
        <f t="shared" si="44"/>
        <v>0</v>
      </c>
      <c r="AI67" s="25">
        <f t="shared" si="45"/>
        <v>0</v>
      </c>
      <c r="AJ67" s="25">
        <f t="shared" si="46"/>
        <v>0</v>
      </c>
      <c r="AK67" s="25">
        <f t="shared" si="47"/>
        <v>0</v>
      </c>
      <c r="AL67" s="25">
        <f t="shared" si="48"/>
        <v>0</v>
      </c>
      <c r="AM67" s="25">
        <f t="shared" si="49"/>
        <v>0</v>
      </c>
      <c r="AN67" s="25">
        <f t="shared" si="50"/>
        <v>0</v>
      </c>
      <c r="AO67" s="25">
        <f t="shared" si="51"/>
        <v>0</v>
      </c>
      <c r="AP67" s="25">
        <f t="shared" si="52"/>
        <v>0</v>
      </c>
      <c r="AQ67" s="25">
        <f t="shared" si="53"/>
        <v>0</v>
      </c>
      <c r="AR67" s="25">
        <f t="shared" si="54"/>
        <v>0</v>
      </c>
      <c r="AS67" s="25">
        <f t="shared" si="55"/>
        <v>0</v>
      </c>
      <c r="AT67" s="25">
        <f t="shared" si="61"/>
        <v>0</v>
      </c>
      <c r="AU67" s="25">
        <f t="shared" si="63"/>
        <v>0</v>
      </c>
      <c r="AV67" s="25">
        <f t="shared" si="65"/>
        <v>0</v>
      </c>
      <c r="AW67" s="25">
        <f t="shared" si="67"/>
        <v>0</v>
      </c>
      <c r="AX67" s="25">
        <f t="shared" si="69"/>
        <v>0</v>
      </c>
      <c r="AY67" s="25">
        <f t="shared" si="71"/>
        <v>0</v>
      </c>
      <c r="AZ67" s="25">
        <f t="shared" si="73"/>
        <v>0</v>
      </c>
      <c r="BA67" s="25">
        <f t="shared" si="76"/>
        <v>0</v>
      </c>
      <c r="BB67" s="25">
        <f t="shared" si="78"/>
        <v>0</v>
      </c>
      <c r="BC67" s="25">
        <f t="shared" si="80"/>
        <v>0</v>
      </c>
      <c r="BD67" s="25">
        <f t="shared" si="82"/>
        <v>0</v>
      </c>
      <c r="BE67" s="25">
        <f t="shared" si="84"/>
        <v>0</v>
      </c>
      <c r="BF67" s="25">
        <f t="shared" si="86"/>
        <v>0</v>
      </c>
      <c r="BG67" s="25">
        <f t="shared" si="88"/>
        <v>0</v>
      </c>
      <c r="BH67" s="25">
        <f t="shared" si="90"/>
        <v>0</v>
      </c>
      <c r="BI67" s="25">
        <f t="shared" si="92"/>
        <v>0</v>
      </c>
      <c r="BJ67" s="25">
        <f t="shared" si="94"/>
        <v>0</v>
      </c>
      <c r="BK67" s="25">
        <f t="shared" ref="BK67:BK98" si="96">IF($BK$66=0,0,IF(AND($A67=$A66,$A67&lt;&gt;0,BK66&lt;&gt;0),$M67,0))</f>
        <v>0</v>
      </c>
      <c r="BL67" s="25">
        <f>IF(BK67&lt;&gt;0,0,IF(OR($A67=0,$A67=$A66),0,$M67))</f>
        <v>0</v>
      </c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 t="str">
        <v/>
      </c>
      <c r="DK67" s="34" t="str">
        <f t="shared" si="9"/>
        <v/>
      </c>
      <c r="DL67" s="29" t="str">
        <f t="shared" si="56"/>
        <v/>
      </c>
      <c r="DM67" s="35" t="str">
        <f t="shared" si="57"/>
        <v/>
      </c>
      <c r="DN67" s="24">
        <f t="shared" si="10"/>
        <v>20</v>
      </c>
      <c r="DO67" s="24">
        <f t="shared" si="11"/>
        <v>0</v>
      </c>
      <c r="DP67" s="24">
        <f t="shared" si="12"/>
        <v>0</v>
      </c>
      <c r="DQ67" s="24">
        <f t="shared" si="13"/>
        <v>20</v>
      </c>
      <c r="DR67" s="24" t="str">
        <f t="shared" si="14"/>
        <v/>
      </c>
      <c r="DS67" s="26" t="str">
        <f>IF(ISERROR(CEILING(($DQ67*$DL67/60),Puertas!$S$4)),"",CEILING(($DQ67*$DL67/60),Puertas!$S$4))</f>
        <v/>
      </c>
      <c r="DT67" s="26" t="str">
        <f t="shared" si="58"/>
        <v/>
      </c>
      <c r="DU67" s="112" t="str">
        <f t="shared" si="59"/>
        <v/>
      </c>
      <c r="DV67" s="113" t="str">
        <f>IF(D67="","",SUMIF(Puertas!$K$15:$K$114,B67,Puertas!$U$15:$U$114)+SUMIF(Puertas!$O$15:$O$114,B67,Puertas!$W$15:$W$114))</f>
        <v/>
      </c>
      <c r="DW67" s="114" t="str">
        <f t="shared" si="60"/>
        <v/>
      </c>
      <c r="DX67" s="112" t="str">
        <f t="shared" si="15"/>
        <v/>
      </c>
      <c r="DY67" s="113" t="str">
        <f t="shared" si="16"/>
        <v/>
      </c>
      <c r="DZ67" s="115"/>
      <c r="EA67" s="115"/>
      <c r="EB67" s="113" t="e">
        <f>ABS(IF(D67="","",SUMIF(Puertas!$K$15:$K$114,B67,Puertas!$V$15:$V$114)+SUMIF(Puertas!$O$15:$O$114,B67,Puertas!$X$15:$X$114)))</f>
        <v>#VALUE!</v>
      </c>
      <c r="EC67" s="113" t="str">
        <f t="shared" si="17"/>
        <v/>
      </c>
      <c r="ED67" s="114" t="str">
        <f t="shared" si="18"/>
        <v/>
      </c>
      <c r="EE67" s="43"/>
      <c r="EF67" s="6" t="b">
        <v>0</v>
      </c>
      <c r="EG67" s="6" t="b">
        <v>0</v>
      </c>
      <c r="EH67" s="5" t="e">
        <f t="shared" si="19"/>
        <v>#VALUE!</v>
      </c>
      <c r="EI67" s="5" t="e">
        <f t="shared" si="20"/>
        <v>#VALUE!</v>
      </c>
      <c r="EJ67" s="3">
        <f t="shared" si="21"/>
        <v>0</v>
      </c>
      <c r="EK67" s="3">
        <f t="shared" si="22"/>
        <v>0</v>
      </c>
      <c r="EL67" s="5" t="e">
        <f t="shared" si="23"/>
        <v>#VALUE!</v>
      </c>
      <c r="EM67" s="5" t="e">
        <f t="shared" si="24"/>
        <v>#VALUE!</v>
      </c>
    </row>
    <row r="68" spans="1:143" x14ac:dyDescent="0.3">
      <c r="A68" s="1">
        <v>52</v>
      </c>
      <c r="B68" s="15">
        <v>52</v>
      </c>
      <c r="C68" s="309"/>
      <c r="D68" s="309"/>
      <c r="E68" s="312"/>
      <c r="F68" s="332"/>
      <c r="G68" s="314"/>
      <c r="H68" s="446"/>
      <c r="I68" s="315"/>
      <c r="J68" s="312"/>
      <c r="K68" s="316"/>
      <c r="L68" s="317"/>
      <c r="M68" s="16">
        <f t="shared" si="7"/>
        <v>0</v>
      </c>
      <c r="N68" s="17">
        <f t="shared" si="74"/>
        <v>0</v>
      </c>
      <c r="O68" s="17">
        <f t="shared" si="62"/>
        <v>0</v>
      </c>
      <c r="P68" s="17">
        <f t="shared" si="64"/>
        <v>0</v>
      </c>
      <c r="Q68" s="17">
        <f t="shared" si="66"/>
        <v>0</v>
      </c>
      <c r="R68" s="17">
        <f t="shared" si="68"/>
        <v>0</v>
      </c>
      <c r="S68" s="17">
        <f t="shared" si="70"/>
        <v>0</v>
      </c>
      <c r="T68" s="17">
        <f t="shared" si="72"/>
        <v>0</v>
      </c>
      <c r="U68" s="17">
        <f t="shared" si="75"/>
        <v>0</v>
      </c>
      <c r="V68" s="17">
        <f t="shared" si="77"/>
        <v>0</v>
      </c>
      <c r="W68" s="17">
        <f t="shared" si="79"/>
        <v>0</v>
      </c>
      <c r="X68" s="17">
        <f t="shared" si="81"/>
        <v>0</v>
      </c>
      <c r="Y68" s="17">
        <f t="shared" si="83"/>
        <v>0</v>
      </c>
      <c r="Z68" s="17">
        <f t="shared" si="85"/>
        <v>0</v>
      </c>
      <c r="AA68" s="17">
        <f t="shared" si="87"/>
        <v>0</v>
      </c>
      <c r="AB68" s="17">
        <f t="shared" si="89"/>
        <v>0</v>
      </c>
      <c r="AC68" s="17">
        <f t="shared" si="91"/>
        <v>0</v>
      </c>
      <c r="AD68" s="17">
        <f t="shared" si="93"/>
        <v>0</v>
      </c>
      <c r="AE68" s="17">
        <f t="shared" si="95"/>
        <v>0</v>
      </c>
      <c r="AF68" s="17">
        <f t="shared" ref="AF68:AF99" si="97">IF($AF$35=0,0,IF(AND($A68=$A67,$A68&lt;&gt;0,AF67&lt;&gt;0),$M68,0))</f>
        <v>0</v>
      </c>
      <c r="AG68" s="17">
        <f t="shared" si="43"/>
        <v>0</v>
      </c>
      <c r="AH68" s="17">
        <f t="shared" si="44"/>
        <v>0</v>
      </c>
      <c r="AI68" s="17">
        <f t="shared" si="45"/>
        <v>0</v>
      </c>
      <c r="AJ68" s="17">
        <f t="shared" si="46"/>
        <v>0</v>
      </c>
      <c r="AK68" s="17">
        <f t="shared" si="47"/>
        <v>0</v>
      </c>
      <c r="AL68" s="17">
        <f t="shared" si="48"/>
        <v>0</v>
      </c>
      <c r="AM68" s="17">
        <f t="shared" si="49"/>
        <v>0</v>
      </c>
      <c r="AN68" s="17">
        <f t="shared" si="50"/>
        <v>0</v>
      </c>
      <c r="AO68" s="17">
        <f t="shared" si="51"/>
        <v>0</v>
      </c>
      <c r="AP68" s="17">
        <f t="shared" si="52"/>
        <v>0</v>
      </c>
      <c r="AQ68" s="17">
        <f t="shared" si="53"/>
        <v>0</v>
      </c>
      <c r="AR68" s="17">
        <f t="shared" si="54"/>
        <v>0</v>
      </c>
      <c r="AS68" s="17">
        <f t="shared" si="55"/>
        <v>0</v>
      </c>
      <c r="AT68" s="17">
        <f t="shared" si="61"/>
        <v>0</v>
      </c>
      <c r="AU68" s="17">
        <f t="shared" si="63"/>
        <v>0</v>
      </c>
      <c r="AV68" s="17">
        <f t="shared" si="65"/>
        <v>0</v>
      </c>
      <c r="AW68" s="17">
        <f t="shared" si="67"/>
        <v>0</v>
      </c>
      <c r="AX68" s="17">
        <f t="shared" si="69"/>
        <v>0</v>
      </c>
      <c r="AY68" s="17">
        <f t="shared" si="71"/>
        <v>0</v>
      </c>
      <c r="AZ68" s="17">
        <f t="shared" si="73"/>
        <v>0</v>
      </c>
      <c r="BA68" s="17">
        <f t="shared" si="76"/>
        <v>0</v>
      </c>
      <c r="BB68" s="17">
        <f t="shared" si="78"/>
        <v>0</v>
      </c>
      <c r="BC68" s="17">
        <f t="shared" si="80"/>
        <v>0</v>
      </c>
      <c r="BD68" s="17">
        <f t="shared" si="82"/>
        <v>0</v>
      </c>
      <c r="BE68" s="17">
        <f t="shared" si="84"/>
        <v>0</v>
      </c>
      <c r="BF68" s="17">
        <f t="shared" si="86"/>
        <v>0</v>
      </c>
      <c r="BG68" s="17">
        <f t="shared" si="88"/>
        <v>0</v>
      </c>
      <c r="BH68" s="17">
        <f t="shared" si="90"/>
        <v>0</v>
      </c>
      <c r="BI68" s="17">
        <f t="shared" si="92"/>
        <v>0</v>
      </c>
      <c r="BJ68" s="17">
        <f t="shared" si="94"/>
        <v>0</v>
      </c>
      <c r="BK68" s="17">
        <f t="shared" si="96"/>
        <v>0</v>
      </c>
      <c r="BL68" s="17">
        <f t="shared" ref="BL68:BL99" si="98">IF($BL$67=0,0,IF(AND($A68=$A67,$A68&lt;&gt;0,BL67&lt;&gt;0),$M68,0))</f>
        <v>0</v>
      </c>
      <c r="BM68" s="17">
        <f>IF(BL68&lt;&gt;0,0,IF(OR($A68=0,$A68=$A67),0,$M68))</f>
        <v>0</v>
      </c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 t="str">
        <v/>
      </c>
      <c r="DK68" s="30" t="str">
        <f t="shared" si="9"/>
        <v/>
      </c>
      <c r="DL68" s="27" t="str">
        <f t="shared" si="56"/>
        <v/>
      </c>
      <c r="DM68" s="31" t="str">
        <f t="shared" si="57"/>
        <v/>
      </c>
      <c r="DN68" s="16">
        <f t="shared" si="10"/>
        <v>20</v>
      </c>
      <c r="DO68" s="16">
        <f t="shared" si="11"/>
        <v>0</v>
      </c>
      <c r="DP68" s="16">
        <f t="shared" si="12"/>
        <v>0</v>
      </c>
      <c r="DQ68" s="16">
        <f t="shared" si="13"/>
        <v>20</v>
      </c>
      <c r="DR68" s="16" t="str">
        <f t="shared" si="14"/>
        <v/>
      </c>
      <c r="DS68" s="18" t="str">
        <f>IF(ISERROR(CEILING(($DQ68*$DL68/60),Puertas!$S$4)),"",CEILING(($DQ68*$DL68/60),Puertas!$S$4))</f>
        <v/>
      </c>
      <c r="DT68" s="18" t="str">
        <f t="shared" si="58"/>
        <v/>
      </c>
      <c r="DU68" s="104" t="str">
        <f t="shared" si="59"/>
        <v/>
      </c>
      <c r="DV68" s="105" t="str">
        <f>IF(D68="","",SUMIF(Puertas!$K$15:$K$114,B68,Puertas!$U$15:$U$114)+SUMIF(Puertas!$O$15:$O$114,B68,Puertas!$W$15:$W$114))</f>
        <v/>
      </c>
      <c r="DW68" s="106" t="str">
        <f t="shared" si="60"/>
        <v/>
      </c>
      <c r="DX68" s="104" t="str">
        <f t="shared" si="15"/>
        <v/>
      </c>
      <c r="DY68" s="105" t="str">
        <f t="shared" si="16"/>
        <v/>
      </c>
      <c r="DZ68" s="107"/>
      <c r="EA68" s="107"/>
      <c r="EB68" s="105" t="e">
        <f>ABS(IF(D68="","",SUMIF(Puertas!$K$15:$K$114,B68,Puertas!$V$15:$V$114)+SUMIF(Puertas!$O$15:$O$114,B68,Puertas!$X$15:$X$114)))</f>
        <v>#VALUE!</v>
      </c>
      <c r="EC68" s="105" t="str">
        <f t="shared" si="17"/>
        <v/>
      </c>
      <c r="ED68" s="106" t="str">
        <f t="shared" si="18"/>
        <v/>
      </c>
      <c r="EE68" s="41"/>
      <c r="EF68" s="6" t="b">
        <v>0</v>
      </c>
      <c r="EG68" s="6" t="b">
        <v>0</v>
      </c>
      <c r="EH68" s="5" t="e">
        <f t="shared" si="19"/>
        <v>#VALUE!</v>
      </c>
      <c r="EI68" s="5" t="e">
        <f t="shared" si="20"/>
        <v>#VALUE!</v>
      </c>
      <c r="EJ68" s="3">
        <f t="shared" si="21"/>
        <v>0</v>
      </c>
      <c r="EK68" s="3">
        <f t="shared" si="22"/>
        <v>0</v>
      </c>
      <c r="EL68" s="5" t="e">
        <f t="shared" si="23"/>
        <v>#VALUE!</v>
      </c>
      <c r="EM68" s="5" t="e">
        <f t="shared" si="24"/>
        <v>#VALUE!</v>
      </c>
    </row>
    <row r="69" spans="1:143" x14ac:dyDescent="0.3">
      <c r="A69" s="1">
        <v>53</v>
      </c>
      <c r="B69" s="19">
        <v>53</v>
      </c>
      <c r="C69" s="310"/>
      <c r="D69" s="310"/>
      <c r="E69" s="318"/>
      <c r="F69" s="330"/>
      <c r="G69" s="320"/>
      <c r="H69" s="447"/>
      <c r="I69" s="321"/>
      <c r="J69" s="318"/>
      <c r="K69" s="322"/>
      <c r="L69" s="323"/>
      <c r="M69" s="20">
        <f t="shared" si="7"/>
        <v>0</v>
      </c>
      <c r="N69" s="21">
        <f t="shared" si="74"/>
        <v>0</v>
      </c>
      <c r="O69" s="21">
        <f t="shared" si="62"/>
        <v>0</v>
      </c>
      <c r="P69" s="21">
        <f t="shared" si="64"/>
        <v>0</v>
      </c>
      <c r="Q69" s="21">
        <f t="shared" si="66"/>
        <v>0</v>
      </c>
      <c r="R69" s="21">
        <f t="shared" si="68"/>
        <v>0</v>
      </c>
      <c r="S69" s="21">
        <f t="shared" si="70"/>
        <v>0</v>
      </c>
      <c r="T69" s="21">
        <f t="shared" si="72"/>
        <v>0</v>
      </c>
      <c r="U69" s="21">
        <f t="shared" si="75"/>
        <v>0</v>
      </c>
      <c r="V69" s="21">
        <f t="shared" si="77"/>
        <v>0</v>
      </c>
      <c r="W69" s="21">
        <f t="shared" si="79"/>
        <v>0</v>
      </c>
      <c r="X69" s="21">
        <f t="shared" si="81"/>
        <v>0</v>
      </c>
      <c r="Y69" s="21">
        <f t="shared" si="83"/>
        <v>0</v>
      </c>
      <c r="Z69" s="21">
        <f t="shared" si="85"/>
        <v>0</v>
      </c>
      <c r="AA69" s="21">
        <f t="shared" si="87"/>
        <v>0</v>
      </c>
      <c r="AB69" s="21">
        <f t="shared" si="89"/>
        <v>0</v>
      </c>
      <c r="AC69" s="21">
        <f t="shared" si="91"/>
        <v>0</v>
      </c>
      <c r="AD69" s="21">
        <f t="shared" si="93"/>
        <v>0</v>
      </c>
      <c r="AE69" s="21">
        <f t="shared" si="95"/>
        <v>0</v>
      </c>
      <c r="AF69" s="21">
        <f t="shared" si="97"/>
        <v>0</v>
      </c>
      <c r="AG69" s="21">
        <f t="shared" ref="AG69:AG100" si="99">IF($AG$36=0,0,IF(AND($A69=$A68,$A69&lt;&gt;0,AG68&lt;&gt;0),$M69,0))</f>
        <v>0</v>
      </c>
      <c r="AH69" s="21">
        <f t="shared" si="44"/>
        <v>0</v>
      </c>
      <c r="AI69" s="21">
        <f t="shared" si="45"/>
        <v>0</v>
      </c>
      <c r="AJ69" s="21">
        <f t="shared" si="46"/>
        <v>0</v>
      </c>
      <c r="AK69" s="21">
        <f t="shared" si="47"/>
        <v>0</v>
      </c>
      <c r="AL69" s="21">
        <f t="shared" si="48"/>
        <v>0</v>
      </c>
      <c r="AM69" s="21">
        <f t="shared" si="49"/>
        <v>0</v>
      </c>
      <c r="AN69" s="21">
        <f t="shared" si="50"/>
        <v>0</v>
      </c>
      <c r="AO69" s="21">
        <f t="shared" si="51"/>
        <v>0</v>
      </c>
      <c r="AP69" s="21">
        <f t="shared" si="52"/>
        <v>0</v>
      </c>
      <c r="AQ69" s="21">
        <f t="shared" si="53"/>
        <v>0</v>
      </c>
      <c r="AR69" s="21">
        <f t="shared" si="54"/>
        <v>0</v>
      </c>
      <c r="AS69" s="21">
        <f t="shared" si="55"/>
        <v>0</v>
      </c>
      <c r="AT69" s="21">
        <f t="shared" si="61"/>
        <v>0</v>
      </c>
      <c r="AU69" s="21">
        <f t="shared" si="63"/>
        <v>0</v>
      </c>
      <c r="AV69" s="21">
        <f t="shared" si="65"/>
        <v>0</v>
      </c>
      <c r="AW69" s="21">
        <f t="shared" si="67"/>
        <v>0</v>
      </c>
      <c r="AX69" s="21">
        <f t="shared" si="69"/>
        <v>0</v>
      </c>
      <c r="AY69" s="21">
        <f t="shared" si="71"/>
        <v>0</v>
      </c>
      <c r="AZ69" s="21">
        <f t="shared" si="73"/>
        <v>0</v>
      </c>
      <c r="BA69" s="21">
        <f t="shared" si="76"/>
        <v>0</v>
      </c>
      <c r="BB69" s="21">
        <f t="shared" si="78"/>
        <v>0</v>
      </c>
      <c r="BC69" s="21">
        <f t="shared" si="80"/>
        <v>0</v>
      </c>
      <c r="BD69" s="21">
        <f t="shared" si="82"/>
        <v>0</v>
      </c>
      <c r="BE69" s="21">
        <f t="shared" si="84"/>
        <v>0</v>
      </c>
      <c r="BF69" s="21">
        <f t="shared" si="86"/>
        <v>0</v>
      </c>
      <c r="BG69" s="21">
        <f t="shared" si="88"/>
        <v>0</v>
      </c>
      <c r="BH69" s="21">
        <f t="shared" si="90"/>
        <v>0</v>
      </c>
      <c r="BI69" s="21">
        <f t="shared" si="92"/>
        <v>0</v>
      </c>
      <c r="BJ69" s="21">
        <f t="shared" si="94"/>
        <v>0</v>
      </c>
      <c r="BK69" s="21">
        <f t="shared" si="96"/>
        <v>0</v>
      </c>
      <c r="BL69" s="21">
        <f t="shared" si="98"/>
        <v>0</v>
      </c>
      <c r="BM69" s="21">
        <f t="shared" ref="BM69:BM116" si="100">IF($BM$68=0,0,IF(AND($A69=$A68,$A69&lt;&gt;0,BM68&lt;&gt;0),$M69,0))</f>
        <v>0</v>
      </c>
      <c r="BN69" s="21">
        <f>IF(BM69&lt;&gt;0,0,IF(OR($A69=0,$A69=$A68),0,$M69))</f>
        <v>0</v>
      </c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  <c r="CN69" s="21"/>
      <c r="CO69" s="21"/>
      <c r="CP69" s="21"/>
      <c r="CQ69" s="21"/>
      <c r="CR69" s="21"/>
      <c r="CS69" s="21"/>
      <c r="CT69" s="21"/>
      <c r="CU69" s="21"/>
      <c r="CV69" s="21"/>
      <c r="CW69" s="21"/>
      <c r="CX69" s="21"/>
      <c r="CY69" s="21"/>
      <c r="CZ69" s="21"/>
      <c r="DA69" s="21"/>
      <c r="DB69" s="21"/>
      <c r="DC69" s="21"/>
      <c r="DD69" s="21"/>
      <c r="DE69" s="21"/>
      <c r="DF69" s="21"/>
      <c r="DG69" s="21"/>
      <c r="DH69" s="21"/>
      <c r="DI69" s="21"/>
      <c r="DJ69" s="21" t="str">
        <v/>
      </c>
      <c r="DK69" s="32" t="str">
        <f t="shared" si="9"/>
        <v/>
      </c>
      <c r="DL69" s="28" t="str">
        <f t="shared" si="56"/>
        <v/>
      </c>
      <c r="DM69" s="33" t="str">
        <f t="shared" si="57"/>
        <v/>
      </c>
      <c r="DN69" s="20">
        <f t="shared" si="10"/>
        <v>20</v>
      </c>
      <c r="DO69" s="20">
        <f t="shared" si="11"/>
        <v>0</v>
      </c>
      <c r="DP69" s="20">
        <f t="shared" si="12"/>
        <v>0</v>
      </c>
      <c r="DQ69" s="20">
        <f t="shared" si="13"/>
        <v>20</v>
      </c>
      <c r="DR69" s="20" t="str">
        <f t="shared" si="14"/>
        <v/>
      </c>
      <c r="DS69" s="22" t="str">
        <f>IF(ISERROR(CEILING(($DQ69*$DL69/60),Puertas!$S$4)),"",CEILING(($DQ69*$DL69/60),Puertas!$S$4))</f>
        <v/>
      </c>
      <c r="DT69" s="22" t="str">
        <f t="shared" si="58"/>
        <v/>
      </c>
      <c r="DU69" s="108" t="str">
        <f t="shared" si="59"/>
        <v/>
      </c>
      <c r="DV69" s="109" t="str">
        <f>IF(D69="","",SUMIF(Puertas!$K$15:$K$114,B69,Puertas!$U$15:$U$114)+SUMIF(Puertas!$O$15:$O$114,B69,Puertas!$W$15:$W$114))</f>
        <v/>
      </c>
      <c r="DW69" s="110" t="str">
        <f t="shared" si="60"/>
        <v/>
      </c>
      <c r="DX69" s="108" t="str">
        <f t="shared" si="15"/>
        <v/>
      </c>
      <c r="DY69" s="109" t="str">
        <f t="shared" si="16"/>
        <v/>
      </c>
      <c r="DZ69" s="111"/>
      <c r="EA69" s="111"/>
      <c r="EB69" s="109" t="e">
        <f>ABS(IF(D69="","",SUMIF(Puertas!$K$15:$K$114,B69,Puertas!$V$15:$V$114)+SUMIF(Puertas!$O$15:$O$114,B69,Puertas!$X$15:$X$114)))</f>
        <v>#VALUE!</v>
      </c>
      <c r="EC69" s="109" t="str">
        <f t="shared" si="17"/>
        <v/>
      </c>
      <c r="ED69" s="110" t="str">
        <f t="shared" si="18"/>
        <v/>
      </c>
      <c r="EE69" s="42"/>
      <c r="EF69" s="6" t="b">
        <v>0</v>
      </c>
      <c r="EG69" s="6" t="b">
        <v>0</v>
      </c>
      <c r="EH69" s="5" t="e">
        <f t="shared" si="19"/>
        <v>#VALUE!</v>
      </c>
      <c r="EI69" s="5" t="e">
        <f t="shared" si="20"/>
        <v>#VALUE!</v>
      </c>
      <c r="EJ69" s="3">
        <f t="shared" si="21"/>
        <v>0</v>
      </c>
      <c r="EK69" s="3">
        <f t="shared" si="22"/>
        <v>0</v>
      </c>
      <c r="EL69" s="5" t="e">
        <f t="shared" si="23"/>
        <v>#VALUE!</v>
      </c>
      <c r="EM69" s="5" t="e">
        <f t="shared" si="24"/>
        <v>#VALUE!</v>
      </c>
    </row>
    <row r="70" spans="1:143" x14ac:dyDescent="0.3">
      <c r="A70" s="1">
        <v>54</v>
      </c>
      <c r="B70" s="23">
        <v>54</v>
      </c>
      <c r="C70" s="311"/>
      <c r="D70" s="311"/>
      <c r="E70" s="324"/>
      <c r="F70" s="331"/>
      <c r="G70" s="326"/>
      <c r="H70" s="448"/>
      <c r="I70" s="327"/>
      <c r="J70" s="324"/>
      <c r="K70" s="328"/>
      <c r="L70" s="329"/>
      <c r="M70" s="24">
        <f t="shared" si="7"/>
        <v>0</v>
      </c>
      <c r="N70" s="25">
        <f t="shared" si="74"/>
        <v>0</v>
      </c>
      <c r="O70" s="25">
        <f t="shared" si="62"/>
        <v>0</v>
      </c>
      <c r="P70" s="25">
        <f t="shared" si="64"/>
        <v>0</v>
      </c>
      <c r="Q70" s="25">
        <f t="shared" si="66"/>
        <v>0</v>
      </c>
      <c r="R70" s="25">
        <f t="shared" si="68"/>
        <v>0</v>
      </c>
      <c r="S70" s="25">
        <f t="shared" si="70"/>
        <v>0</v>
      </c>
      <c r="T70" s="25">
        <f t="shared" si="72"/>
        <v>0</v>
      </c>
      <c r="U70" s="25">
        <f t="shared" si="75"/>
        <v>0</v>
      </c>
      <c r="V70" s="25">
        <f t="shared" si="77"/>
        <v>0</v>
      </c>
      <c r="W70" s="25">
        <f t="shared" si="79"/>
        <v>0</v>
      </c>
      <c r="X70" s="25">
        <f t="shared" si="81"/>
        <v>0</v>
      </c>
      <c r="Y70" s="25">
        <f t="shared" si="83"/>
        <v>0</v>
      </c>
      <c r="Z70" s="25">
        <f t="shared" si="85"/>
        <v>0</v>
      </c>
      <c r="AA70" s="25">
        <f t="shared" si="87"/>
        <v>0</v>
      </c>
      <c r="AB70" s="25">
        <f t="shared" si="89"/>
        <v>0</v>
      </c>
      <c r="AC70" s="25">
        <f t="shared" si="91"/>
        <v>0</v>
      </c>
      <c r="AD70" s="25">
        <f t="shared" si="93"/>
        <v>0</v>
      </c>
      <c r="AE70" s="25">
        <f t="shared" si="95"/>
        <v>0</v>
      </c>
      <c r="AF70" s="25">
        <f t="shared" si="97"/>
        <v>0</v>
      </c>
      <c r="AG70" s="25">
        <f t="shared" si="99"/>
        <v>0</v>
      </c>
      <c r="AH70" s="25">
        <f t="shared" ref="AH70:AH101" si="101">IF($AH$37=0,0,IF(AND($A70=$A69,$A70&lt;&gt;0,AH69&lt;&gt;0),$M70,0))</f>
        <v>0</v>
      </c>
      <c r="AI70" s="25">
        <f t="shared" si="45"/>
        <v>0</v>
      </c>
      <c r="AJ70" s="25">
        <f t="shared" si="46"/>
        <v>0</v>
      </c>
      <c r="AK70" s="25">
        <f t="shared" si="47"/>
        <v>0</v>
      </c>
      <c r="AL70" s="25">
        <f t="shared" si="48"/>
        <v>0</v>
      </c>
      <c r="AM70" s="25">
        <f t="shared" si="49"/>
        <v>0</v>
      </c>
      <c r="AN70" s="25">
        <f t="shared" si="50"/>
        <v>0</v>
      </c>
      <c r="AO70" s="25">
        <f t="shared" si="51"/>
        <v>0</v>
      </c>
      <c r="AP70" s="25">
        <f t="shared" si="52"/>
        <v>0</v>
      </c>
      <c r="AQ70" s="25">
        <f t="shared" si="53"/>
        <v>0</v>
      </c>
      <c r="AR70" s="25">
        <f t="shared" si="54"/>
        <v>0</v>
      </c>
      <c r="AS70" s="25">
        <f t="shared" si="55"/>
        <v>0</v>
      </c>
      <c r="AT70" s="25">
        <f t="shared" si="61"/>
        <v>0</v>
      </c>
      <c r="AU70" s="25">
        <f t="shared" si="63"/>
        <v>0</v>
      </c>
      <c r="AV70" s="25">
        <f t="shared" si="65"/>
        <v>0</v>
      </c>
      <c r="AW70" s="25">
        <f t="shared" si="67"/>
        <v>0</v>
      </c>
      <c r="AX70" s="25">
        <f t="shared" si="69"/>
        <v>0</v>
      </c>
      <c r="AY70" s="25">
        <f t="shared" si="71"/>
        <v>0</v>
      </c>
      <c r="AZ70" s="25">
        <f t="shared" si="73"/>
        <v>0</v>
      </c>
      <c r="BA70" s="25">
        <f t="shared" si="76"/>
        <v>0</v>
      </c>
      <c r="BB70" s="25">
        <f t="shared" si="78"/>
        <v>0</v>
      </c>
      <c r="BC70" s="25">
        <f t="shared" si="80"/>
        <v>0</v>
      </c>
      <c r="BD70" s="25">
        <f t="shared" si="82"/>
        <v>0</v>
      </c>
      <c r="BE70" s="25">
        <f t="shared" si="84"/>
        <v>0</v>
      </c>
      <c r="BF70" s="25">
        <f t="shared" si="86"/>
        <v>0</v>
      </c>
      <c r="BG70" s="25">
        <f t="shared" si="88"/>
        <v>0</v>
      </c>
      <c r="BH70" s="25">
        <f t="shared" si="90"/>
        <v>0</v>
      </c>
      <c r="BI70" s="25">
        <f t="shared" si="92"/>
        <v>0</v>
      </c>
      <c r="BJ70" s="25">
        <f t="shared" si="94"/>
        <v>0</v>
      </c>
      <c r="BK70" s="25">
        <f t="shared" si="96"/>
        <v>0</v>
      </c>
      <c r="BL70" s="25">
        <f t="shared" si="98"/>
        <v>0</v>
      </c>
      <c r="BM70" s="25">
        <f t="shared" si="100"/>
        <v>0</v>
      </c>
      <c r="BN70" s="25">
        <f t="shared" ref="BN70:BN116" si="102">IF($BN$69=0,0,IF(AND($A70=$A69,$A70&lt;&gt;0,BN69&lt;&gt;0),$M70,0))</f>
        <v>0</v>
      </c>
      <c r="BO70" s="25">
        <f>IF(BN70&lt;&gt;0,0,IF(OR($A70=0,$A70=$A69),0,$M70))</f>
        <v>0</v>
      </c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 t="str">
        <v/>
      </c>
      <c r="DK70" s="34" t="str">
        <f t="shared" si="9"/>
        <v/>
      </c>
      <c r="DL70" s="29" t="str">
        <f t="shared" si="56"/>
        <v/>
      </c>
      <c r="DM70" s="35" t="str">
        <f t="shared" si="57"/>
        <v/>
      </c>
      <c r="DN70" s="24">
        <f t="shared" si="10"/>
        <v>20</v>
      </c>
      <c r="DO70" s="24">
        <f t="shared" si="11"/>
        <v>0</v>
      </c>
      <c r="DP70" s="24">
        <f t="shared" si="12"/>
        <v>0</v>
      </c>
      <c r="DQ70" s="24">
        <f t="shared" si="13"/>
        <v>20</v>
      </c>
      <c r="DR70" s="24" t="str">
        <f t="shared" si="14"/>
        <v/>
      </c>
      <c r="DS70" s="26" t="str">
        <f>IF(ISERROR(CEILING(($DQ70*$DL70/60),Puertas!$S$4)),"",CEILING(($DQ70*$DL70/60),Puertas!$S$4))</f>
        <v/>
      </c>
      <c r="DT70" s="26" t="str">
        <f t="shared" si="58"/>
        <v/>
      </c>
      <c r="DU70" s="112" t="str">
        <f t="shared" si="59"/>
        <v/>
      </c>
      <c r="DV70" s="113" t="str">
        <f>IF(D70="","",SUMIF(Puertas!$K$15:$K$114,B70,Puertas!$U$15:$U$114)+SUMIF(Puertas!$O$15:$O$114,B70,Puertas!$W$15:$W$114))</f>
        <v/>
      </c>
      <c r="DW70" s="114" t="str">
        <f t="shared" si="60"/>
        <v/>
      </c>
      <c r="DX70" s="112" t="str">
        <f t="shared" si="15"/>
        <v/>
      </c>
      <c r="DY70" s="113" t="str">
        <f t="shared" si="16"/>
        <v/>
      </c>
      <c r="DZ70" s="115"/>
      <c r="EA70" s="115"/>
      <c r="EB70" s="113" t="e">
        <f>ABS(IF(D70="","",SUMIF(Puertas!$K$15:$K$114,B70,Puertas!$V$15:$V$114)+SUMIF(Puertas!$O$15:$O$114,B70,Puertas!$X$15:$X$114)))</f>
        <v>#VALUE!</v>
      </c>
      <c r="EC70" s="113" t="str">
        <f t="shared" si="17"/>
        <v/>
      </c>
      <c r="ED70" s="114" t="str">
        <f t="shared" si="18"/>
        <v/>
      </c>
      <c r="EE70" s="43"/>
      <c r="EF70" s="6" t="b">
        <v>0</v>
      </c>
      <c r="EG70" s="6" t="b">
        <v>0</v>
      </c>
      <c r="EH70" s="5" t="e">
        <f t="shared" si="19"/>
        <v>#VALUE!</v>
      </c>
      <c r="EI70" s="5" t="e">
        <f t="shared" si="20"/>
        <v>#VALUE!</v>
      </c>
      <c r="EJ70" s="3">
        <f t="shared" si="21"/>
        <v>0</v>
      </c>
      <c r="EK70" s="3">
        <f t="shared" si="22"/>
        <v>0</v>
      </c>
      <c r="EL70" s="5" t="e">
        <f t="shared" si="23"/>
        <v>#VALUE!</v>
      </c>
      <c r="EM70" s="5" t="e">
        <f t="shared" si="24"/>
        <v>#VALUE!</v>
      </c>
    </row>
    <row r="71" spans="1:143" x14ac:dyDescent="0.3">
      <c r="A71" s="1">
        <v>55</v>
      </c>
      <c r="B71" s="15">
        <v>55</v>
      </c>
      <c r="C71" s="309"/>
      <c r="D71" s="309"/>
      <c r="E71" s="312"/>
      <c r="F71" s="332"/>
      <c r="G71" s="314"/>
      <c r="H71" s="446"/>
      <c r="I71" s="315"/>
      <c r="J71" s="312"/>
      <c r="K71" s="316"/>
      <c r="L71" s="317"/>
      <c r="M71" s="16">
        <f t="shared" si="7"/>
        <v>0</v>
      </c>
      <c r="N71" s="17">
        <f t="shared" si="74"/>
        <v>0</v>
      </c>
      <c r="O71" s="17">
        <f t="shared" si="62"/>
        <v>0</v>
      </c>
      <c r="P71" s="17">
        <f t="shared" si="64"/>
        <v>0</v>
      </c>
      <c r="Q71" s="17">
        <f t="shared" si="66"/>
        <v>0</v>
      </c>
      <c r="R71" s="17">
        <f t="shared" si="68"/>
        <v>0</v>
      </c>
      <c r="S71" s="17">
        <f t="shared" si="70"/>
        <v>0</v>
      </c>
      <c r="T71" s="17">
        <f t="shared" si="72"/>
        <v>0</v>
      </c>
      <c r="U71" s="17">
        <f t="shared" si="75"/>
        <v>0</v>
      </c>
      <c r="V71" s="17">
        <f t="shared" si="77"/>
        <v>0</v>
      </c>
      <c r="W71" s="17">
        <f t="shared" si="79"/>
        <v>0</v>
      </c>
      <c r="X71" s="17">
        <f t="shared" si="81"/>
        <v>0</v>
      </c>
      <c r="Y71" s="17">
        <f t="shared" si="83"/>
        <v>0</v>
      </c>
      <c r="Z71" s="17">
        <f t="shared" si="85"/>
        <v>0</v>
      </c>
      <c r="AA71" s="17">
        <f t="shared" si="87"/>
        <v>0</v>
      </c>
      <c r="AB71" s="17">
        <f t="shared" si="89"/>
        <v>0</v>
      </c>
      <c r="AC71" s="17">
        <f t="shared" si="91"/>
        <v>0</v>
      </c>
      <c r="AD71" s="17">
        <f t="shared" si="93"/>
        <v>0</v>
      </c>
      <c r="AE71" s="17">
        <f t="shared" si="95"/>
        <v>0</v>
      </c>
      <c r="AF71" s="17">
        <f t="shared" si="97"/>
        <v>0</v>
      </c>
      <c r="AG71" s="17">
        <f t="shared" si="99"/>
        <v>0</v>
      </c>
      <c r="AH71" s="17">
        <f t="shared" si="101"/>
        <v>0</v>
      </c>
      <c r="AI71" s="17">
        <f t="shared" ref="AI71:AI102" si="103">IF($AI$38=0,0,IF(AND($A71=$A70,$A71&lt;&gt;0,AI70&lt;&gt;0),$M71,0))</f>
        <v>0</v>
      </c>
      <c r="AJ71" s="17">
        <f t="shared" si="46"/>
        <v>0</v>
      </c>
      <c r="AK71" s="17">
        <f t="shared" si="47"/>
        <v>0</v>
      </c>
      <c r="AL71" s="17">
        <f t="shared" si="48"/>
        <v>0</v>
      </c>
      <c r="AM71" s="17">
        <f t="shared" si="49"/>
        <v>0</v>
      </c>
      <c r="AN71" s="17">
        <f t="shared" si="50"/>
        <v>0</v>
      </c>
      <c r="AO71" s="17">
        <f t="shared" si="51"/>
        <v>0</v>
      </c>
      <c r="AP71" s="17">
        <f t="shared" si="52"/>
        <v>0</v>
      </c>
      <c r="AQ71" s="17">
        <f t="shared" si="53"/>
        <v>0</v>
      </c>
      <c r="AR71" s="17">
        <f t="shared" si="54"/>
        <v>0</v>
      </c>
      <c r="AS71" s="17">
        <f t="shared" si="55"/>
        <v>0</v>
      </c>
      <c r="AT71" s="17">
        <f t="shared" si="61"/>
        <v>0</v>
      </c>
      <c r="AU71" s="17">
        <f t="shared" si="63"/>
        <v>0</v>
      </c>
      <c r="AV71" s="17">
        <f t="shared" si="65"/>
        <v>0</v>
      </c>
      <c r="AW71" s="17">
        <f t="shared" si="67"/>
        <v>0</v>
      </c>
      <c r="AX71" s="17">
        <f t="shared" si="69"/>
        <v>0</v>
      </c>
      <c r="AY71" s="17">
        <f t="shared" si="71"/>
        <v>0</v>
      </c>
      <c r="AZ71" s="17">
        <f t="shared" si="73"/>
        <v>0</v>
      </c>
      <c r="BA71" s="17">
        <f t="shared" si="76"/>
        <v>0</v>
      </c>
      <c r="BB71" s="17">
        <f t="shared" si="78"/>
        <v>0</v>
      </c>
      <c r="BC71" s="17">
        <f t="shared" si="80"/>
        <v>0</v>
      </c>
      <c r="BD71" s="17">
        <f t="shared" si="82"/>
        <v>0</v>
      </c>
      <c r="BE71" s="17">
        <f t="shared" si="84"/>
        <v>0</v>
      </c>
      <c r="BF71" s="17">
        <f t="shared" si="86"/>
        <v>0</v>
      </c>
      <c r="BG71" s="17">
        <f t="shared" si="88"/>
        <v>0</v>
      </c>
      <c r="BH71" s="17">
        <f t="shared" si="90"/>
        <v>0</v>
      </c>
      <c r="BI71" s="17">
        <f t="shared" si="92"/>
        <v>0</v>
      </c>
      <c r="BJ71" s="17">
        <f t="shared" si="94"/>
        <v>0</v>
      </c>
      <c r="BK71" s="17">
        <f t="shared" si="96"/>
        <v>0</v>
      </c>
      <c r="BL71" s="17">
        <f t="shared" si="98"/>
        <v>0</v>
      </c>
      <c r="BM71" s="17">
        <f t="shared" si="100"/>
        <v>0</v>
      </c>
      <c r="BN71" s="17">
        <f t="shared" si="102"/>
        <v>0</v>
      </c>
      <c r="BO71" s="17">
        <f t="shared" ref="BO71:BO116" si="104">IF($BO$70=0,0,IF(AND($A71=$A70,$A71&lt;&gt;0,BO70&lt;&gt;0),$M71,0))</f>
        <v>0</v>
      </c>
      <c r="BP71" s="17">
        <f>IF(BO71&lt;&gt;0,0,IF(OR($A71=0,$A71=$A70),0,$M71))</f>
        <v>0</v>
      </c>
      <c r="BQ71" s="17"/>
      <c r="BR71" s="17"/>
      <c r="BS71" s="17"/>
      <c r="BT71" s="17"/>
      <c r="BU71" s="17"/>
      <c r="BV71" s="17"/>
      <c r="BW71" s="17"/>
      <c r="BX71" s="17"/>
      <c r="BY71" s="17"/>
      <c r="BZ71" s="17"/>
      <c r="CA71" s="17"/>
      <c r="CB71" s="17"/>
      <c r="CC71" s="17"/>
      <c r="CD71" s="17"/>
      <c r="CE71" s="17"/>
      <c r="CF71" s="17"/>
      <c r="CG71" s="17"/>
      <c r="CH71" s="17"/>
      <c r="CI71" s="17"/>
      <c r="CJ71" s="17"/>
      <c r="CK71" s="17"/>
      <c r="CL71" s="17"/>
      <c r="CM71" s="17"/>
      <c r="CN71" s="17"/>
      <c r="CO71" s="17"/>
      <c r="CP71" s="17"/>
      <c r="CQ71" s="17"/>
      <c r="CR71" s="17"/>
      <c r="CS71" s="17"/>
      <c r="CT71" s="17"/>
      <c r="CU71" s="17"/>
      <c r="CV71" s="17"/>
      <c r="CW71" s="17"/>
      <c r="CX71" s="17"/>
      <c r="CY71" s="17"/>
      <c r="CZ71" s="17"/>
      <c r="DA71" s="17"/>
      <c r="DB71" s="17"/>
      <c r="DC71" s="17"/>
      <c r="DD71" s="17"/>
      <c r="DE71" s="17"/>
      <c r="DF71" s="17"/>
      <c r="DG71" s="17"/>
      <c r="DH71" s="17"/>
      <c r="DI71" s="17"/>
      <c r="DJ71" s="17" t="str">
        <v/>
      </c>
      <c r="DK71" s="30" t="str">
        <f t="shared" si="9"/>
        <v/>
      </c>
      <c r="DL71" s="27" t="str">
        <f t="shared" si="56"/>
        <v/>
      </c>
      <c r="DM71" s="31" t="str">
        <f t="shared" si="57"/>
        <v/>
      </c>
      <c r="DN71" s="16">
        <f t="shared" si="10"/>
        <v>20</v>
      </c>
      <c r="DO71" s="16">
        <f t="shared" si="11"/>
        <v>0</v>
      </c>
      <c r="DP71" s="16">
        <f t="shared" si="12"/>
        <v>0</v>
      </c>
      <c r="DQ71" s="16">
        <f t="shared" si="13"/>
        <v>20</v>
      </c>
      <c r="DR71" s="16" t="str">
        <f t="shared" si="14"/>
        <v/>
      </c>
      <c r="DS71" s="18" t="str">
        <f>IF(ISERROR(CEILING(($DQ71*$DL71/60),Puertas!$S$4)),"",CEILING(($DQ71*$DL71/60),Puertas!$S$4))</f>
        <v/>
      </c>
      <c r="DT71" s="18" t="str">
        <f t="shared" si="58"/>
        <v/>
      </c>
      <c r="DU71" s="104" t="str">
        <f t="shared" si="59"/>
        <v/>
      </c>
      <c r="DV71" s="105" t="str">
        <f>IF(D71="","",SUMIF(Puertas!$K$15:$K$114,B71,Puertas!$U$15:$U$114)+SUMIF(Puertas!$O$15:$O$114,B71,Puertas!$W$15:$W$114))</f>
        <v/>
      </c>
      <c r="DW71" s="106" t="str">
        <f t="shared" si="60"/>
        <v/>
      </c>
      <c r="DX71" s="104" t="str">
        <f t="shared" si="15"/>
        <v/>
      </c>
      <c r="DY71" s="105" t="str">
        <f t="shared" si="16"/>
        <v/>
      </c>
      <c r="DZ71" s="107"/>
      <c r="EA71" s="107"/>
      <c r="EB71" s="105" t="e">
        <f>ABS(IF(D71="","",SUMIF(Puertas!$K$15:$K$114,B71,Puertas!$V$15:$V$114)+SUMIF(Puertas!$O$15:$O$114,B71,Puertas!$X$15:$X$114)))</f>
        <v>#VALUE!</v>
      </c>
      <c r="EC71" s="105" t="str">
        <f t="shared" si="17"/>
        <v/>
      </c>
      <c r="ED71" s="106" t="str">
        <f t="shared" si="18"/>
        <v/>
      </c>
      <c r="EE71" s="41"/>
      <c r="EF71" s="6" t="b">
        <v>0</v>
      </c>
      <c r="EG71" s="6" t="b">
        <v>0</v>
      </c>
      <c r="EH71" s="5" t="e">
        <f t="shared" si="19"/>
        <v>#VALUE!</v>
      </c>
      <c r="EI71" s="5" t="e">
        <f t="shared" si="20"/>
        <v>#VALUE!</v>
      </c>
      <c r="EJ71" s="3">
        <f t="shared" si="21"/>
        <v>0</v>
      </c>
      <c r="EK71" s="3">
        <f t="shared" si="22"/>
        <v>0</v>
      </c>
      <c r="EL71" s="5" t="e">
        <f t="shared" si="23"/>
        <v>#VALUE!</v>
      </c>
      <c r="EM71" s="5" t="e">
        <f t="shared" si="24"/>
        <v>#VALUE!</v>
      </c>
    </row>
    <row r="72" spans="1:143" x14ac:dyDescent="0.3">
      <c r="A72" s="1">
        <v>56</v>
      </c>
      <c r="B72" s="19">
        <v>56</v>
      </c>
      <c r="C72" s="310"/>
      <c r="D72" s="310"/>
      <c r="E72" s="318"/>
      <c r="F72" s="330"/>
      <c r="G72" s="320"/>
      <c r="H72" s="447"/>
      <c r="I72" s="321"/>
      <c r="J72" s="318"/>
      <c r="K72" s="322"/>
      <c r="L72" s="323"/>
      <c r="M72" s="20">
        <f t="shared" si="7"/>
        <v>0</v>
      </c>
      <c r="N72" s="21">
        <f t="shared" si="74"/>
        <v>0</v>
      </c>
      <c r="O72" s="21">
        <f t="shared" si="62"/>
        <v>0</v>
      </c>
      <c r="P72" s="21">
        <f t="shared" si="64"/>
        <v>0</v>
      </c>
      <c r="Q72" s="21">
        <f t="shared" si="66"/>
        <v>0</v>
      </c>
      <c r="R72" s="21">
        <f t="shared" si="68"/>
        <v>0</v>
      </c>
      <c r="S72" s="21">
        <f t="shared" si="70"/>
        <v>0</v>
      </c>
      <c r="T72" s="21">
        <f t="shared" si="72"/>
        <v>0</v>
      </c>
      <c r="U72" s="21">
        <f t="shared" si="75"/>
        <v>0</v>
      </c>
      <c r="V72" s="21">
        <f t="shared" si="77"/>
        <v>0</v>
      </c>
      <c r="W72" s="21">
        <f t="shared" si="79"/>
        <v>0</v>
      </c>
      <c r="X72" s="21">
        <f t="shared" si="81"/>
        <v>0</v>
      </c>
      <c r="Y72" s="21">
        <f t="shared" si="83"/>
        <v>0</v>
      </c>
      <c r="Z72" s="21">
        <f t="shared" si="85"/>
        <v>0</v>
      </c>
      <c r="AA72" s="21">
        <f t="shared" si="87"/>
        <v>0</v>
      </c>
      <c r="AB72" s="21">
        <f t="shared" si="89"/>
        <v>0</v>
      </c>
      <c r="AC72" s="21">
        <f t="shared" si="91"/>
        <v>0</v>
      </c>
      <c r="AD72" s="21">
        <f t="shared" si="93"/>
        <v>0</v>
      </c>
      <c r="AE72" s="21">
        <f t="shared" si="95"/>
        <v>0</v>
      </c>
      <c r="AF72" s="21">
        <f t="shared" si="97"/>
        <v>0</v>
      </c>
      <c r="AG72" s="21">
        <f t="shared" si="99"/>
        <v>0</v>
      </c>
      <c r="AH72" s="21">
        <f t="shared" si="101"/>
        <v>0</v>
      </c>
      <c r="AI72" s="21">
        <f t="shared" si="103"/>
        <v>0</v>
      </c>
      <c r="AJ72" s="21">
        <f t="shared" ref="AJ72:AJ103" si="105">IF($AJ$39=0,0,IF(AND($A72=$A71,$A72&lt;&gt;0,AJ71&lt;&gt;0),$M72,0))</f>
        <v>0</v>
      </c>
      <c r="AK72" s="21">
        <f t="shared" si="47"/>
        <v>0</v>
      </c>
      <c r="AL72" s="21">
        <f t="shared" si="48"/>
        <v>0</v>
      </c>
      <c r="AM72" s="21">
        <f t="shared" si="49"/>
        <v>0</v>
      </c>
      <c r="AN72" s="21">
        <f t="shared" si="50"/>
        <v>0</v>
      </c>
      <c r="AO72" s="21">
        <f t="shared" si="51"/>
        <v>0</v>
      </c>
      <c r="AP72" s="21">
        <f t="shared" si="52"/>
        <v>0</v>
      </c>
      <c r="AQ72" s="21">
        <f t="shared" si="53"/>
        <v>0</v>
      </c>
      <c r="AR72" s="21">
        <f t="shared" si="54"/>
        <v>0</v>
      </c>
      <c r="AS72" s="21">
        <f t="shared" si="55"/>
        <v>0</v>
      </c>
      <c r="AT72" s="21">
        <f t="shared" si="61"/>
        <v>0</v>
      </c>
      <c r="AU72" s="21">
        <f t="shared" si="63"/>
        <v>0</v>
      </c>
      <c r="AV72" s="21">
        <f t="shared" si="65"/>
        <v>0</v>
      </c>
      <c r="AW72" s="21">
        <f t="shared" si="67"/>
        <v>0</v>
      </c>
      <c r="AX72" s="21">
        <f t="shared" si="69"/>
        <v>0</v>
      </c>
      <c r="AY72" s="21">
        <f t="shared" si="71"/>
        <v>0</v>
      </c>
      <c r="AZ72" s="21">
        <f t="shared" si="73"/>
        <v>0</v>
      </c>
      <c r="BA72" s="21">
        <f t="shared" si="76"/>
        <v>0</v>
      </c>
      <c r="BB72" s="21">
        <f t="shared" si="78"/>
        <v>0</v>
      </c>
      <c r="BC72" s="21">
        <f t="shared" si="80"/>
        <v>0</v>
      </c>
      <c r="BD72" s="21">
        <f t="shared" si="82"/>
        <v>0</v>
      </c>
      <c r="BE72" s="21">
        <f t="shared" si="84"/>
        <v>0</v>
      </c>
      <c r="BF72" s="21">
        <f t="shared" si="86"/>
        <v>0</v>
      </c>
      <c r="BG72" s="21">
        <f t="shared" si="88"/>
        <v>0</v>
      </c>
      <c r="BH72" s="21">
        <f t="shared" si="90"/>
        <v>0</v>
      </c>
      <c r="BI72" s="21">
        <f t="shared" si="92"/>
        <v>0</v>
      </c>
      <c r="BJ72" s="21">
        <f t="shared" si="94"/>
        <v>0</v>
      </c>
      <c r="BK72" s="21">
        <f t="shared" si="96"/>
        <v>0</v>
      </c>
      <c r="BL72" s="21">
        <f t="shared" si="98"/>
        <v>0</v>
      </c>
      <c r="BM72" s="21">
        <f t="shared" si="100"/>
        <v>0</v>
      </c>
      <c r="BN72" s="21">
        <f t="shared" si="102"/>
        <v>0</v>
      </c>
      <c r="BO72" s="21">
        <f t="shared" si="104"/>
        <v>0</v>
      </c>
      <c r="BP72" s="21">
        <f t="shared" ref="BP72:BP116" si="106">IF($BP$71=0,0,IF(AND($A72=$A71,$A72&lt;&gt;0,BP71&lt;&gt;0),$M72,0))</f>
        <v>0</v>
      </c>
      <c r="BQ72" s="21">
        <f>IF(BP72&lt;&gt;0,0,IF(OR($A72=0,$A72=$A71),0,$M72))</f>
        <v>0</v>
      </c>
      <c r="BR72" s="21"/>
      <c r="BS72" s="21"/>
      <c r="BT72" s="21"/>
      <c r="BU72" s="21"/>
      <c r="BV72" s="21"/>
      <c r="BW72" s="21"/>
      <c r="BX72" s="21"/>
      <c r="BY72" s="21"/>
      <c r="BZ72" s="21"/>
      <c r="CA72" s="21"/>
      <c r="CB72" s="21"/>
      <c r="CC72" s="21"/>
      <c r="CD72" s="21"/>
      <c r="CE72" s="21"/>
      <c r="CF72" s="21"/>
      <c r="CG72" s="21"/>
      <c r="CH72" s="21"/>
      <c r="CI72" s="21"/>
      <c r="CJ72" s="21"/>
      <c r="CK72" s="21"/>
      <c r="CL72" s="21"/>
      <c r="CM72" s="21"/>
      <c r="CN72" s="21"/>
      <c r="CO72" s="21"/>
      <c r="CP72" s="21"/>
      <c r="CQ72" s="21"/>
      <c r="CR72" s="21"/>
      <c r="CS72" s="21"/>
      <c r="CT72" s="21"/>
      <c r="CU72" s="21"/>
      <c r="CV72" s="21"/>
      <c r="CW72" s="21"/>
      <c r="CX72" s="21"/>
      <c r="CY72" s="21"/>
      <c r="CZ72" s="21"/>
      <c r="DA72" s="21"/>
      <c r="DB72" s="21"/>
      <c r="DC72" s="21"/>
      <c r="DD72" s="21"/>
      <c r="DE72" s="21"/>
      <c r="DF72" s="21"/>
      <c r="DG72" s="21"/>
      <c r="DH72" s="21"/>
      <c r="DI72" s="21"/>
      <c r="DJ72" s="21" t="str">
        <v/>
      </c>
      <c r="DK72" s="32" t="str">
        <f t="shared" si="9"/>
        <v/>
      </c>
      <c r="DL72" s="28" t="str">
        <f t="shared" si="56"/>
        <v/>
      </c>
      <c r="DM72" s="33" t="str">
        <f t="shared" si="57"/>
        <v/>
      </c>
      <c r="DN72" s="20">
        <f t="shared" si="10"/>
        <v>20</v>
      </c>
      <c r="DO72" s="20">
        <f t="shared" si="11"/>
        <v>0</v>
      </c>
      <c r="DP72" s="20">
        <f t="shared" si="12"/>
        <v>0</v>
      </c>
      <c r="DQ72" s="20">
        <f t="shared" si="13"/>
        <v>20</v>
      </c>
      <c r="DR72" s="20" t="str">
        <f t="shared" si="14"/>
        <v/>
      </c>
      <c r="DS72" s="22" t="str">
        <f>IF(ISERROR(CEILING(($DQ72*$DL72/60),Puertas!$S$4)),"",CEILING(($DQ72*$DL72/60),Puertas!$S$4))</f>
        <v/>
      </c>
      <c r="DT72" s="22" t="str">
        <f t="shared" si="58"/>
        <v/>
      </c>
      <c r="DU72" s="108" t="str">
        <f t="shared" si="59"/>
        <v/>
      </c>
      <c r="DV72" s="109" t="str">
        <f>IF(D72="","",SUMIF(Puertas!$K$15:$K$114,B72,Puertas!$U$15:$U$114)+SUMIF(Puertas!$O$15:$O$114,B72,Puertas!$W$15:$W$114))</f>
        <v/>
      </c>
      <c r="DW72" s="110" t="str">
        <f t="shared" si="60"/>
        <v/>
      </c>
      <c r="DX72" s="108" t="str">
        <f t="shared" si="15"/>
        <v/>
      </c>
      <c r="DY72" s="109" t="str">
        <f t="shared" si="16"/>
        <v/>
      </c>
      <c r="DZ72" s="111"/>
      <c r="EA72" s="111"/>
      <c r="EB72" s="109" t="e">
        <f>ABS(IF(D72="","",SUMIF(Puertas!$K$15:$K$114,B72,Puertas!$V$15:$V$114)+SUMIF(Puertas!$O$15:$O$114,B72,Puertas!$X$15:$X$114)))</f>
        <v>#VALUE!</v>
      </c>
      <c r="EC72" s="109" t="str">
        <f t="shared" si="17"/>
        <v/>
      </c>
      <c r="ED72" s="110" t="str">
        <f t="shared" si="18"/>
        <v/>
      </c>
      <c r="EE72" s="42"/>
      <c r="EF72" s="6" t="b">
        <v>0</v>
      </c>
      <c r="EG72" s="6" t="b">
        <v>0</v>
      </c>
      <c r="EH72" s="5" t="e">
        <f t="shared" si="19"/>
        <v>#VALUE!</v>
      </c>
      <c r="EI72" s="5" t="e">
        <f t="shared" si="20"/>
        <v>#VALUE!</v>
      </c>
      <c r="EJ72" s="3">
        <f t="shared" si="21"/>
        <v>0</v>
      </c>
      <c r="EK72" s="3">
        <f t="shared" si="22"/>
        <v>0</v>
      </c>
      <c r="EL72" s="5" t="e">
        <f t="shared" si="23"/>
        <v>#VALUE!</v>
      </c>
      <c r="EM72" s="5" t="e">
        <f t="shared" si="24"/>
        <v>#VALUE!</v>
      </c>
    </row>
    <row r="73" spans="1:143" x14ac:dyDescent="0.3">
      <c r="A73" s="1">
        <v>57</v>
      </c>
      <c r="B73" s="23">
        <v>57</v>
      </c>
      <c r="C73" s="311"/>
      <c r="D73" s="311"/>
      <c r="E73" s="324"/>
      <c r="F73" s="331"/>
      <c r="G73" s="326"/>
      <c r="H73" s="448"/>
      <c r="I73" s="327"/>
      <c r="J73" s="324"/>
      <c r="K73" s="328"/>
      <c r="L73" s="329"/>
      <c r="M73" s="24">
        <f t="shared" si="7"/>
        <v>0</v>
      </c>
      <c r="N73" s="25">
        <f t="shared" si="74"/>
        <v>0</v>
      </c>
      <c r="O73" s="25">
        <f t="shared" si="62"/>
        <v>0</v>
      </c>
      <c r="P73" s="25">
        <f t="shared" si="64"/>
        <v>0</v>
      </c>
      <c r="Q73" s="25">
        <f t="shared" si="66"/>
        <v>0</v>
      </c>
      <c r="R73" s="25">
        <f t="shared" si="68"/>
        <v>0</v>
      </c>
      <c r="S73" s="25">
        <f t="shared" si="70"/>
        <v>0</v>
      </c>
      <c r="T73" s="25">
        <f t="shared" si="72"/>
        <v>0</v>
      </c>
      <c r="U73" s="25">
        <f t="shared" si="75"/>
        <v>0</v>
      </c>
      <c r="V73" s="25">
        <f t="shared" si="77"/>
        <v>0</v>
      </c>
      <c r="W73" s="25">
        <f t="shared" si="79"/>
        <v>0</v>
      </c>
      <c r="X73" s="25">
        <f t="shared" si="81"/>
        <v>0</v>
      </c>
      <c r="Y73" s="25">
        <f t="shared" si="83"/>
        <v>0</v>
      </c>
      <c r="Z73" s="25">
        <f t="shared" si="85"/>
        <v>0</v>
      </c>
      <c r="AA73" s="25">
        <f t="shared" si="87"/>
        <v>0</v>
      </c>
      <c r="AB73" s="25">
        <f t="shared" si="89"/>
        <v>0</v>
      </c>
      <c r="AC73" s="25">
        <f t="shared" si="91"/>
        <v>0</v>
      </c>
      <c r="AD73" s="25">
        <f t="shared" si="93"/>
        <v>0</v>
      </c>
      <c r="AE73" s="25">
        <f t="shared" si="95"/>
        <v>0</v>
      </c>
      <c r="AF73" s="25">
        <f t="shared" si="97"/>
        <v>0</v>
      </c>
      <c r="AG73" s="25">
        <f t="shared" si="99"/>
        <v>0</v>
      </c>
      <c r="AH73" s="25">
        <f t="shared" si="101"/>
        <v>0</v>
      </c>
      <c r="AI73" s="25">
        <f t="shared" si="103"/>
        <v>0</v>
      </c>
      <c r="AJ73" s="25">
        <f t="shared" si="105"/>
        <v>0</v>
      </c>
      <c r="AK73" s="25">
        <f t="shared" ref="AK73:AK104" si="107">IF($AK$40=0,0,IF(AND($A73=$A72,$A73&lt;&gt;0,AK72&lt;&gt;0),$M73,0))</f>
        <v>0</v>
      </c>
      <c r="AL73" s="25">
        <f t="shared" si="48"/>
        <v>0</v>
      </c>
      <c r="AM73" s="25">
        <f t="shared" si="49"/>
        <v>0</v>
      </c>
      <c r="AN73" s="25">
        <f t="shared" si="50"/>
        <v>0</v>
      </c>
      <c r="AO73" s="25">
        <f t="shared" si="51"/>
        <v>0</v>
      </c>
      <c r="AP73" s="25">
        <f t="shared" si="52"/>
        <v>0</v>
      </c>
      <c r="AQ73" s="25">
        <f t="shared" si="53"/>
        <v>0</v>
      </c>
      <c r="AR73" s="25">
        <f t="shared" si="54"/>
        <v>0</v>
      </c>
      <c r="AS73" s="25">
        <f t="shared" si="55"/>
        <v>0</v>
      </c>
      <c r="AT73" s="25">
        <f t="shared" si="61"/>
        <v>0</v>
      </c>
      <c r="AU73" s="25">
        <f t="shared" si="63"/>
        <v>0</v>
      </c>
      <c r="AV73" s="25">
        <f t="shared" si="65"/>
        <v>0</v>
      </c>
      <c r="AW73" s="25">
        <f t="shared" si="67"/>
        <v>0</v>
      </c>
      <c r="AX73" s="25">
        <f t="shared" si="69"/>
        <v>0</v>
      </c>
      <c r="AY73" s="25">
        <f t="shared" si="71"/>
        <v>0</v>
      </c>
      <c r="AZ73" s="25">
        <f t="shared" si="73"/>
        <v>0</v>
      </c>
      <c r="BA73" s="25">
        <f t="shared" si="76"/>
        <v>0</v>
      </c>
      <c r="BB73" s="25">
        <f t="shared" si="78"/>
        <v>0</v>
      </c>
      <c r="BC73" s="25">
        <f t="shared" si="80"/>
        <v>0</v>
      </c>
      <c r="BD73" s="25">
        <f t="shared" si="82"/>
        <v>0</v>
      </c>
      <c r="BE73" s="25">
        <f t="shared" si="84"/>
        <v>0</v>
      </c>
      <c r="BF73" s="25">
        <f t="shared" si="86"/>
        <v>0</v>
      </c>
      <c r="BG73" s="25">
        <f t="shared" si="88"/>
        <v>0</v>
      </c>
      <c r="BH73" s="25">
        <f t="shared" si="90"/>
        <v>0</v>
      </c>
      <c r="BI73" s="25">
        <f t="shared" si="92"/>
        <v>0</v>
      </c>
      <c r="BJ73" s="25">
        <f t="shared" si="94"/>
        <v>0</v>
      </c>
      <c r="BK73" s="25">
        <f t="shared" si="96"/>
        <v>0</v>
      </c>
      <c r="BL73" s="25">
        <f t="shared" si="98"/>
        <v>0</v>
      </c>
      <c r="BM73" s="25">
        <f t="shared" si="100"/>
        <v>0</v>
      </c>
      <c r="BN73" s="25">
        <f t="shared" si="102"/>
        <v>0</v>
      </c>
      <c r="BO73" s="25">
        <f t="shared" si="104"/>
        <v>0</v>
      </c>
      <c r="BP73" s="25">
        <f t="shared" si="106"/>
        <v>0</v>
      </c>
      <c r="BQ73" s="25">
        <f t="shared" ref="BQ73:BQ116" si="108">IF($BQ$72=0,0,IF(AND($A73=$A72,$A73&lt;&gt;0,BQ72&lt;&gt;0),$M73,0))</f>
        <v>0</v>
      </c>
      <c r="BR73" s="25">
        <f>IF(BQ73&lt;&gt;0,0,IF(OR($A73=0,$A73=$A72),0,$M73))</f>
        <v>0</v>
      </c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 t="str">
        <v/>
      </c>
      <c r="DK73" s="34" t="str">
        <f t="shared" si="9"/>
        <v/>
      </c>
      <c r="DL73" s="29" t="str">
        <f t="shared" si="56"/>
        <v/>
      </c>
      <c r="DM73" s="35" t="str">
        <f t="shared" si="57"/>
        <v/>
      </c>
      <c r="DN73" s="24">
        <f t="shared" si="10"/>
        <v>20</v>
      </c>
      <c r="DO73" s="24">
        <f t="shared" si="11"/>
        <v>0</v>
      </c>
      <c r="DP73" s="24">
        <f t="shared" si="12"/>
        <v>0</v>
      </c>
      <c r="DQ73" s="24">
        <f t="shared" si="13"/>
        <v>20</v>
      </c>
      <c r="DR73" s="24" t="str">
        <f t="shared" si="14"/>
        <v/>
      </c>
      <c r="DS73" s="26" t="str">
        <f>IF(ISERROR(CEILING(($DQ73*$DL73/60),Puertas!$S$4)),"",CEILING(($DQ73*$DL73/60),Puertas!$S$4))</f>
        <v/>
      </c>
      <c r="DT73" s="26" t="str">
        <f t="shared" si="58"/>
        <v/>
      </c>
      <c r="DU73" s="112" t="str">
        <f t="shared" si="59"/>
        <v/>
      </c>
      <c r="DV73" s="113" t="str">
        <f>IF(D73="","",SUMIF(Puertas!$K$15:$K$114,B73,Puertas!$U$15:$U$114)+SUMIF(Puertas!$O$15:$O$114,B73,Puertas!$W$15:$W$114))</f>
        <v/>
      </c>
      <c r="DW73" s="114" t="str">
        <f t="shared" si="60"/>
        <v/>
      </c>
      <c r="DX73" s="112" t="str">
        <f t="shared" si="15"/>
        <v/>
      </c>
      <c r="DY73" s="113" t="str">
        <f t="shared" si="16"/>
        <v/>
      </c>
      <c r="DZ73" s="115"/>
      <c r="EA73" s="115"/>
      <c r="EB73" s="113" t="e">
        <f>ABS(IF(D73="","",SUMIF(Puertas!$K$15:$K$114,B73,Puertas!$V$15:$V$114)+SUMIF(Puertas!$O$15:$O$114,B73,Puertas!$X$15:$X$114)))</f>
        <v>#VALUE!</v>
      </c>
      <c r="EC73" s="113" t="str">
        <f t="shared" si="17"/>
        <v/>
      </c>
      <c r="ED73" s="114" t="str">
        <f t="shared" si="18"/>
        <v/>
      </c>
      <c r="EE73" s="43"/>
      <c r="EF73" s="6" t="b">
        <v>0</v>
      </c>
      <c r="EG73" s="6" t="b">
        <v>0</v>
      </c>
      <c r="EH73" s="5" t="e">
        <f t="shared" si="19"/>
        <v>#VALUE!</v>
      </c>
      <c r="EI73" s="5" t="e">
        <f t="shared" si="20"/>
        <v>#VALUE!</v>
      </c>
      <c r="EJ73" s="3">
        <f t="shared" si="21"/>
        <v>0</v>
      </c>
      <c r="EK73" s="3">
        <f t="shared" si="22"/>
        <v>0</v>
      </c>
      <c r="EL73" s="5" t="e">
        <f t="shared" si="23"/>
        <v>#VALUE!</v>
      </c>
      <c r="EM73" s="5" t="e">
        <f t="shared" si="24"/>
        <v>#VALUE!</v>
      </c>
    </row>
    <row r="74" spans="1:143" x14ac:dyDescent="0.3">
      <c r="A74" s="1">
        <v>58</v>
      </c>
      <c r="B74" s="15">
        <v>58</v>
      </c>
      <c r="C74" s="309"/>
      <c r="D74" s="309"/>
      <c r="E74" s="312"/>
      <c r="F74" s="332"/>
      <c r="G74" s="314"/>
      <c r="H74" s="446"/>
      <c r="I74" s="315"/>
      <c r="J74" s="312"/>
      <c r="K74" s="316"/>
      <c r="L74" s="317"/>
      <c r="M74" s="16">
        <f t="shared" si="7"/>
        <v>0</v>
      </c>
      <c r="N74" s="17">
        <f t="shared" si="74"/>
        <v>0</v>
      </c>
      <c r="O74" s="17">
        <f t="shared" si="62"/>
        <v>0</v>
      </c>
      <c r="P74" s="17">
        <f t="shared" si="64"/>
        <v>0</v>
      </c>
      <c r="Q74" s="17">
        <f t="shared" si="66"/>
        <v>0</v>
      </c>
      <c r="R74" s="17">
        <f t="shared" si="68"/>
        <v>0</v>
      </c>
      <c r="S74" s="17">
        <f t="shared" si="70"/>
        <v>0</v>
      </c>
      <c r="T74" s="17">
        <f t="shared" si="72"/>
        <v>0</v>
      </c>
      <c r="U74" s="17">
        <f t="shared" si="75"/>
        <v>0</v>
      </c>
      <c r="V74" s="17">
        <f t="shared" si="77"/>
        <v>0</v>
      </c>
      <c r="W74" s="17">
        <f t="shared" si="79"/>
        <v>0</v>
      </c>
      <c r="X74" s="17">
        <f t="shared" si="81"/>
        <v>0</v>
      </c>
      <c r="Y74" s="17">
        <f t="shared" si="83"/>
        <v>0</v>
      </c>
      <c r="Z74" s="17">
        <f t="shared" si="85"/>
        <v>0</v>
      </c>
      <c r="AA74" s="17">
        <f t="shared" si="87"/>
        <v>0</v>
      </c>
      <c r="AB74" s="17">
        <f t="shared" si="89"/>
        <v>0</v>
      </c>
      <c r="AC74" s="17">
        <f t="shared" si="91"/>
        <v>0</v>
      </c>
      <c r="AD74" s="17">
        <f t="shared" si="93"/>
        <v>0</v>
      </c>
      <c r="AE74" s="17">
        <f t="shared" si="95"/>
        <v>0</v>
      </c>
      <c r="AF74" s="17">
        <f t="shared" si="97"/>
        <v>0</v>
      </c>
      <c r="AG74" s="17">
        <f t="shared" si="99"/>
        <v>0</v>
      </c>
      <c r="AH74" s="17">
        <f t="shared" si="101"/>
        <v>0</v>
      </c>
      <c r="AI74" s="17">
        <f t="shared" si="103"/>
        <v>0</v>
      </c>
      <c r="AJ74" s="17">
        <f t="shared" si="105"/>
        <v>0</v>
      </c>
      <c r="AK74" s="17">
        <f t="shared" si="107"/>
        <v>0</v>
      </c>
      <c r="AL74" s="17">
        <f t="shared" ref="AL74:AL105" si="109">IF($AL$41=0,0,IF(AND($A74=$A73,$A74&lt;&gt;0,AL73&lt;&gt;0),$M74,0))</f>
        <v>0</v>
      </c>
      <c r="AM74" s="17">
        <f t="shared" si="49"/>
        <v>0</v>
      </c>
      <c r="AN74" s="17">
        <f t="shared" si="50"/>
        <v>0</v>
      </c>
      <c r="AO74" s="17">
        <f t="shared" si="51"/>
        <v>0</v>
      </c>
      <c r="AP74" s="17">
        <f t="shared" si="52"/>
        <v>0</v>
      </c>
      <c r="AQ74" s="17">
        <f t="shared" si="53"/>
        <v>0</v>
      </c>
      <c r="AR74" s="17">
        <f t="shared" si="54"/>
        <v>0</v>
      </c>
      <c r="AS74" s="17">
        <f t="shared" si="55"/>
        <v>0</v>
      </c>
      <c r="AT74" s="17">
        <f t="shared" si="61"/>
        <v>0</v>
      </c>
      <c r="AU74" s="17">
        <f t="shared" si="63"/>
        <v>0</v>
      </c>
      <c r="AV74" s="17">
        <f t="shared" si="65"/>
        <v>0</v>
      </c>
      <c r="AW74" s="17">
        <f t="shared" si="67"/>
        <v>0</v>
      </c>
      <c r="AX74" s="17">
        <f t="shared" si="69"/>
        <v>0</v>
      </c>
      <c r="AY74" s="17">
        <f t="shared" si="71"/>
        <v>0</v>
      </c>
      <c r="AZ74" s="17">
        <f t="shared" si="73"/>
        <v>0</v>
      </c>
      <c r="BA74" s="17">
        <f t="shared" si="76"/>
        <v>0</v>
      </c>
      <c r="BB74" s="17">
        <f t="shared" si="78"/>
        <v>0</v>
      </c>
      <c r="BC74" s="17">
        <f t="shared" si="80"/>
        <v>0</v>
      </c>
      <c r="BD74" s="17">
        <f t="shared" si="82"/>
        <v>0</v>
      </c>
      <c r="BE74" s="17">
        <f t="shared" si="84"/>
        <v>0</v>
      </c>
      <c r="BF74" s="17">
        <f t="shared" si="86"/>
        <v>0</v>
      </c>
      <c r="BG74" s="17">
        <f t="shared" si="88"/>
        <v>0</v>
      </c>
      <c r="BH74" s="17">
        <f t="shared" si="90"/>
        <v>0</v>
      </c>
      <c r="BI74" s="17">
        <f t="shared" si="92"/>
        <v>0</v>
      </c>
      <c r="BJ74" s="17">
        <f t="shared" si="94"/>
        <v>0</v>
      </c>
      <c r="BK74" s="17">
        <f t="shared" si="96"/>
        <v>0</v>
      </c>
      <c r="BL74" s="17">
        <f t="shared" si="98"/>
        <v>0</v>
      </c>
      <c r="BM74" s="17">
        <f t="shared" si="100"/>
        <v>0</v>
      </c>
      <c r="BN74" s="17">
        <f t="shared" si="102"/>
        <v>0</v>
      </c>
      <c r="BO74" s="17">
        <f t="shared" si="104"/>
        <v>0</v>
      </c>
      <c r="BP74" s="17">
        <f t="shared" si="106"/>
        <v>0</v>
      </c>
      <c r="BQ74" s="17">
        <f t="shared" si="108"/>
        <v>0</v>
      </c>
      <c r="BR74" s="17">
        <f t="shared" ref="BR74:BR116" si="110">IF($BR$73=0,0,IF(AND($A74=$A73,$A74&lt;&gt;0,BR73&lt;&gt;0),$M74,0))</f>
        <v>0</v>
      </c>
      <c r="BS74" s="17">
        <f>IF(BR74&lt;&gt;0,0,IF(OR($A74=0,$A74=$A73),0,$M74))</f>
        <v>0</v>
      </c>
      <c r="BT74" s="17"/>
      <c r="BU74" s="17"/>
      <c r="BV74" s="17"/>
      <c r="BW74" s="17"/>
      <c r="BX74" s="17"/>
      <c r="BY74" s="17"/>
      <c r="BZ74" s="17"/>
      <c r="CA74" s="17"/>
      <c r="CB74" s="17"/>
      <c r="CC74" s="17"/>
      <c r="CD74" s="17"/>
      <c r="CE74" s="17"/>
      <c r="CF74" s="17"/>
      <c r="CG74" s="17"/>
      <c r="CH74" s="17"/>
      <c r="CI74" s="17"/>
      <c r="CJ74" s="17"/>
      <c r="CK74" s="17"/>
      <c r="CL74" s="17"/>
      <c r="CM74" s="17"/>
      <c r="CN74" s="17"/>
      <c r="CO74" s="17"/>
      <c r="CP74" s="17"/>
      <c r="CQ74" s="17"/>
      <c r="CR74" s="17"/>
      <c r="CS74" s="17"/>
      <c r="CT74" s="17"/>
      <c r="CU74" s="17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 t="str">
        <v/>
      </c>
      <c r="DK74" s="30" t="str">
        <f t="shared" si="9"/>
        <v/>
      </c>
      <c r="DL74" s="27" t="str">
        <f t="shared" si="56"/>
        <v/>
      </c>
      <c r="DM74" s="31" t="str">
        <f t="shared" si="57"/>
        <v/>
      </c>
      <c r="DN74" s="16">
        <f t="shared" si="10"/>
        <v>20</v>
      </c>
      <c r="DO74" s="16">
        <f t="shared" si="11"/>
        <v>0</v>
      </c>
      <c r="DP74" s="16">
        <f t="shared" si="12"/>
        <v>0</v>
      </c>
      <c r="DQ74" s="16">
        <f t="shared" si="13"/>
        <v>20</v>
      </c>
      <c r="DR74" s="16" t="str">
        <f t="shared" si="14"/>
        <v/>
      </c>
      <c r="DS74" s="18" t="str">
        <f>IF(ISERROR(CEILING(($DQ74*$DL74/60),Puertas!$S$4)),"",CEILING(($DQ74*$DL74/60),Puertas!$S$4))</f>
        <v/>
      </c>
      <c r="DT74" s="18" t="str">
        <f t="shared" si="58"/>
        <v/>
      </c>
      <c r="DU74" s="104" t="str">
        <f t="shared" si="59"/>
        <v/>
      </c>
      <c r="DV74" s="105" t="str">
        <f>IF(D74="","",SUMIF(Puertas!$K$15:$K$114,B74,Puertas!$U$15:$U$114)+SUMIF(Puertas!$O$15:$O$114,B74,Puertas!$W$15:$W$114))</f>
        <v/>
      </c>
      <c r="DW74" s="106" t="str">
        <f t="shared" si="60"/>
        <v/>
      </c>
      <c r="DX74" s="104" t="str">
        <f t="shared" si="15"/>
        <v/>
      </c>
      <c r="DY74" s="105" t="str">
        <f t="shared" si="16"/>
        <v/>
      </c>
      <c r="DZ74" s="107"/>
      <c r="EA74" s="107"/>
      <c r="EB74" s="105" t="e">
        <f>ABS(IF(D74="","",SUMIF(Puertas!$K$15:$K$114,B74,Puertas!$V$15:$V$114)+SUMIF(Puertas!$O$15:$O$114,B74,Puertas!$X$15:$X$114)))</f>
        <v>#VALUE!</v>
      </c>
      <c r="EC74" s="105" t="str">
        <f t="shared" si="17"/>
        <v/>
      </c>
      <c r="ED74" s="106" t="str">
        <f t="shared" si="18"/>
        <v/>
      </c>
      <c r="EE74" s="41"/>
      <c r="EF74" s="6" t="b">
        <v>0</v>
      </c>
      <c r="EG74" s="6" t="b">
        <v>0</v>
      </c>
      <c r="EH74" s="5" t="e">
        <f t="shared" si="19"/>
        <v>#VALUE!</v>
      </c>
      <c r="EI74" s="5" t="e">
        <f t="shared" si="20"/>
        <v>#VALUE!</v>
      </c>
      <c r="EJ74" s="3">
        <f t="shared" si="21"/>
        <v>0</v>
      </c>
      <c r="EK74" s="3">
        <f t="shared" si="22"/>
        <v>0</v>
      </c>
      <c r="EL74" s="5" t="e">
        <f t="shared" si="23"/>
        <v>#VALUE!</v>
      </c>
      <c r="EM74" s="5" t="e">
        <f t="shared" si="24"/>
        <v>#VALUE!</v>
      </c>
    </row>
    <row r="75" spans="1:143" x14ac:dyDescent="0.3">
      <c r="A75" s="1">
        <v>59</v>
      </c>
      <c r="B75" s="19">
        <v>59</v>
      </c>
      <c r="C75" s="310"/>
      <c r="D75" s="310"/>
      <c r="E75" s="318"/>
      <c r="F75" s="330"/>
      <c r="G75" s="320"/>
      <c r="H75" s="447"/>
      <c r="I75" s="321"/>
      <c r="J75" s="318"/>
      <c r="K75" s="322"/>
      <c r="L75" s="323"/>
      <c r="M75" s="20">
        <f t="shared" si="7"/>
        <v>0</v>
      </c>
      <c r="N75" s="21">
        <f t="shared" si="74"/>
        <v>0</v>
      </c>
      <c r="O75" s="21">
        <f t="shared" si="62"/>
        <v>0</v>
      </c>
      <c r="P75" s="21">
        <f t="shared" si="64"/>
        <v>0</v>
      </c>
      <c r="Q75" s="21">
        <f t="shared" si="66"/>
        <v>0</v>
      </c>
      <c r="R75" s="21">
        <f t="shared" si="68"/>
        <v>0</v>
      </c>
      <c r="S75" s="21">
        <f t="shared" si="70"/>
        <v>0</v>
      </c>
      <c r="T75" s="21">
        <f t="shared" si="72"/>
        <v>0</v>
      </c>
      <c r="U75" s="21">
        <f t="shared" si="75"/>
        <v>0</v>
      </c>
      <c r="V75" s="21">
        <f t="shared" si="77"/>
        <v>0</v>
      </c>
      <c r="W75" s="21">
        <f t="shared" si="79"/>
        <v>0</v>
      </c>
      <c r="X75" s="21">
        <f t="shared" si="81"/>
        <v>0</v>
      </c>
      <c r="Y75" s="21">
        <f t="shared" si="83"/>
        <v>0</v>
      </c>
      <c r="Z75" s="21">
        <f t="shared" si="85"/>
        <v>0</v>
      </c>
      <c r="AA75" s="21">
        <f t="shared" si="87"/>
        <v>0</v>
      </c>
      <c r="AB75" s="21">
        <f t="shared" si="89"/>
        <v>0</v>
      </c>
      <c r="AC75" s="21">
        <f t="shared" si="91"/>
        <v>0</v>
      </c>
      <c r="AD75" s="21">
        <f t="shared" si="93"/>
        <v>0</v>
      </c>
      <c r="AE75" s="21">
        <f t="shared" si="95"/>
        <v>0</v>
      </c>
      <c r="AF75" s="21">
        <f t="shared" si="97"/>
        <v>0</v>
      </c>
      <c r="AG75" s="21">
        <f t="shared" si="99"/>
        <v>0</v>
      </c>
      <c r="AH75" s="21">
        <f t="shared" si="101"/>
        <v>0</v>
      </c>
      <c r="AI75" s="21">
        <f t="shared" si="103"/>
        <v>0</v>
      </c>
      <c r="AJ75" s="21">
        <f t="shared" si="105"/>
        <v>0</v>
      </c>
      <c r="AK75" s="21">
        <f t="shared" si="107"/>
        <v>0</v>
      </c>
      <c r="AL75" s="21">
        <f t="shared" si="109"/>
        <v>0</v>
      </c>
      <c r="AM75" s="21">
        <f t="shared" ref="AM75:AM106" si="111">IF($AM$42=0,0,IF(AND($A75=$A74,$A75&lt;&gt;0,AM74&lt;&gt;0),$M75,0))</f>
        <v>0</v>
      </c>
      <c r="AN75" s="21">
        <f t="shared" si="50"/>
        <v>0</v>
      </c>
      <c r="AO75" s="21">
        <f t="shared" si="51"/>
        <v>0</v>
      </c>
      <c r="AP75" s="21">
        <f t="shared" si="52"/>
        <v>0</v>
      </c>
      <c r="AQ75" s="21">
        <f t="shared" si="53"/>
        <v>0</v>
      </c>
      <c r="AR75" s="21">
        <f t="shared" si="54"/>
        <v>0</v>
      </c>
      <c r="AS75" s="21">
        <f t="shared" si="55"/>
        <v>0</v>
      </c>
      <c r="AT75" s="21">
        <f t="shared" si="61"/>
        <v>0</v>
      </c>
      <c r="AU75" s="21">
        <f t="shared" si="63"/>
        <v>0</v>
      </c>
      <c r="AV75" s="21">
        <f t="shared" si="65"/>
        <v>0</v>
      </c>
      <c r="AW75" s="21">
        <f t="shared" si="67"/>
        <v>0</v>
      </c>
      <c r="AX75" s="21">
        <f t="shared" si="69"/>
        <v>0</v>
      </c>
      <c r="AY75" s="21">
        <f t="shared" si="71"/>
        <v>0</v>
      </c>
      <c r="AZ75" s="21">
        <f t="shared" si="73"/>
        <v>0</v>
      </c>
      <c r="BA75" s="21">
        <f t="shared" si="76"/>
        <v>0</v>
      </c>
      <c r="BB75" s="21">
        <f t="shared" si="78"/>
        <v>0</v>
      </c>
      <c r="BC75" s="21">
        <f t="shared" si="80"/>
        <v>0</v>
      </c>
      <c r="BD75" s="21">
        <f t="shared" si="82"/>
        <v>0</v>
      </c>
      <c r="BE75" s="21">
        <f t="shared" si="84"/>
        <v>0</v>
      </c>
      <c r="BF75" s="21">
        <f t="shared" si="86"/>
        <v>0</v>
      </c>
      <c r="BG75" s="21">
        <f t="shared" si="88"/>
        <v>0</v>
      </c>
      <c r="BH75" s="21">
        <f t="shared" si="90"/>
        <v>0</v>
      </c>
      <c r="BI75" s="21">
        <f t="shared" si="92"/>
        <v>0</v>
      </c>
      <c r="BJ75" s="21">
        <f t="shared" si="94"/>
        <v>0</v>
      </c>
      <c r="BK75" s="21">
        <f t="shared" si="96"/>
        <v>0</v>
      </c>
      <c r="BL75" s="21">
        <f t="shared" si="98"/>
        <v>0</v>
      </c>
      <c r="BM75" s="21">
        <f t="shared" si="100"/>
        <v>0</v>
      </c>
      <c r="BN75" s="21">
        <f t="shared" si="102"/>
        <v>0</v>
      </c>
      <c r="BO75" s="21">
        <f t="shared" si="104"/>
        <v>0</v>
      </c>
      <c r="BP75" s="21">
        <f t="shared" si="106"/>
        <v>0</v>
      </c>
      <c r="BQ75" s="21">
        <f t="shared" si="108"/>
        <v>0</v>
      </c>
      <c r="BR75" s="21">
        <f t="shared" si="110"/>
        <v>0</v>
      </c>
      <c r="BS75" s="21">
        <f t="shared" ref="BS75:BS116" si="112">IF($BS$74=0,0,IF(AND($A75=$A74,$A75&lt;&gt;0,BS74&lt;&gt;0),$M75,0))</f>
        <v>0</v>
      </c>
      <c r="BT75" s="21">
        <f>IF(BS75&lt;&gt;0,0,IF(OR($A75=0,$A75=$A74),0,$M75))</f>
        <v>0</v>
      </c>
      <c r="BU75" s="21"/>
      <c r="BV75" s="21"/>
      <c r="BW75" s="21"/>
      <c r="BX75" s="21"/>
      <c r="BY75" s="21"/>
      <c r="BZ75" s="21"/>
      <c r="CA75" s="21"/>
      <c r="CB75" s="21"/>
      <c r="CC75" s="21"/>
      <c r="CD75" s="21"/>
      <c r="CE75" s="21"/>
      <c r="CF75" s="21"/>
      <c r="CG75" s="21"/>
      <c r="CH75" s="21"/>
      <c r="CI75" s="21"/>
      <c r="CJ75" s="21"/>
      <c r="CK75" s="21"/>
      <c r="CL75" s="21"/>
      <c r="CM75" s="21"/>
      <c r="CN75" s="21"/>
      <c r="CO75" s="21"/>
      <c r="CP75" s="21"/>
      <c r="CQ75" s="21"/>
      <c r="CR75" s="21"/>
      <c r="CS75" s="21"/>
      <c r="CT75" s="21"/>
      <c r="CU75" s="21"/>
      <c r="CV75" s="21"/>
      <c r="CW75" s="21"/>
      <c r="CX75" s="21"/>
      <c r="CY75" s="21"/>
      <c r="CZ75" s="21"/>
      <c r="DA75" s="21"/>
      <c r="DB75" s="21"/>
      <c r="DC75" s="21"/>
      <c r="DD75" s="21"/>
      <c r="DE75" s="21"/>
      <c r="DF75" s="21"/>
      <c r="DG75" s="21"/>
      <c r="DH75" s="21"/>
      <c r="DI75" s="21"/>
      <c r="DJ75" s="21" t="str">
        <v/>
      </c>
      <c r="DK75" s="32" t="str">
        <f t="shared" si="9"/>
        <v/>
      </c>
      <c r="DL75" s="28" t="str">
        <f t="shared" si="56"/>
        <v/>
      </c>
      <c r="DM75" s="33" t="str">
        <f t="shared" si="57"/>
        <v/>
      </c>
      <c r="DN75" s="20">
        <f t="shared" si="10"/>
        <v>20</v>
      </c>
      <c r="DO75" s="20">
        <f t="shared" si="11"/>
        <v>0</v>
      </c>
      <c r="DP75" s="20">
        <f t="shared" si="12"/>
        <v>0</v>
      </c>
      <c r="DQ75" s="20">
        <f t="shared" si="13"/>
        <v>20</v>
      </c>
      <c r="DR75" s="20" t="str">
        <f t="shared" si="14"/>
        <v/>
      </c>
      <c r="DS75" s="22" t="str">
        <f>IF(ISERROR(CEILING(($DQ75*$DL75/60),Puertas!$S$4)),"",CEILING(($DQ75*$DL75/60),Puertas!$S$4))</f>
        <v/>
      </c>
      <c r="DT75" s="22" t="str">
        <f t="shared" si="58"/>
        <v/>
      </c>
      <c r="DU75" s="108" t="str">
        <f t="shared" si="59"/>
        <v/>
      </c>
      <c r="DV75" s="109" t="str">
        <f>IF(D75="","",SUMIF(Puertas!$K$15:$K$114,B75,Puertas!$U$15:$U$114)+SUMIF(Puertas!$O$15:$O$114,B75,Puertas!$W$15:$W$114))</f>
        <v/>
      </c>
      <c r="DW75" s="110" t="str">
        <f t="shared" si="60"/>
        <v/>
      </c>
      <c r="DX75" s="108" t="str">
        <f t="shared" si="15"/>
        <v/>
      </c>
      <c r="DY75" s="109" t="str">
        <f t="shared" si="16"/>
        <v/>
      </c>
      <c r="DZ75" s="111"/>
      <c r="EA75" s="111"/>
      <c r="EB75" s="109" t="e">
        <f>ABS(IF(D75="","",SUMIF(Puertas!$K$15:$K$114,B75,Puertas!$V$15:$V$114)+SUMIF(Puertas!$O$15:$O$114,B75,Puertas!$X$15:$X$114)))</f>
        <v>#VALUE!</v>
      </c>
      <c r="EC75" s="109" t="str">
        <f t="shared" si="17"/>
        <v/>
      </c>
      <c r="ED75" s="110" t="str">
        <f t="shared" si="18"/>
        <v/>
      </c>
      <c r="EE75" s="42"/>
      <c r="EF75" s="6" t="b">
        <v>0</v>
      </c>
      <c r="EG75" s="6" t="b">
        <v>0</v>
      </c>
      <c r="EH75" s="5" t="e">
        <f t="shared" si="19"/>
        <v>#VALUE!</v>
      </c>
      <c r="EI75" s="5" t="e">
        <f t="shared" si="20"/>
        <v>#VALUE!</v>
      </c>
      <c r="EJ75" s="3">
        <f t="shared" si="21"/>
        <v>0</v>
      </c>
      <c r="EK75" s="3">
        <f t="shared" si="22"/>
        <v>0</v>
      </c>
      <c r="EL75" s="5" t="e">
        <f t="shared" si="23"/>
        <v>#VALUE!</v>
      </c>
      <c r="EM75" s="5" t="e">
        <f t="shared" si="24"/>
        <v>#VALUE!</v>
      </c>
    </row>
    <row r="76" spans="1:143" x14ac:dyDescent="0.3">
      <c r="A76" s="1">
        <v>60</v>
      </c>
      <c r="B76" s="23">
        <v>60</v>
      </c>
      <c r="C76" s="311"/>
      <c r="D76" s="311"/>
      <c r="E76" s="324"/>
      <c r="F76" s="331"/>
      <c r="G76" s="326"/>
      <c r="H76" s="448"/>
      <c r="I76" s="327"/>
      <c r="J76" s="324"/>
      <c r="K76" s="328"/>
      <c r="L76" s="329"/>
      <c r="M76" s="24">
        <f t="shared" si="7"/>
        <v>0</v>
      </c>
      <c r="N76" s="25">
        <f t="shared" si="74"/>
        <v>0</v>
      </c>
      <c r="O76" s="25">
        <f t="shared" si="62"/>
        <v>0</v>
      </c>
      <c r="P76" s="25">
        <f t="shared" si="64"/>
        <v>0</v>
      </c>
      <c r="Q76" s="25">
        <f t="shared" si="66"/>
        <v>0</v>
      </c>
      <c r="R76" s="25">
        <f t="shared" si="68"/>
        <v>0</v>
      </c>
      <c r="S76" s="25">
        <f t="shared" si="70"/>
        <v>0</v>
      </c>
      <c r="T76" s="25">
        <f t="shared" si="72"/>
        <v>0</v>
      </c>
      <c r="U76" s="25">
        <f t="shared" si="75"/>
        <v>0</v>
      </c>
      <c r="V76" s="25">
        <f t="shared" si="77"/>
        <v>0</v>
      </c>
      <c r="W76" s="25">
        <f t="shared" si="79"/>
        <v>0</v>
      </c>
      <c r="X76" s="25">
        <f t="shared" si="81"/>
        <v>0</v>
      </c>
      <c r="Y76" s="25">
        <f t="shared" si="83"/>
        <v>0</v>
      </c>
      <c r="Z76" s="25">
        <f t="shared" si="85"/>
        <v>0</v>
      </c>
      <c r="AA76" s="25">
        <f t="shared" si="87"/>
        <v>0</v>
      </c>
      <c r="AB76" s="25">
        <f t="shared" si="89"/>
        <v>0</v>
      </c>
      <c r="AC76" s="25">
        <f t="shared" si="91"/>
        <v>0</v>
      </c>
      <c r="AD76" s="25">
        <f t="shared" si="93"/>
        <v>0</v>
      </c>
      <c r="AE76" s="25">
        <f t="shared" si="95"/>
        <v>0</v>
      </c>
      <c r="AF76" s="25">
        <f t="shared" si="97"/>
        <v>0</v>
      </c>
      <c r="AG76" s="25">
        <f t="shared" si="99"/>
        <v>0</v>
      </c>
      <c r="AH76" s="25">
        <f t="shared" si="101"/>
        <v>0</v>
      </c>
      <c r="AI76" s="25">
        <f t="shared" si="103"/>
        <v>0</v>
      </c>
      <c r="AJ76" s="25">
        <f t="shared" si="105"/>
        <v>0</v>
      </c>
      <c r="AK76" s="25">
        <f t="shared" si="107"/>
        <v>0</v>
      </c>
      <c r="AL76" s="25">
        <f t="shared" si="109"/>
        <v>0</v>
      </c>
      <c r="AM76" s="25">
        <f t="shared" si="111"/>
        <v>0</v>
      </c>
      <c r="AN76" s="25">
        <f t="shared" ref="AN76:AN107" si="113">IF($AN$43=0,0,IF(AND($A76=$A75,$A76&lt;&gt;0,AN75&lt;&gt;0),$M76,0))</f>
        <v>0</v>
      </c>
      <c r="AO76" s="25">
        <f t="shared" si="51"/>
        <v>0</v>
      </c>
      <c r="AP76" s="25">
        <f t="shared" si="52"/>
        <v>0</v>
      </c>
      <c r="AQ76" s="25">
        <f t="shared" si="53"/>
        <v>0</v>
      </c>
      <c r="AR76" s="25">
        <f t="shared" si="54"/>
        <v>0</v>
      </c>
      <c r="AS76" s="25">
        <f t="shared" si="55"/>
        <v>0</v>
      </c>
      <c r="AT76" s="25">
        <f t="shared" si="61"/>
        <v>0</v>
      </c>
      <c r="AU76" s="25">
        <f t="shared" si="63"/>
        <v>0</v>
      </c>
      <c r="AV76" s="25">
        <f t="shared" si="65"/>
        <v>0</v>
      </c>
      <c r="AW76" s="25">
        <f t="shared" si="67"/>
        <v>0</v>
      </c>
      <c r="AX76" s="25">
        <f t="shared" si="69"/>
        <v>0</v>
      </c>
      <c r="AY76" s="25">
        <f t="shared" si="71"/>
        <v>0</v>
      </c>
      <c r="AZ76" s="25">
        <f t="shared" si="73"/>
        <v>0</v>
      </c>
      <c r="BA76" s="25">
        <f t="shared" si="76"/>
        <v>0</v>
      </c>
      <c r="BB76" s="25">
        <f t="shared" si="78"/>
        <v>0</v>
      </c>
      <c r="BC76" s="25">
        <f t="shared" si="80"/>
        <v>0</v>
      </c>
      <c r="BD76" s="25">
        <f t="shared" si="82"/>
        <v>0</v>
      </c>
      <c r="BE76" s="25">
        <f t="shared" si="84"/>
        <v>0</v>
      </c>
      <c r="BF76" s="25">
        <f t="shared" si="86"/>
        <v>0</v>
      </c>
      <c r="BG76" s="25">
        <f t="shared" si="88"/>
        <v>0</v>
      </c>
      <c r="BH76" s="25">
        <f t="shared" si="90"/>
        <v>0</v>
      </c>
      <c r="BI76" s="25">
        <f t="shared" si="92"/>
        <v>0</v>
      </c>
      <c r="BJ76" s="25">
        <f t="shared" si="94"/>
        <v>0</v>
      </c>
      <c r="BK76" s="25">
        <f t="shared" si="96"/>
        <v>0</v>
      </c>
      <c r="BL76" s="25">
        <f t="shared" si="98"/>
        <v>0</v>
      </c>
      <c r="BM76" s="25">
        <f t="shared" si="100"/>
        <v>0</v>
      </c>
      <c r="BN76" s="25">
        <f t="shared" si="102"/>
        <v>0</v>
      </c>
      <c r="BO76" s="25">
        <f t="shared" si="104"/>
        <v>0</v>
      </c>
      <c r="BP76" s="25">
        <f t="shared" si="106"/>
        <v>0</v>
      </c>
      <c r="BQ76" s="25">
        <f t="shared" si="108"/>
        <v>0</v>
      </c>
      <c r="BR76" s="25">
        <f t="shared" si="110"/>
        <v>0</v>
      </c>
      <c r="BS76" s="25">
        <f t="shared" si="112"/>
        <v>0</v>
      </c>
      <c r="BT76" s="25">
        <f t="shared" ref="BT76:BT116" si="114">IF($BT$75=0,0,IF(AND($A76=$A75,$A76&lt;&gt;0,BT75&lt;&gt;0),$M76,0))</f>
        <v>0</v>
      </c>
      <c r="BU76" s="25">
        <f>IF(BT76&lt;&gt;0,0,IF(OR($A76=0,$A76=$A75),0,$M76))</f>
        <v>0</v>
      </c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 t="str">
        <v/>
      </c>
      <c r="DK76" s="34" t="str">
        <f t="shared" si="9"/>
        <v/>
      </c>
      <c r="DL76" s="29" t="str">
        <f t="shared" si="56"/>
        <v/>
      </c>
      <c r="DM76" s="35" t="str">
        <f t="shared" si="57"/>
        <v/>
      </c>
      <c r="DN76" s="24">
        <f t="shared" si="10"/>
        <v>20</v>
      </c>
      <c r="DO76" s="24">
        <f t="shared" si="11"/>
        <v>0</v>
      </c>
      <c r="DP76" s="24">
        <f t="shared" si="12"/>
        <v>0</v>
      </c>
      <c r="DQ76" s="24">
        <f t="shared" si="13"/>
        <v>20</v>
      </c>
      <c r="DR76" s="24" t="str">
        <f t="shared" si="14"/>
        <v/>
      </c>
      <c r="DS76" s="26" t="str">
        <f>IF(ISERROR(CEILING(($DQ76*$DL76/60),Puertas!$S$4)),"",CEILING(($DQ76*$DL76/60),Puertas!$S$4))</f>
        <v/>
      </c>
      <c r="DT76" s="26" t="str">
        <f t="shared" si="58"/>
        <v/>
      </c>
      <c r="DU76" s="112" t="str">
        <f t="shared" si="59"/>
        <v/>
      </c>
      <c r="DV76" s="113" t="str">
        <f>IF(D76="","",SUMIF(Puertas!$K$15:$K$114,B76,Puertas!$U$15:$U$114)+SUMIF(Puertas!$O$15:$O$114,B76,Puertas!$W$15:$W$114))</f>
        <v/>
      </c>
      <c r="DW76" s="114" t="str">
        <f t="shared" si="60"/>
        <v/>
      </c>
      <c r="DX76" s="112" t="str">
        <f t="shared" si="15"/>
        <v/>
      </c>
      <c r="DY76" s="113" t="str">
        <f t="shared" si="16"/>
        <v/>
      </c>
      <c r="DZ76" s="115"/>
      <c r="EA76" s="115"/>
      <c r="EB76" s="113" t="e">
        <f>ABS(IF(D76="","",SUMIF(Puertas!$K$15:$K$114,B76,Puertas!$V$15:$V$114)+SUMIF(Puertas!$O$15:$O$114,B76,Puertas!$X$15:$X$114)))</f>
        <v>#VALUE!</v>
      </c>
      <c r="EC76" s="113" t="str">
        <f t="shared" si="17"/>
        <v/>
      </c>
      <c r="ED76" s="114" t="str">
        <f t="shared" si="18"/>
        <v/>
      </c>
      <c r="EE76" s="43"/>
      <c r="EF76" s="6" t="b">
        <v>0</v>
      </c>
      <c r="EG76" s="6" t="b">
        <v>0</v>
      </c>
      <c r="EH76" s="5" t="e">
        <f t="shared" si="19"/>
        <v>#VALUE!</v>
      </c>
      <c r="EI76" s="5" t="e">
        <f t="shared" si="20"/>
        <v>#VALUE!</v>
      </c>
      <c r="EJ76" s="3">
        <f t="shared" si="21"/>
        <v>0</v>
      </c>
      <c r="EK76" s="3">
        <f t="shared" si="22"/>
        <v>0</v>
      </c>
      <c r="EL76" s="5" t="e">
        <f t="shared" si="23"/>
        <v>#VALUE!</v>
      </c>
      <c r="EM76" s="5" t="e">
        <f t="shared" si="24"/>
        <v>#VALUE!</v>
      </c>
    </row>
    <row r="77" spans="1:143" x14ac:dyDescent="0.3">
      <c r="A77" s="1">
        <v>61</v>
      </c>
      <c r="B77" s="15">
        <v>61</v>
      </c>
      <c r="C77" s="309"/>
      <c r="D77" s="309"/>
      <c r="E77" s="312"/>
      <c r="F77" s="332"/>
      <c r="G77" s="314"/>
      <c r="H77" s="446"/>
      <c r="I77" s="315"/>
      <c r="J77" s="312"/>
      <c r="K77" s="316"/>
      <c r="L77" s="317"/>
      <c r="M77" s="16">
        <f t="shared" si="7"/>
        <v>0</v>
      </c>
      <c r="N77" s="17">
        <f t="shared" si="74"/>
        <v>0</v>
      </c>
      <c r="O77" s="17">
        <f t="shared" si="62"/>
        <v>0</v>
      </c>
      <c r="P77" s="17">
        <f t="shared" si="64"/>
        <v>0</v>
      </c>
      <c r="Q77" s="17">
        <f t="shared" si="66"/>
        <v>0</v>
      </c>
      <c r="R77" s="17">
        <f t="shared" si="68"/>
        <v>0</v>
      </c>
      <c r="S77" s="17">
        <f t="shared" si="70"/>
        <v>0</v>
      </c>
      <c r="T77" s="17">
        <f t="shared" si="72"/>
        <v>0</v>
      </c>
      <c r="U77" s="17">
        <f t="shared" si="75"/>
        <v>0</v>
      </c>
      <c r="V77" s="17">
        <f t="shared" si="77"/>
        <v>0</v>
      </c>
      <c r="W77" s="17">
        <f t="shared" si="79"/>
        <v>0</v>
      </c>
      <c r="X77" s="17">
        <f t="shared" si="81"/>
        <v>0</v>
      </c>
      <c r="Y77" s="17">
        <f t="shared" si="83"/>
        <v>0</v>
      </c>
      <c r="Z77" s="17">
        <f t="shared" si="85"/>
        <v>0</v>
      </c>
      <c r="AA77" s="17">
        <f t="shared" si="87"/>
        <v>0</v>
      </c>
      <c r="AB77" s="17">
        <f t="shared" si="89"/>
        <v>0</v>
      </c>
      <c r="AC77" s="17">
        <f t="shared" si="91"/>
        <v>0</v>
      </c>
      <c r="AD77" s="17">
        <f t="shared" si="93"/>
        <v>0</v>
      </c>
      <c r="AE77" s="17">
        <f t="shared" si="95"/>
        <v>0</v>
      </c>
      <c r="AF77" s="17">
        <f t="shared" si="97"/>
        <v>0</v>
      </c>
      <c r="AG77" s="17">
        <f t="shared" si="99"/>
        <v>0</v>
      </c>
      <c r="AH77" s="17">
        <f t="shared" si="101"/>
        <v>0</v>
      </c>
      <c r="AI77" s="17">
        <f t="shared" si="103"/>
        <v>0</v>
      </c>
      <c r="AJ77" s="17">
        <f t="shared" si="105"/>
        <v>0</v>
      </c>
      <c r="AK77" s="17">
        <f t="shared" si="107"/>
        <v>0</v>
      </c>
      <c r="AL77" s="17">
        <f t="shared" si="109"/>
        <v>0</v>
      </c>
      <c r="AM77" s="17">
        <f t="shared" si="111"/>
        <v>0</v>
      </c>
      <c r="AN77" s="17">
        <f t="shared" si="113"/>
        <v>0</v>
      </c>
      <c r="AO77" s="17">
        <f t="shared" ref="AO77:AO108" si="115">IF($AO$44=0,0,IF(AND($A77=$A76,$A77&lt;&gt;0,AO76&lt;&gt;0),$M77,0))</f>
        <v>0</v>
      </c>
      <c r="AP77" s="17">
        <f t="shared" si="52"/>
        <v>0</v>
      </c>
      <c r="AQ77" s="17">
        <f t="shared" si="53"/>
        <v>0</v>
      </c>
      <c r="AR77" s="17">
        <f t="shared" si="54"/>
        <v>0</v>
      </c>
      <c r="AS77" s="17">
        <f t="shared" si="55"/>
        <v>0</v>
      </c>
      <c r="AT77" s="17">
        <f t="shared" si="61"/>
        <v>0</v>
      </c>
      <c r="AU77" s="17">
        <f t="shared" si="63"/>
        <v>0</v>
      </c>
      <c r="AV77" s="17">
        <f t="shared" si="65"/>
        <v>0</v>
      </c>
      <c r="AW77" s="17">
        <f t="shared" si="67"/>
        <v>0</v>
      </c>
      <c r="AX77" s="17">
        <f t="shared" si="69"/>
        <v>0</v>
      </c>
      <c r="AY77" s="17">
        <f t="shared" si="71"/>
        <v>0</v>
      </c>
      <c r="AZ77" s="17">
        <f t="shared" si="73"/>
        <v>0</v>
      </c>
      <c r="BA77" s="17">
        <f t="shared" si="76"/>
        <v>0</v>
      </c>
      <c r="BB77" s="17">
        <f t="shared" si="78"/>
        <v>0</v>
      </c>
      <c r="BC77" s="17">
        <f t="shared" si="80"/>
        <v>0</v>
      </c>
      <c r="BD77" s="17">
        <f t="shared" si="82"/>
        <v>0</v>
      </c>
      <c r="BE77" s="17">
        <f t="shared" si="84"/>
        <v>0</v>
      </c>
      <c r="BF77" s="17">
        <f t="shared" si="86"/>
        <v>0</v>
      </c>
      <c r="BG77" s="17">
        <f t="shared" si="88"/>
        <v>0</v>
      </c>
      <c r="BH77" s="17">
        <f t="shared" si="90"/>
        <v>0</v>
      </c>
      <c r="BI77" s="17">
        <f t="shared" si="92"/>
        <v>0</v>
      </c>
      <c r="BJ77" s="17">
        <f t="shared" si="94"/>
        <v>0</v>
      </c>
      <c r="BK77" s="17">
        <f t="shared" si="96"/>
        <v>0</v>
      </c>
      <c r="BL77" s="17">
        <f t="shared" si="98"/>
        <v>0</v>
      </c>
      <c r="BM77" s="17">
        <f t="shared" si="100"/>
        <v>0</v>
      </c>
      <c r="BN77" s="17">
        <f t="shared" si="102"/>
        <v>0</v>
      </c>
      <c r="BO77" s="17">
        <f t="shared" si="104"/>
        <v>0</v>
      </c>
      <c r="BP77" s="17">
        <f t="shared" si="106"/>
        <v>0</v>
      </c>
      <c r="BQ77" s="17">
        <f t="shared" si="108"/>
        <v>0</v>
      </c>
      <c r="BR77" s="17">
        <f t="shared" si="110"/>
        <v>0</v>
      </c>
      <c r="BS77" s="17">
        <f t="shared" si="112"/>
        <v>0</v>
      </c>
      <c r="BT77" s="17">
        <f t="shared" si="114"/>
        <v>0</v>
      </c>
      <c r="BU77" s="17">
        <f t="shared" ref="BU77:BU116" si="116">IF($BU$76=0,0,IF(AND($A77=$A76,$A77&lt;&gt;0,BU76&lt;&gt;0),$M77,0))</f>
        <v>0</v>
      </c>
      <c r="BV77" s="17">
        <f>IF(BU77&lt;&gt;0,0,IF(OR($A77=0,$A77=$A76),0,$M77))</f>
        <v>0</v>
      </c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  <c r="CY77" s="17"/>
      <c r="CZ77" s="17"/>
      <c r="DA77" s="17"/>
      <c r="DB77" s="17"/>
      <c r="DC77" s="17"/>
      <c r="DD77" s="17"/>
      <c r="DE77" s="17"/>
      <c r="DF77" s="17"/>
      <c r="DG77" s="17"/>
      <c r="DH77" s="17"/>
      <c r="DI77" s="17"/>
      <c r="DJ77" s="17" t="str">
        <v/>
      </c>
      <c r="DK77" s="30" t="str">
        <f t="shared" si="9"/>
        <v/>
      </c>
      <c r="DL77" s="27" t="str">
        <f t="shared" si="56"/>
        <v/>
      </c>
      <c r="DM77" s="31" t="str">
        <f t="shared" si="57"/>
        <v/>
      </c>
      <c r="DN77" s="16">
        <f t="shared" si="10"/>
        <v>20</v>
      </c>
      <c r="DO77" s="16">
        <f t="shared" si="11"/>
        <v>0</v>
      </c>
      <c r="DP77" s="16">
        <f t="shared" si="12"/>
        <v>0</v>
      </c>
      <c r="DQ77" s="16">
        <f t="shared" si="13"/>
        <v>20</v>
      </c>
      <c r="DR77" s="16" t="str">
        <f t="shared" si="14"/>
        <v/>
      </c>
      <c r="DS77" s="18" t="str">
        <f>IF(ISERROR(CEILING(($DQ77*$DL77/60),Puertas!$S$4)),"",CEILING(($DQ77*$DL77/60),Puertas!$S$4))</f>
        <v/>
      </c>
      <c r="DT77" s="18" t="str">
        <f t="shared" si="58"/>
        <v/>
      </c>
      <c r="DU77" s="104" t="str">
        <f t="shared" si="59"/>
        <v/>
      </c>
      <c r="DV77" s="105" t="str">
        <f>IF(D77="","",SUMIF(Puertas!$K$15:$K$114,B77,Puertas!$U$15:$U$114)+SUMIF(Puertas!$O$15:$O$114,B77,Puertas!$W$15:$W$114))</f>
        <v/>
      </c>
      <c r="DW77" s="106" t="str">
        <f t="shared" si="60"/>
        <v/>
      </c>
      <c r="DX77" s="104" t="str">
        <f t="shared" si="15"/>
        <v/>
      </c>
      <c r="DY77" s="105" t="str">
        <f t="shared" si="16"/>
        <v/>
      </c>
      <c r="DZ77" s="107"/>
      <c r="EA77" s="107"/>
      <c r="EB77" s="105" t="e">
        <f>ABS(IF(D77="","",SUMIF(Puertas!$K$15:$K$114,B77,Puertas!$V$15:$V$114)+SUMIF(Puertas!$O$15:$O$114,B77,Puertas!$X$15:$X$114)))</f>
        <v>#VALUE!</v>
      </c>
      <c r="EC77" s="105" t="str">
        <f t="shared" si="17"/>
        <v/>
      </c>
      <c r="ED77" s="106" t="str">
        <f t="shared" si="18"/>
        <v/>
      </c>
      <c r="EE77" s="41"/>
      <c r="EF77" s="6" t="b">
        <v>0</v>
      </c>
      <c r="EG77" s="6" t="b">
        <v>0</v>
      </c>
      <c r="EH77" s="5" t="e">
        <f t="shared" si="19"/>
        <v>#VALUE!</v>
      </c>
      <c r="EI77" s="5" t="e">
        <f t="shared" si="20"/>
        <v>#VALUE!</v>
      </c>
      <c r="EJ77" s="3">
        <f t="shared" si="21"/>
        <v>0</v>
      </c>
      <c r="EK77" s="3">
        <f t="shared" si="22"/>
        <v>0</v>
      </c>
      <c r="EL77" s="5" t="e">
        <f t="shared" si="23"/>
        <v>#VALUE!</v>
      </c>
      <c r="EM77" s="5" t="e">
        <f t="shared" si="24"/>
        <v>#VALUE!</v>
      </c>
    </row>
    <row r="78" spans="1:143" x14ac:dyDescent="0.3">
      <c r="A78" s="1">
        <v>62</v>
      </c>
      <c r="B78" s="19">
        <v>62</v>
      </c>
      <c r="C78" s="310"/>
      <c r="D78" s="310"/>
      <c r="E78" s="318"/>
      <c r="F78" s="330"/>
      <c r="G78" s="320"/>
      <c r="H78" s="447"/>
      <c r="I78" s="321"/>
      <c r="J78" s="318"/>
      <c r="K78" s="322"/>
      <c r="L78" s="323"/>
      <c r="M78" s="20">
        <f t="shared" si="7"/>
        <v>0</v>
      </c>
      <c r="N78" s="21">
        <f t="shared" si="74"/>
        <v>0</v>
      </c>
      <c r="O78" s="21">
        <f t="shared" si="62"/>
        <v>0</v>
      </c>
      <c r="P78" s="21">
        <f t="shared" si="64"/>
        <v>0</v>
      </c>
      <c r="Q78" s="21">
        <f t="shared" si="66"/>
        <v>0</v>
      </c>
      <c r="R78" s="21">
        <f t="shared" si="68"/>
        <v>0</v>
      </c>
      <c r="S78" s="21">
        <f t="shared" si="70"/>
        <v>0</v>
      </c>
      <c r="T78" s="21">
        <f t="shared" si="72"/>
        <v>0</v>
      </c>
      <c r="U78" s="21">
        <f t="shared" si="75"/>
        <v>0</v>
      </c>
      <c r="V78" s="21">
        <f t="shared" si="77"/>
        <v>0</v>
      </c>
      <c r="W78" s="21">
        <f t="shared" si="79"/>
        <v>0</v>
      </c>
      <c r="X78" s="21">
        <f t="shared" si="81"/>
        <v>0</v>
      </c>
      <c r="Y78" s="21">
        <f t="shared" si="83"/>
        <v>0</v>
      </c>
      <c r="Z78" s="21">
        <f t="shared" si="85"/>
        <v>0</v>
      </c>
      <c r="AA78" s="21">
        <f t="shared" si="87"/>
        <v>0</v>
      </c>
      <c r="AB78" s="21">
        <f t="shared" si="89"/>
        <v>0</v>
      </c>
      <c r="AC78" s="21">
        <f t="shared" si="91"/>
        <v>0</v>
      </c>
      <c r="AD78" s="21">
        <f t="shared" si="93"/>
        <v>0</v>
      </c>
      <c r="AE78" s="21">
        <f t="shared" si="95"/>
        <v>0</v>
      </c>
      <c r="AF78" s="21">
        <f t="shared" si="97"/>
        <v>0</v>
      </c>
      <c r="AG78" s="21">
        <f t="shared" si="99"/>
        <v>0</v>
      </c>
      <c r="AH78" s="21">
        <f t="shared" si="101"/>
        <v>0</v>
      </c>
      <c r="AI78" s="21">
        <f t="shared" si="103"/>
        <v>0</v>
      </c>
      <c r="AJ78" s="21">
        <f t="shared" si="105"/>
        <v>0</v>
      </c>
      <c r="AK78" s="21">
        <f t="shared" si="107"/>
        <v>0</v>
      </c>
      <c r="AL78" s="21">
        <f t="shared" si="109"/>
        <v>0</v>
      </c>
      <c r="AM78" s="21">
        <f t="shared" si="111"/>
        <v>0</v>
      </c>
      <c r="AN78" s="21">
        <f t="shared" si="113"/>
        <v>0</v>
      </c>
      <c r="AO78" s="21">
        <f t="shared" si="115"/>
        <v>0</v>
      </c>
      <c r="AP78" s="21">
        <f t="shared" ref="AP78:AP109" si="117">IF($AP$45=0,0,IF(AND($A78=$A77,$A78&lt;&gt;0,AP77&lt;&gt;0),$M78,0))</f>
        <v>0</v>
      </c>
      <c r="AQ78" s="21">
        <f t="shared" si="53"/>
        <v>0</v>
      </c>
      <c r="AR78" s="21">
        <f t="shared" si="54"/>
        <v>0</v>
      </c>
      <c r="AS78" s="21">
        <f t="shared" si="55"/>
        <v>0</v>
      </c>
      <c r="AT78" s="21">
        <f t="shared" si="61"/>
        <v>0</v>
      </c>
      <c r="AU78" s="21">
        <f t="shared" si="63"/>
        <v>0</v>
      </c>
      <c r="AV78" s="21">
        <f t="shared" si="65"/>
        <v>0</v>
      </c>
      <c r="AW78" s="21">
        <f t="shared" si="67"/>
        <v>0</v>
      </c>
      <c r="AX78" s="21">
        <f t="shared" si="69"/>
        <v>0</v>
      </c>
      <c r="AY78" s="21">
        <f t="shared" si="71"/>
        <v>0</v>
      </c>
      <c r="AZ78" s="21">
        <f t="shared" si="73"/>
        <v>0</v>
      </c>
      <c r="BA78" s="21">
        <f t="shared" si="76"/>
        <v>0</v>
      </c>
      <c r="BB78" s="21">
        <f t="shared" si="78"/>
        <v>0</v>
      </c>
      <c r="BC78" s="21">
        <f t="shared" si="80"/>
        <v>0</v>
      </c>
      <c r="BD78" s="21">
        <f t="shared" si="82"/>
        <v>0</v>
      </c>
      <c r="BE78" s="21">
        <f t="shared" si="84"/>
        <v>0</v>
      </c>
      <c r="BF78" s="21">
        <f t="shared" si="86"/>
        <v>0</v>
      </c>
      <c r="BG78" s="21">
        <f t="shared" si="88"/>
        <v>0</v>
      </c>
      <c r="BH78" s="21">
        <f t="shared" si="90"/>
        <v>0</v>
      </c>
      <c r="BI78" s="21">
        <f t="shared" si="92"/>
        <v>0</v>
      </c>
      <c r="BJ78" s="21">
        <f t="shared" si="94"/>
        <v>0</v>
      </c>
      <c r="BK78" s="21">
        <f t="shared" si="96"/>
        <v>0</v>
      </c>
      <c r="BL78" s="21">
        <f t="shared" si="98"/>
        <v>0</v>
      </c>
      <c r="BM78" s="21">
        <f t="shared" si="100"/>
        <v>0</v>
      </c>
      <c r="BN78" s="21">
        <f t="shared" si="102"/>
        <v>0</v>
      </c>
      <c r="BO78" s="21">
        <f t="shared" si="104"/>
        <v>0</v>
      </c>
      <c r="BP78" s="21">
        <f t="shared" si="106"/>
        <v>0</v>
      </c>
      <c r="BQ78" s="21">
        <f t="shared" si="108"/>
        <v>0</v>
      </c>
      <c r="BR78" s="21">
        <f t="shared" si="110"/>
        <v>0</v>
      </c>
      <c r="BS78" s="21">
        <f t="shared" si="112"/>
        <v>0</v>
      </c>
      <c r="BT78" s="21">
        <f t="shared" si="114"/>
        <v>0</v>
      </c>
      <c r="BU78" s="21">
        <f t="shared" si="116"/>
        <v>0</v>
      </c>
      <c r="BV78" s="21">
        <f t="shared" ref="BV78:BV116" si="118">IF($BV$77=0,0,IF(AND($A78=$A77,$A78&lt;&gt;0,BV77&lt;&gt;0),$M78,0))</f>
        <v>0</v>
      </c>
      <c r="BW78" s="21">
        <f>IF(BV78&lt;&gt;0,0,IF(OR($A78=0,$A78=$A77),0,$M78))</f>
        <v>0</v>
      </c>
      <c r="BX78" s="21"/>
      <c r="BY78" s="21"/>
      <c r="BZ78" s="21"/>
      <c r="CA78" s="21"/>
      <c r="CB78" s="21"/>
      <c r="CC78" s="21"/>
      <c r="CD78" s="21"/>
      <c r="CE78" s="21"/>
      <c r="CF78" s="21"/>
      <c r="CG78" s="21"/>
      <c r="CH78" s="21"/>
      <c r="CI78" s="21"/>
      <c r="CJ78" s="21"/>
      <c r="CK78" s="21"/>
      <c r="CL78" s="21"/>
      <c r="CM78" s="21"/>
      <c r="CN78" s="21"/>
      <c r="CO78" s="21"/>
      <c r="CP78" s="21"/>
      <c r="CQ78" s="21"/>
      <c r="CR78" s="21"/>
      <c r="CS78" s="21"/>
      <c r="CT78" s="21"/>
      <c r="CU78" s="21"/>
      <c r="CV78" s="21"/>
      <c r="CW78" s="21"/>
      <c r="CX78" s="21"/>
      <c r="CY78" s="21"/>
      <c r="CZ78" s="21"/>
      <c r="DA78" s="21"/>
      <c r="DB78" s="21"/>
      <c r="DC78" s="21"/>
      <c r="DD78" s="21"/>
      <c r="DE78" s="21"/>
      <c r="DF78" s="21"/>
      <c r="DG78" s="21"/>
      <c r="DH78" s="21"/>
      <c r="DI78" s="21"/>
      <c r="DJ78" s="21" t="str">
        <v/>
      </c>
      <c r="DK78" s="32" t="str">
        <f t="shared" si="9"/>
        <v/>
      </c>
      <c r="DL78" s="28" t="str">
        <f t="shared" si="56"/>
        <v/>
      </c>
      <c r="DM78" s="33" t="str">
        <f t="shared" si="57"/>
        <v/>
      </c>
      <c r="DN78" s="20">
        <f t="shared" si="10"/>
        <v>20</v>
      </c>
      <c r="DO78" s="20">
        <f t="shared" si="11"/>
        <v>0</v>
      </c>
      <c r="DP78" s="20">
        <f t="shared" si="12"/>
        <v>0</v>
      </c>
      <c r="DQ78" s="20">
        <f t="shared" si="13"/>
        <v>20</v>
      </c>
      <c r="DR78" s="20" t="str">
        <f t="shared" si="14"/>
        <v/>
      </c>
      <c r="DS78" s="22" t="str">
        <f>IF(ISERROR(CEILING(($DQ78*$DL78/60),Puertas!$S$4)),"",CEILING(($DQ78*$DL78/60),Puertas!$S$4))</f>
        <v/>
      </c>
      <c r="DT78" s="22" t="str">
        <f t="shared" si="58"/>
        <v/>
      </c>
      <c r="DU78" s="108" t="str">
        <f t="shared" si="59"/>
        <v/>
      </c>
      <c r="DV78" s="109" t="str">
        <f>IF(D78="","",SUMIF(Puertas!$K$15:$K$114,B78,Puertas!$U$15:$U$114)+SUMIF(Puertas!$O$15:$O$114,B78,Puertas!$W$15:$W$114))</f>
        <v/>
      </c>
      <c r="DW78" s="110" t="str">
        <f t="shared" si="60"/>
        <v/>
      </c>
      <c r="DX78" s="108" t="str">
        <f t="shared" si="15"/>
        <v/>
      </c>
      <c r="DY78" s="109" t="str">
        <f t="shared" si="16"/>
        <v/>
      </c>
      <c r="DZ78" s="111"/>
      <c r="EA78" s="111"/>
      <c r="EB78" s="109" t="e">
        <f>ABS(IF(D78="","",SUMIF(Puertas!$K$15:$K$114,B78,Puertas!$V$15:$V$114)+SUMIF(Puertas!$O$15:$O$114,B78,Puertas!$X$15:$X$114)))</f>
        <v>#VALUE!</v>
      </c>
      <c r="EC78" s="109" t="str">
        <f t="shared" si="17"/>
        <v/>
      </c>
      <c r="ED78" s="110" t="str">
        <f t="shared" si="18"/>
        <v/>
      </c>
      <c r="EE78" s="42"/>
      <c r="EF78" s="6" t="b">
        <v>0</v>
      </c>
      <c r="EG78" s="6" t="b">
        <v>0</v>
      </c>
      <c r="EH78" s="5" t="e">
        <f t="shared" si="19"/>
        <v>#VALUE!</v>
      </c>
      <c r="EI78" s="5" t="e">
        <f t="shared" si="20"/>
        <v>#VALUE!</v>
      </c>
      <c r="EJ78" s="3">
        <f t="shared" si="21"/>
        <v>0</v>
      </c>
      <c r="EK78" s="3">
        <f t="shared" si="22"/>
        <v>0</v>
      </c>
      <c r="EL78" s="5" t="e">
        <f t="shared" si="23"/>
        <v>#VALUE!</v>
      </c>
      <c r="EM78" s="5" t="e">
        <f t="shared" si="24"/>
        <v>#VALUE!</v>
      </c>
    </row>
    <row r="79" spans="1:143" x14ac:dyDescent="0.3">
      <c r="A79" s="1">
        <v>63</v>
      </c>
      <c r="B79" s="23">
        <v>63</v>
      </c>
      <c r="C79" s="311"/>
      <c r="D79" s="311"/>
      <c r="E79" s="324"/>
      <c r="F79" s="331"/>
      <c r="G79" s="326"/>
      <c r="H79" s="448"/>
      <c r="I79" s="327"/>
      <c r="J79" s="324"/>
      <c r="K79" s="328"/>
      <c r="L79" s="329"/>
      <c r="M79" s="24">
        <f t="shared" si="7"/>
        <v>0</v>
      </c>
      <c r="N79" s="25">
        <f t="shared" si="74"/>
        <v>0</v>
      </c>
      <c r="O79" s="25">
        <f t="shared" si="62"/>
        <v>0</v>
      </c>
      <c r="P79" s="25">
        <f t="shared" si="64"/>
        <v>0</v>
      </c>
      <c r="Q79" s="25">
        <f t="shared" si="66"/>
        <v>0</v>
      </c>
      <c r="R79" s="25">
        <f t="shared" si="68"/>
        <v>0</v>
      </c>
      <c r="S79" s="25">
        <f t="shared" si="70"/>
        <v>0</v>
      </c>
      <c r="T79" s="25">
        <f t="shared" si="72"/>
        <v>0</v>
      </c>
      <c r="U79" s="25">
        <f t="shared" si="75"/>
        <v>0</v>
      </c>
      <c r="V79" s="25">
        <f t="shared" si="77"/>
        <v>0</v>
      </c>
      <c r="W79" s="25">
        <f t="shared" si="79"/>
        <v>0</v>
      </c>
      <c r="X79" s="25">
        <f t="shared" si="81"/>
        <v>0</v>
      </c>
      <c r="Y79" s="25">
        <f t="shared" si="83"/>
        <v>0</v>
      </c>
      <c r="Z79" s="25">
        <f t="shared" si="85"/>
        <v>0</v>
      </c>
      <c r="AA79" s="25">
        <f t="shared" si="87"/>
        <v>0</v>
      </c>
      <c r="AB79" s="25">
        <f t="shared" si="89"/>
        <v>0</v>
      </c>
      <c r="AC79" s="25">
        <f t="shared" si="91"/>
        <v>0</v>
      </c>
      <c r="AD79" s="25">
        <f t="shared" si="93"/>
        <v>0</v>
      </c>
      <c r="AE79" s="25">
        <f t="shared" si="95"/>
        <v>0</v>
      </c>
      <c r="AF79" s="25">
        <f t="shared" si="97"/>
        <v>0</v>
      </c>
      <c r="AG79" s="25">
        <f t="shared" si="99"/>
        <v>0</v>
      </c>
      <c r="AH79" s="25">
        <f t="shared" si="101"/>
        <v>0</v>
      </c>
      <c r="AI79" s="25">
        <f t="shared" si="103"/>
        <v>0</v>
      </c>
      <c r="AJ79" s="25">
        <f t="shared" si="105"/>
        <v>0</v>
      </c>
      <c r="AK79" s="25">
        <f t="shared" si="107"/>
        <v>0</v>
      </c>
      <c r="AL79" s="25">
        <f t="shared" si="109"/>
        <v>0</v>
      </c>
      <c r="AM79" s="25">
        <f t="shared" si="111"/>
        <v>0</v>
      </c>
      <c r="AN79" s="25">
        <f t="shared" si="113"/>
        <v>0</v>
      </c>
      <c r="AO79" s="25">
        <f t="shared" si="115"/>
        <v>0</v>
      </c>
      <c r="AP79" s="25">
        <f t="shared" si="117"/>
        <v>0</v>
      </c>
      <c r="AQ79" s="25">
        <f t="shared" ref="AQ79:AQ110" si="119">IF($AQ$46=0,0,IF(AND($A79=$A78,$A79&lt;&gt;0,AQ78&lt;&gt;0),$M79,0))</f>
        <v>0</v>
      </c>
      <c r="AR79" s="25">
        <f t="shared" si="54"/>
        <v>0</v>
      </c>
      <c r="AS79" s="25">
        <f t="shared" si="55"/>
        <v>0</v>
      </c>
      <c r="AT79" s="25">
        <f t="shared" si="61"/>
        <v>0</v>
      </c>
      <c r="AU79" s="25">
        <f t="shared" si="63"/>
        <v>0</v>
      </c>
      <c r="AV79" s="25">
        <f t="shared" si="65"/>
        <v>0</v>
      </c>
      <c r="AW79" s="25">
        <f t="shared" si="67"/>
        <v>0</v>
      </c>
      <c r="AX79" s="25">
        <f t="shared" si="69"/>
        <v>0</v>
      </c>
      <c r="AY79" s="25">
        <f t="shared" si="71"/>
        <v>0</v>
      </c>
      <c r="AZ79" s="25">
        <f t="shared" si="73"/>
        <v>0</v>
      </c>
      <c r="BA79" s="25">
        <f t="shared" si="76"/>
        <v>0</v>
      </c>
      <c r="BB79" s="25">
        <f t="shared" si="78"/>
        <v>0</v>
      </c>
      <c r="BC79" s="25">
        <f t="shared" si="80"/>
        <v>0</v>
      </c>
      <c r="BD79" s="25">
        <f t="shared" si="82"/>
        <v>0</v>
      </c>
      <c r="BE79" s="25">
        <f t="shared" si="84"/>
        <v>0</v>
      </c>
      <c r="BF79" s="25">
        <f t="shared" si="86"/>
        <v>0</v>
      </c>
      <c r="BG79" s="25">
        <f t="shared" si="88"/>
        <v>0</v>
      </c>
      <c r="BH79" s="25">
        <f t="shared" si="90"/>
        <v>0</v>
      </c>
      <c r="BI79" s="25">
        <f t="shared" si="92"/>
        <v>0</v>
      </c>
      <c r="BJ79" s="25">
        <f t="shared" si="94"/>
        <v>0</v>
      </c>
      <c r="BK79" s="25">
        <f t="shared" si="96"/>
        <v>0</v>
      </c>
      <c r="BL79" s="25">
        <f t="shared" si="98"/>
        <v>0</v>
      </c>
      <c r="BM79" s="25">
        <f t="shared" si="100"/>
        <v>0</v>
      </c>
      <c r="BN79" s="25">
        <f t="shared" si="102"/>
        <v>0</v>
      </c>
      <c r="BO79" s="25">
        <f t="shared" si="104"/>
        <v>0</v>
      </c>
      <c r="BP79" s="25">
        <f t="shared" si="106"/>
        <v>0</v>
      </c>
      <c r="BQ79" s="25">
        <f t="shared" si="108"/>
        <v>0</v>
      </c>
      <c r="BR79" s="25">
        <f t="shared" si="110"/>
        <v>0</v>
      </c>
      <c r="BS79" s="25">
        <f t="shared" si="112"/>
        <v>0</v>
      </c>
      <c r="BT79" s="25">
        <f t="shared" si="114"/>
        <v>0</v>
      </c>
      <c r="BU79" s="25">
        <f t="shared" si="116"/>
        <v>0</v>
      </c>
      <c r="BV79" s="25">
        <f t="shared" si="118"/>
        <v>0</v>
      </c>
      <c r="BW79" s="25">
        <f t="shared" ref="BW79:BW116" si="120">IF($BW$78=0,0,IF(AND($A79=$A78,$A79&lt;&gt;0,BW78&lt;&gt;0),$M79,0))</f>
        <v>0</v>
      </c>
      <c r="BX79" s="25">
        <f>IF(BW79&lt;&gt;0,0,IF(OR($A79=0,$A79=$A78),0,$M79))</f>
        <v>0</v>
      </c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 t="str">
        <v/>
      </c>
      <c r="DK79" s="34" t="str">
        <f t="shared" si="9"/>
        <v/>
      </c>
      <c r="DL79" s="29" t="str">
        <f t="shared" si="56"/>
        <v/>
      </c>
      <c r="DM79" s="35" t="str">
        <f t="shared" si="57"/>
        <v/>
      </c>
      <c r="DN79" s="24">
        <f t="shared" si="10"/>
        <v>20</v>
      </c>
      <c r="DO79" s="24">
        <f t="shared" si="11"/>
        <v>0</v>
      </c>
      <c r="DP79" s="24">
        <f t="shared" si="12"/>
        <v>0</v>
      </c>
      <c r="DQ79" s="24">
        <f t="shared" si="13"/>
        <v>20</v>
      </c>
      <c r="DR79" s="24" t="str">
        <f t="shared" si="14"/>
        <v/>
      </c>
      <c r="DS79" s="26" t="str">
        <f>IF(ISERROR(CEILING(($DQ79*$DL79/60),Puertas!$S$4)),"",CEILING(($DQ79*$DL79/60),Puertas!$S$4))</f>
        <v/>
      </c>
      <c r="DT79" s="26" t="str">
        <f t="shared" si="58"/>
        <v/>
      </c>
      <c r="DU79" s="112" t="str">
        <f t="shared" si="59"/>
        <v/>
      </c>
      <c r="DV79" s="113" t="str">
        <f>IF(D79="","",SUMIF(Puertas!$K$15:$K$114,B79,Puertas!$U$15:$U$114)+SUMIF(Puertas!$O$15:$O$114,B79,Puertas!$W$15:$W$114))</f>
        <v/>
      </c>
      <c r="DW79" s="114" t="str">
        <f t="shared" si="60"/>
        <v/>
      </c>
      <c r="DX79" s="112" t="str">
        <f t="shared" si="15"/>
        <v/>
      </c>
      <c r="DY79" s="113" t="str">
        <f t="shared" si="16"/>
        <v/>
      </c>
      <c r="DZ79" s="115"/>
      <c r="EA79" s="115"/>
      <c r="EB79" s="113" t="e">
        <f>ABS(IF(D79="","",SUMIF(Puertas!$K$15:$K$114,B79,Puertas!$V$15:$V$114)+SUMIF(Puertas!$O$15:$O$114,B79,Puertas!$X$15:$X$114)))</f>
        <v>#VALUE!</v>
      </c>
      <c r="EC79" s="113" t="str">
        <f t="shared" si="17"/>
        <v/>
      </c>
      <c r="ED79" s="114" t="str">
        <f t="shared" si="18"/>
        <v/>
      </c>
      <c r="EE79" s="43"/>
      <c r="EF79" s="6" t="b">
        <v>0</v>
      </c>
      <c r="EG79" s="6" t="b">
        <v>0</v>
      </c>
      <c r="EH79" s="5" t="e">
        <f t="shared" si="19"/>
        <v>#VALUE!</v>
      </c>
      <c r="EI79" s="5" t="e">
        <f t="shared" si="20"/>
        <v>#VALUE!</v>
      </c>
      <c r="EJ79" s="3">
        <f t="shared" si="21"/>
        <v>0</v>
      </c>
      <c r="EK79" s="3">
        <f t="shared" si="22"/>
        <v>0</v>
      </c>
      <c r="EL79" s="5" t="e">
        <f t="shared" si="23"/>
        <v>#VALUE!</v>
      </c>
      <c r="EM79" s="5" t="e">
        <f t="shared" si="24"/>
        <v>#VALUE!</v>
      </c>
    </row>
    <row r="80" spans="1:143" x14ac:dyDescent="0.3">
      <c r="A80" s="1">
        <v>64</v>
      </c>
      <c r="B80" s="15">
        <v>64</v>
      </c>
      <c r="C80" s="309"/>
      <c r="D80" s="309"/>
      <c r="E80" s="312"/>
      <c r="F80" s="332"/>
      <c r="G80" s="314"/>
      <c r="H80" s="446"/>
      <c r="I80" s="315"/>
      <c r="J80" s="312"/>
      <c r="K80" s="316"/>
      <c r="L80" s="317"/>
      <c r="M80" s="16">
        <f t="shared" si="7"/>
        <v>0</v>
      </c>
      <c r="N80" s="17">
        <f t="shared" si="74"/>
        <v>0</v>
      </c>
      <c r="O80" s="17">
        <f t="shared" si="62"/>
        <v>0</v>
      </c>
      <c r="P80" s="17">
        <f t="shared" si="64"/>
        <v>0</v>
      </c>
      <c r="Q80" s="17">
        <f t="shared" si="66"/>
        <v>0</v>
      </c>
      <c r="R80" s="17">
        <f t="shared" si="68"/>
        <v>0</v>
      </c>
      <c r="S80" s="17">
        <f t="shared" si="70"/>
        <v>0</v>
      </c>
      <c r="T80" s="17">
        <f t="shared" si="72"/>
        <v>0</v>
      </c>
      <c r="U80" s="17">
        <f t="shared" si="75"/>
        <v>0</v>
      </c>
      <c r="V80" s="17">
        <f t="shared" si="77"/>
        <v>0</v>
      </c>
      <c r="W80" s="17">
        <f t="shared" si="79"/>
        <v>0</v>
      </c>
      <c r="X80" s="17">
        <f t="shared" si="81"/>
        <v>0</v>
      </c>
      <c r="Y80" s="17">
        <f t="shared" si="83"/>
        <v>0</v>
      </c>
      <c r="Z80" s="17">
        <f t="shared" si="85"/>
        <v>0</v>
      </c>
      <c r="AA80" s="17">
        <f t="shared" si="87"/>
        <v>0</v>
      </c>
      <c r="AB80" s="17">
        <f t="shared" si="89"/>
        <v>0</v>
      </c>
      <c r="AC80" s="17">
        <f t="shared" si="91"/>
        <v>0</v>
      </c>
      <c r="AD80" s="17">
        <f t="shared" si="93"/>
        <v>0</v>
      </c>
      <c r="AE80" s="17">
        <f t="shared" si="95"/>
        <v>0</v>
      </c>
      <c r="AF80" s="17">
        <f t="shared" si="97"/>
        <v>0</v>
      </c>
      <c r="AG80" s="17">
        <f t="shared" si="99"/>
        <v>0</v>
      </c>
      <c r="AH80" s="17">
        <f t="shared" si="101"/>
        <v>0</v>
      </c>
      <c r="AI80" s="17">
        <f t="shared" si="103"/>
        <v>0</v>
      </c>
      <c r="AJ80" s="17">
        <f t="shared" si="105"/>
        <v>0</v>
      </c>
      <c r="AK80" s="17">
        <f t="shared" si="107"/>
        <v>0</v>
      </c>
      <c r="AL80" s="17">
        <f t="shared" si="109"/>
        <v>0</v>
      </c>
      <c r="AM80" s="17">
        <f t="shared" si="111"/>
        <v>0</v>
      </c>
      <c r="AN80" s="17">
        <f t="shared" si="113"/>
        <v>0</v>
      </c>
      <c r="AO80" s="17">
        <f t="shared" si="115"/>
        <v>0</v>
      </c>
      <c r="AP80" s="17">
        <f t="shared" si="117"/>
        <v>0</v>
      </c>
      <c r="AQ80" s="17">
        <f t="shared" si="119"/>
        <v>0</v>
      </c>
      <c r="AR80" s="17">
        <f t="shared" ref="AR80:AR116" si="121">IF($AR$47=0,0,IF(AND($A80=$A79,$A80&lt;&gt;0,AR79&lt;&gt;0),$M80,0))</f>
        <v>0</v>
      </c>
      <c r="AS80" s="17">
        <f t="shared" si="55"/>
        <v>0</v>
      </c>
      <c r="AT80" s="17">
        <f t="shared" si="61"/>
        <v>0</v>
      </c>
      <c r="AU80" s="17">
        <f t="shared" si="63"/>
        <v>0</v>
      </c>
      <c r="AV80" s="17">
        <f t="shared" si="65"/>
        <v>0</v>
      </c>
      <c r="AW80" s="17">
        <f t="shared" si="67"/>
        <v>0</v>
      </c>
      <c r="AX80" s="17">
        <f t="shared" si="69"/>
        <v>0</v>
      </c>
      <c r="AY80" s="17">
        <f t="shared" si="71"/>
        <v>0</v>
      </c>
      <c r="AZ80" s="17">
        <f t="shared" si="73"/>
        <v>0</v>
      </c>
      <c r="BA80" s="17">
        <f t="shared" si="76"/>
        <v>0</v>
      </c>
      <c r="BB80" s="17">
        <f t="shared" si="78"/>
        <v>0</v>
      </c>
      <c r="BC80" s="17">
        <f t="shared" si="80"/>
        <v>0</v>
      </c>
      <c r="BD80" s="17">
        <f t="shared" si="82"/>
        <v>0</v>
      </c>
      <c r="BE80" s="17">
        <f t="shared" si="84"/>
        <v>0</v>
      </c>
      <c r="BF80" s="17">
        <f t="shared" si="86"/>
        <v>0</v>
      </c>
      <c r="BG80" s="17">
        <f t="shared" si="88"/>
        <v>0</v>
      </c>
      <c r="BH80" s="17">
        <f t="shared" si="90"/>
        <v>0</v>
      </c>
      <c r="BI80" s="17">
        <f t="shared" si="92"/>
        <v>0</v>
      </c>
      <c r="BJ80" s="17">
        <f t="shared" si="94"/>
        <v>0</v>
      </c>
      <c r="BK80" s="17">
        <f t="shared" si="96"/>
        <v>0</v>
      </c>
      <c r="BL80" s="17">
        <f t="shared" si="98"/>
        <v>0</v>
      </c>
      <c r="BM80" s="17">
        <f t="shared" si="100"/>
        <v>0</v>
      </c>
      <c r="BN80" s="17">
        <f t="shared" si="102"/>
        <v>0</v>
      </c>
      <c r="BO80" s="17">
        <f t="shared" si="104"/>
        <v>0</v>
      </c>
      <c r="BP80" s="17">
        <f t="shared" si="106"/>
        <v>0</v>
      </c>
      <c r="BQ80" s="17">
        <f t="shared" si="108"/>
        <v>0</v>
      </c>
      <c r="BR80" s="17">
        <f t="shared" si="110"/>
        <v>0</v>
      </c>
      <c r="BS80" s="17">
        <f t="shared" si="112"/>
        <v>0</v>
      </c>
      <c r="BT80" s="17">
        <f t="shared" si="114"/>
        <v>0</v>
      </c>
      <c r="BU80" s="17">
        <f t="shared" si="116"/>
        <v>0</v>
      </c>
      <c r="BV80" s="17">
        <f t="shared" si="118"/>
        <v>0</v>
      </c>
      <c r="BW80" s="17">
        <f t="shared" si="120"/>
        <v>0</v>
      </c>
      <c r="BX80" s="17">
        <f t="shared" ref="BX80:BX116" si="122">IF($BX$79=0,0,IF(AND($A80=$A79,$A80&lt;&gt;0,BX79&lt;&gt;0),$M80,0))</f>
        <v>0</v>
      </c>
      <c r="BY80" s="17">
        <f>IF(BX80&lt;&gt;0,0,IF(OR($A80=0,$A80=$A79),0,$M80))</f>
        <v>0</v>
      </c>
      <c r="BZ80" s="17"/>
      <c r="CA80" s="17"/>
      <c r="CB80" s="17"/>
      <c r="CC80" s="17"/>
      <c r="CD80" s="17"/>
      <c r="CE80" s="17"/>
      <c r="CF80" s="17"/>
      <c r="CG80" s="17"/>
      <c r="CH80" s="17"/>
      <c r="CI80" s="17"/>
      <c r="CJ80" s="17"/>
      <c r="CK80" s="17"/>
      <c r="CL80" s="17"/>
      <c r="CM80" s="17"/>
      <c r="CN80" s="17"/>
      <c r="CO80" s="17"/>
      <c r="CP80" s="17"/>
      <c r="CQ80" s="17"/>
      <c r="CR80" s="17"/>
      <c r="CS80" s="17"/>
      <c r="CT80" s="17"/>
      <c r="CU80" s="17"/>
      <c r="CV80" s="17"/>
      <c r="CW80" s="17"/>
      <c r="CX80" s="17"/>
      <c r="CY80" s="17"/>
      <c r="CZ80" s="17"/>
      <c r="DA80" s="17"/>
      <c r="DB80" s="17"/>
      <c r="DC80" s="17"/>
      <c r="DD80" s="17"/>
      <c r="DE80" s="17"/>
      <c r="DF80" s="17"/>
      <c r="DG80" s="17"/>
      <c r="DH80" s="17"/>
      <c r="DI80" s="17"/>
      <c r="DJ80" s="17" t="str">
        <v/>
      </c>
      <c r="DK80" s="30" t="str">
        <f t="shared" si="9"/>
        <v/>
      </c>
      <c r="DL80" s="27" t="str">
        <f t="shared" si="56"/>
        <v/>
      </c>
      <c r="DM80" s="31" t="str">
        <f t="shared" si="57"/>
        <v/>
      </c>
      <c r="DN80" s="16">
        <f t="shared" si="10"/>
        <v>20</v>
      </c>
      <c r="DO80" s="16">
        <f t="shared" si="11"/>
        <v>0</v>
      </c>
      <c r="DP80" s="16">
        <f t="shared" si="12"/>
        <v>0</v>
      </c>
      <c r="DQ80" s="16">
        <f t="shared" si="13"/>
        <v>20</v>
      </c>
      <c r="DR80" s="16" t="str">
        <f t="shared" si="14"/>
        <v/>
      </c>
      <c r="DS80" s="18" t="str">
        <f>IF(ISERROR(CEILING(($DQ80*$DL80/60),Puertas!$S$4)),"",CEILING(($DQ80*$DL80/60),Puertas!$S$4))</f>
        <v/>
      </c>
      <c r="DT80" s="18" t="str">
        <f t="shared" si="58"/>
        <v/>
      </c>
      <c r="DU80" s="104" t="str">
        <f t="shared" si="59"/>
        <v/>
      </c>
      <c r="DV80" s="105" t="str">
        <f>IF(D80="","",SUMIF(Puertas!$K$15:$K$114,B80,Puertas!$U$15:$U$114)+SUMIF(Puertas!$O$15:$O$114,B80,Puertas!$W$15:$W$114))</f>
        <v/>
      </c>
      <c r="DW80" s="106" t="str">
        <f t="shared" si="60"/>
        <v/>
      </c>
      <c r="DX80" s="104" t="str">
        <f t="shared" si="15"/>
        <v/>
      </c>
      <c r="DY80" s="105" t="str">
        <f t="shared" si="16"/>
        <v/>
      </c>
      <c r="DZ80" s="107"/>
      <c r="EA80" s="107"/>
      <c r="EB80" s="105" t="e">
        <f>ABS(IF(D80="","",SUMIF(Puertas!$K$15:$K$114,B80,Puertas!$V$15:$V$114)+SUMIF(Puertas!$O$15:$O$114,B80,Puertas!$X$15:$X$114)))</f>
        <v>#VALUE!</v>
      </c>
      <c r="EC80" s="105" t="str">
        <f t="shared" si="17"/>
        <v/>
      </c>
      <c r="ED80" s="106" t="str">
        <f t="shared" si="18"/>
        <v/>
      </c>
      <c r="EE80" s="41"/>
      <c r="EF80" s="6" t="b">
        <v>0</v>
      </c>
      <c r="EG80" s="6" t="b">
        <v>0</v>
      </c>
      <c r="EH80" s="5" t="e">
        <f t="shared" si="19"/>
        <v>#VALUE!</v>
      </c>
      <c r="EI80" s="5" t="e">
        <f t="shared" si="20"/>
        <v>#VALUE!</v>
      </c>
      <c r="EJ80" s="3">
        <f t="shared" si="21"/>
        <v>0</v>
      </c>
      <c r="EK80" s="3">
        <f t="shared" si="22"/>
        <v>0</v>
      </c>
      <c r="EL80" s="5" t="e">
        <f t="shared" si="23"/>
        <v>#VALUE!</v>
      </c>
      <c r="EM80" s="5" t="e">
        <f t="shared" si="24"/>
        <v>#VALUE!</v>
      </c>
    </row>
    <row r="81" spans="1:143" x14ac:dyDescent="0.3">
      <c r="A81" s="1">
        <v>65</v>
      </c>
      <c r="B81" s="19">
        <v>65</v>
      </c>
      <c r="C81" s="310"/>
      <c r="D81" s="310"/>
      <c r="E81" s="318"/>
      <c r="F81" s="330"/>
      <c r="G81" s="320"/>
      <c r="H81" s="447"/>
      <c r="I81" s="321"/>
      <c r="J81" s="318"/>
      <c r="K81" s="322"/>
      <c r="L81" s="323"/>
      <c r="M81" s="20">
        <f t="shared" si="7"/>
        <v>0</v>
      </c>
      <c r="N81" s="21">
        <f t="shared" si="74"/>
        <v>0</v>
      </c>
      <c r="O81" s="21">
        <f t="shared" si="62"/>
        <v>0</v>
      </c>
      <c r="P81" s="21">
        <f t="shared" si="64"/>
        <v>0</v>
      </c>
      <c r="Q81" s="21">
        <f t="shared" si="66"/>
        <v>0</v>
      </c>
      <c r="R81" s="21">
        <f t="shared" si="68"/>
        <v>0</v>
      </c>
      <c r="S81" s="21">
        <f t="shared" si="70"/>
        <v>0</v>
      </c>
      <c r="T81" s="21">
        <f t="shared" si="72"/>
        <v>0</v>
      </c>
      <c r="U81" s="21">
        <f t="shared" si="75"/>
        <v>0</v>
      </c>
      <c r="V81" s="21">
        <f t="shared" si="77"/>
        <v>0</v>
      </c>
      <c r="W81" s="21">
        <f t="shared" si="79"/>
        <v>0</v>
      </c>
      <c r="X81" s="21">
        <f t="shared" si="81"/>
        <v>0</v>
      </c>
      <c r="Y81" s="21">
        <f t="shared" si="83"/>
        <v>0</v>
      </c>
      <c r="Z81" s="21">
        <f t="shared" si="85"/>
        <v>0</v>
      </c>
      <c r="AA81" s="21">
        <f t="shared" si="87"/>
        <v>0</v>
      </c>
      <c r="AB81" s="21">
        <f t="shared" si="89"/>
        <v>0</v>
      </c>
      <c r="AC81" s="21">
        <f t="shared" si="91"/>
        <v>0</v>
      </c>
      <c r="AD81" s="21">
        <f t="shared" si="93"/>
        <v>0</v>
      </c>
      <c r="AE81" s="21">
        <f t="shared" si="95"/>
        <v>0</v>
      </c>
      <c r="AF81" s="21">
        <f t="shared" si="97"/>
        <v>0</v>
      </c>
      <c r="AG81" s="21">
        <f t="shared" si="99"/>
        <v>0</v>
      </c>
      <c r="AH81" s="21">
        <f t="shared" si="101"/>
        <v>0</v>
      </c>
      <c r="AI81" s="21">
        <f t="shared" si="103"/>
        <v>0</v>
      </c>
      <c r="AJ81" s="21">
        <f t="shared" si="105"/>
        <v>0</v>
      </c>
      <c r="AK81" s="21">
        <f t="shared" si="107"/>
        <v>0</v>
      </c>
      <c r="AL81" s="21">
        <f t="shared" si="109"/>
        <v>0</v>
      </c>
      <c r="AM81" s="21">
        <f t="shared" si="111"/>
        <v>0</v>
      </c>
      <c r="AN81" s="21">
        <f t="shared" si="113"/>
        <v>0</v>
      </c>
      <c r="AO81" s="21">
        <f t="shared" si="115"/>
        <v>0</v>
      </c>
      <c r="AP81" s="21">
        <f t="shared" si="117"/>
        <v>0</v>
      </c>
      <c r="AQ81" s="21">
        <f t="shared" si="119"/>
        <v>0</v>
      </c>
      <c r="AR81" s="21">
        <f t="shared" si="121"/>
        <v>0</v>
      </c>
      <c r="AS81" s="21">
        <f t="shared" ref="AS81:AS116" si="123">IF($AS$48=0,0,IF(AND($A81=$A80,$A81&lt;&gt;0,AS80&lt;&gt;0),$M81,0))</f>
        <v>0</v>
      </c>
      <c r="AT81" s="21">
        <f t="shared" si="61"/>
        <v>0</v>
      </c>
      <c r="AU81" s="21">
        <f t="shared" si="63"/>
        <v>0</v>
      </c>
      <c r="AV81" s="21">
        <f t="shared" si="65"/>
        <v>0</v>
      </c>
      <c r="AW81" s="21">
        <f t="shared" si="67"/>
        <v>0</v>
      </c>
      <c r="AX81" s="21">
        <f t="shared" si="69"/>
        <v>0</v>
      </c>
      <c r="AY81" s="21">
        <f t="shared" si="71"/>
        <v>0</v>
      </c>
      <c r="AZ81" s="21">
        <f t="shared" si="73"/>
        <v>0</v>
      </c>
      <c r="BA81" s="21">
        <f t="shared" si="76"/>
        <v>0</v>
      </c>
      <c r="BB81" s="21">
        <f t="shared" si="78"/>
        <v>0</v>
      </c>
      <c r="BC81" s="21">
        <f t="shared" si="80"/>
        <v>0</v>
      </c>
      <c r="BD81" s="21">
        <f t="shared" si="82"/>
        <v>0</v>
      </c>
      <c r="BE81" s="21">
        <f t="shared" si="84"/>
        <v>0</v>
      </c>
      <c r="BF81" s="21">
        <f t="shared" si="86"/>
        <v>0</v>
      </c>
      <c r="BG81" s="21">
        <f t="shared" si="88"/>
        <v>0</v>
      </c>
      <c r="BH81" s="21">
        <f t="shared" si="90"/>
        <v>0</v>
      </c>
      <c r="BI81" s="21">
        <f t="shared" si="92"/>
        <v>0</v>
      </c>
      <c r="BJ81" s="21">
        <f t="shared" si="94"/>
        <v>0</v>
      </c>
      <c r="BK81" s="21">
        <f t="shared" si="96"/>
        <v>0</v>
      </c>
      <c r="BL81" s="21">
        <f t="shared" si="98"/>
        <v>0</v>
      </c>
      <c r="BM81" s="21">
        <f t="shared" si="100"/>
        <v>0</v>
      </c>
      <c r="BN81" s="21">
        <f t="shared" si="102"/>
        <v>0</v>
      </c>
      <c r="BO81" s="21">
        <f t="shared" si="104"/>
        <v>0</v>
      </c>
      <c r="BP81" s="21">
        <f t="shared" si="106"/>
        <v>0</v>
      </c>
      <c r="BQ81" s="21">
        <f t="shared" si="108"/>
        <v>0</v>
      </c>
      <c r="BR81" s="21">
        <f t="shared" si="110"/>
        <v>0</v>
      </c>
      <c r="BS81" s="21">
        <f t="shared" si="112"/>
        <v>0</v>
      </c>
      <c r="BT81" s="21">
        <f t="shared" si="114"/>
        <v>0</v>
      </c>
      <c r="BU81" s="21">
        <f t="shared" si="116"/>
        <v>0</v>
      </c>
      <c r="BV81" s="21">
        <f t="shared" si="118"/>
        <v>0</v>
      </c>
      <c r="BW81" s="21">
        <f t="shared" si="120"/>
        <v>0</v>
      </c>
      <c r="BX81" s="21">
        <f t="shared" si="122"/>
        <v>0</v>
      </c>
      <c r="BY81" s="21">
        <f t="shared" ref="BY81:BY116" si="124">IF($BY$80=0,0,IF(AND($A81=$A80,$A81&lt;&gt;0,BY80&lt;&gt;0),$M81,0))</f>
        <v>0</v>
      </c>
      <c r="BZ81" s="21">
        <f>IF(BY81&lt;&gt;0,0,IF(OR($A81=0,$A81=$A80),0,$M81))</f>
        <v>0</v>
      </c>
      <c r="CA81" s="21"/>
      <c r="CB81" s="21"/>
      <c r="CC81" s="21"/>
      <c r="CD81" s="21"/>
      <c r="CE81" s="21"/>
      <c r="CF81" s="21"/>
      <c r="CG81" s="21"/>
      <c r="CH81" s="21"/>
      <c r="CI81" s="21"/>
      <c r="CJ81" s="21"/>
      <c r="CK81" s="21"/>
      <c r="CL81" s="21"/>
      <c r="CM81" s="21"/>
      <c r="CN81" s="21"/>
      <c r="CO81" s="21"/>
      <c r="CP81" s="21"/>
      <c r="CQ81" s="21"/>
      <c r="CR81" s="21"/>
      <c r="CS81" s="21"/>
      <c r="CT81" s="21"/>
      <c r="CU81" s="21"/>
      <c r="CV81" s="21"/>
      <c r="CW81" s="21"/>
      <c r="CX81" s="21"/>
      <c r="CY81" s="21"/>
      <c r="CZ81" s="21"/>
      <c r="DA81" s="21"/>
      <c r="DB81" s="21"/>
      <c r="DC81" s="21"/>
      <c r="DD81" s="21"/>
      <c r="DE81" s="21"/>
      <c r="DF81" s="21"/>
      <c r="DG81" s="21"/>
      <c r="DH81" s="21"/>
      <c r="DI81" s="21"/>
      <c r="DJ81" s="21" t="str">
        <v/>
      </c>
      <c r="DK81" s="32" t="str">
        <f t="shared" si="9"/>
        <v/>
      </c>
      <c r="DL81" s="28" t="str">
        <f t="shared" ref="DL81:DL112" si="125">IF(DK81="","",DK81/(0.3048^3))</f>
        <v/>
      </c>
      <c r="DM81" s="33" t="str">
        <f t="shared" ref="DM81:DM116" si="126">IF(OR($D81="",$DL81=""),"",IF(ISERROR(($DU81*60)/$DL81),0,($DU81*60)/$DL81))</f>
        <v/>
      </c>
      <c r="DN81" s="20">
        <f t="shared" si="10"/>
        <v>20</v>
      </c>
      <c r="DO81" s="20">
        <f t="shared" si="11"/>
        <v>0</v>
      </c>
      <c r="DP81" s="20">
        <f t="shared" si="12"/>
        <v>0</v>
      </c>
      <c r="DQ81" s="20">
        <f t="shared" si="13"/>
        <v>20</v>
      </c>
      <c r="DR81" s="20" t="str">
        <f t="shared" si="14"/>
        <v/>
      </c>
      <c r="DS81" s="22" t="str">
        <f>IF(ISERROR(CEILING(($DQ81*$DL81/60),Puertas!$S$4)),"",CEILING(($DQ81*$DL81/60),Puertas!$S$4))</f>
        <v/>
      </c>
      <c r="DT81" s="22" t="str">
        <f t="shared" ref="DT81:DT116" si="127">IFERROR(EC81-DV81,"")</f>
        <v/>
      </c>
      <c r="DU81" s="108" t="str">
        <f t="shared" ref="DU81:DU112" si="128">IF(ISERROR(EC81-DV81),"",IF(EC81-DV81&gt;0,MAX(EC81-DV81,DS81),DS81))</f>
        <v/>
      </c>
      <c r="DV81" s="109" t="str">
        <f>IF(D81="","",SUMIF(Puertas!$K$15:$K$114,B81,Puertas!$U$15:$U$114)+SUMIF(Puertas!$O$15:$O$114,B81,Puertas!$W$15:$W$114))</f>
        <v/>
      </c>
      <c r="DW81" s="110" t="str">
        <f t="shared" ref="DW81:DW112" si="129">IF(AND(OR(DU81&lt;&gt;0,DV81&lt;&gt;0),DU81&lt;&gt;"",DV81&lt;&gt;""),SUM(DU81:DV81),"")</f>
        <v/>
      </c>
      <c r="DX81" s="108" t="str">
        <f t="shared" si="15"/>
        <v/>
      </c>
      <c r="DY81" s="109" t="str">
        <f t="shared" si="16"/>
        <v/>
      </c>
      <c r="DZ81" s="111"/>
      <c r="EA81" s="111"/>
      <c r="EB81" s="109" t="e">
        <f>ABS(IF(D81="","",SUMIF(Puertas!$K$15:$K$114,B81,Puertas!$V$15:$V$114)+SUMIF(Puertas!$O$15:$O$114,B81,Puertas!$X$15:$X$114)))</f>
        <v>#VALUE!</v>
      </c>
      <c r="EC81" s="109" t="str">
        <f t="shared" si="17"/>
        <v/>
      </c>
      <c r="ED81" s="110" t="str">
        <f t="shared" si="18"/>
        <v/>
      </c>
      <c r="EE81" s="42"/>
      <c r="EF81" s="6" t="b">
        <v>0</v>
      </c>
      <c r="EG81" s="6" t="b">
        <v>0</v>
      </c>
      <c r="EH81" s="5" t="e">
        <f t="shared" si="19"/>
        <v>#VALUE!</v>
      </c>
      <c r="EI81" s="5" t="e">
        <f t="shared" si="20"/>
        <v>#VALUE!</v>
      </c>
      <c r="EJ81" s="3">
        <f t="shared" si="21"/>
        <v>0</v>
      </c>
      <c r="EK81" s="3">
        <f t="shared" si="22"/>
        <v>0</v>
      </c>
      <c r="EL81" s="5" t="e">
        <f t="shared" si="23"/>
        <v>#VALUE!</v>
      </c>
      <c r="EM81" s="5" t="e">
        <f t="shared" si="24"/>
        <v>#VALUE!</v>
      </c>
    </row>
    <row r="82" spans="1:143" x14ac:dyDescent="0.3">
      <c r="A82" s="1">
        <v>66</v>
      </c>
      <c r="B82" s="23">
        <v>66</v>
      </c>
      <c r="C82" s="311"/>
      <c r="D82" s="311"/>
      <c r="E82" s="324"/>
      <c r="F82" s="331"/>
      <c r="G82" s="326"/>
      <c r="H82" s="448"/>
      <c r="I82" s="327"/>
      <c r="J82" s="324"/>
      <c r="K82" s="328"/>
      <c r="L82" s="329"/>
      <c r="M82" s="24">
        <f t="shared" ref="M82:M116" si="130">IF(AND($J82&lt;&gt;0,$K82&lt;&gt;0,$L82&lt;&gt;0),$J82*$K82*$L82,0)</f>
        <v>0</v>
      </c>
      <c r="N82" s="25">
        <f t="shared" si="74"/>
        <v>0</v>
      </c>
      <c r="O82" s="25">
        <f t="shared" si="62"/>
        <v>0</v>
      </c>
      <c r="P82" s="25">
        <f t="shared" si="64"/>
        <v>0</v>
      </c>
      <c r="Q82" s="25">
        <f t="shared" si="66"/>
        <v>0</v>
      </c>
      <c r="R82" s="25">
        <f t="shared" si="68"/>
        <v>0</v>
      </c>
      <c r="S82" s="25">
        <f t="shared" si="70"/>
        <v>0</v>
      </c>
      <c r="T82" s="25">
        <f t="shared" si="72"/>
        <v>0</v>
      </c>
      <c r="U82" s="25">
        <f t="shared" si="75"/>
        <v>0</v>
      </c>
      <c r="V82" s="25">
        <f t="shared" si="77"/>
        <v>0</v>
      </c>
      <c r="W82" s="25">
        <f t="shared" si="79"/>
        <v>0</v>
      </c>
      <c r="X82" s="25">
        <f t="shared" si="81"/>
        <v>0</v>
      </c>
      <c r="Y82" s="25">
        <f t="shared" si="83"/>
        <v>0</v>
      </c>
      <c r="Z82" s="25">
        <f t="shared" si="85"/>
        <v>0</v>
      </c>
      <c r="AA82" s="25">
        <f t="shared" si="87"/>
        <v>0</v>
      </c>
      <c r="AB82" s="25">
        <f t="shared" si="89"/>
        <v>0</v>
      </c>
      <c r="AC82" s="25">
        <f t="shared" si="91"/>
        <v>0</v>
      </c>
      <c r="AD82" s="25">
        <f t="shared" si="93"/>
        <v>0</v>
      </c>
      <c r="AE82" s="25">
        <f t="shared" si="95"/>
        <v>0</v>
      </c>
      <c r="AF82" s="25">
        <f t="shared" si="97"/>
        <v>0</v>
      </c>
      <c r="AG82" s="25">
        <f t="shared" si="99"/>
        <v>0</v>
      </c>
      <c r="AH82" s="25">
        <f t="shared" si="101"/>
        <v>0</v>
      </c>
      <c r="AI82" s="25">
        <f t="shared" si="103"/>
        <v>0</v>
      </c>
      <c r="AJ82" s="25">
        <f t="shared" si="105"/>
        <v>0</v>
      </c>
      <c r="AK82" s="25">
        <f t="shared" si="107"/>
        <v>0</v>
      </c>
      <c r="AL82" s="25">
        <f t="shared" si="109"/>
        <v>0</v>
      </c>
      <c r="AM82" s="25">
        <f t="shared" si="111"/>
        <v>0</v>
      </c>
      <c r="AN82" s="25">
        <f t="shared" si="113"/>
        <v>0</v>
      </c>
      <c r="AO82" s="25">
        <f t="shared" si="115"/>
        <v>0</v>
      </c>
      <c r="AP82" s="25">
        <f t="shared" si="117"/>
        <v>0</v>
      </c>
      <c r="AQ82" s="25">
        <f t="shared" si="119"/>
        <v>0</v>
      </c>
      <c r="AR82" s="25">
        <f t="shared" si="121"/>
        <v>0</v>
      </c>
      <c r="AS82" s="25">
        <f t="shared" si="123"/>
        <v>0</v>
      </c>
      <c r="AT82" s="25">
        <f t="shared" ref="AT82:AT116" si="131">IF($AT$49=0,0,IF(AND($A82=$A81,$A82&lt;&gt;0,AT81&lt;&gt;0),$M82,0))</f>
        <v>0</v>
      </c>
      <c r="AU82" s="25">
        <f t="shared" si="63"/>
        <v>0</v>
      </c>
      <c r="AV82" s="25">
        <f t="shared" si="65"/>
        <v>0</v>
      </c>
      <c r="AW82" s="25">
        <f t="shared" si="67"/>
        <v>0</v>
      </c>
      <c r="AX82" s="25">
        <f t="shared" si="69"/>
        <v>0</v>
      </c>
      <c r="AY82" s="25">
        <f t="shared" si="71"/>
        <v>0</v>
      </c>
      <c r="AZ82" s="25">
        <f t="shared" si="73"/>
        <v>0</v>
      </c>
      <c r="BA82" s="25">
        <f t="shared" si="76"/>
        <v>0</v>
      </c>
      <c r="BB82" s="25">
        <f t="shared" si="78"/>
        <v>0</v>
      </c>
      <c r="BC82" s="25">
        <f t="shared" si="80"/>
        <v>0</v>
      </c>
      <c r="BD82" s="25">
        <f t="shared" si="82"/>
        <v>0</v>
      </c>
      <c r="BE82" s="25">
        <f t="shared" si="84"/>
        <v>0</v>
      </c>
      <c r="BF82" s="25">
        <f t="shared" si="86"/>
        <v>0</v>
      </c>
      <c r="BG82" s="25">
        <f t="shared" si="88"/>
        <v>0</v>
      </c>
      <c r="BH82" s="25">
        <f t="shared" si="90"/>
        <v>0</v>
      </c>
      <c r="BI82" s="25">
        <f t="shared" si="92"/>
        <v>0</v>
      </c>
      <c r="BJ82" s="25">
        <f t="shared" si="94"/>
        <v>0</v>
      </c>
      <c r="BK82" s="25">
        <f t="shared" si="96"/>
        <v>0</v>
      </c>
      <c r="BL82" s="25">
        <f t="shared" si="98"/>
        <v>0</v>
      </c>
      <c r="BM82" s="25">
        <f t="shared" si="100"/>
        <v>0</v>
      </c>
      <c r="BN82" s="25">
        <f t="shared" si="102"/>
        <v>0</v>
      </c>
      <c r="BO82" s="25">
        <f t="shared" si="104"/>
        <v>0</v>
      </c>
      <c r="BP82" s="25">
        <f t="shared" si="106"/>
        <v>0</v>
      </c>
      <c r="BQ82" s="25">
        <f t="shared" si="108"/>
        <v>0</v>
      </c>
      <c r="BR82" s="25">
        <f t="shared" si="110"/>
        <v>0</v>
      </c>
      <c r="BS82" s="25">
        <f t="shared" si="112"/>
        <v>0</v>
      </c>
      <c r="BT82" s="25">
        <f t="shared" si="114"/>
        <v>0</v>
      </c>
      <c r="BU82" s="25">
        <f t="shared" si="116"/>
        <v>0</v>
      </c>
      <c r="BV82" s="25">
        <f t="shared" si="118"/>
        <v>0</v>
      </c>
      <c r="BW82" s="25">
        <f t="shared" si="120"/>
        <v>0</v>
      </c>
      <c r="BX82" s="25">
        <f t="shared" si="122"/>
        <v>0</v>
      </c>
      <c r="BY82" s="25">
        <f t="shared" si="124"/>
        <v>0</v>
      </c>
      <c r="BZ82" s="25">
        <f t="shared" ref="BZ82:BZ116" si="132">IF($BZ$81=0,0,IF(AND($A82=$A81,$A82&lt;&gt;0,BZ81&lt;&gt;0),$M82,0))</f>
        <v>0</v>
      </c>
      <c r="CA82" s="25">
        <f>IF(BZ82&lt;&gt;0,0,IF(OR($A82=0,$A82=$A81),0,$M82))</f>
        <v>0</v>
      </c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 t="str">
        <v/>
      </c>
      <c r="DK82" s="34" t="str">
        <f t="shared" ref="DK82:DK116" si="133">IF(OR(J82="",K82="",L82=""),"",DJ82)</f>
        <v/>
      </c>
      <c r="DL82" s="29" t="str">
        <f t="shared" si="125"/>
        <v/>
      </c>
      <c r="DM82" s="35" t="str">
        <f t="shared" si="126"/>
        <v/>
      </c>
      <c r="DN82" s="24">
        <f t="shared" ref="DN82:DN116" si="134">IF(AND($I$13=TRUE,$I$14=FALSE),20,0)</f>
        <v>20</v>
      </c>
      <c r="DO82" s="24">
        <f t="shared" ref="DO82:DO116" si="135">IF(OR(AND($I$13=TRUE,$I$14=TRUE),AND($I$13=FALSE,$I$14=TRUE)),25,0)</f>
        <v>0</v>
      </c>
      <c r="DP82" s="24">
        <f t="shared" ref="DP82:DP116" si="136">IF(AND(D82&lt;&gt;0,I82&lt;&gt;0),$I82,0)</f>
        <v>0</v>
      </c>
      <c r="DQ82" s="24">
        <f t="shared" ref="DQ82:DQ116" si="137">IF(AND(MAX($DN82:$DO82)&lt;&gt;0,$DP82&lt;&gt;0),$DP82,IF(AND(DN82=0,DO82=0),DP82,MAX(DN82:DO82)))</f>
        <v>20</v>
      </c>
      <c r="DR82" s="24" t="str">
        <f t="shared" ref="DR82:DR116" si="138">IF(OR($D82="",$DL82="",ISERROR(($DQ82*60)/$DL82)),"",$DQ82)</f>
        <v/>
      </c>
      <c r="DS82" s="26" t="str">
        <f>IF(ISERROR(CEILING(($DQ82*$DL82/60),Puertas!$S$4)),"",CEILING(($DQ82*$DL82/60),Puertas!$S$4))</f>
        <v/>
      </c>
      <c r="DT82" s="26" t="str">
        <f t="shared" si="127"/>
        <v/>
      </c>
      <c r="DU82" s="112" t="str">
        <f t="shared" si="128"/>
        <v/>
      </c>
      <c r="DV82" s="113" t="str">
        <f>IF(D82="","",SUMIF(Puertas!$K$15:$K$114,B82,Puertas!$U$15:$U$114)+SUMIF(Puertas!$O$15:$O$114,B82,Puertas!$W$15:$W$114))</f>
        <v/>
      </c>
      <c r="DW82" s="114" t="str">
        <f t="shared" si="129"/>
        <v/>
      </c>
      <c r="DX82" s="112" t="str">
        <f t="shared" ref="DX82:DX116" si="139">IF(D82="","",IF(ISERROR(EL82),"",EL82))</f>
        <v/>
      </c>
      <c r="DY82" s="113" t="str">
        <f t="shared" ref="DY82:DY116" si="140">IF(D82="","",IF(ISERROR(EM82),"",EM82))</f>
        <v/>
      </c>
      <c r="DZ82" s="115"/>
      <c r="EA82" s="115"/>
      <c r="EB82" s="113" t="e">
        <f>ABS(IF(D82="","",SUMIF(Puertas!$K$15:$K$114,B82,Puertas!$V$15:$V$114)+SUMIF(Puertas!$O$15:$O$114,B82,Puertas!$X$15:$X$114)))</f>
        <v>#VALUE!</v>
      </c>
      <c r="EC82" s="113" t="str">
        <f t="shared" ref="EC82:EC116" si="141">IF(ISERROR(EB82),"",EB82)</f>
        <v/>
      </c>
      <c r="ED82" s="114" t="str">
        <f t="shared" ref="ED82:ED116" si="142">IF(AND(OR(DX82&lt;&gt;0,DY82&lt;&gt;0,DZ82&lt;&gt;0,EA82&lt;&gt;0,EC82&lt;&gt;0),DW82&lt;&gt;"",DX82&lt;&gt;"",DY82&lt;&gt;"",DZ82&lt;&gt;"",EA82&lt;&gt;"",EC82&lt;&gt;""),SUM(DX82:EA82)+EC82,"")</f>
        <v/>
      </c>
      <c r="EE82" s="43"/>
      <c r="EF82" s="6" t="b">
        <v>0</v>
      </c>
      <c r="EG82" s="6" t="b">
        <v>0</v>
      </c>
      <c r="EH82" s="5" t="e">
        <f t="shared" ref="EH82:EH116" si="143">($DW82-$EC82-$DZ82-$EA82)*$EH$13</f>
        <v>#VALUE!</v>
      </c>
      <c r="EI82" s="5" t="e">
        <f t="shared" ref="EI82:EI116" si="144">($DW82-$EC82-$DZ82-$EA82)*$EI$13</f>
        <v>#VALUE!</v>
      </c>
      <c r="EJ82" s="3">
        <f t="shared" ref="EJ82:EJ116" si="145">IF($EF82=FALSE,0,IF(AND($EF82=TRUE,$EG82=FALSE),($DW82-$EC82-$DZ82-$EA82)*1,($DW82-$EC82-$DZ82-$EA82)*0.5))</f>
        <v>0</v>
      </c>
      <c r="EK82" s="3">
        <f t="shared" ref="EK82:EK116" si="146">IF($EG82=FALSE,0,IF(AND($EG82=TRUE,$EF82=FALSE),($DW82-$EC82-$DZ82-$EA82)*1,($DW82-$EC82-$DZ82-$EA82)*0.5))</f>
        <v>0</v>
      </c>
      <c r="EL82" s="5" t="e">
        <f t="shared" ref="EL82:EL116" si="147">IF(SUM($EJ82:$EK82)&lt;&gt;0,$EJ82,$EH82)</f>
        <v>#VALUE!</v>
      </c>
      <c r="EM82" s="5" t="e">
        <f t="shared" ref="EM82:EM116" si="148">IF(SUM($EJ82:$EK82)&lt;&gt;0,$EK82,$EI82)</f>
        <v>#VALUE!</v>
      </c>
    </row>
    <row r="83" spans="1:143" x14ac:dyDescent="0.3">
      <c r="A83" s="1">
        <v>67</v>
      </c>
      <c r="B83" s="15">
        <v>67</v>
      </c>
      <c r="C83" s="309"/>
      <c r="D83" s="309"/>
      <c r="E83" s="312"/>
      <c r="F83" s="332"/>
      <c r="G83" s="314"/>
      <c r="H83" s="446"/>
      <c r="I83" s="315"/>
      <c r="J83" s="312"/>
      <c r="K83" s="316"/>
      <c r="L83" s="317"/>
      <c r="M83" s="16">
        <f t="shared" si="130"/>
        <v>0</v>
      </c>
      <c r="N83" s="17">
        <f t="shared" ref="N83:N116" si="149">IF($A83=$A$17,M83,0)</f>
        <v>0</v>
      </c>
      <c r="O83" s="17">
        <f t="shared" ref="O83:O116" si="150">IF($O$18=0,0,IF(AND($A83=$A82,$A83&lt;&gt;0,O82&lt;&gt;0),$M83,0))</f>
        <v>0</v>
      </c>
      <c r="P83" s="17">
        <f t="shared" si="64"/>
        <v>0</v>
      </c>
      <c r="Q83" s="17">
        <f t="shared" si="66"/>
        <v>0</v>
      </c>
      <c r="R83" s="17">
        <f t="shared" si="68"/>
        <v>0</v>
      </c>
      <c r="S83" s="17">
        <f t="shared" si="70"/>
        <v>0</v>
      </c>
      <c r="T83" s="17">
        <f t="shared" si="72"/>
        <v>0</v>
      </c>
      <c r="U83" s="17">
        <f t="shared" si="75"/>
        <v>0</v>
      </c>
      <c r="V83" s="17">
        <f t="shared" si="77"/>
        <v>0</v>
      </c>
      <c r="W83" s="17">
        <f t="shared" si="79"/>
        <v>0</v>
      </c>
      <c r="X83" s="17">
        <f t="shared" si="81"/>
        <v>0</v>
      </c>
      <c r="Y83" s="17">
        <f t="shared" si="83"/>
        <v>0</v>
      </c>
      <c r="Z83" s="17">
        <f t="shared" si="85"/>
        <v>0</v>
      </c>
      <c r="AA83" s="17">
        <f t="shared" si="87"/>
        <v>0</v>
      </c>
      <c r="AB83" s="17">
        <f t="shared" si="89"/>
        <v>0</v>
      </c>
      <c r="AC83" s="17">
        <f t="shared" si="91"/>
        <v>0</v>
      </c>
      <c r="AD83" s="17">
        <f t="shared" si="93"/>
        <v>0</v>
      </c>
      <c r="AE83" s="17">
        <f t="shared" si="95"/>
        <v>0</v>
      </c>
      <c r="AF83" s="17">
        <f t="shared" si="97"/>
        <v>0</v>
      </c>
      <c r="AG83" s="17">
        <f t="shared" si="99"/>
        <v>0</v>
      </c>
      <c r="AH83" s="17">
        <f t="shared" si="101"/>
        <v>0</v>
      </c>
      <c r="AI83" s="17">
        <f t="shared" si="103"/>
        <v>0</v>
      </c>
      <c r="AJ83" s="17">
        <f t="shared" si="105"/>
        <v>0</v>
      </c>
      <c r="AK83" s="17">
        <f t="shared" si="107"/>
        <v>0</v>
      </c>
      <c r="AL83" s="17">
        <f t="shared" si="109"/>
        <v>0</v>
      </c>
      <c r="AM83" s="17">
        <f t="shared" si="111"/>
        <v>0</v>
      </c>
      <c r="AN83" s="17">
        <f t="shared" si="113"/>
        <v>0</v>
      </c>
      <c r="AO83" s="17">
        <f t="shared" si="115"/>
        <v>0</v>
      </c>
      <c r="AP83" s="17">
        <f t="shared" si="117"/>
        <v>0</v>
      </c>
      <c r="AQ83" s="17">
        <f t="shared" si="119"/>
        <v>0</v>
      </c>
      <c r="AR83" s="17">
        <f t="shared" si="121"/>
        <v>0</v>
      </c>
      <c r="AS83" s="17">
        <f t="shared" si="123"/>
        <v>0</v>
      </c>
      <c r="AT83" s="17">
        <f t="shared" si="131"/>
        <v>0</v>
      </c>
      <c r="AU83" s="17">
        <f t="shared" ref="AU83:AU116" si="151">IF($AU$50=0,0,IF(AND($A83=$A82,$A83&lt;&gt;0,AU82&lt;&gt;0),$M83,0))</f>
        <v>0</v>
      </c>
      <c r="AV83" s="17">
        <f t="shared" si="65"/>
        <v>0</v>
      </c>
      <c r="AW83" s="17">
        <f t="shared" si="67"/>
        <v>0</v>
      </c>
      <c r="AX83" s="17">
        <f t="shared" si="69"/>
        <v>0</v>
      </c>
      <c r="AY83" s="17">
        <f t="shared" si="71"/>
        <v>0</v>
      </c>
      <c r="AZ83" s="17">
        <f t="shared" si="73"/>
        <v>0</v>
      </c>
      <c r="BA83" s="17">
        <f t="shared" si="76"/>
        <v>0</v>
      </c>
      <c r="BB83" s="17">
        <f t="shared" si="78"/>
        <v>0</v>
      </c>
      <c r="BC83" s="17">
        <f t="shared" si="80"/>
        <v>0</v>
      </c>
      <c r="BD83" s="17">
        <f t="shared" si="82"/>
        <v>0</v>
      </c>
      <c r="BE83" s="17">
        <f t="shared" si="84"/>
        <v>0</v>
      </c>
      <c r="BF83" s="17">
        <f t="shared" si="86"/>
        <v>0</v>
      </c>
      <c r="BG83" s="17">
        <f t="shared" si="88"/>
        <v>0</v>
      </c>
      <c r="BH83" s="17">
        <f t="shared" si="90"/>
        <v>0</v>
      </c>
      <c r="BI83" s="17">
        <f t="shared" si="92"/>
        <v>0</v>
      </c>
      <c r="BJ83" s="17">
        <f t="shared" si="94"/>
        <v>0</v>
      </c>
      <c r="BK83" s="17">
        <f t="shared" si="96"/>
        <v>0</v>
      </c>
      <c r="BL83" s="17">
        <f t="shared" si="98"/>
        <v>0</v>
      </c>
      <c r="BM83" s="17">
        <f t="shared" si="100"/>
        <v>0</v>
      </c>
      <c r="BN83" s="17">
        <f t="shared" si="102"/>
        <v>0</v>
      </c>
      <c r="BO83" s="17">
        <f t="shared" si="104"/>
        <v>0</v>
      </c>
      <c r="BP83" s="17">
        <f t="shared" si="106"/>
        <v>0</v>
      </c>
      <c r="BQ83" s="17">
        <f t="shared" si="108"/>
        <v>0</v>
      </c>
      <c r="BR83" s="17">
        <f t="shared" si="110"/>
        <v>0</v>
      </c>
      <c r="BS83" s="17">
        <f t="shared" si="112"/>
        <v>0</v>
      </c>
      <c r="BT83" s="17">
        <f t="shared" si="114"/>
        <v>0</v>
      </c>
      <c r="BU83" s="17">
        <f t="shared" si="116"/>
        <v>0</v>
      </c>
      <c r="BV83" s="17">
        <f t="shared" si="118"/>
        <v>0</v>
      </c>
      <c r="BW83" s="17">
        <f t="shared" si="120"/>
        <v>0</v>
      </c>
      <c r="BX83" s="17">
        <f t="shared" si="122"/>
        <v>0</v>
      </c>
      <c r="BY83" s="17">
        <f t="shared" si="124"/>
        <v>0</v>
      </c>
      <c r="BZ83" s="17">
        <f t="shared" si="132"/>
        <v>0</v>
      </c>
      <c r="CA83" s="17">
        <f t="shared" ref="CA83:CA116" si="152">IF($CA$82=0,0,IF(AND($A83=$A82,$A83&lt;&gt;0,CA82&lt;&gt;0),$M83,0))</f>
        <v>0</v>
      </c>
      <c r="CB83" s="17">
        <f>IF(CA83&lt;&gt;0,0,IF(OR($A83=0,$A83=$A82),0,$M83))</f>
        <v>0</v>
      </c>
      <c r="CC83" s="17"/>
      <c r="CD83" s="17"/>
      <c r="CE83" s="17"/>
      <c r="CF83" s="17"/>
      <c r="CG83" s="17"/>
      <c r="CH83" s="17"/>
      <c r="CI83" s="17"/>
      <c r="CJ83" s="17"/>
      <c r="CK83" s="17"/>
      <c r="CL83" s="17"/>
      <c r="CM83" s="17"/>
      <c r="CN83" s="17"/>
      <c r="CO83" s="17"/>
      <c r="CP83" s="17"/>
      <c r="CQ83" s="17"/>
      <c r="CR83" s="17"/>
      <c r="CS83" s="17"/>
      <c r="CT83" s="17"/>
      <c r="CU83" s="17"/>
      <c r="CV83" s="17"/>
      <c r="CW83" s="17"/>
      <c r="CX83" s="17"/>
      <c r="CY83" s="17"/>
      <c r="CZ83" s="17"/>
      <c r="DA83" s="17"/>
      <c r="DB83" s="17"/>
      <c r="DC83" s="17"/>
      <c r="DD83" s="17"/>
      <c r="DE83" s="17"/>
      <c r="DF83" s="17"/>
      <c r="DG83" s="17"/>
      <c r="DH83" s="17"/>
      <c r="DI83" s="17"/>
      <c r="DJ83" s="17" t="str">
        <v/>
      </c>
      <c r="DK83" s="30" t="str">
        <f t="shared" si="133"/>
        <v/>
      </c>
      <c r="DL83" s="27" t="str">
        <f t="shared" si="125"/>
        <v/>
      </c>
      <c r="DM83" s="31" t="str">
        <f t="shared" si="126"/>
        <v/>
      </c>
      <c r="DN83" s="16">
        <f t="shared" si="134"/>
        <v>20</v>
      </c>
      <c r="DO83" s="16">
        <f t="shared" si="135"/>
        <v>0</v>
      </c>
      <c r="DP83" s="16">
        <f t="shared" si="136"/>
        <v>0</v>
      </c>
      <c r="DQ83" s="16">
        <f t="shared" si="137"/>
        <v>20</v>
      </c>
      <c r="DR83" s="16" t="str">
        <f t="shared" si="138"/>
        <v/>
      </c>
      <c r="DS83" s="18" t="str">
        <f>IF(ISERROR(CEILING(($DQ83*$DL83/60),Puertas!$S$4)),"",CEILING(($DQ83*$DL83/60),Puertas!$S$4))</f>
        <v/>
      </c>
      <c r="DT83" s="18" t="str">
        <f t="shared" si="127"/>
        <v/>
      </c>
      <c r="DU83" s="104" t="str">
        <f t="shared" si="128"/>
        <v/>
      </c>
      <c r="DV83" s="105" t="str">
        <f>IF(D83="","",SUMIF(Puertas!$K$15:$K$114,B83,Puertas!$U$15:$U$114)+SUMIF(Puertas!$O$15:$O$114,B83,Puertas!$W$15:$W$114))</f>
        <v/>
      </c>
      <c r="DW83" s="106" t="str">
        <f t="shared" si="129"/>
        <v/>
      </c>
      <c r="DX83" s="104" t="str">
        <f t="shared" si="139"/>
        <v/>
      </c>
      <c r="DY83" s="105" t="str">
        <f t="shared" si="140"/>
        <v/>
      </c>
      <c r="DZ83" s="107"/>
      <c r="EA83" s="107"/>
      <c r="EB83" s="105" t="e">
        <f>ABS(IF(D83="","",SUMIF(Puertas!$K$15:$K$114,B83,Puertas!$V$15:$V$114)+SUMIF(Puertas!$O$15:$O$114,B83,Puertas!$X$15:$X$114)))</f>
        <v>#VALUE!</v>
      </c>
      <c r="EC83" s="105" t="str">
        <f t="shared" si="141"/>
        <v/>
      </c>
      <c r="ED83" s="106" t="str">
        <f t="shared" si="142"/>
        <v/>
      </c>
      <c r="EE83" s="41"/>
      <c r="EF83" s="6" t="b">
        <v>0</v>
      </c>
      <c r="EG83" s="6" t="b">
        <v>0</v>
      </c>
      <c r="EH83" s="5" t="e">
        <f t="shared" si="143"/>
        <v>#VALUE!</v>
      </c>
      <c r="EI83" s="5" t="e">
        <f t="shared" si="144"/>
        <v>#VALUE!</v>
      </c>
      <c r="EJ83" s="3">
        <f t="shared" si="145"/>
        <v>0</v>
      </c>
      <c r="EK83" s="3">
        <f t="shared" si="146"/>
        <v>0</v>
      </c>
      <c r="EL83" s="5" t="e">
        <f t="shared" si="147"/>
        <v>#VALUE!</v>
      </c>
      <c r="EM83" s="5" t="e">
        <f t="shared" si="148"/>
        <v>#VALUE!</v>
      </c>
    </row>
    <row r="84" spans="1:143" x14ac:dyDescent="0.3">
      <c r="A84" s="1">
        <v>68</v>
      </c>
      <c r="B84" s="19">
        <v>68</v>
      </c>
      <c r="C84" s="310"/>
      <c r="D84" s="310"/>
      <c r="E84" s="318"/>
      <c r="F84" s="330"/>
      <c r="G84" s="320"/>
      <c r="H84" s="447"/>
      <c r="I84" s="321"/>
      <c r="J84" s="318"/>
      <c r="K84" s="322"/>
      <c r="L84" s="323"/>
      <c r="M84" s="20">
        <f t="shared" si="130"/>
        <v>0</v>
      </c>
      <c r="N84" s="21">
        <f t="shared" si="149"/>
        <v>0</v>
      </c>
      <c r="O84" s="21">
        <f t="shared" si="150"/>
        <v>0</v>
      </c>
      <c r="P84" s="21">
        <f t="shared" ref="P84:P116" si="153">IF($P$19=0,0,IF(AND($A84=$A83,$A84&lt;&gt;0,P83&lt;&gt;0),$M84,0))</f>
        <v>0</v>
      </c>
      <c r="Q84" s="21">
        <f t="shared" si="66"/>
        <v>0</v>
      </c>
      <c r="R84" s="21">
        <f t="shared" si="68"/>
        <v>0</v>
      </c>
      <c r="S84" s="21">
        <f t="shared" si="70"/>
        <v>0</v>
      </c>
      <c r="T84" s="21">
        <f t="shared" si="72"/>
        <v>0</v>
      </c>
      <c r="U84" s="21">
        <f t="shared" si="75"/>
        <v>0</v>
      </c>
      <c r="V84" s="21">
        <f t="shared" si="77"/>
        <v>0</v>
      </c>
      <c r="W84" s="21">
        <f t="shared" si="79"/>
        <v>0</v>
      </c>
      <c r="X84" s="21">
        <f t="shared" si="81"/>
        <v>0</v>
      </c>
      <c r="Y84" s="21">
        <f t="shared" si="83"/>
        <v>0</v>
      </c>
      <c r="Z84" s="21">
        <f t="shared" si="85"/>
        <v>0</v>
      </c>
      <c r="AA84" s="21">
        <f t="shared" si="87"/>
        <v>0</v>
      </c>
      <c r="AB84" s="21">
        <f t="shared" si="89"/>
        <v>0</v>
      </c>
      <c r="AC84" s="21">
        <f t="shared" si="91"/>
        <v>0</v>
      </c>
      <c r="AD84" s="21">
        <f t="shared" si="93"/>
        <v>0</v>
      </c>
      <c r="AE84" s="21">
        <f t="shared" si="95"/>
        <v>0</v>
      </c>
      <c r="AF84" s="21">
        <f t="shared" si="97"/>
        <v>0</v>
      </c>
      <c r="AG84" s="21">
        <f t="shared" si="99"/>
        <v>0</v>
      </c>
      <c r="AH84" s="21">
        <f t="shared" si="101"/>
        <v>0</v>
      </c>
      <c r="AI84" s="21">
        <f t="shared" si="103"/>
        <v>0</v>
      </c>
      <c r="AJ84" s="21">
        <f t="shared" si="105"/>
        <v>0</v>
      </c>
      <c r="AK84" s="21">
        <f t="shared" si="107"/>
        <v>0</v>
      </c>
      <c r="AL84" s="21">
        <f t="shared" si="109"/>
        <v>0</v>
      </c>
      <c r="AM84" s="21">
        <f t="shared" si="111"/>
        <v>0</v>
      </c>
      <c r="AN84" s="21">
        <f t="shared" si="113"/>
        <v>0</v>
      </c>
      <c r="AO84" s="21">
        <f t="shared" si="115"/>
        <v>0</v>
      </c>
      <c r="AP84" s="21">
        <f t="shared" si="117"/>
        <v>0</v>
      </c>
      <c r="AQ84" s="21">
        <f t="shared" si="119"/>
        <v>0</v>
      </c>
      <c r="AR84" s="21">
        <f t="shared" si="121"/>
        <v>0</v>
      </c>
      <c r="AS84" s="21">
        <f t="shared" si="123"/>
        <v>0</v>
      </c>
      <c r="AT84" s="21">
        <f t="shared" si="131"/>
        <v>0</v>
      </c>
      <c r="AU84" s="21">
        <f t="shared" si="151"/>
        <v>0</v>
      </c>
      <c r="AV84" s="21">
        <f t="shared" ref="AV84:AV116" si="154">IF($AV$51=0,0,IF(AND($A84=$A83,$A84&lt;&gt;0,AV83&lt;&gt;0),$M84,0))</f>
        <v>0</v>
      </c>
      <c r="AW84" s="21">
        <f t="shared" si="67"/>
        <v>0</v>
      </c>
      <c r="AX84" s="21">
        <f t="shared" si="69"/>
        <v>0</v>
      </c>
      <c r="AY84" s="21">
        <f t="shared" si="71"/>
        <v>0</v>
      </c>
      <c r="AZ84" s="21">
        <f t="shared" si="73"/>
        <v>0</v>
      </c>
      <c r="BA84" s="21">
        <f t="shared" si="76"/>
        <v>0</v>
      </c>
      <c r="BB84" s="21">
        <f t="shared" si="78"/>
        <v>0</v>
      </c>
      <c r="BC84" s="21">
        <f t="shared" si="80"/>
        <v>0</v>
      </c>
      <c r="BD84" s="21">
        <f t="shared" si="82"/>
        <v>0</v>
      </c>
      <c r="BE84" s="21">
        <f t="shared" si="84"/>
        <v>0</v>
      </c>
      <c r="BF84" s="21">
        <f t="shared" si="86"/>
        <v>0</v>
      </c>
      <c r="BG84" s="21">
        <f t="shared" si="88"/>
        <v>0</v>
      </c>
      <c r="BH84" s="21">
        <f t="shared" si="90"/>
        <v>0</v>
      </c>
      <c r="BI84" s="21">
        <f t="shared" si="92"/>
        <v>0</v>
      </c>
      <c r="BJ84" s="21">
        <f t="shared" si="94"/>
        <v>0</v>
      </c>
      <c r="BK84" s="21">
        <f t="shared" si="96"/>
        <v>0</v>
      </c>
      <c r="BL84" s="21">
        <f t="shared" si="98"/>
        <v>0</v>
      </c>
      <c r="BM84" s="21">
        <f t="shared" si="100"/>
        <v>0</v>
      </c>
      <c r="BN84" s="21">
        <f t="shared" si="102"/>
        <v>0</v>
      </c>
      <c r="BO84" s="21">
        <f t="shared" si="104"/>
        <v>0</v>
      </c>
      <c r="BP84" s="21">
        <f t="shared" si="106"/>
        <v>0</v>
      </c>
      <c r="BQ84" s="21">
        <f t="shared" si="108"/>
        <v>0</v>
      </c>
      <c r="BR84" s="21">
        <f t="shared" si="110"/>
        <v>0</v>
      </c>
      <c r="BS84" s="21">
        <f t="shared" si="112"/>
        <v>0</v>
      </c>
      <c r="BT84" s="21">
        <f t="shared" si="114"/>
        <v>0</v>
      </c>
      <c r="BU84" s="21">
        <f t="shared" si="116"/>
        <v>0</v>
      </c>
      <c r="BV84" s="21">
        <f t="shared" si="118"/>
        <v>0</v>
      </c>
      <c r="BW84" s="21">
        <f t="shared" si="120"/>
        <v>0</v>
      </c>
      <c r="BX84" s="21">
        <f t="shared" si="122"/>
        <v>0</v>
      </c>
      <c r="BY84" s="21">
        <f t="shared" si="124"/>
        <v>0</v>
      </c>
      <c r="BZ84" s="21">
        <f t="shared" si="132"/>
        <v>0</v>
      </c>
      <c r="CA84" s="21">
        <f t="shared" si="152"/>
        <v>0</v>
      </c>
      <c r="CB84" s="21">
        <f t="shared" ref="CB84:CB116" si="155">IF($CB$83=0,0,IF(AND($A84=$A83,$A84&lt;&gt;0,CB83&lt;&gt;0),$M84,0))</f>
        <v>0</v>
      </c>
      <c r="CC84" s="21">
        <f>IF(CB84&lt;&gt;0,0,IF(OR($A84=0,$A84=$A83),0,$M84))</f>
        <v>0</v>
      </c>
      <c r="CD84" s="21"/>
      <c r="CE84" s="21"/>
      <c r="CF84" s="21"/>
      <c r="CG84" s="21"/>
      <c r="CH84" s="21"/>
      <c r="CI84" s="21"/>
      <c r="CJ84" s="21"/>
      <c r="CK84" s="21"/>
      <c r="CL84" s="21"/>
      <c r="CM84" s="21"/>
      <c r="CN84" s="21"/>
      <c r="CO84" s="21"/>
      <c r="CP84" s="21"/>
      <c r="CQ84" s="21"/>
      <c r="CR84" s="21"/>
      <c r="CS84" s="21"/>
      <c r="CT84" s="21"/>
      <c r="CU84" s="21"/>
      <c r="CV84" s="21"/>
      <c r="CW84" s="21"/>
      <c r="CX84" s="21"/>
      <c r="CY84" s="21"/>
      <c r="CZ84" s="21"/>
      <c r="DA84" s="21"/>
      <c r="DB84" s="21"/>
      <c r="DC84" s="21"/>
      <c r="DD84" s="21"/>
      <c r="DE84" s="21"/>
      <c r="DF84" s="21"/>
      <c r="DG84" s="21"/>
      <c r="DH84" s="21"/>
      <c r="DI84" s="21"/>
      <c r="DJ84" s="21" t="str">
        <v/>
      </c>
      <c r="DK84" s="32" t="str">
        <f t="shared" si="133"/>
        <v/>
      </c>
      <c r="DL84" s="28" t="str">
        <f t="shared" si="125"/>
        <v/>
      </c>
      <c r="DM84" s="33" t="str">
        <f t="shared" si="126"/>
        <v/>
      </c>
      <c r="DN84" s="20">
        <f t="shared" si="134"/>
        <v>20</v>
      </c>
      <c r="DO84" s="20">
        <f t="shared" si="135"/>
        <v>0</v>
      </c>
      <c r="DP84" s="20">
        <f t="shared" si="136"/>
        <v>0</v>
      </c>
      <c r="DQ84" s="20">
        <f t="shared" si="137"/>
        <v>20</v>
      </c>
      <c r="DR84" s="20" t="str">
        <f t="shared" si="138"/>
        <v/>
      </c>
      <c r="DS84" s="22" t="str">
        <f>IF(ISERROR(CEILING(($DQ84*$DL84/60),Puertas!$S$4)),"",CEILING(($DQ84*$DL84/60),Puertas!$S$4))</f>
        <v/>
      </c>
      <c r="DT84" s="22" t="str">
        <f t="shared" si="127"/>
        <v/>
      </c>
      <c r="DU84" s="108" t="str">
        <f t="shared" si="128"/>
        <v/>
      </c>
      <c r="DV84" s="109" t="str">
        <f>IF(D84="","",SUMIF(Puertas!$K$15:$K$114,B84,Puertas!$U$15:$U$114)+SUMIF(Puertas!$O$15:$O$114,B84,Puertas!$W$15:$W$114))</f>
        <v/>
      </c>
      <c r="DW84" s="110" t="str">
        <f t="shared" si="129"/>
        <v/>
      </c>
      <c r="DX84" s="108" t="str">
        <f t="shared" si="139"/>
        <v/>
      </c>
      <c r="DY84" s="109" t="str">
        <f t="shared" si="140"/>
        <v/>
      </c>
      <c r="DZ84" s="111"/>
      <c r="EA84" s="111"/>
      <c r="EB84" s="109" t="e">
        <f>ABS(IF(D84="","",SUMIF(Puertas!$K$15:$K$114,B84,Puertas!$V$15:$V$114)+SUMIF(Puertas!$O$15:$O$114,B84,Puertas!$X$15:$X$114)))</f>
        <v>#VALUE!</v>
      </c>
      <c r="EC84" s="109" t="str">
        <f t="shared" si="141"/>
        <v/>
      </c>
      <c r="ED84" s="110" t="str">
        <f t="shared" si="142"/>
        <v/>
      </c>
      <c r="EE84" s="42"/>
      <c r="EF84" s="6" t="b">
        <v>0</v>
      </c>
      <c r="EG84" s="6" t="b">
        <v>0</v>
      </c>
      <c r="EH84" s="5" t="e">
        <f t="shared" si="143"/>
        <v>#VALUE!</v>
      </c>
      <c r="EI84" s="5" t="e">
        <f t="shared" si="144"/>
        <v>#VALUE!</v>
      </c>
      <c r="EJ84" s="3">
        <f t="shared" si="145"/>
        <v>0</v>
      </c>
      <c r="EK84" s="3">
        <f t="shared" si="146"/>
        <v>0</v>
      </c>
      <c r="EL84" s="5" t="e">
        <f t="shared" si="147"/>
        <v>#VALUE!</v>
      </c>
      <c r="EM84" s="5" t="e">
        <f t="shared" si="148"/>
        <v>#VALUE!</v>
      </c>
    </row>
    <row r="85" spans="1:143" x14ac:dyDescent="0.3">
      <c r="A85" s="1">
        <v>69</v>
      </c>
      <c r="B85" s="23">
        <v>69</v>
      </c>
      <c r="C85" s="311"/>
      <c r="D85" s="311"/>
      <c r="E85" s="324"/>
      <c r="F85" s="331"/>
      <c r="G85" s="326"/>
      <c r="H85" s="448"/>
      <c r="I85" s="327"/>
      <c r="J85" s="324"/>
      <c r="K85" s="328"/>
      <c r="L85" s="329"/>
      <c r="M85" s="24">
        <f t="shared" si="130"/>
        <v>0</v>
      </c>
      <c r="N85" s="25">
        <f t="shared" si="149"/>
        <v>0</v>
      </c>
      <c r="O85" s="25">
        <f t="shared" si="150"/>
        <v>0</v>
      </c>
      <c r="P85" s="25">
        <f t="shared" si="153"/>
        <v>0</v>
      </c>
      <c r="Q85" s="25">
        <f t="shared" ref="Q85:Q116" si="156">IF($Q$20=0,0,IF(AND($A85=$A84,$A85&lt;&gt;0,Q84&lt;&gt;0),$M85,0))</f>
        <v>0</v>
      </c>
      <c r="R85" s="25">
        <f t="shared" si="68"/>
        <v>0</v>
      </c>
      <c r="S85" s="25">
        <f t="shared" si="70"/>
        <v>0</v>
      </c>
      <c r="T85" s="25">
        <f t="shared" si="72"/>
        <v>0</v>
      </c>
      <c r="U85" s="25">
        <f t="shared" si="75"/>
        <v>0</v>
      </c>
      <c r="V85" s="25">
        <f t="shared" si="77"/>
        <v>0</v>
      </c>
      <c r="W85" s="25">
        <f t="shared" si="79"/>
        <v>0</v>
      </c>
      <c r="X85" s="25">
        <f t="shared" si="81"/>
        <v>0</v>
      </c>
      <c r="Y85" s="25">
        <f t="shared" si="83"/>
        <v>0</v>
      </c>
      <c r="Z85" s="25">
        <f t="shared" si="85"/>
        <v>0</v>
      </c>
      <c r="AA85" s="25">
        <f t="shared" si="87"/>
        <v>0</v>
      </c>
      <c r="AB85" s="25">
        <f t="shared" si="89"/>
        <v>0</v>
      </c>
      <c r="AC85" s="25">
        <f t="shared" si="91"/>
        <v>0</v>
      </c>
      <c r="AD85" s="25">
        <f t="shared" si="93"/>
        <v>0</v>
      </c>
      <c r="AE85" s="25">
        <f t="shared" si="95"/>
        <v>0</v>
      </c>
      <c r="AF85" s="25">
        <f t="shared" si="97"/>
        <v>0</v>
      </c>
      <c r="AG85" s="25">
        <f t="shared" si="99"/>
        <v>0</v>
      </c>
      <c r="AH85" s="25">
        <f t="shared" si="101"/>
        <v>0</v>
      </c>
      <c r="AI85" s="25">
        <f t="shared" si="103"/>
        <v>0</v>
      </c>
      <c r="AJ85" s="25">
        <f t="shared" si="105"/>
        <v>0</v>
      </c>
      <c r="AK85" s="25">
        <f t="shared" si="107"/>
        <v>0</v>
      </c>
      <c r="AL85" s="25">
        <f t="shared" si="109"/>
        <v>0</v>
      </c>
      <c r="AM85" s="25">
        <f t="shared" si="111"/>
        <v>0</v>
      </c>
      <c r="AN85" s="25">
        <f t="shared" si="113"/>
        <v>0</v>
      </c>
      <c r="AO85" s="25">
        <f t="shared" si="115"/>
        <v>0</v>
      </c>
      <c r="AP85" s="25">
        <f t="shared" si="117"/>
        <v>0</v>
      </c>
      <c r="AQ85" s="25">
        <f t="shared" si="119"/>
        <v>0</v>
      </c>
      <c r="AR85" s="25">
        <f t="shared" si="121"/>
        <v>0</v>
      </c>
      <c r="AS85" s="25">
        <f t="shared" si="123"/>
        <v>0</v>
      </c>
      <c r="AT85" s="25">
        <f t="shared" si="131"/>
        <v>0</v>
      </c>
      <c r="AU85" s="25">
        <f t="shared" si="151"/>
        <v>0</v>
      </c>
      <c r="AV85" s="25">
        <f t="shared" si="154"/>
        <v>0</v>
      </c>
      <c r="AW85" s="25">
        <f t="shared" ref="AW85:AW116" si="157">IF($AW$52=0,0,IF(AND($A85=$A84,$A85&lt;&gt;0,AW84&lt;&gt;0),$M85,0))</f>
        <v>0</v>
      </c>
      <c r="AX85" s="25">
        <f t="shared" si="69"/>
        <v>0</v>
      </c>
      <c r="AY85" s="25">
        <f t="shared" si="71"/>
        <v>0</v>
      </c>
      <c r="AZ85" s="25">
        <f t="shared" si="73"/>
        <v>0</v>
      </c>
      <c r="BA85" s="25">
        <f t="shared" si="76"/>
        <v>0</v>
      </c>
      <c r="BB85" s="25">
        <f t="shared" si="78"/>
        <v>0</v>
      </c>
      <c r="BC85" s="25">
        <f t="shared" si="80"/>
        <v>0</v>
      </c>
      <c r="BD85" s="25">
        <f t="shared" si="82"/>
        <v>0</v>
      </c>
      <c r="BE85" s="25">
        <f t="shared" si="84"/>
        <v>0</v>
      </c>
      <c r="BF85" s="25">
        <f t="shared" si="86"/>
        <v>0</v>
      </c>
      <c r="BG85" s="25">
        <f t="shared" si="88"/>
        <v>0</v>
      </c>
      <c r="BH85" s="25">
        <f t="shared" si="90"/>
        <v>0</v>
      </c>
      <c r="BI85" s="25">
        <f t="shared" si="92"/>
        <v>0</v>
      </c>
      <c r="BJ85" s="25">
        <f t="shared" si="94"/>
        <v>0</v>
      </c>
      <c r="BK85" s="25">
        <f t="shared" si="96"/>
        <v>0</v>
      </c>
      <c r="BL85" s="25">
        <f t="shared" si="98"/>
        <v>0</v>
      </c>
      <c r="BM85" s="25">
        <f t="shared" si="100"/>
        <v>0</v>
      </c>
      <c r="BN85" s="25">
        <f t="shared" si="102"/>
        <v>0</v>
      </c>
      <c r="BO85" s="25">
        <f t="shared" si="104"/>
        <v>0</v>
      </c>
      <c r="BP85" s="25">
        <f t="shared" si="106"/>
        <v>0</v>
      </c>
      <c r="BQ85" s="25">
        <f t="shared" si="108"/>
        <v>0</v>
      </c>
      <c r="BR85" s="25">
        <f t="shared" si="110"/>
        <v>0</v>
      </c>
      <c r="BS85" s="25">
        <f t="shared" si="112"/>
        <v>0</v>
      </c>
      <c r="BT85" s="25">
        <f t="shared" si="114"/>
        <v>0</v>
      </c>
      <c r="BU85" s="25">
        <f t="shared" si="116"/>
        <v>0</v>
      </c>
      <c r="BV85" s="25">
        <f t="shared" si="118"/>
        <v>0</v>
      </c>
      <c r="BW85" s="25">
        <f t="shared" si="120"/>
        <v>0</v>
      </c>
      <c r="BX85" s="25">
        <f t="shared" si="122"/>
        <v>0</v>
      </c>
      <c r="BY85" s="25">
        <f t="shared" si="124"/>
        <v>0</v>
      </c>
      <c r="BZ85" s="25">
        <f t="shared" si="132"/>
        <v>0</v>
      </c>
      <c r="CA85" s="25">
        <f t="shared" si="152"/>
        <v>0</v>
      </c>
      <c r="CB85" s="25">
        <f t="shared" si="155"/>
        <v>0</v>
      </c>
      <c r="CC85" s="25">
        <f t="shared" ref="CC85:CC116" si="158">IF($CC$84=0,0,IF(AND($A85=$A84,$A85&lt;&gt;0,CC84&lt;&gt;0),$M85,0))</f>
        <v>0</v>
      </c>
      <c r="CD85" s="25">
        <f>IF(CC85&lt;&gt;0,0,IF(OR($A85=0,$A85=$A84),0,$M85))</f>
        <v>0</v>
      </c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 t="str">
        <v/>
      </c>
      <c r="DK85" s="34" t="str">
        <f t="shared" si="133"/>
        <v/>
      </c>
      <c r="DL85" s="29" t="str">
        <f t="shared" si="125"/>
        <v/>
      </c>
      <c r="DM85" s="35" t="str">
        <f t="shared" si="126"/>
        <v/>
      </c>
      <c r="DN85" s="24">
        <f t="shared" si="134"/>
        <v>20</v>
      </c>
      <c r="DO85" s="24">
        <f t="shared" si="135"/>
        <v>0</v>
      </c>
      <c r="DP85" s="24">
        <f t="shared" si="136"/>
        <v>0</v>
      </c>
      <c r="DQ85" s="24">
        <f t="shared" si="137"/>
        <v>20</v>
      </c>
      <c r="DR85" s="24" t="str">
        <f t="shared" si="138"/>
        <v/>
      </c>
      <c r="DS85" s="26" t="str">
        <f>IF(ISERROR(CEILING(($DQ85*$DL85/60),Puertas!$S$4)),"",CEILING(($DQ85*$DL85/60),Puertas!$S$4))</f>
        <v/>
      </c>
      <c r="DT85" s="26" t="str">
        <f t="shared" si="127"/>
        <v/>
      </c>
      <c r="DU85" s="112" t="str">
        <f t="shared" si="128"/>
        <v/>
      </c>
      <c r="DV85" s="113" t="str">
        <f>IF(D85="","",SUMIF(Puertas!$K$15:$K$114,B85,Puertas!$U$15:$U$114)+SUMIF(Puertas!$O$15:$O$114,B85,Puertas!$W$15:$W$114))</f>
        <v/>
      </c>
      <c r="DW85" s="114" t="str">
        <f t="shared" si="129"/>
        <v/>
      </c>
      <c r="DX85" s="112" t="str">
        <f t="shared" si="139"/>
        <v/>
      </c>
      <c r="DY85" s="113" t="str">
        <f t="shared" si="140"/>
        <v/>
      </c>
      <c r="DZ85" s="115"/>
      <c r="EA85" s="115"/>
      <c r="EB85" s="113" t="e">
        <f>ABS(IF(D85="","",SUMIF(Puertas!$K$15:$K$114,B85,Puertas!$V$15:$V$114)+SUMIF(Puertas!$O$15:$O$114,B85,Puertas!$X$15:$X$114)))</f>
        <v>#VALUE!</v>
      </c>
      <c r="EC85" s="113" t="str">
        <f t="shared" si="141"/>
        <v/>
      </c>
      <c r="ED85" s="114" t="str">
        <f t="shared" si="142"/>
        <v/>
      </c>
      <c r="EE85" s="43"/>
      <c r="EF85" s="6" t="b">
        <v>0</v>
      </c>
      <c r="EG85" s="6" t="b">
        <v>0</v>
      </c>
      <c r="EH85" s="5" t="e">
        <f t="shared" si="143"/>
        <v>#VALUE!</v>
      </c>
      <c r="EI85" s="5" t="e">
        <f t="shared" si="144"/>
        <v>#VALUE!</v>
      </c>
      <c r="EJ85" s="3">
        <f t="shared" si="145"/>
        <v>0</v>
      </c>
      <c r="EK85" s="3">
        <f t="shared" si="146"/>
        <v>0</v>
      </c>
      <c r="EL85" s="5" t="e">
        <f t="shared" si="147"/>
        <v>#VALUE!</v>
      </c>
      <c r="EM85" s="5" t="e">
        <f t="shared" si="148"/>
        <v>#VALUE!</v>
      </c>
    </row>
    <row r="86" spans="1:143" x14ac:dyDescent="0.3">
      <c r="A86" s="1">
        <v>70</v>
      </c>
      <c r="B86" s="15">
        <v>70</v>
      </c>
      <c r="C86" s="309"/>
      <c r="D86" s="309"/>
      <c r="E86" s="312"/>
      <c r="F86" s="332"/>
      <c r="G86" s="314"/>
      <c r="H86" s="446"/>
      <c r="I86" s="315"/>
      <c r="J86" s="312"/>
      <c r="K86" s="316"/>
      <c r="L86" s="317"/>
      <c r="M86" s="16">
        <f t="shared" si="130"/>
        <v>0</v>
      </c>
      <c r="N86" s="17">
        <f t="shared" si="149"/>
        <v>0</v>
      </c>
      <c r="O86" s="17">
        <f t="shared" si="150"/>
        <v>0</v>
      </c>
      <c r="P86" s="17">
        <f t="shared" si="153"/>
        <v>0</v>
      </c>
      <c r="Q86" s="17">
        <f t="shared" si="156"/>
        <v>0</v>
      </c>
      <c r="R86" s="17">
        <f t="shared" ref="R86:R116" si="159">IF($R$21=0,0,IF(AND($A86=$A85,$A86&lt;&gt;0,R85&lt;&gt;0),$M86,0))</f>
        <v>0</v>
      </c>
      <c r="S86" s="17">
        <f t="shared" si="70"/>
        <v>0</v>
      </c>
      <c r="T86" s="17">
        <f t="shared" si="72"/>
        <v>0</v>
      </c>
      <c r="U86" s="17">
        <f t="shared" si="75"/>
        <v>0</v>
      </c>
      <c r="V86" s="17">
        <f t="shared" si="77"/>
        <v>0</v>
      </c>
      <c r="W86" s="17">
        <f t="shared" si="79"/>
        <v>0</v>
      </c>
      <c r="X86" s="17">
        <f t="shared" si="81"/>
        <v>0</v>
      </c>
      <c r="Y86" s="17">
        <f t="shared" si="83"/>
        <v>0</v>
      </c>
      <c r="Z86" s="17">
        <f t="shared" si="85"/>
        <v>0</v>
      </c>
      <c r="AA86" s="17">
        <f t="shared" si="87"/>
        <v>0</v>
      </c>
      <c r="AB86" s="17">
        <f t="shared" si="89"/>
        <v>0</v>
      </c>
      <c r="AC86" s="17">
        <f t="shared" si="91"/>
        <v>0</v>
      </c>
      <c r="AD86" s="17">
        <f t="shared" si="93"/>
        <v>0</v>
      </c>
      <c r="AE86" s="17">
        <f t="shared" si="95"/>
        <v>0</v>
      </c>
      <c r="AF86" s="17">
        <f t="shared" si="97"/>
        <v>0</v>
      </c>
      <c r="AG86" s="17">
        <f t="shared" si="99"/>
        <v>0</v>
      </c>
      <c r="AH86" s="17">
        <f t="shared" si="101"/>
        <v>0</v>
      </c>
      <c r="AI86" s="17">
        <f t="shared" si="103"/>
        <v>0</v>
      </c>
      <c r="AJ86" s="17">
        <f t="shared" si="105"/>
        <v>0</v>
      </c>
      <c r="AK86" s="17">
        <f t="shared" si="107"/>
        <v>0</v>
      </c>
      <c r="AL86" s="17">
        <f t="shared" si="109"/>
        <v>0</v>
      </c>
      <c r="AM86" s="17">
        <f t="shared" si="111"/>
        <v>0</v>
      </c>
      <c r="AN86" s="17">
        <f t="shared" si="113"/>
        <v>0</v>
      </c>
      <c r="AO86" s="17">
        <f t="shared" si="115"/>
        <v>0</v>
      </c>
      <c r="AP86" s="17">
        <f t="shared" si="117"/>
        <v>0</v>
      </c>
      <c r="AQ86" s="17">
        <f t="shared" si="119"/>
        <v>0</v>
      </c>
      <c r="AR86" s="17">
        <f t="shared" si="121"/>
        <v>0</v>
      </c>
      <c r="AS86" s="17">
        <f t="shared" si="123"/>
        <v>0</v>
      </c>
      <c r="AT86" s="17">
        <f t="shared" si="131"/>
        <v>0</v>
      </c>
      <c r="AU86" s="17">
        <f t="shared" si="151"/>
        <v>0</v>
      </c>
      <c r="AV86" s="17">
        <f t="shared" si="154"/>
        <v>0</v>
      </c>
      <c r="AW86" s="17">
        <f t="shared" si="157"/>
        <v>0</v>
      </c>
      <c r="AX86" s="17">
        <f t="shared" ref="AX86:AX116" si="160">IF($AX$53=0,0,IF(AND($A86=$A85,$A86&lt;&gt;0,AX85&lt;&gt;0),$M86,0))</f>
        <v>0</v>
      </c>
      <c r="AY86" s="17">
        <f t="shared" si="71"/>
        <v>0</v>
      </c>
      <c r="AZ86" s="17">
        <f t="shared" si="73"/>
        <v>0</v>
      </c>
      <c r="BA86" s="17">
        <f t="shared" si="76"/>
        <v>0</v>
      </c>
      <c r="BB86" s="17">
        <f t="shared" si="78"/>
        <v>0</v>
      </c>
      <c r="BC86" s="17">
        <f t="shared" si="80"/>
        <v>0</v>
      </c>
      <c r="BD86" s="17">
        <f t="shared" si="82"/>
        <v>0</v>
      </c>
      <c r="BE86" s="17">
        <f t="shared" si="84"/>
        <v>0</v>
      </c>
      <c r="BF86" s="17">
        <f t="shared" si="86"/>
        <v>0</v>
      </c>
      <c r="BG86" s="17">
        <f t="shared" si="88"/>
        <v>0</v>
      </c>
      <c r="BH86" s="17">
        <f t="shared" si="90"/>
        <v>0</v>
      </c>
      <c r="BI86" s="17">
        <f t="shared" si="92"/>
        <v>0</v>
      </c>
      <c r="BJ86" s="17">
        <f t="shared" si="94"/>
        <v>0</v>
      </c>
      <c r="BK86" s="17">
        <f t="shared" si="96"/>
        <v>0</v>
      </c>
      <c r="BL86" s="17">
        <f t="shared" si="98"/>
        <v>0</v>
      </c>
      <c r="BM86" s="17">
        <f t="shared" si="100"/>
        <v>0</v>
      </c>
      <c r="BN86" s="17">
        <f t="shared" si="102"/>
        <v>0</v>
      </c>
      <c r="BO86" s="17">
        <f t="shared" si="104"/>
        <v>0</v>
      </c>
      <c r="BP86" s="17">
        <f t="shared" si="106"/>
        <v>0</v>
      </c>
      <c r="BQ86" s="17">
        <f t="shared" si="108"/>
        <v>0</v>
      </c>
      <c r="BR86" s="17">
        <f t="shared" si="110"/>
        <v>0</v>
      </c>
      <c r="BS86" s="17">
        <f t="shared" si="112"/>
        <v>0</v>
      </c>
      <c r="BT86" s="17">
        <f t="shared" si="114"/>
        <v>0</v>
      </c>
      <c r="BU86" s="17">
        <f t="shared" si="116"/>
        <v>0</v>
      </c>
      <c r="BV86" s="17">
        <f t="shared" si="118"/>
        <v>0</v>
      </c>
      <c r="BW86" s="17">
        <f t="shared" si="120"/>
        <v>0</v>
      </c>
      <c r="BX86" s="17">
        <f t="shared" si="122"/>
        <v>0</v>
      </c>
      <c r="BY86" s="17">
        <f t="shared" si="124"/>
        <v>0</v>
      </c>
      <c r="BZ86" s="17">
        <f t="shared" si="132"/>
        <v>0</v>
      </c>
      <c r="CA86" s="17">
        <f t="shared" si="152"/>
        <v>0</v>
      </c>
      <c r="CB86" s="17">
        <f t="shared" si="155"/>
        <v>0</v>
      </c>
      <c r="CC86" s="17">
        <f t="shared" si="158"/>
        <v>0</v>
      </c>
      <c r="CD86" s="17">
        <f t="shared" ref="CD86:CD116" si="161">IF($CD$85=0,0,IF(AND($A86=$A85,$A86&lt;&gt;0,CD85&lt;&gt;0),$M86,0))</f>
        <v>0</v>
      </c>
      <c r="CE86" s="17">
        <f>IF(CD86&lt;&gt;0,0,IF(OR($A86=0,$A86=$A85),0,$M86))</f>
        <v>0</v>
      </c>
      <c r="CF86" s="17"/>
      <c r="CG86" s="17"/>
      <c r="CH86" s="17"/>
      <c r="CI86" s="17"/>
      <c r="CJ86" s="17"/>
      <c r="CK86" s="17"/>
      <c r="CL86" s="17"/>
      <c r="CM86" s="17"/>
      <c r="CN86" s="17"/>
      <c r="CO86" s="17"/>
      <c r="CP86" s="17"/>
      <c r="CQ86" s="17"/>
      <c r="CR86" s="17"/>
      <c r="CS86" s="17"/>
      <c r="CT86" s="17"/>
      <c r="CU86" s="17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 t="str">
        <v/>
      </c>
      <c r="DK86" s="30" t="str">
        <f t="shared" si="133"/>
        <v/>
      </c>
      <c r="DL86" s="27" t="str">
        <f t="shared" si="125"/>
        <v/>
      </c>
      <c r="DM86" s="31" t="str">
        <f t="shared" si="126"/>
        <v/>
      </c>
      <c r="DN86" s="16">
        <f t="shared" si="134"/>
        <v>20</v>
      </c>
      <c r="DO86" s="16">
        <f t="shared" si="135"/>
        <v>0</v>
      </c>
      <c r="DP86" s="16">
        <f t="shared" si="136"/>
        <v>0</v>
      </c>
      <c r="DQ86" s="16">
        <f t="shared" si="137"/>
        <v>20</v>
      </c>
      <c r="DR86" s="16" t="str">
        <f t="shared" si="138"/>
        <v/>
      </c>
      <c r="DS86" s="18" t="str">
        <f>IF(ISERROR(CEILING(($DQ86*$DL86/60),Puertas!$S$4)),"",CEILING(($DQ86*$DL86/60),Puertas!$S$4))</f>
        <v/>
      </c>
      <c r="DT86" s="18" t="str">
        <f t="shared" si="127"/>
        <v/>
      </c>
      <c r="DU86" s="104" t="str">
        <f t="shared" si="128"/>
        <v/>
      </c>
      <c r="DV86" s="105" t="str">
        <f>IF(D86="","",SUMIF(Puertas!$K$15:$K$114,B86,Puertas!$U$15:$U$114)+SUMIF(Puertas!$O$15:$O$114,B86,Puertas!$W$15:$W$114))</f>
        <v/>
      </c>
      <c r="DW86" s="106" t="str">
        <f t="shared" si="129"/>
        <v/>
      </c>
      <c r="DX86" s="104" t="str">
        <f t="shared" si="139"/>
        <v/>
      </c>
      <c r="DY86" s="105" t="str">
        <f t="shared" si="140"/>
        <v/>
      </c>
      <c r="DZ86" s="107"/>
      <c r="EA86" s="107"/>
      <c r="EB86" s="105" t="e">
        <f>ABS(IF(D86="","",SUMIF(Puertas!$K$15:$K$114,B86,Puertas!$V$15:$V$114)+SUMIF(Puertas!$O$15:$O$114,B86,Puertas!$X$15:$X$114)))</f>
        <v>#VALUE!</v>
      </c>
      <c r="EC86" s="105" t="str">
        <f t="shared" si="141"/>
        <v/>
      </c>
      <c r="ED86" s="106" t="str">
        <f t="shared" si="142"/>
        <v/>
      </c>
      <c r="EE86" s="41"/>
      <c r="EF86" s="6" t="b">
        <v>0</v>
      </c>
      <c r="EG86" s="6" t="b">
        <v>0</v>
      </c>
      <c r="EH86" s="5" t="e">
        <f t="shared" si="143"/>
        <v>#VALUE!</v>
      </c>
      <c r="EI86" s="5" t="e">
        <f t="shared" si="144"/>
        <v>#VALUE!</v>
      </c>
      <c r="EJ86" s="3">
        <f t="shared" si="145"/>
        <v>0</v>
      </c>
      <c r="EK86" s="3">
        <f t="shared" si="146"/>
        <v>0</v>
      </c>
      <c r="EL86" s="5" t="e">
        <f t="shared" si="147"/>
        <v>#VALUE!</v>
      </c>
      <c r="EM86" s="5" t="e">
        <f t="shared" si="148"/>
        <v>#VALUE!</v>
      </c>
    </row>
    <row r="87" spans="1:143" x14ac:dyDescent="0.3">
      <c r="A87" s="1">
        <v>71</v>
      </c>
      <c r="B87" s="19">
        <v>71</v>
      </c>
      <c r="C87" s="310"/>
      <c r="D87" s="310"/>
      <c r="E87" s="318"/>
      <c r="F87" s="330"/>
      <c r="G87" s="320"/>
      <c r="H87" s="447"/>
      <c r="I87" s="321"/>
      <c r="J87" s="318"/>
      <c r="K87" s="322"/>
      <c r="L87" s="323"/>
      <c r="M87" s="20">
        <f t="shared" si="130"/>
        <v>0</v>
      </c>
      <c r="N87" s="21">
        <f t="shared" si="149"/>
        <v>0</v>
      </c>
      <c r="O87" s="21">
        <f t="shared" si="150"/>
        <v>0</v>
      </c>
      <c r="P87" s="21">
        <f t="shared" si="153"/>
        <v>0</v>
      </c>
      <c r="Q87" s="21">
        <f t="shared" si="156"/>
        <v>0</v>
      </c>
      <c r="R87" s="21">
        <f t="shared" si="159"/>
        <v>0</v>
      </c>
      <c r="S87" s="21">
        <f t="shared" ref="S87:S116" si="162">IF($S$22=0,0,IF(AND($A87=$A86,$A87&lt;&gt;0,S86&lt;&gt;0),$M87,0))</f>
        <v>0</v>
      </c>
      <c r="T87" s="21">
        <f t="shared" si="72"/>
        <v>0</v>
      </c>
      <c r="U87" s="21">
        <f t="shared" si="75"/>
        <v>0</v>
      </c>
      <c r="V87" s="21">
        <f t="shared" si="77"/>
        <v>0</v>
      </c>
      <c r="W87" s="21">
        <f t="shared" si="79"/>
        <v>0</v>
      </c>
      <c r="X87" s="21">
        <f t="shared" si="81"/>
        <v>0</v>
      </c>
      <c r="Y87" s="21">
        <f t="shared" si="83"/>
        <v>0</v>
      </c>
      <c r="Z87" s="21">
        <f t="shared" si="85"/>
        <v>0</v>
      </c>
      <c r="AA87" s="21">
        <f t="shared" si="87"/>
        <v>0</v>
      </c>
      <c r="AB87" s="21">
        <f t="shared" si="89"/>
        <v>0</v>
      </c>
      <c r="AC87" s="21">
        <f t="shared" si="91"/>
        <v>0</v>
      </c>
      <c r="AD87" s="21">
        <f t="shared" si="93"/>
        <v>0</v>
      </c>
      <c r="AE87" s="21">
        <f t="shared" si="95"/>
        <v>0</v>
      </c>
      <c r="AF87" s="21">
        <f t="shared" si="97"/>
        <v>0</v>
      </c>
      <c r="AG87" s="21">
        <f t="shared" si="99"/>
        <v>0</v>
      </c>
      <c r="AH87" s="21">
        <f t="shared" si="101"/>
        <v>0</v>
      </c>
      <c r="AI87" s="21">
        <f t="shared" si="103"/>
        <v>0</v>
      </c>
      <c r="AJ87" s="21">
        <f t="shared" si="105"/>
        <v>0</v>
      </c>
      <c r="AK87" s="21">
        <f t="shared" si="107"/>
        <v>0</v>
      </c>
      <c r="AL87" s="21">
        <f t="shared" si="109"/>
        <v>0</v>
      </c>
      <c r="AM87" s="21">
        <f t="shared" si="111"/>
        <v>0</v>
      </c>
      <c r="AN87" s="21">
        <f t="shared" si="113"/>
        <v>0</v>
      </c>
      <c r="AO87" s="21">
        <f t="shared" si="115"/>
        <v>0</v>
      </c>
      <c r="AP87" s="21">
        <f t="shared" si="117"/>
        <v>0</v>
      </c>
      <c r="AQ87" s="21">
        <f t="shared" si="119"/>
        <v>0</v>
      </c>
      <c r="AR87" s="21">
        <f t="shared" si="121"/>
        <v>0</v>
      </c>
      <c r="AS87" s="21">
        <f t="shared" si="123"/>
        <v>0</v>
      </c>
      <c r="AT87" s="21">
        <f t="shared" si="131"/>
        <v>0</v>
      </c>
      <c r="AU87" s="21">
        <f t="shared" si="151"/>
        <v>0</v>
      </c>
      <c r="AV87" s="21">
        <f t="shared" si="154"/>
        <v>0</v>
      </c>
      <c r="AW87" s="21">
        <f t="shared" si="157"/>
        <v>0</v>
      </c>
      <c r="AX87" s="21">
        <f t="shared" si="160"/>
        <v>0</v>
      </c>
      <c r="AY87" s="21">
        <f t="shared" ref="AY87:AY116" si="163">IF($AY$54=0,0,IF(AND($A87=$A86,$A87&lt;&gt;0,AY86&lt;&gt;0),$M87,0))</f>
        <v>0</v>
      </c>
      <c r="AZ87" s="21">
        <f t="shared" si="73"/>
        <v>0</v>
      </c>
      <c r="BA87" s="21">
        <f t="shared" si="76"/>
        <v>0</v>
      </c>
      <c r="BB87" s="21">
        <f t="shared" si="78"/>
        <v>0</v>
      </c>
      <c r="BC87" s="21">
        <f t="shared" si="80"/>
        <v>0</v>
      </c>
      <c r="BD87" s="21">
        <f t="shared" si="82"/>
        <v>0</v>
      </c>
      <c r="BE87" s="21">
        <f t="shared" si="84"/>
        <v>0</v>
      </c>
      <c r="BF87" s="21">
        <f t="shared" si="86"/>
        <v>0</v>
      </c>
      <c r="BG87" s="21">
        <f t="shared" si="88"/>
        <v>0</v>
      </c>
      <c r="BH87" s="21">
        <f t="shared" si="90"/>
        <v>0</v>
      </c>
      <c r="BI87" s="21">
        <f t="shared" si="92"/>
        <v>0</v>
      </c>
      <c r="BJ87" s="21">
        <f t="shared" si="94"/>
        <v>0</v>
      </c>
      <c r="BK87" s="21">
        <f t="shared" si="96"/>
        <v>0</v>
      </c>
      <c r="BL87" s="21">
        <f t="shared" si="98"/>
        <v>0</v>
      </c>
      <c r="BM87" s="21">
        <f t="shared" si="100"/>
        <v>0</v>
      </c>
      <c r="BN87" s="21">
        <f t="shared" si="102"/>
        <v>0</v>
      </c>
      <c r="BO87" s="21">
        <f t="shared" si="104"/>
        <v>0</v>
      </c>
      <c r="BP87" s="21">
        <f t="shared" si="106"/>
        <v>0</v>
      </c>
      <c r="BQ87" s="21">
        <f t="shared" si="108"/>
        <v>0</v>
      </c>
      <c r="BR87" s="21">
        <f t="shared" si="110"/>
        <v>0</v>
      </c>
      <c r="BS87" s="21">
        <f t="shared" si="112"/>
        <v>0</v>
      </c>
      <c r="BT87" s="21">
        <f t="shared" si="114"/>
        <v>0</v>
      </c>
      <c r="BU87" s="21">
        <f t="shared" si="116"/>
        <v>0</v>
      </c>
      <c r="BV87" s="21">
        <f t="shared" si="118"/>
        <v>0</v>
      </c>
      <c r="BW87" s="21">
        <f t="shared" si="120"/>
        <v>0</v>
      </c>
      <c r="BX87" s="21">
        <f t="shared" si="122"/>
        <v>0</v>
      </c>
      <c r="BY87" s="21">
        <f t="shared" si="124"/>
        <v>0</v>
      </c>
      <c r="BZ87" s="21">
        <f t="shared" si="132"/>
        <v>0</v>
      </c>
      <c r="CA87" s="21">
        <f t="shared" si="152"/>
        <v>0</v>
      </c>
      <c r="CB87" s="21">
        <f t="shared" si="155"/>
        <v>0</v>
      </c>
      <c r="CC87" s="21">
        <f t="shared" si="158"/>
        <v>0</v>
      </c>
      <c r="CD87" s="21">
        <f t="shared" si="161"/>
        <v>0</v>
      </c>
      <c r="CE87" s="21">
        <f t="shared" ref="CE87:CE116" si="164">IF($CE$86=0,0,IF(AND($A87=$A86,$A87&lt;&gt;0,CE86&lt;&gt;0),$M87,0))</f>
        <v>0</v>
      </c>
      <c r="CF87" s="21">
        <f>IF(CE87&lt;&gt;0,0,IF(OR($A87=0,$A87=$A86),0,$M87))</f>
        <v>0</v>
      </c>
      <c r="CG87" s="21"/>
      <c r="CH87" s="21"/>
      <c r="CI87" s="21"/>
      <c r="CJ87" s="21"/>
      <c r="CK87" s="21"/>
      <c r="CL87" s="21"/>
      <c r="CM87" s="21"/>
      <c r="CN87" s="21"/>
      <c r="CO87" s="21"/>
      <c r="CP87" s="21"/>
      <c r="CQ87" s="21"/>
      <c r="CR87" s="21"/>
      <c r="CS87" s="21"/>
      <c r="CT87" s="21"/>
      <c r="CU87" s="21"/>
      <c r="CV87" s="21"/>
      <c r="CW87" s="21"/>
      <c r="CX87" s="21"/>
      <c r="CY87" s="21"/>
      <c r="CZ87" s="21"/>
      <c r="DA87" s="21"/>
      <c r="DB87" s="21"/>
      <c r="DC87" s="21"/>
      <c r="DD87" s="21"/>
      <c r="DE87" s="21"/>
      <c r="DF87" s="21"/>
      <c r="DG87" s="21"/>
      <c r="DH87" s="21"/>
      <c r="DI87" s="21"/>
      <c r="DJ87" s="21" t="str">
        <v/>
      </c>
      <c r="DK87" s="32" t="str">
        <f t="shared" si="133"/>
        <v/>
      </c>
      <c r="DL87" s="28" t="str">
        <f t="shared" si="125"/>
        <v/>
      </c>
      <c r="DM87" s="33" t="str">
        <f t="shared" si="126"/>
        <v/>
      </c>
      <c r="DN87" s="20">
        <f t="shared" si="134"/>
        <v>20</v>
      </c>
      <c r="DO87" s="20">
        <f t="shared" si="135"/>
        <v>0</v>
      </c>
      <c r="DP87" s="20">
        <f t="shared" si="136"/>
        <v>0</v>
      </c>
      <c r="DQ87" s="20">
        <f t="shared" si="137"/>
        <v>20</v>
      </c>
      <c r="DR87" s="20" t="str">
        <f t="shared" si="138"/>
        <v/>
      </c>
      <c r="DS87" s="22" t="str">
        <f>IF(ISERROR(CEILING(($DQ87*$DL87/60),Puertas!$S$4)),"",CEILING(($DQ87*$DL87/60),Puertas!$S$4))</f>
        <v/>
      </c>
      <c r="DT87" s="22" t="str">
        <f t="shared" si="127"/>
        <v/>
      </c>
      <c r="DU87" s="108" t="str">
        <f t="shared" si="128"/>
        <v/>
      </c>
      <c r="DV87" s="109" t="str">
        <f>IF(D87="","",SUMIF(Puertas!$K$15:$K$114,B87,Puertas!$U$15:$U$114)+SUMIF(Puertas!$O$15:$O$114,B87,Puertas!$W$15:$W$114))</f>
        <v/>
      </c>
      <c r="DW87" s="110" t="str">
        <f t="shared" si="129"/>
        <v/>
      </c>
      <c r="DX87" s="108" t="str">
        <f t="shared" si="139"/>
        <v/>
      </c>
      <c r="DY87" s="109" t="str">
        <f t="shared" si="140"/>
        <v/>
      </c>
      <c r="DZ87" s="111"/>
      <c r="EA87" s="111"/>
      <c r="EB87" s="109" t="e">
        <f>ABS(IF(D87="","",SUMIF(Puertas!$K$15:$K$114,B87,Puertas!$V$15:$V$114)+SUMIF(Puertas!$O$15:$O$114,B87,Puertas!$X$15:$X$114)))</f>
        <v>#VALUE!</v>
      </c>
      <c r="EC87" s="109" t="str">
        <f t="shared" si="141"/>
        <v/>
      </c>
      <c r="ED87" s="110" t="str">
        <f t="shared" si="142"/>
        <v/>
      </c>
      <c r="EE87" s="42"/>
      <c r="EF87" s="6" t="b">
        <v>0</v>
      </c>
      <c r="EG87" s="6" t="b">
        <v>0</v>
      </c>
      <c r="EH87" s="5" t="e">
        <f t="shared" si="143"/>
        <v>#VALUE!</v>
      </c>
      <c r="EI87" s="5" t="e">
        <f t="shared" si="144"/>
        <v>#VALUE!</v>
      </c>
      <c r="EJ87" s="3">
        <f t="shared" si="145"/>
        <v>0</v>
      </c>
      <c r="EK87" s="3">
        <f t="shared" si="146"/>
        <v>0</v>
      </c>
      <c r="EL87" s="5" t="e">
        <f t="shared" si="147"/>
        <v>#VALUE!</v>
      </c>
      <c r="EM87" s="5" t="e">
        <f t="shared" si="148"/>
        <v>#VALUE!</v>
      </c>
    </row>
    <row r="88" spans="1:143" x14ac:dyDescent="0.3">
      <c r="A88" s="1">
        <v>72</v>
      </c>
      <c r="B88" s="23">
        <v>72</v>
      </c>
      <c r="C88" s="311"/>
      <c r="D88" s="311"/>
      <c r="E88" s="324"/>
      <c r="F88" s="331"/>
      <c r="G88" s="326"/>
      <c r="H88" s="448"/>
      <c r="I88" s="327"/>
      <c r="J88" s="324"/>
      <c r="K88" s="328"/>
      <c r="L88" s="329"/>
      <c r="M88" s="24">
        <f t="shared" si="130"/>
        <v>0</v>
      </c>
      <c r="N88" s="25">
        <f t="shared" si="149"/>
        <v>0</v>
      </c>
      <c r="O88" s="25">
        <f t="shared" si="150"/>
        <v>0</v>
      </c>
      <c r="P88" s="25">
        <f t="shared" si="153"/>
        <v>0</v>
      </c>
      <c r="Q88" s="25">
        <f t="shared" si="156"/>
        <v>0</v>
      </c>
      <c r="R88" s="25">
        <f t="shared" si="159"/>
        <v>0</v>
      </c>
      <c r="S88" s="25">
        <f t="shared" si="162"/>
        <v>0</v>
      </c>
      <c r="T88" s="25">
        <f t="shared" ref="T88:T116" si="165">IF($T$23=0,0,IF(AND($A88=$A87,$A88&lt;&gt;0,T87&lt;&gt;0),$M88,0))</f>
        <v>0</v>
      </c>
      <c r="U88" s="25">
        <f t="shared" si="75"/>
        <v>0</v>
      </c>
      <c r="V88" s="25">
        <f t="shared" si="77"/>
        <v>0</v>
      </c>
      <c r="W88" s="25">
        <f t="shared" si="79"/>
        <v>0</v>
      </c>
      <c r="X88" s="25">
        <f t="shared" si="81"/>
        <v>0</v>
      </c>
      <c r="Y88" s="25">
        <f t="shared" si="83"/>
        <v>0</v>
      </c>
      <c r="Z88" s="25">
        <f t="shared" si="85"/>
        <v>0</v>
      </c>
      <c r="AA88" s="25">
        <f t="shared" si="87"/>
        <v>0</v>
      </c>
      <c r="AB88" s="25">
        <f t="shared" si="89"/>
        <v>0</v>
      </c>
      <c r="AC88" s="25">
        <f t="shared" si="91"/>
        <v>0</v>
      </c>
      <c r="AD88" s="25">
        <f t="shared" si="93"/>
        <v>0</v>
      </c>
      <c r="AE88" s="25">
        <f t="shared" si="95"/>
        <v>0</v>
      </c>
      <c r="AF88" s="25">
        <f t="shared" si="97"/>
        <v>0</v>
      </c>
      <c r="AG88" s="25">
        <f t="shared" si="99"/>
        <v>0</v>
      </c>
      <c r="AH88" s="25">
        <f t="shared" si="101"/>
        <v>0</v>
      </c>
      <c r="AI88" s="25">
        <f t="shared" si="103"/>
        <v>0</v>
      </c>
      <c r="AJ88" s="25">
        <f t="shared" si="105"/>
        <v>0</v>
      </c>
      <c r="AK88" s="25">
        <f t="shared" si="107"/>
        <v>0</v>
      </c>
      <c r="AL88" s="25">
        <f t="shared" si="109"/>
        <v>0</v>
      </c>
      <c r="AM88" s="25">
        <f t="shared" si="111"/>
        <v>0</v>
      </c>
      <c r="AN88" s="25">
        <f t="shared" si="113"/>
        <v>0</v>
      </c>
      <c r="AO88" s="25">
        <f t="shared" si="115"/>
        <v>0</v>
      </c>
      <c r="AP88" s="25">
        <f t="shared" si="117"/>
        <v>0</v>
      </c>
      <c r="AQ88" s="25">
        <f t="shared" si="119"/>
        <v>0</v>
      </c>
      <c r="AR88" s="25">
        <f t="shared" si="121"/>
        <v>0</v>
      </c>
      <c r="AS88" s="25">
        <f t="shared" si="123"/>
        <v>0</v>
      </c>
      <c r="AT88" s="25">
        <f t="shared" si="131"/>
        <v>0</v>
      </c>
      <c r="AU88" s="25">
        <f t="shared" si="151"/>
        <v>0</v>
      </c>
      <c r="AV88" s="25">
        <f t="shared" si="154"/>
        <v>0</v>
      </c>
      <c r="AW88" s="25">
        <f t="shared" si="157"/>
        <v>0</v>
      </c>
      <c r="AX88" s="25">
        <f t="shared" si="160"/>
        <v>0</v>
      </c>
      <c r="AY88" s="25">
        <f t="shared" si="163"/>
        <v>0</v>
      </c>
      <c r="AZ88" s="25">
        <f t="shared" ref="AZ88:AZ116" si="166">IF($AZ$55=0,0,IF(AND($A88=$A87,$A88&lt;&gt;0,AZ87&lt;&gt;0),$M88,0))</f>
        <v>0</v>
      </c>
      <c r="BA88" s="25">
        <f t="shared" si="76"/>
        <v>0</v>
      </c>
      <c r="BB88" s="25">
        <f t="shared" si="78"/>
        <v>0</v>
      </c>
      <c r="BC88" s="25">
        <f t="shared" si="80"/>
        <v>0</v>
      </c>
      <c r="BD88" s="25">
        <f t="shared" si="82"/>
        <v>0</v>
      </c>
      <c r="BE88" s="25">
        <f t="shared" si="84"/>
        <v>0</v>
      </c>
      <c r="BF88" s="25">
        <f t="shared" si="86"/>
        <v>0</v>
      </c>
      <c r="BG88" s="25">
        <f t="shared" si="88"/>
        <v>0</v>
      </c>
      <c r="BH88" s="25">
        <f t="shared" si="90"/>
        <v>0</v>
      </c>
      <c r="BI88" s="25">
        <f t="shared" si="92"/>
        <v>0</v>
      </c>
      <c r="BJ88" s="25">
        <f t="shared" si="94"/>
        <v>0</v>
      </c>
      <c r="BK88" s="25">
        <f t="shared" si="96"/>
        <v>0</v>
      </c>
      <c r="BL88" s="25">
        <f t="shared" si="98"/>
        <v>0</v>
      </c>
      <c r="BM88" s="25">
        <f t="shared" si="100"/>
        <v>0</v>
      </c>
      <c r="BN88" s="25">
        <f t="shared" si="102"/>
        <v>0</v>
      </c>
      <c r="BO88" s="25">
        <f t="shared" si="104"/>
        <v>0</v>
      </c>
      <c r="BP88" s="25">
        <f t="shared" si="106"/>
        <v>0</v>
      </c>
      <c r="BQ88" s="25">
        <f t="shared" si="108"/>
        <v>0</v>
      </c>
      <c r="BR88" s="25">
        <f t="shared" si="110"/>
        <v>0</v>
      </c>
      <c r="BS88" s="25">
        <f t="shared" si="112"/>
        <v>0</v>
      </c>
      <c r="BT88" s="25">
        <f t="shared" si="114"/>
        <v>0</v>
      </c>
      <c r="BU88" s="25">
        <f t="shared" si="116"/>
        <v>0</v>
      </c>
      <c r="BV88" s="25">
        <f t="shared" si="118"/>
        <v>0</v>
      </c>
      <c r="BW88" s="25">
        <f t="shared" si="120"/>
        <v>0</v>
      </c>
      <c r="BX88" s="25">
        <f t="shared" si="122"/>
        <v>0</v>
      </c>
      <c r="BY88" s="25">
        <f t="shared" si="124"/>
        <v>0</v>
      </c>
      <c r="BZ88" s="25">
        <f t="shared" si="132"/>
        <v>0</v>
      </c>
      <c r="CA88" s="25">
        <f t="shared" si="152"/>
        <v>0</v>
      </c>
      <c r="CB88" s="25">
        <f t="shared" si="155"/>
        <v>0</v>
      </c>
      <c r="CC88" s="25">
        <f t="shared" si="158"/>
        <v>0</v>
      </c>
      <c r="CD88" s="25">
        <f t="shared" si="161"/>
        <v>0</v>
      </c>
      <c r="CE88" s="25">
        <f t="shared" si="164"/>
        <v>0</v>
      </c>
      <c r="CF88" s="25">
        <f t="shared" ref="CF88:CF116" si="167">IF($CF$87=0,0,IF(AND($A88=$A87,$A88&lt;&gt;0,CF87&lt;&gt;0),$M88,0))</f>
        <v>0</v>
      </c>
      <c r="CG88" s="25">
        <f>IF(CF88&lt;&gt;0,0,IF(OR($A88=0,$A88=$A87),0,$M88))</f>
        <v>0</v>
      </c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 t="str">
        <v/>
      </c>
      <c r="DK88" s="34" t="str">
        <f t="shared" si="133"/>
        <v/>
      </c>
      <c r="DL88" s="29" t="str">
        <f t="shared" si="125"/>
        <v/>
      </c>
      <c r="DM88" s="35" t="str">
        <f t="shared" si="126"/>
        <v/>
      </c>
      <c r="DN88" s="24">
        <f t="shared" si="134"/>
        <v>20</v>
      </c>
      <c r="DO88" s="24">
        <f t="shared" si="135"/>
        <v>0</v>
      </c>
      <c r="DP88" s="24">
        <f t="shared" si="136"/>
        <v>0</v>
      </c>
      <c r="DQ88" s="24">
        <f t="shared" si="137"/>
        <v>20</v>
      </c>
      <c r="DR88" s="24" t="str">
        <f t="shared" si="138"/>
        <v/>
      </c>
      <c r="DS88" s="26" t="str">
        <f>IF(ISERROR(CEILING(($DQ88*$DL88/60),Puertas!$S$4)),"",CEILING(($DQ88*$DL88/60),Puertas!$S$4))</f>
        <v/>
      </c>
      <c r="DT88" s="26" t="str">
        <f t="shared" si="127"/>
        <v/>
      </c>
      <c r="DU88" s="112" t="str">
        <f t="shared" si="128"/>
        <v/>
      </c>
      <c r="DV88" s="113" t="str">
        <f>IF(D88="","",SUMIF(Puertas!$K$15:$K$114,B88,Puertas!$U$15:$U$114)+SUMIF(Puertas!$O$15:$O$114,B88,Puertas!$W$15:$W$114))</f>
        <v/>
      </c>
      <c r="DW88" s="114" t="str">
        <f t="shared" si="129"/>
        <v/>
      </c>
      <c r="DX88" s="112" t="str">
        <f t="shared" si="139"/>
        <v/>
      </c>
      <c r="DY88" s="113" t="str">
        <f t="shared" si="140"/>
        <v/>
      </c>
      <c r="DZ88" s="115"/>
      <c r="EA88" s="115"/>
      <c r="EB88" s="113" t="e">
        <f>ABS(IF(D88="","",SUMIF(Puertas!$K$15:$K$114,B88,Puertas!$V$15:$V$114)+SUMIF(Puertas!$O$15:$O$114,B88,Puertas!$X$15:$X$114)))</f>
        <v>#VALUE!</v>
      </c>
      <c r="EC88" s="113" t="str">
        <f t="shared" si="141"/>
        <v/>
      </c>
      <c r="ED88" s="114" t="str">
        <f t="shared" si="142"/>
        <v/>
      </c>
      <c r="EE88" s="43"/>
      <c r="EF88" s="6" t="b">
        <v>0</v>
      </c>
      <c r="EG88" s="6" t="b">
        <v>0</v>
      </c>
      <c r="EH88" s="5" t="e">
        <f t="shared" si="143"/>
        <v>#VALUE!</v>
      </c>
      <c r="EI88" s="5" t="e">
        <f t="shared" si="144"/>
        <v>#VALUE!</v>
      </c>
      <c r="EJ88" s="3">
        <f t="shared" si="145"/>
        <v>0</v>
      </c>
      <c r="EK88" s="3">
        <f t="shared" si="146"/>
        <v>0</v>
      </c>
      <c r="EL88" s="5" t="e">
        <f t="shared" si="147"/>
        <v>#VALUE!</v>
      </c>
      <c r="EM88" s="5" t="e">
        <f t="shared" si="148"/>
        <v>#VALUE!</v>
      </c>
    </row>
    <row r="89" spans="1:143" x14ac:dyDescent="0.3">
      <c r="A89" s="1">
        <v>73</v>
      </c>
      <c r="B89" s="15">
        <v>73</v>
      </c>
      <c r="C89" s="309"/>
      <c r="D89" s="309"/>
      <c r="E89" s="312"/>
      <c r="F89" s="332"/>
      <c r="G89" s="314"/>
      <c r="H89" s="446"/>
      <c r="I89" s="315"/>
      <c r="J89" s="312"/>
      <c r="K89" s="316"/>
      <c r="L89" s="317"/>
      <c r="M89" s="16">
        <f t="shared" si="130"/>
        <v>0</v>
      </c>
      <c r="N89" s="17">
        <f t="shared" si="149"/>
        <v>0</v>
      </c>
      <c r="O89" s="17">
        <f t="shared" si="150"/>
        <v>0</v>
      </c>
      <c r="P89" s="17">
        <f t="shared" si="153"/>
        <v>0</v>
      </c>
      <c r="Q89" s="17">
        <f t="shared" si="156"/>
        <v>0</v>
      </c>
      <c r="R89" s="17">
        <f t="shared" si="159"/>
        <v>0</v>
      </c>
      <c r="S89" s="17">
        <f t="shared" si="162"/>
        <v>0</v>
      </c>
      <c r="T89" s="17">
        <f t="shared" si="165"/>
        <v>0</v>
      </c>
      <c r="U89" s="17">
        <f t="shared" ref="U89:U116" si="168">IF($U$24=0,0,IF(AND($A89=$A88,$A89&lt;&gt;0,U88&lt;&gt;0),$M89,0))</f>
        <v>0</v>
      </c>
      <c r="V89" s="17">
        <f t="shared" si="77"/>
        <v>0</v>
      </c>
      <c r="W89" s="17">
        <f t="shared" si="79"/>
        <v>0</v>
      </c>
      <c r="X89" s="17">
        <f t="shared" si="81"/>
        <v>0</v>
      </c>
      <c r="Y89" s="17">
        <f t="shared" si="83"/>
        <v>0</v>
      </c>
      <c r="Z89" s="17">
        <f t="shared" si="85"/>
        <v>0</v>
      </c>
      <c r="AA89" s="17">
        <f t="shared" si="87"/>
        <v>0</v>
      </c>
      <c r="AB89" s="17">
        <f t="shared" si="89"/>
        <v>0</v>
      </c>
      <c r="AC89" s="17">
        <f t="shared" si="91"/>
        <v>0</v>
      </c>
      <c r="AD89" s="17">
        <f t="shared" si="93"/>
        <v>0</v>
      </c>
      <c r="AE89" s="17">
        <f t="shared" si="95"/>
        <v>0</v>
      </c>
      <c r="AF89" s="17">
        <f t="shared" si="97"/>
        <v>0</v>
      </c>
      <c r="AG89" s="17">
        <f t="shared" si="99"/>
        <v>0</v>
      </c>
      <c r="AH89" s="17">
        <f t="shared" si="101"/>
        <v>0</v>
      </c>
      <c r="AI89" s="17">
        <f t="shared" si="103"/>
        <v>0</v>
      </c>
      <c r="AJ89" s="17">
        <f t="shared" si="105"/>
        <v>0</v>
      </c>
      <c r="AK89" s="17">
        <f t="shared" si="107"/>
        <v>0</v>
      </c>
      <c r="AL89" s="17">
        <f t="shared" si="109"/>
        <v>0</v>
      </c>
      <c r="AM89" s="17">
        <f t="shared" si="111"/>
        <v>0</v>
      </c>
      <c r="AN89" s="17">
        <f t="shared" si="113"/>
        <v>0</v>
      </c>
      <c r="AO89" s="17">
        <f t="shared" si="115"/>
        <v>0</v>
      </c>
      <c r="AP89" s="17">
        <f t="shared" si="117"/>
        <v>0</v>
      </c>
      <c r="AQ89" s="17">
        <f t="shared" si="119"/>
        <v>0</v>
      </c>
      <c r="AR89" s="17">
        <f t="shared" si="121"/>
        <v>0</v>
      </c>
      <c r="AS89" s="17">
        <f t="shared" si="123"/>
        <v>0</v>
      </c>
      <c r="AT89" s="17">
        <f t="shared" si="131"/>
        <v>0</v>
      </c>
      <c r="AU89" s="17">
        <f t="shared" si="151"/>
        <v>0</v>
      </c>
      <c r="AV89" s="17">
        <f t="shared" si="154"/>
        <v>0</v>
      </c>
      <c r="AW89" s="17">
        <f t="shared" si="157"/>
        <v>0</v>
      </c>
      <c r="AX89" s="17">
        <f t="shared" si="160"/>
        <v>0</v>
      </c>
      <c r="AY89" s="17">
        <f t="shared" si="163"/>
        <v>0</v>
      </c>
      <c r="AZ89" s="17">
        <f t="shared" si="166"/>
        <v>0</v>
      </c>
      <c r="BA89" s="17">
        <f t="shared" ref="BA89:BA116" si="169">IF($BA$56=0,0,IF(AND($A89=$A88,$A89&lt;&gt;0,BA88&lt;&gt;0),$M89,0))</f>
        <v>0</v>
      </c>
      <c r="BB89" s="17">
        <f t="shared" si="78"/>
        <v>0</v>
      </c>
      <c r="BC89" s="17">
        <f t="shared" si="80"/>
        <v>0</v>
      </c>
      <c r="BD89" s="17">
        <f t="shared" si="82"/>
        <v>0</v>
      </c>
      <c r="BE89" s="17">
        <f t="shared" si="84"/>
        <v>0</v>
      </c>
      <c r="BF89" s="17">
        <f t="shared" si="86"/>
        <v>0</v>
      </c>
      <c r="BG89" s="17">
        <f t="shared" si="88"/>
        <v>0</v>
      </c>
      <c r="BH89" s="17">
        <f t="shared" si="90"/>
        <v>0</v>
      </c>
      <c r="BI89" s="17">
        <f t="shared" si="92"/>
        <v>0</v>
      </c>
      <c r="BJ89" s="17">
        <f t="shared" si="94"/>
        <v>0</v>
      </c>
      <c r="BK89" s="17">
        <f t="shared" si="96"/>
        <v>0</v>
      </c>
      <c r="BL89" s="17">
        <f t="shared" si="98"/>
        <v>0</v>
      </c>
      <c r="BM89" s="17">
        <f t="shared" si="100"/>
        <v>0</v>
      </c>
      <c r="BN89" s="17">
        <f t="shared" si="102"/>
        <v>0</v>
      </c>
      <c r="BO89" s="17">
        <f t="shared" si="104"/>
        <v>0</v>
      </c>
      <c r="BP89" s="17">
        <f t="shared" si="106"/>
        <v>0</v>
      </c>
      <c r="BQ89" s="17">
        <f t="shared" si="108"/>
        <v>0</v>
      </c>
      <c r="BR89" s="17">
        <f t="shared" si="110"/>
        <v>0</v>
      </c>
      <c r="BS89" s="17">
        <f t="shared" si="112"/>
        <v>0</v>
      </c>
      <c r="BT89" s="17">
        <f t="shared" si="114"/>
        <v>0</v>
      </c>
      <c r="BU89" s="17">
        <f t="shared" si="116"/>
        <v>0</v>
      </c>
      <c r="BV89" s="17">
        <f t="shared" si="118"/>
        <v>0</v>
      </c>
      <c r="BW89" s="17">
        <f t="shared" si="120"/>
        <v>0</v>
      </c>
      <c r="BX89" s="17">
        <f t="shared" si="122"/>
        <v>0</v>
      </c>
      <c r="BY89" s="17">
        <f t="shared" si="124"/>
        <v>0</v>
      </c>
      <c r="BZ89" s="17">
        <f t="shared" si="132"/>
        <v>0</v>
      </c>
      <c r="CA89" s="17">
        <f t="shared" si="152"/>
        <v>0</v>
      </c>
      <c r="CB89" s="17">
        <f t="shared" si="155"/>
        <v>0</v>
      </c>
      <c r="CC89" s="17">
        <f t="shared" si="158"/>
        <v>0</v>
      </c>
      <c r="CD89" s="17">
        <f t="shared" si="161"/>
        <v>0</v>
      </c>
      <c r="CE89" s="17">
        <f t="shared" si="164"/>
        <v>0</v>
      </c>
      <c r="CF89" s="17">
        <f t="shared" si="167"/>
        <v>0</v>
      </c>
      <c r="CG89" s="17">
        <f t="shared" ref="CG89:CG116" si="170">IF($CG$88=0,0,IF(AND($A89=$A88,$A89&lt;&gt;0,CG88&lt;&gt;0),$M89,0))</f>
        <v>0</v>
      </c>
      <c r="CH89" s="17">
        <f>IF(CG89&lt;&gt;0,0,IF(OR($A89=0,$A89=$A88),0,$M89))</f>
        <v>0</v>
      </c>
      <c r="CI89" s="17"/>
      <c r="CJ89" s="17"/>
      <c r="CK89" s="17"/>
      <c r="CL89" s="17"/>
      <c r="CM89" s="17"/>
      <c r="CN89" s="17"/>
      <c r="CO89" s="17"/>
      <c r="CP89" s="17"/>
      <c r="CQ89" s="17"/>
      <c r="CR89" s="17"/>
      <c r="CS89" s="17"/>
      <c r="CT89" s="17"/>
      <c r="CU89" s="17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 t="str">
        <v/>
      </c>
      <c r="DK89" s="30" t="str">
        <f t="shared" si="133"/>
        <v/>
      </c>
      <c r="DL89" s="27" t="str">
        <f t="shared" si="125"/>
        <v/>
      </c>
      <c r="DM89" s="31" t="str">
        <f t="shared" si="126"/>
        <v/>
      </c>
      <c r="DN89" s="16">
        <f t="shared" si="134"/>
        <v>20</v>
      </c>
      <c r="DO89" s="16">
        <f t="shared" si="135"/>
        <v>0</v>
      </c>
      <c r="DP89" s="16">
        <f t="shared" si="136"/>
        <v>0</v>
      </c>
      <c r="DQ89" s="16">
        <f t="shared" si="137"/>
        <v>20</v>
      </c>
      <c r="DR89" s="16" t="str">
        <f t="shared" si="138"/>
        <v/>
      </c>
      <c r="DS89" s="18" t="str">
        <f>IF(ISERROR(CEILING(($DQ89*$DL89/60),Puertas!$S$4)),"",CEILING(($DQ89*$DL89/60),Puertas!$S$4))</f>
        <v/>
      </c>
      <c r="DT89" s="18" t="str">
        <f t="shared" si="127"/>
        <v/>
      </c>
      <c r="DU89" s="104" t="str">
        <f t="shared" si="128"/>
        <v/>
      </c>
      <c r="DV89" s="105" t="str">
        <f>IF(D89="","",SUMIF(Puertas!$K$15:$K$114,B89,Puertas!$U$15:$U$114)+SUMIF(Puertas!$O$15:$O$114,B89,Puertas!$W$15:$W$114))</f>
        <v/>
      </c>
      <c r="DW89" s="106" t="str">
        <f t="shared" si="129"/>
        <v/>
      </c>
      <c r="DX89" s="104" t="str">
        <f t="shared" si="139"/>
        <v/>
      </c>
      <c r="DY89" s="105" t="str">
        <f t="shared" si="140"/>
        <v/>
      </c>
      <c r="DZ89" s="107"/>
      <c r="EA89" s="107"/>
      <c r="EB89" s="105" t="e">
        <f>ABS(IF(D89="","",SUMIF(Puertas!$K$15:$K$114,B89,Puertas!$V$15:$V$114)+SUMIF(Puertas!$O$15:$O$114,B89,Puertas!$X$15:$X$114)))</f>
        <v>#VALUE!</v>
      </c>
      <c r="EC89" s="105" t="str">
        <f t="shared" si="141"/>
        <v/>
      </c>
      <c r="ED89" s="106" t="str">
        <f t="shared" si="142"/>
        <v/>
      </c>
      <c r="EE89" s="41"/>
      <c r="EF89" s="6" t="b">
        <v>0</v>
      </c>
      <c r="EG89" s="6" t="b">
        <v>0</v>
      </c>
      <c r="EH89" s="5" t="e">
        <f t="shared" si="143"/>
        <v>#VALUE!</v>
      </c>
      <c r="EI89" s="5" t="e">
        <f t="shared" si="144"/>
        <v>#VALUE!</v>
      </c>
      <c r="EJ89" s="3">
        <f t="shared" si="145"/>
        <v>0</v>
      </c>
      <c r="EK89" s="3">
        <f t="shared" si="146"/>
        <v>0</v>
      </c>
      <c r="EL89" s="5" t="e">
        <f t="shared" si="147"/>
        <v>#VALUE!</v>
      </c>
      <c r="EM89" s="5" t="e">
        <f t="shared" si="148"/>
        <v>#VALUE!</v>
      </c>
    </row>
    <row r="90" spans="1:143" x14ac:dyDescent="0.3">
      <c r="A90" s="1">
        <v>74</v>
      </c>
      <c r="B90" s="19">
        <v>74</v>
      </c>
      <c r="C90" s="310"/>
      <c r="D90" s="310"/>
      <c r="E90" s="318"/>
      <c r="F90" s="330"/>
      <c r="G90" s="320"/>
      <c r="H90" s="447"/>
      <c r="I90" s="321"/>
      <c r="J90" s="318"/>
      <c r="K90" s="322"/>
      <c r="L90" s="323"/>
      <c r="M90" s="20">
        <f t="shared" si="130"/>
        <v>0</v>
      </c>
      <c r="N90" s="21">
        <f t="shared" si="149"/>
        <v>0</v>
      </c>
      <c r="O90" s="21">
        <f t="shared" si="150"/>
        <v>0</v>
      </c>
      <c r="P90" s="21">
        <f t="shared" si="153"/>
        <v>0</v>
      </c>
      <c r="Q90" s="21">
        <f t="shared" si="156"/>
        <v>0</v>
      </c>
      <c r="R90" s="21">
        <f t="shared" si="159"/>
        <v>0</v>
      </c>
      <c r="S90" s="21">
        <f t="shared" si="162"/>
        <v>0</v>
      </c>
      <c r="T90" s="21">
        <f t="shared" si="165"/>
        <v>0</v>
      </c>
      <c r="U90" s="21">
        <f t="shared" si="168"/>
        <v>0</v>
      </c>
      <c r="V90" s="21">
        <f t="shared" ref="V90:V116" si="171">IF($V$25=0,0,IF(AND($A90=$A89,$A90&lt;&gt;0,V89&lt;&gt;0),$M90,0))</f>
        <v>0</v>
      </c>
      <c r="W90" s="21">
        <f t="shared" si="79"/>
        <v>0</v>
      </c>
      <c r="X90" s="21">
        <f t="shared" si="81"/>
        <v>0</v>
      </c>
      <c r="Y90" s="21">
        <f t="shared" si="83"/>
        <v>0</v>
      </c>
      <c r="Z90" s="21">
        <f t="shared" si="85"/>
        <v>0</v>
      </c>
      <c r="AA90" s="21">
        <f t="shared" si="87"/>
        <v>0</v>
      </c>
      <c r="AB90" s="21">
        <f t="shared" si="89"/>
        <v>0</v>
      </c>
      <c r="AC90" s="21">
        <f t="shared" si="91"/>
        <v>0</v>
      </c>
      <c r="AD90" s="21">
        <f t="shared" si="93"/>
        <v>0</v>
      </c>
      <c r="AE90" s="21">
        <f t="shared" si="95"/>
        <v>0</v>
      </c>
      <c r="AF90" s="21">
        <f t="shared" si="97"/>
        <v>0</v>
      </c>
      <c r="AG90" s="21">
        <f t="shared" si="99"/>
        <v>0</v>
      </c>
      <c r="AH90" s="21">
        <f t="shared" si="101"/>
        <v>0</v>
      </c>
      <c r="AI90" s="21">
        <f t="shared" si="103"/>
        <v>0</v>
      </c>
      <c r="AJ90" s="21">
        <f t="shared" si="105"/>
        <v>0</v>
      </c>
      <c r="AK90" s="21">
        <f t="shared" si="107"/>
        <v>0</v>
      </c>
      <c r="AL90" s="21">
        <f t="shared" si="109"/>
        <v>0</v>
      </c>
      <c r="AM90" s="21">
        <f t="shared" si="111"/>
        <v>0</v>
      </c>
      <c r="AN90" s="21">
        <f t="shared" si="113"/>
        <v>0</v>
      </c>
      <c r="AO90" s="21">
        <f t="shared" si="115"/>
        <v>0</v>
      </c>
      <c r="AP90" s="21">
        <f t="shared" si="117"/>
        <v>0</v>
      </c>
      <c r="AQ90" s="21">
        <f t="shared" si="119"/>
        <v>0</v>
      </c>
      <c r="AR90" s="21">
        <f t="shared" si="121"/>
        <v>0</v>
      </c>
      <c r="AS90" s="21">
        <f t="shared" si="123"/>
        <v>0</v>
      </c>
      <c r="AT90" s="21">
        <f t="shared" si="131"/>
        <v>0</v>
      </c>
      <c r="AU90" s="21">
        <f t="shared" si="151"/>
        <v>0</v>
      </c>
      <c r="AV90" s="21">
        <f t="shared" si="154"/>
        <v>0</v>
      </c>
      <c r="AW90" s="21">
        <f t="shared" si="157"/>
        <v>0</v>
      </c>
      <c r="AX90" s="21">
        <f t="shared" si="160"/>
        <v>0</v>
      </c>
      <c r="AY90" s="21">
        <f t="shared" si="163"/>
        <v>0</v>
      </c>
      <c r="AZ90" s="21">
        <f t="shared" si="166"/>
        <v>0</v>
      </c>
      <c r="BA90" s="21">
        <f t="shared" si="169"/>
        <v>0</v>
      </c>
      <c r="BB90" s="21">
        <f t="shared" ref="BB90:BB116" si="172">IF($BB$57=0,0,IF(AND($A90=$A89,$A90&lt;&gt;0,BB89&lt;&gt;0),$M90,0))</f>
        <v>0</v>
      </c>
      <c r="BC90" s="21">
        <f t="shared" si="80"/>
        <v>0</v>
      </c>
      <c r="BD90" s="21">
        <f t="shared" si="82"/>
        <v>0</v>
      </c>
      <c r="BE90" s="21">
        <f t="shared" si="84"/>
        <v>0</v>
      </c>
      <c r="BF90" s="21">
        <f t="shared" si="86"/>
        <v>0</v>
      </c>
      <c r="BG90" s="21">
        <f t="shared" si="88"/>
        <v>0</v>
      </c>
      <c r="BH90" s="21">
        <f t="shared" si="90"/>
        <v>0</v>
      </c>
      <c r="BI90" s="21">
        <f t="shared" si="92"/>
        <v>0</v>
      </c>
      <c r="BJ90" s="21">
        <f t="shared" si="94"/>
        <v>0</v>
      </c>
      <c r="BK90" s="21">
        <f t="shared" si="96"/>
        <v>0</v>
      </c>
      <c r="BL90" s="21">
        <f t="shared" si="98"/>
        <v>0</v>
      </c>
      <c r="BM90" s="21">
        <f t="shared" si="100"/>
        <v>0</v>
      </c>
      <c r="BN90" s="21">
        <f t="shared" si="102"/>
        <v>0</v>
      </c>
      <c r="BO90" s="21">
        <f t="shared" si="104"/>
        <v>0</v>
      </c>
      <c r="BP90" s="21">
        <f t="shared" si="106"/>
        <v>0</v>
      </c>
      <c r="BQ90" s="21">
        <f t="shared" si="108"/>
        <v>0</v>
      </c>
      <c r="BR90" s="21">
        <f t="shared" si="110"/>
        <v>0</v>
      </c>
      <c r="BS90" s="21">
        <f t="shared" si="112"/>
        <v>0</v>
      </c>
      <c r="BT90" s="21">
        <f t="shared" si="114"/>
        <v>0</v>
      </c>
      <c r="BU90" s="21">
        <f t="shared" si="116"/>
        <v>0</v>
      </c>
      <c r="BV90" s="21">
        <f t="shared" si="118"/>
        <v>0</v>
      </c>
      <c r="BW90" s="21">
        <f t="shared" si="120"/>
        <v>0</v>
      </c>
      <c r="BX90" s="21">
        <f t="shared" si="122"/>
        <v>0</v>
      </c>
      <c r="BY90" s="21">
        <f t="shared" si="124"/>
        <v>0</v>
      </c>
      <c r="BZ90" s="21">
        <f t="shared" si="132"/>
        <v>0</v>
      </c>
      <c r="CA90" s="21">
        <f t="shared" si="152"/>
        <v>0</v>
      </c>
      <c r="CB90" s="21">
        <f t="shared" si="155"/>
        <v>0</v>
      </c>
      <c r="CC90" s="21">
        <f t="shared" si="158"/>
        <v>0</v>
      </c>
      <c r="CD90" s="21">
        <f t="shared" si="161"/>
        <v>0</v>
      </c>
      <c r="CE90" s="21">
        <f t="shared" si="164"/>
        <v>0</v>
      </c>
      <c r="CF90" s="21">
        <f t="shared" si="167"/>
        <v>0</v>
      </c>
      <c r="CG90" s="21">
        <f t="shared" si="170"/>
        <v>0</v>
      </c>
      <c r="CH90" s="21">
        <f t="shared" ref="CH90:CH116" si="173">IF($CH$89=0,0,IF(AND($A90=$A89,$A90&lt;&gt;0,CH89&lt;&gt;0),$M90,0))</f>
        <v>0</v>
      </c>
      <c r="CI90" s="21">
        <f>IF(CH90&lt;&gt;0,0,IF(OR($A90=0,$A90=$A89),0,$M90))</f>
        <v>0</v>
      </c>
      <c r="CJ90" s="21"/>
      <c r="CK90" s="21"/>
      <c r="CL90" s="21"/>
      <c r="CM90" s="21"/>
      <c r="CN90" s="21"/>
      <c r="CO90" s="21"/>
      <c r="CP90" s="21"/>
      <c r="CQ90" s="21"/>
      <c r="CR90" s="21"/>
      <c r="CS90" s="21"/>
      <c r="CT90" s="21"/>
      <c r="CU90" s="21"/>
      <c r="CV90" s="21"/>
      <c r="CW90" s="21"/>
      <c r="CX90" s="21"/>
      <c r="CY90" s="21"/>
      <c r="CZ90" s="21"/>
      <c r="DA90" s="21"/>
      <c r="DB90" s="21"/>
      <c r="DC90" s="21"/>
      <c r="DD90" s="21"/>
      <c r="DE90" s="21"/>
      <c r="DF90" s="21"/>
      <c r="DG90" s="21"/>
      <c r="DH90" s="21"/>
      <c r="DI90" s="21"/>
      <c r="DJ90" s="21" t="str">
        <v/>
      </c>
      <c r="DK90" s="32" t="str">
        <f t="shared" si="133"/>
        <v/>
      </c>
      <c r="DL90" s="28" t="str">
        <f t="shared" si="125"/>
        <v/>
      </c>
      <c r="DM90" s="33" t="str">
        <f t="shared" si="126"/>
        <v/>
      </c>
      <c r="DN90" s="20">
        <f t="shared" si="134"/>
        <v>20</v>
      </c>
      <c r="DO90" s="20">
        <f t="shared" si="135"/>
        <v>0</v>
      </c>
      <c r="DP90" s="20">
        <f t="shared" si="136"/>
        <v>0</v>
      </c>
      <c r="DQ90" s="20">
        <f t="shared" si="137"/>
        <v>20</v>
      </c>
      <c r="DR90" s="20" t="str">
        <f t="shared" si="138"/>
        <v/>
      </c>
      <c r="DS90" s="22" t="str">
        <f>IF(ISERROR(CEILING(($DQ90*$DL90/60),Puertas!$S$4)),"",CEILING(($DQ90*$DL90/60),Puertas!$S$4))</f>
        <v/>
      </c>
      <c r="DT90" s="22" t="str">
        <f t="shared" si="127"/>
        <v/>
      </c>
      <c r="DU90" s="108" t="str">
        <f t="shared" si="128"/>
        <v/>
      </c>
      <c r="DV90" s="109" t="str">
        <f>IF(D90="","",SUMIF(Puertas!$K$15:$K$114,B90,Puertas!$U$15:$U$114)+SUMIF(Puertas!$O$15:$O$114,B90,Puertas!$W$15:$W$114))</f>
        <v/>
      </c>
      <c r="DW90" s="110" t="str">
        <f t="shared" si="129"/>
        <v/>
      </c>
      <c r="DX90" s="108" t="str">
        <f t="shared" si="139"/>
        <v/>
      </c>
      <c r="DY90" s="109" t="str">
        <f t="shared" si="140"/>
        <v/>
      </c>
      <c r="DZ90" s="111"/>
      <c r="EA90" s="111"/>
      <c r="EB90" s="109" t="e">
        <f>ABS(IF(D90="","",SUMIF(Puertas!$K$15:$K$114,B90,Puertas!$V$15:$V$114)+SUMIF(Puertas!$O$15:$O$114,B90,Puertas!$X$15:$X$114)))</f>
        <v>#VALUE!</v>
      </c>
      <c r="EC90" s="109" t="str">
        <f t="shared" si="141"/>
        <v/>
      </c>
      <c r="ED90" s="110" t="str">
        <f t="shared" si="142"/>
        <v/>
      </c>
      <c r="EE90" s="42"/>
      <c r="EF90" s="6" t="b">
        <v>0</v>
      </c>
      <c r="EG90" s="6" t="b">
        <v>0</v>
      </c>
      <c r="EH90" s="5" t="e">
        <f t="shared" si="143"/>
        <v>#VALUE!</v>
      </c>
      <c r="EI90" s="5" t="e">
        <f t="shared" si="144"/>
        <v>#VALUE!</v>
      </c>
      <c r="EJ90" s="3">
        <f t="shared" si="145"/>
        <v>0</v>
      </c>
      <c r="EK90" s="3">
        <f t="shared" si="146"/>
        <v>0</v>
      </c>
      <c r="EL90" s="5" t="e">
        <f t="shared" si="147"/>
        <v>#VALUE!</v>
      </c>
      <c r="EM90" s="5" t="e">
        <f t="shared" si="148"/>
        <v>#VALUE!</v>
      </c>
    </row>
    <row r="91" spans="1:143" x14ac:dyDescent="0.3">
      <c r="A91" s="1">
        <v>75</v>
      </c>
      <c r="B91" s="23">
        <v>75</v>
      </c>
      <c r="C91" s="311"/>
      <c r="D91" s="311"/>
      <c r="E91" s="324"/>
      <c r="F91" s="331"/>
      <c r="G91" s="326"/>
      <c r="H91" s="448"/>
      <c r="I91" s="327"/>
      <c r="J91" s="324"/>
      <c r="K91" s="328"/>
      <c r="L91" s="329"/>
      <c r="M91" s="24">
        <f t="shared" si="130"/>
        <v>0</v>
      </c>
      <c r="N91" s="25">
        <f t="shared" si="149"/>
        <v>0</v>
      </c>
      <c r="O91" s="25">
        <f t="shared" si="150"/>
        <v>0</v>
      </c>
      <c r="P91" s="25">
        <f t="shared" si="153"/>
        <v>0</v>
      </c>
      <c r="Q91" s="25">
        <f t="shared" si="156"/>
        <v>0</v>
      </c>
      <c r="R91" s="25">
        <f t="shared" si="159"/>
        <v>0</v>
      </c>
      <c r="S91" s="25">
        <f t="shared" si="162"/>
        <v>0</v>
      </c>
      <c r="T91" s="25">
        <f t="shared" si="165"/>
        <v>0</v>
      </c>
      <c r="U91" s="25">
        <f t="shared" si="168"/>
        <v>0</v>
      </c>
      <c r="V91" s="25">
        <f t="shared" si="171"/>
        <v>0</v>
      </c>
      <c r="W91" s="25">
        <f t="shared" ref="W91:W116" si="174">IF($W$26=0,0,IF(AND($A91=$A90,$A91&lt;&gt;0,W90&lt;&gt;0),$M91,0))</f>
        <v>0</v>
      </c>
      <c r="X91" s="25">
        <f t="shared" si="81"/>
        <v>0</v>
      </c>
      <c r="Y91" s="25">
        <f t="shared" si="83"/>
        <v>0</v>
      </c>
      <c r="Z91" s="25">
        <f t="shared" si="85"/>
        <v>0</v>
      </c>
      <c r="AA91" s="25">
        <f t="shared" si="87"/>
        <v>0</v>
      </c>
      <c r="AB91" s="25">
        <f t="shared" si="89"/>
        <v>0</v>
      </c>
      <c r="AC91" s="25">
        <f t="shared" si="91"/>
        <v>0</v>
      </c>
      <c r="AD91" s="25">
        <f t="shared" si="93"/>
        <v>0</v>
      </c>
      <c r="AE91" s="25">
        <f t="shared" si="95"/>
        <v>0</v>
      </c>
      <c r="AF91" s="25">
        <f t="shared" si="97"/>
        <v>0</v>
      </c>
      <c r="AG91" s="25">
        <f t="shared" si="99"/>
        <v>0</v>
      </c>
      <c r="AH91" s="25">
        <f t="shared" si="101"/>
        <v>0</v>
      </c>
      <c r="AI91" s="25">
        <f t="shared" si="103"/>
        <v>0</v>
      </c>
      <c r="AJ91" s="25">
        <f t="shared" si="105"/>
        <v>0</v>
      </c>
      <c r="AK91" s="25">
        <f t="shared" si="107"/>
        <v>0</v>
      </c>
      <c r="AL91" s="25">
        <f t="shared" si="109"/>
        <v>0</v>
      </c>
      <c r="AM91" s="25">
        <f t="shared" si="111"/>
        <v>0</v>
      </c>
      <c r="AN91" s="25">
        <f t="shared" si="113"/>
        <v>0</v>
      </c>
      <c r="AO91" s="25">
        <f t="shared" si="115"/>
        <v>0</v>
      </c>
      <c r="AP91" s="25">
        <f t="shared" si="117"/>
        <v>0</v>
      </c>
      <c r="AQ91" s="25">
        <f t="shared" si="119"/>
        <v>0</v>
      </c>
      <c r="AR91" s="25">
        <f t="shared" si="121"/>
        <v>0</v>
      </c>
      <c r="AS91" s="25">
        <f t="shared" si="123"/>
        <v>0</v>
      </c>
      <c r="AT91" s="25">
        <f t="shared" si="131"/>
        <v>0</v>
      </c>
      <c r="AU91" s="25">
        <f t="shared" si="151"/>
        <v>0</v>
      </c>
      <c r="AV91" s="25">
        <f t="shared" si="154"/>
        <v>0</v>
      </c>
      <c r="AW91" s="25">
        <f t="shared" si="157"/>
        <v>0</v>
      </c>
      <c r="AX91" s="25">
        <f t="shared" si="160"/>
        <v>0</v>
      </c>
      <c r="AY91" s="25">
        <f t="shared" si="163"/>
        <v>0</v>
      </c>
      <c r="AZ91" s="25">
        <f t="shared" si="166"/>
        <v>0</v>
      </c>
      <c r="BA91" s="25">
        <f t="shared" si="169"/>
        <v>0</v>
      </c>
      <c r="BB91" s="25">
        <f t="shared" si="172"/>
        <v>0</v>
      </c>
      <c r="BC91" s="25">
        <f t="shared" ref="BC91:BC116" si="175">IF($BC$58=0,0,IF(AND($A91=$A90,$A91&lt;&gt;0,BC90&lt;&gt;0),$M91,0))</f>
        <v>0</v>
      </c>
      <c r="BD91" s="25">
        <f t="shared" si="82"/>
        <v>0</v>
      </c>
      <c r="BE91" s="25">
        <f t="shared" si="84"/>
        <v>0</v>
      </c>
      <c r="BF91" s="25">
        <f t="shared" si="86"/>
        <v>0</v>
      </c>
      <c r="BG91" s="25">
        <f t="shared" si="88"/>
        <v>0</v>
      </c>
      <c r="BH91" s="25">
        <f t="shared" si="90"/>
        <v>0</v>
      </c>
      <c r="BI91" s="25">
        <f t="shared" si="92"/>
        <v>0</v>
      </c>
      <c r="BJ91" s="25">
        <f t="shared" si="94"/>
        <v>0</v>
      </c>
      <c r="BK91" s="25">
        <f t="shared" si="96"/>
        <v>0</v>
      </c>
      <c r="BL91" s="25">
        <f t="shared" si="98"/>
        <v>0</v>
      </c>
      <c r="BM91" s="25">
        <f t="shared" si="100"/>
        <v>0</v>
      </c>
      <c r="BN91" s="25">
        <f t="shared" si="102"/>
        <v>0</v>
      </c>
      <c r="BO91" s="25">
        <f t="shared" si="104"/>
        <v>0</v>
      </c>
      <c r="BP91" s="25">
        <f t="shared" si="106"/>
        <v>0</v>
      </c>
      <c r="BQ91" s="25">
        <f t="shared" si="108"/>
        <v>0</v>
      </c>
      <c r="BR91" s="25">
        <f t="shared" si="110"/>
        <v>0</v>
      </c>
      <c r="BS91" s="25">
        <f t="shared" si="112"/>
        <v>0</v>
      </c>
      <c r="BT91" s="25">
        <f t="shared" si="114"/>
        <v>0</v>
      </c>
      <c r="BU91" s="25">
        <f t="shared" si="116"/>
        <v>0</v>
      </c>
      <c r="BV91" s="25">
        <f t="shared" si="118"/>
        <v>0</v>
      </c>
      <c r="BW91" s="25">
        <f t="shared" si="120"/>
        <v>0</v>
      </c>
      <c r="BX91" s="25">
        <f t="shared" si="122"/>
        <v>0</v>
      </c>
      <c r="BY91" s="25">
        <f t="shared" si="124"/>
        <v>0</v>
      </c>
      <c r="BZ91" s="25">
        <f t="shared" si="132"/>
        <v>0</v>
      </c>
      <c r="CA91" s="25">
        <f t="shared" si="152"/>
        <v>0</v>
      </c>
      <c r="CB91" s="25">
        <f t="shared" si="155"/>
        <v>0</v>
      </c>
      <c r="CC91" s="25">
        <f t="shared" si="158"/>
        <v>0</v>
      </c>
      <c r="CD91" s="25">
        <f t="shared" si="161"/>
        <v>0</v>
      </c>
      <c r="CE91" s="25">
        <f t="shared" si="164"/>
        <v>0</v>
      </c>
      <c r="CF91" s="25">
        <f t="shared" si="167"/>
        <v>0</v>
      </c>
      <c r="CG91" s="25">
        <f t="shared" si="170"/>
        <v>0</v>
      </c>
      <c r="CH91" s="25">
        <f t="shared" si="173"/>
        <v>0</v>
      </c>
      <c r="CI91" s="25">
        <f t="shared" ref="CI91:CI116" si="176">IF($CI$90=0,0,IF(AND($A91=$A90,$A91&lt;&gt;0,CI90&lt;&gt;0),$M91,0))</f>
        <v>0</v>
      </c>
      <c r="CJ91" s="25">
        <f>IF(CI91&lt;&gt;0,0,IF(OR($A91=0,$A91=$A90),0,$M91))</f>
        <v>0</v>
      </c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 t="str">
        <v/>
      </c>
      <c r="DK91" s="34" t="str">
        <f t="shared" si="133"/>
        <v/>
      </c>
      <c r="DL91" s="29" t="str">
        <f t="shared" si="125"/>
        <v/>
      </c>
      <c r="DM91" s="35" t="str">
        <f t="shared" si="126"/>
        <v/>
      </c>
      <c r="DN91" s="24">
        <f t="shared" si="134"/>
        <v>20</v>
      </c>
      <c r="DO91" s="24">
        <f t="shared" si="135"/>
        <v>0</v>
      </c>
      <c r="DP91" s="24">
        <f t="shared" si="136"/>
        <v>0</v>
      </c>
      <c r="DQ91" s="24">
        <f t="shared" si="137"/>
        <v>20</v>
      </c>
      <c r="DR91" s="24" t="str">
        <f t="shared" si="138"/>
        <v/>
      </c>
      <c r="DS91" s="26" t="str">
        <f>IF(ISERROR(CEILING(($DQ91*$DL91/60),Puertas!$S$4)),"",CEILING(($DQ91*$DL91/60),Puertas!$S$4))</f>
        <v/>
      </c>
      <c r="DT91" s="26" t="str">
        <f t="shared" si="127"/>
        <v/>
      </c>
      <c r="DU91" s="112" t="str">
        <f t="shared" si="128"/>
        <v/>
      </c>
      <c r="DV91" s="113" t="str">
        <f>IF(D91="","",SUMIF(Puertas!$K$15:$K$114,B91,Puertas!$U$15:$U$114)+SUMIF(Puertas!$O$15:$O$114,B91,Puertas!$W$15:$W$114))</f>
        <v/>
      </c>
      <c r="DW91" s="114" t="str">
        <f t="shared" si="129"/>
        <v/>
      </c>
      <c r="DX91" s="112" t="str">
        <f t="shared" si="139"/>
        <v/>
      </c>
      <c r="DY91" s="113" t="str">
        <f t="shared" si="140"/>
        <v/>
      </c>
      <c r="DZ91" s="115"/>
      <c r="EA91" s="115"/>
      <c r="EB91" s="113" t="e">
        <f>ABS(IF(D91="","",SUMIF(Puertas!$K$15:$K$114,B91,Puertas!$V$15:$V$114)+SUMIF(Puertas!$O$15:$O$114,B91,Puertas!$X$15:$X$114)))</f>
        <v>#VALUE!</v>
      </c>
      <c r="EC91" s="113" t="str">
        <f t="shared" si="141"/>
        <v/>
      </c>
      <c r="ED91" s="114" t="str">
        <f t="shared" si="142"/>
        <v/>
      </c>
      <c r="EE91" s="43"/>
      <c r="EF91" s="6" t="b">
        <v>0</v>
      </c>
      <c r="EG91" s="6" t="b">
        <v>0</v>
      </c>
      <c r="EH91" s="5" t="e">
        <f t="shared" si="143"/>
        <v>#VALUE!</v>
      </c>
      <c r="EI91" s="5" t="e">
        <f t="shared" si="144"/>
        <v>#VALUE!</v>
      </c>
      <c r="EJ91" s="3">
        <f t="shared" si="145"/>
        <v>0</v>
      </c>
      <c r="EK91" s="3">
        <f t="shared" si="146"/>
        <v>0</v>
      </c>
      <c r="EL91" s="5" t="e">
        <f t="shared" si="147"/>
        <v>#VALUE!</v>
      </c>
      <c r="EM91" s="5" t="e">
        <f t="shared" si="148"/>
        <v>#VALUE!</v>
      </c>
    </row>
    <row r="92" spans="1:143" x14ac:dyDescent="0.3">
      <c r="A92" s="1">
        <v>76</v>
      </c>
      <c r="B92" s="15">
        <v>76</v>
      </c>
      <c r="C92" s="309"/>
      <c r="D92" s="309"/>
      <c r="E92" s="312"/>
      <c r="F92" s="332"/>
      <c r="G92" s="314"/>
      <c r="H92" s="446"/>
      <c r="I92" s="315"/>
      <c r="J92" s="312"/>
      <c r="K92" s="316"/>
      <c r="L92" s="317"/>
      <c r="M92" s="16">
        <f t="shared" si="130"/>
        <v>0</v>
      </c>
      <c r="N92" s="17">
        <f t="shared" si="149"/>
        <v>0</v>
      </c>
      <c r="O92" s="17">
        <f t="shared" si="150"/>
        <v>0</v>
      </c>
      <c r="P92" s="17">
        <f t="shared" si="153"/>
        <v>0</v>
      </c>
      <c r="Q92" s="17">
        <f t="shared" si="156"/>
        <v>0</v>
      </c>
      <c r="R92" s="17">
        <f t="shared" si="159"/>
        <v>0</v>
      </c>
      <c r="S92" s="17">
        <f t="shared" si="162"/>
        <v>0</v>
      </c>
      <c r="T92" s="17">
        <f t="shared" si="165"/>
        <v>0</v>
      </c>
      <c r="U92" s="17">
        <f t="shared" si="168"/>
        <v>0</v>
      </c>
      <c r="V92" s="17">
        <f t="shared" si="171"/>
        <v>0</v>
      </c>
      <c r="W92" s="17">
        <f t="shared" si="174"/>
        <v>0</v>
      </c>
      <c r="X92" s="17">
        <f t="shared" ref="X92:X116" si="177">IF($X$27=0,0,IF(AND($A92=$A91,$A92&lt;&gt;0,X91&lt;&gt;0),$M92,0))</f>
        <v>0</v>
      </c>
      <c r="Y92" s="17">
        <f t="shared" si="83"/>
        <v>0</v>
      </c>
      <c r="Z92" s="17">
        <f t="shared" si="85"/>
        <v>0</v>
      </c>
      <c r="AA92" s="17">
        <f t="shared" si="87"/>
        <v>0</v>
      </c>
      <c r="AB92" s="17">
        <f t="shared" si="89"/>
        <v>0</v>
      </c>
      <c r="AC92" s="17">
        <f t="shared" si="91"/>
        <v>0</v>
      </c>
      <c r="AD92" s="17">
        <f t="shared" si="93"/>
        <v>0</v>
      </c>
      <c r="AE92" s="17">
        <f t="shared" si="95"/>
        <v>0</v>
      </c>
      <c r="AF92" s="17">
        <f t="shared" si="97"/>
        <v>0</v>
      </c>
      <c r="AG92" s="17">
        <f t="shared" si="99"/>
        <v>0</v>
      </c>
      <c r="AH92" s="17">
        <f t="shared" si="101"/>
        <v>0</v>
      </c>
      <c r="AI92" s="17">
        <f t="shared" si="103"/>
        <v>0</v>
      </c>
      <c r="AJ92" s="17">
        <f t="shared" si="105"/>
        <v>0</v>
      </c>
      <c r="AK92" s="17">
        <f t="shared" si="107"/>
        <v>0</v>
      </c>
      <c r="AL92" s="17">
        <f t="shared" si="109"/>
        <v>0</v>
      </c>
      <c r="AM92" s="17">
        <f t="shared" si="111"/>
        <v>0</v>
      </c>
      <c r="AN92" s="17">
        <f t="shared" si="113"/>
        <v>0</v>
      </c>
      <c r="AO92" s="17">
        <f t="shared" si="115"/>
        <v>0</v>
      </c>
      <c r="AP92" s="17">
        <f t="shared" si="117"/>
        <v>0</v>
      </c>
      <c r="AQ92" s="17">
        <f t="shared" si="119"/>
        <v>0</v>
      </c>
      <c r="AR92" s="17">
        <f t="shared" si="121"/>
        <v>0</v>
      </c>
      <c r="AS92" s="17">
        <f t="shared" si="123"/>
        <v>0</v>
      </c>
      <c r="AT92" s="17">
        <f t="shared" si="131"/>
        <v>0</v>
      </c>
      <c r="AU92" s="17">
        <f t="shared" si="151"/>
        <v>0</v>
      </c>
      <c r="AV92" s="17">
        <f t="shared" si="154"/>
        <v>0</v>
      </c>
      <c r="AW92" s="17">
        <f t="shared" si="157"/>
        <v>0</v>
      </c>
      <c r="AX92" s="17">
        <f t="shared" si="160"/>
        <v>0</v>
      </c>
      <c r="AY92" s="17">
        <f t="shared" si="163"/>
        <v>0</v>
      </c>
      <c r="AZ92" s="17">
        <f t="shared" si="166"/>
        <v>0</v>
      </c>
      <c r="BA92" s="17">
        <f t="shared" si="169"/>
        <v>0</v>
      </c>
      <c r="BB92" s="17">
        <f t="shared" si="172"/>
        <v>0</v>
      </c>
      <c r="BC92" s="17">
        <f t="shared" si="175"/>
        <v>0</v>
      </c>
      <c r="BD92" s="17">
        <f t="shared" ref="BD92:BD116" si="178">IF($BD$59=0,0,IF(AND($A92=$A91,$A92&lt;&gt;0,BD91&lt;&gt;0),$M92,0))</f>
        <v>0</v>
      </c>
      <c r="BE92" s="17">
        <f t="shared" si="84"/>
        <v>0</v>
      </c>
      <c r="BF92" s="17">
        <f t="shared" si="86"/>
        <v>0</v>
      </c>
      <c r="BG92" s="17">
        <f t="shared" si="88"/>
        <v>0</v>
      </c>
      <c r="BH92" s="17">
        <f t="shared" si="90"/>
        <v>0</v>
      </c>
      <c r="BI92" s="17">
        <f t="shared" si="92"/>
        <v>0</v>
      </c>
      <c r="BJ92" s="17">
        <f t="shared" si="94"/>
        <v>0</v>
      </c>
      <c r="BK92" s="17">
        <f t="shared" si="96"/>
        <v>0</v>
      </c>
      <c r="BL92" s="17">
        <f t="shared" si="98"/>
        <v>0</v>
      </c>
      <c r="BM92" s="17">
        <f t="shared" si="100"/>
        <v>0</v>
      </c>
      <c r="BN92" s="17">
        <f t="shared" si="102"/>
        <v>0</v>
      </c>
      <c r="BO92" s="17">
        <f t="shared" si="104"/>
        <v>0</v>
      </c>
      <c r="BP92" s="17">
        <f t="shared" si="106"/>
        <v>0</v>
      </c>
      <c r="BQ92" s="17">
        <f t="shared" si="108"/>
        <v>0</v>
      </c>
      <c r="BR92" s="17">
        <f t="shared" si="110"/>
        <v>0</v>
      </c>
      <c r="BS92" s="17">
        <f t="shared" si="112"/>
        <v>0</v>
      </c>
      <c r="BT92" s="17">
        <f t="shared" si="114"/>
        <v>0</v>
      </c>
      <c r="BU92" s="17">
        <f t="shared" si="116"/>
        <v>0</v>
      </c>
      <c r="BV92" s="17">
        <f t="shared" si="118"/>
        <v>0</v>
      </c>
      <c r="BW92" s="17">
        <f t="shared" si="120"/>
        <v>0</v>
      </c>
      <c r="BX92" s="17">
        <f t="shared" si="122"/>
        <v>0</v>
      </c>
      <c r="BY92" s="17">
        <f t="shared" si="124"/>
        <v>0</v>
      </c>
      <c r="BZ92" s="17">
        <f t="shared" si="132"/>
        <v>0</v>
      </c>
      <c r="CA92" s="17">
        <f t="shared" si="152"/>
        <v>0</v>
      </c>
      <c r="CB92" s="17">
        <f t="shared" si="155"/>
        <v>0</v>
      </c>
      <c r="CC92" s="17">
        <f t="shared" si="158"/>
        <v>0</v>
      </c>
      <c r="CD92" s="17">
        <f t="shared" si="161"/>
        <v>0</v>
      </c>
      <c r="CE92" s="17">
        <f t="shared" si="164"/>
        <v>0</v>
      </c>
      <c r="CF92" s="17">
        <f t="shared" si="167"/>
        <v>0</v>
      </c>
      <c r="CG92" s="17">
        <f t="shared" si="170"/>
        <v>0</v>
      </c>
      <c r="CH92" s="17">
        <f t="shared" si="173"/>
        <v>0</v>
      </c>
      <c r="CI92" s="17">
        <f t="shared" si="176"/>
        <v>0</v>
      </c>
      <c r="CJ92" s="17">
        <f t="shared" ref="CJ92:CJ116" si="179">IF($CJ$91=0,0,IF(AND($A92=$A91,$A92&lt;&gt;0,CJ91&lt;&gt;0),$M92,0))</f>
        <v>0</v>
      </c>
      <c r="CK92" s="17">
        <f>IF(CJ92&lt;&gt;0,0,IF(OR($A92=0,$A92=$A91),0,$M92))</f>
        <v>0</v>
      </c>
      <c r="CL92" s="17"/>
      <c r="CM92" s="17"/>
      <c r="CN92" s="17"/>
      <c r="CO92" s="17"/>
      <c r="CP92" s="17"/>
      <c r="CQ92" s="17"/>
      <c r="CR92" s="17"/>
      <c r="CS92" s="17"/>
      <c r="CT92" s="17"/>
      <c r="CU92" s="1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 t="str">
        <v/>
      </c>
      <c r="DK92" s="30" t="str">
        <f t="shared" si="133"/>
        <v/>
      </c>
      <c r="DL92" s="27" t="str">
        <f t="shared" si="125"/>
        <v/>
      </c>
      <c r="DM92" s="31" t="str">
        <f t="shared" si="126"/>
        <v/>
      </c>
      <c r="DN92" s="16">
        <f t="shared" si="134"/>
        <v>20</v>
      </c>
      <c r="DO92" s="16">
        <f t="shared" si="135"/>
        <v>0</v>
      </c>
      <c r="DP92" s="16">
        <f t="shared" si="136"/>
        <v>0</v>
      </c>
      <c r="DQ92" s="16">
        <f t="shared" si="137"/>
        <v>20</v>
      </c>
      <c r="DR92" s="16" t="str">
        <f t="shared" si="138"/>
        <v/>
      </c>
      <c r="DS92" s="18" t="str">
        <f>IF(ISERROR(CEILING(($DQ92*$DL92/60),Puertas!$S$4)),"",CEILING(($DQ92*$DL92/60),Puertas!$S$4))</f>
        <v/>
      </c>
      <c r="DT92" s="18" t="str">
        <f t="shared" si="127"/>
        <v/>
      </c>
      <c r="DU92" s="104" t="str">
        <f t="shared" si="128"/>
        <v/>
      </c>
      <c r="DV92" s="105" t="str">
        <f>IF(D92="","",SUMIF(Puertas!$K$15:$K$114,B92,Puertas!$U$15:$U$114)+SUMIF(Puertas!$O$15:$O$114,B92,Puertas!$W$15:$W$114))</f>
        <v/>
      </c>
      <c r="DW92" s="106" t="str">
        <f t="shared" si="129"/>
        <v/>
      </c>
      <c r="DX92" s="104" t="str">
        <f t="shared" si="139"/>
        <v/>
      </c>
      <c r="DY92" s="105" t="str">
        <f t="shared" si="140"/>
        <v/>
      </c>
      <c r="DZ92" s="107"/>
      <c r="EA92" s="107"/>
      <c r="EB92" s="105" t="e">
        <f>ABS(IF(D92="","",SUMIF(Puertas!$K$15:$K$114,B92,Puertas!$V$15:$V$114)+SUMIF(Puertas!$O$15:$O$114,B92,Puertas!$X$15:$X$114)))</f>
        <v>#VALUE!</v>
      </c>
      <c r="EC92" s="105" t="str">
        <f t="shared" si="141"/>
        <v/>
      </c>
      <c r="ED92" s="106" t="str">
        <f t="shared" si="142"/>
        <v/>
      </c>
      <c r="EE92" s="41"/>
      <c r="EF92" s="6" t="b">
        <v>0</v>
      </c>
      <c r="EG92" s="6" t="b">
        <v>0</v>
      </c>
      <c r="EH92" s="5" t="e">
        <f t="shared" si="143"/>
        <v>#VALUE!</v>
      </c>
      <c r="EI92" s="5" t="e">
        <f t="shared" si="144"/>
        <v>#VALUE!</v>
      </c>
      <c r="EJ92" s="3">
        <f t="shared" si="145"/>
        <v>0</v>
      </c>
      <c r="EK92" s="3">
        <f t="shared" si="146"/>
        <v>0</v>
      </c>
      <c r="EL92" s="5" t="e">
        <f t="shared" si="147"/>
        <v>#VALUE!</v>
      </c>
      <c r="EM92" s="5" t="e">
        <f t="shared" si="148"/>
        <v>#VALUE!</v>
      </c>
    </row>
    <row r="93" spans="1:143" x14ac:dyDescent="0.3">
      <c r="A93" s="1">
        <v>77</v>
      </c>
      <c r="B93" s="19">
        <v>77</v>
      </c>
      <c r="C93" s="310"/>
      <c r="D93" s="310"/>
      <c r="E93" s="318"/>
      <c r="F93" s="330"/>
      <c r="G93" s="320"/>
      <c r="H93" s="447"/>
      <c r="I93" s="321"/>
      <c r="J93" s="318"/>
      <c r="K93" s="322"/>
      <c r="L93" s="323"/>
      <c r="M93" s="20">
        <f t="shared" si="130"/>
        <v>0</v>
      </c>
      <c r="N93" s="21">
        <f t="shared" si="149"/>
        <v>0</v>
      </c>
      <c r="O93" s="21">
        <f t="shared" si="150"/>
        <v>0</v>
      </c>
      <c r="P93" s="21">
        <f t="shared" si="153"/>
        <v>0</v>
      </c>
      <c r="Q93" s="21">
        <f t="shared" si="156"/>
        <v>0</v>
      </c>
      <c r="R93" s="21">
        <f t="shared" si="159"/>
        <v>0</v>
      </c>
      <c r="S93" s="21">
        <f t="shared" si="162"/>
        <v>0</v>
      </c>
      <c r="T93" s="21">
        <f t="shared" si="165"/>
        <v>0</v>
      </c>
      <c r="U93" s="21">
        <f t="shared" si="168"/>
        <v>0</v>
      </c>
      <c r="V93" s="21">
        <f t="shared" si="171"/>
        <v>0</v>
      </c>
      <c r="W93" s="21">
        <f t="shared" si="174"/>
        <v>0</v>
      </c>
      <c r="X93" s="21">
        <f t="shared" si="177"/>
        <v>0</v>
      </c>
      <c r="Y93" s="21">
        <f t="shared" ref="Y93:Y116" si="180">IF($Y$28=0,0,IF(AND($A93=$A92,$A93&lt;&gt;0,Y92&lt;&gt;0),$M93,0))</f>
        <v>0</v>
      </c>
      <c r="Z93" s="21">
        <f t="shared" si="85"/>
        <v>0</v>
      </c>
      <c r="AA93" s="21">
        <f t="shared" si="87"/>
        <v>0</v>
      </c>
      <c r="AB93" s="21">
        <f t="shared" si="89"/>
        <v>0</v>
      </c>
      <c r="AC93" s="21">
        <f t="shared" si="91"/>
        <v>0</v>
      </c>
      <c r="AD93" s="21">
        <f t="shared" si="93"/>
        <v>0</v>
      </c>
      <c r="AE93" s="21">
        <f t="shared" si="95"/>
        <v>0</v>
      </c>
      <c r="AF93" s="21">
        <f t="shared" si="97"/>
        <v>0</v>
      </c>
      <c r="AG93" s="21">
        <f t="shared" si="99"/>
        <v>0</v>
      </c>
      <c r="AH93" s="21">
        <f t="shared" si="101"/>
        <v>0</v>
      </c>
      <c r="AI93" s="21">
        <f t="shared" si="103"/>
        <v>0</v>
      </c>
      <c r="AJ93" s="21">
        <f t="shared" si="105"/>
        <v>0</v>
      </c>
      <c r="AK93" s="21">
        <f t="shared" si="107"/>
        <v>0</v>
      </c>
      <c r="AL93" s="21">
        <f t="shared" si="109"/>
        <v>0</v>
      </c>
      <c r="AM93" s="21">
        <f t="shared" si="111"/>
        <v>0</v>
      </c>
      <c r="AN93" s="21">
        <f t="shared" si="113"/>
        <v>0</v>
      </c>
      <c r="AO93" s="21">
        <f t="shared" si="115"/>
        <v>0</v>
      </c>
      <c r="AP93" s="21">
        <f t="shared" si="117"/>
        <v>0</v>
      </c>
      <c r="AQ93" s="21">
        <f t="shared" si="119"/>
        <v>0</v>
      </c>
      <c r="AR93" s="21">
        <f t="shared" si="121"/>
        <v>0</v>
      </c>
      <c r="AS93" s="21">
        <f t="shared" si="123"/>
        <v>0</v>
      </c>
      <c r="AT93" s="21">
        <f t="shared" si="131"/>
        <v>0</v>
      </c>
      <c r="AU93" s="21">
        <f t="shared" si="151"/>
        <v>0</v>
      </c>
      <c r="AV93" s="21">
        <f t="shared" si="154"/>
        <v>0</v>
      </c>
      <c r="AW93" s="21">
        <f t="shared" si="157"/>
        <v>0</v>
      </c>
      <c r="AX93" s="21">
        <f t="shared" si="160"/>
        <v>0</v>
      </c>
      <c r="AY93" s="21">
        <f t="shared" si="163"/>
        <v>0</v>
      </c>
      <c r="AZ93" s="21">
        <f t="shared" si="166"/>
        <v>0</v>
      </c>
      <c r="BA93" s="21">
        <f t="shared" si="169"/>
        <v>0</v>
      </c>
      <c r="BB93" s="21">
        <f t="shared" si="172"/>
        <v>0</v>
      </c>
      <c r="BC93" s="21">
        <f t="shared" si="175"/>
        <v>0</v>
      </c>
      <c r="BD93" s="21">
        <f t="shared" si="178"/>
        <v>0</v>
      </c>
      <c r="BE93" s="21">
        <f t="shared" ref="BE93:BE116" si="181">IF($BE$60=0,0,IF(AND($A93=$A92,$A93&lt;&gt;0,BE92&lt;&gt;0),$M93,0))</f>
        <v>0</v>
      </c>
      <c r="BF93" s="21">
        <f t="shared" si="86"/>
        <v>0</v>
      </c>
      <c r="BG93" s="21">
        <f t="shared" si="88"/>
        <v>0</v>
      </c>
      <c r="BH93" s="21">
        <f t="shared" si="90"/>
        <v>0</v>
      </c>
      <c r="BI93" s="21">
        <f t="shared" si="92"/>
        <v>0</v>
      </c>
      <c r="BJ93" s="21">
        <f t="shared" si="94"/>
        <v>0</v>
      </c>
      <c r="BK93" s="21">
        <f t="shared" si="96"/>
        <v>0</v>
      </c>
      <c r="BL93" s="21">
        <f t="shared" si="98"/>
        <v>0</v>
      </c>
      <c r="BM93" s="21">
        <f t="shared" si="100"/>
        <v>0</v>
      </c>
      <c r="BN93" s="21">
        <f t="shared" si="102"/>
        <v>0</v>
      </c>
      <c r="BO93" s="21">
        <f t="shared" si="104"/>
        <v>0</v>
      </c>
      <c r="BP93" s="21">
        <f t="shared" si="106"/>
        <v>0</v>
      </c>
      <c r="BQ93" s="21">
        <f t="shared" si="108"/>
        <v>0</v>
      </c>
      <c r="BR93" s="21">
        <f t="shared" si="110"/>
        <v>0</v>
      </c>
      <c r="BS93" s="21">
        <f t="shared" si="112"/>
        <v>0</v>
      </c>
      <c r="BT93" s="21">
        <f t="shared" si="114"/>
        <v>0</v>
      </c>
      <c r="BU93" s="21">
        <f t="shared" si="116"/>
        <v>0</v>
      </c>
      <c r="BV93" s="21">
        <f t="shared" si="118"/>
        <v>0</v>
      </c>
      <c r="BW93" s="21">
        <f t="shared" si="120"/>
        <v>0</v>
      </c>
      <c r="BX93" s="21">
        <f t="shared" si="122"/>
        <v>0</v>
      </c>
      <c r="BY93" s="21">
        <f t="shared" si="124"/>
        <v>0</v>
      </c>
      <c r="BZ93" s="21">
        <f t="shared" si="132"/>
        <v>0</v>
      </c>
      <c r="CA93" s="21">
        <f t="shared" si="152"/>
        <v>0</v>
      </c>
      <c r="CB93" s="21">
        <f t="shared" si="155"/>
        <v>0</v>
      </c>
      <c r="CC93" s="21">
        <f t="shared" si="158"/>
        <v>0</v>
      </c>
      <c r="CD93" s="21">
        <f t="shared" si="161"/>
        <v>0</v>
      </c>
      <c r="CE93" s="21">
        <f t="shared" si="164"/>
        <v>0</v>
      </c>
      <c r="CF93" s="21">
        <f t="shared" si="167"/>
        <v>0</v>
      </c>
      <c r="CG93" s="21">
        <f t="shared" si="170"/>
        <v>0</v>
      </c>
      <c r="CH93" s="21">
        <f t="shared" si="173"/>
        <v>0</v>
      </c>
      <c r="CI93" s="21">
        <f t="shared" si="176"/>
        <v>0</v>
      </c>
      <c r="CJ93" s="21">
        <f t="shared" si="179"/>
        <v>0</v>
      </c>
      <c r="CK93" s="21">
        <f t="shared" ref="CK93:CK116" si="182">IF($CK$92=0,0,IF(AND($A93=$A92,$A93&lt;&gt;0,CK92&lt;&gt;0),$M93,0))</f>
        <v>0</v>
      </c>
      <c r="CL93" s="21">
        <f>IF(CK93&lt;&gt;0,0,IF(OR($A93=0,$A93=$A92),0,$M93))</f>
        <v>0</v>
      </c>
      <c r="CM93" s="21"/>
      <c r="CN93" s="21"/>
      <c r="CO93" s="21"/>
      <c r="CP93" s="21"/>
      <c r="CQ93" s="21"/>
      <c r="CR93" s="21"/>
      <c r="CS93" s="21"/>
      <c r="CT93" s="21"/>
      <c r="CU93" s="21"/>
      <c r="CV93" s="21"/>
      <c r="CW93" s="21"/>
      <c r="CX93" s="21"/>
      <c r="CY93" s="21"/>
      <c r="CZ93" s="21"/>
      <c r="DA93" s="21"/>
      <c r="DB93" s="21"/>
      <c r="DC93" s="21"/>
      <c r="DD93" s="21"/>
      <c r="DE93" s="21"/>
      <c r="DF93" s="21"/>
      <c r="DG93" s="21"/>
      <c r="DH93" s="21"/>
      <c r="DI93" s="21"/>
      <c r="DJ93" s="21" t="str">
        <v/>
      </c>
      <c r="DK93" s="32" t="str">
        <f t="shared" si="133"/>
        <v/>
      </c>
      <c r="DL93" s="28" t="str">
        <f t="shared" si="125"/>
        <v/>
      </c>
      <c r="DM93" s="33" t="str">
        <f t="shared" si="126"/>
        <v/>
      </c>
      <c r="DN93" s="20">
        <f t="shared" si="134"/>
        <v>20</v>
      </c>
      <c r="DO93" s="20">
        <f t="shared" si="135"/>
        <v>0</v>
      </c>
      <c r="DP93" s="20">
        <f t="shared" si="136"/>
        <v>0</v>
      </c>
      <c r="DQ93" s="20">
        <f t="shared" si="137"/>
        <v>20</v>
      </c>
      <c r="DR93" s="20" t="str">
        <f t="shared" si="138"/>
        <v/>
      </c>
      <c r="DS93" s="22" t="str">
        <f>IF(ISERROR(CEILING(($DQ93*$DL93/60),Puertas!$S$4)),"",CEILING(($DQ93*$DL93/60),Puertas!$S$4))</f>
        <v/>
      </c>
      <c r="DT93" s="22" t="str">
        <f t="shared" si="127"/>
        <v/>
      </c>
      <c r="DU93" s="108" t="str">
        <f t="shared" si="128"/>
        <v/>
      </c>
      <c r="DV93" s="109" t="str">
        <f>IF(D93="","",SUMIF(Puertas!$K$15:$K$114,B93,Puertas!$U$15:$U$114)+SUMIF(Puertas!$O$15:$O$114,B93,Puertas!$W$15:$W$114))</f>
        <v/>
      </c>
      <c r="DW93" s="110" t="str">
        <f t="shared" si="129"/>
        <v/>
      </c>
      <c r="DX93" s="108" t="str">
        <f t="shared" si="139"/>
        <v/>
      </c>
      <c r="DY93" s="109" t="str">
        <f t="shared" si="140"/>
        <v/>
      </c>
      <c r="DZ93" s="111"/>
      <c r="EA93" s="111"/>
      <c r="EB93" s="109" t="e">
        <f>ABS(IF(D93="","",SUMIF(Puertas!$K$15:$K$114,B93,Puertas!$V$15:$V$114)+SUMIF(Puertas!$O$15:$O$114,B93,Puertas!$X$15:$X$114)))</f>
        <v>#VALUE!</v>
      </c>
      <c r="EC93" s="109" t="str">
        <f t="shared" si="141"/>
        <v/>
      </c>
      <c r="ED93" s="110" t="str">
        <f t="shared" si="142"/>
        <v/>
      </c>
      <c r="EE93" s="42"/>
      <c r="EF93" s="6" t="b">
        <v>0</v>
      </c>
      <c r="EG93" s="6" t="b">
        <v>0</v>
      </c>
      <c r="EH93" s="5" t="e">
        <f t="shared" si="143"/>
        <v>#VALUE!</v>
      </c>
      <c r="EI93" s="5" t="e">
        <f t="shared" si="144"/>
        <v>#VALUE!</v>
      </c>
      <c r="EJ93" s="3">
        <f t="shared" si="145"/>
        <v>0</v>
      </c>
      <c r="EK93" s="3">
        <f t="shared" si="146"/>
        <v>0</v>
      </c>
      <c r="EL93" s="5" t="e">
        <f t="shared" si="147"/>
        <v>#VALUE!</v>
      </c>
      <c r="EM93" s="5" t="e">
        <f t="shared" si="148"/>
        <v>#VALUE!</v>
      </c>
    </row>
    <row r="94" spans="1:143" x14ac:dyDescent="0.3">
      <c r="A94" s="1">
        <v>78</v>
      </c>
      <c r="B94" s="23">
        <v>78</v>
      </c>
      <c r="C94" s="311"/>
      <c r="D94" s="311"/>
      <c r="E94" s="324"/>
      <c r="F94" s="331"/>
      <c r="G94" s="326"/>
      <c r="H94" s="448"/>
      <c r="I94" s="327"/>
      <c r="J94" s="324"/>
      <c r="K94" s="328"/>
      <c r="L94" s="329"/>
      <c r="M94" s="24">
        <f t="shared" si="130"/>
        <v>0</v>
      </c>
      <c r="N94" s="25">
        <f t="shared" si="149"/>
        <v>0</v>
      </c>
      <c r="O94" s="25">
        <f t="shared" si="150"/>
        <v>0</v>
      </c>
      <c r="P94" s="25">
        <f t="shared" si="153"/>
        <v>0</v>
      </c>
      <c r="Q94" s="25">
        <f t="shared" si="156"/>
        <v>0</v>
      </c>
      <c r="R94" s="25">
        <f t="shared" si="159"/>
        <v>0</v>
      </c>
      <c r="S94" s="25">
        <f t="shared" si="162"/>
        <v>0</v>
      </c>
      <c r="T94" s="25">
        <f t="shared" si="165"/>
        <v>0</v>
      </c>
      <c r="U94" s="25">
        <f t="shared" si="168"/>
        <v>0</v>
      </c>
      <c r="V94" s="25">
        <f t="shared" si="171"/>
        <v>0</v>
      </c>
      <c r="W94" s="25">
        <f t="shared" si="174"/>
        <v>0</v>
      </c>
      <c r="X94" s="25">
        <f t="shared" si="177"/>
        <v>0</v>
      </c>
      <c r="Y94" s="25">
        <f t="shared" si="180"/>
        <v>0</v>
      </c>
      <c r="Z94" s="25">
        <f t="shared" ref="Z94:Z116" si="183">IF($Z$29=0,0,IF(AND($A94=$A93,$A94&lt;&gt;0,Z93&lt;&gt;0),$M94,0))</f>
        <v>0</v>
      </c>
      <c r="AA94" s="25">
        <f t="shared" si="87"/>
        <v>0</v>
      </c>
      <c r="AB94" s="25">
        <f t="shared" si="89"/>
        <v>0</v>
      </c>
      <c r="AC94" s="25">
        <f t="shared" si="91"/>
        <v>0</v>
      </c>
      <c r="AD94" s="25">
        <f t="shared" si="93"/>
        <v>0</v>
      </c>
      <c r="AE94" s="25">
        <f t="shared" si="95"/>
        <v>0</v>
      </c>
      <c r="AF94" s="25">
        <f t="shared" si="97"/>
        <v>0</v>
      </c>
      <c r="AG94" s="25">
        <f t="shared" si="99"/>
        <v>0</v>
      </c>
      <c r="AH94" s="25">
        <f t="shared" si="101"/>
        <v>0</v>
      </c>
      <c r="AI94" s="25">
        <f t="shared" si="103"/>
        <v>0</v>
      </c>
      <c r="AJ94" s="25">
        <f t="shared" si="105"/>
        <v>0</v>
      </c>
      <c r="AK94" s="25">
        <f t="shared" si="107"/>
        <v>0</v>
      </c>
      <c r="AL94" s="25">
        <f t="shared" si="109"/>
        <v>0</v>
      </c>
      <c r="AM94" s="25">
        <f t="shared" si="111"/>
        <v>0</v>
      </c>
      <c r="AN94" s="25">
        <f t="shared" si="113"/>
        <v>0</v>
      </c>
      <c r="AO94" s="25">
        <f t="shared" si="115"/>
        <v>0</v>
      </c>
      <c r="AP94" s="25">
        <f t="shared" si="117"/>
        <v>0</v>
      </c>
      <c r="AQ94" s="25">
        <f t="shared" si="119"/>
        <v>0</v>
      </c>
      <c r="AR94" s="25">
        <f t="shared" si="121"/>
        <v>0</v>
      </c>
      <c r="AS94" s="25">
        <f t="shared" si="123"/>
        <v>0</v>
      </c>
      <c r="AT94" s="25">
        <f t="shared" si="131"/>
        <v>0</v>
      </c>
      <c r="AU94" s="25">
        <f t="shared" si="151"/>
        <v>0</v>
      </c>
      <c r="AV94" s="25">
        <f t="shared" si="154"/>
        <v>0</v>
      </c>
      <c r="AW94" s="25">
        <f t="shared" si="157"/>
        <v>0</v>
      </c>
      <c r="AX94" s="25">
        <f t="shared" si="160"/>
        <v>0</v>
      </c>
      <c r="AY94" s="25">
        <f t="shared" si="163"/>
        <v>0</v>
      </c>
      <c r="AZ94" s="25">
        <f t="shared" si="166"/>
        <v>0</v>
      </c>
      <c r="BA94" s="25">
        <f t="shared" si="169"/>
        <v>0</v>
      </c>
      <c r="BB94" s="25">
        <f t="shared" si="172"/>
        <v>0</v>
      </c>
      <c r="BC94" s="25">
        <f t="shared" si="175"/>
        <v>0</v>
      </c>
      <c r="BD94" s="25">
        <f t="shared" si="178"/>
        <v>0</v>
      </c>
      <c r="BE94" s="25">
        <f t="shared" si="181"/>
        <v>0</v>
      </c>
      <c r="BF94" s="25">
        <f t="shared" ref="BF94:BF116" si="184">IF($BF$61=0,0,IF(AND($A94=$A93,$A94&lt;&gt;0,BF93&lt;&gt;0),$M94,0))</f>
        <v>0</v>
      </c>
      <c r="BG94" s="25">
        <f t="shared" si="88"/>
        <v>0</v>
      </c>
      <c r="BH94" s="25">
        <f t="shared" si="90"/>
        <v>0</v>
      </c>
      <c r="BI94" s="25">
        <f t="shared" si="92"/>
        <v>0</v>
      </c>
      <c r="BJ94" s="25">
        <f t="shared" si="94"/>
        <v>0</v>
      </c>
      <c r="BK94" s="25">
        <f t="shared" si="96"/>
        <v>0</v>
      </c>
      <c r="BL94" s="25">
        <f t="shared" si="98"/>
        <v>0</v>
      </c>
      <c r="BM94" s="25">
        <f t="shared" si="100"/>
        <v>0</v>
      </c>
      <c r="BN94" s="25">
        <f t="shared" si="102"/>
        <v>0</v>
      </c>
      <c r="BO94" s="25">
        <f t="shared" si="104"/>
        <v>0</v>
      </c>
      <c r="BP94" s="25">
        <f t="shared" si="106"/>
        <v>0</v>
      </c>
      <c r="BQ94" s="25">
        <f t="shared" si="108"/>
        <v>0</v>
      </c>
      <c r="BR94" s="25">
        <f t="shared" si="110"/>
        <v>0</v>
      </c>
      <c r="BS94" s="25">
        <f t="shared" si="112"/>
        <v>0</v>
      </c>
      <c r="BT94" s="25">
        <f t="shared" si="114"/>
        <v>0</v>
      </c>
      <c r="BU94" s="25">
        <f t="shared" si="116"/>
        <v>0</v>
      </c>
      <c r="BV94" s="25">
        <f t="shared" si="118"/>
        <v>0</v>
      </c>
      <c r="BW94" s="25">
        <f t="shared" si="120"/>
        <v>0</v>
      </c>
      <c r="BX94" s="25">
        <f t="shared" si="122"/>
        <v>0</v>
      </c>
      <c r="BY94" s="25">
        <f t="shared" si="124"/>
        <v>0</v>
      </c>
      <c r="BZ94" s="25">
        <f t="shared" si="132"/>
        <v>0</v>
      </c>
      <c r="CA94" s="25">
        <f t="shared" si="152"/>
        <v>0</v>
      </c>
      <c r="CB94" s="25">
        <f t="shared" si="155"/>
        <v>0</v>
      </c>
      <c r="CC94" s="25">
        <f t="shared" si="158"/>
        <v>0</v>
      </c>
      <c r="CD94" s="25">
        <f t="shared" si="161"/>
        <v>0</v>
      </c>
      <c r="CE94" s="25">
        <f t="shared" si="164"/>
        <v>0</v>
      </c>
      <c r="CF94" s="25">
        <f t="shared" si="167"/>
        <v>0</v>
      </c>
      <c r="CG94" s="25">
        <f t="shared" si="170"/>
        <v>0</v>
      </c>
      <c r="CH94" s="25">
        <f t="shared" si="173"/>
        <v>0</v>
      </c>
      <c r="CI94" s="25">
        <f t="shared" si="176"/>
        <v>0</v>
      </c>
      <c r="CJ94" s="25">
        <f t="shared" si="179"/>
        <v>0</v>
      </c>
      <c r="CK94" s="25">
        <f t="shared" si="182"/>
        <v>0</v>
      </c>
      <c r="CL94" s="25">
        <f t="shared" ref="CL94:CL116" si="185">IF($CL$93=0,0,IF(AND($A94=$A93,$A94&lt;&gt;0,CL93&lt;&gt;0),$M94,0))</f>
        <v>0</v>
      </c>
      <c r="CM94" s="25">
        <f>IF(CL94&lt;&gt;0,0,IF(OR($A94=0,$A94=$A93),0,$M94))</f>
        <v>0</v>
      </c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 t="str">
        <v/>
      </c>
      <c r="DK94" s="34" t="str">
        <f t="shared" si="133"/>
        <v/>
      </c>
      <c r="DL94" s="29" t="str">
        <f t="shared" si="125"/>
        <v/>
      </c>
      <c r="DM94" s="35" t="str">
        <f t="shared" si="126"/>
        <v/>
      </c>
      <c r="DN94" s="24">
        <f t="shared" si="134"/>
        <v>20</v>
      </c>
      <c r="DO94" s="24">
        <f t="shared" si="135"/>
        <v>0</v>
      </c>
      <c r="DP94" s="24">
        <f t="shared" si="136"/>
        <v>0</v>
      </c>
      <c r="DQ94" s="24">
        <f t="shared" si="137"/>
        <v>20</v>
      </c>
      <c r="DR94" s="24" t="str">
        <f t="shared" si="138"/>
        <v/>
      </c>
      <c r="DS94" s="26" t="str">
        <f>IF(ISERROR(CEILING(($DQ94*$DL94/60),Puertas!$S$4)),"",CEILING(($DQ94*$DL94/60),Puertas!$S$4))</f>
        <v/>
      </c>
      <c r="DT94" s="26" t="str">
        <f t="shared" si="127"/>
        <v/>
      </c>
      <c r="DU94" s="112" t="str">
        <f t="shared" si="128"/>
        <v/>
      </c>
      <c r="DV94" s="113" t="str">
        <f>IF(D94="","",SUMIF(Puertas!$K$15:$K$114,B94,Puertas!$U$15:$U$114)+SUMIF(Puertas!$O$15:$O$114,B94,Puertas!$W$15:$W$114))</f>
        <v/>
      </c>
      <c r="DW94" s="114" t="str">
        <f t="shared" si="129"/>
        <v/>
      </c>
      <c r="DX94" s="112" t="str">
        <f t="shared" si="139"/>
        <v/>
      </c>
      <c r="DY94" s="113" t="str">
        <f t="shared" si="140"/>
        <v/>
      </c>
      <c r="DZ94" s="115"/>
      <c r="EA94" s="115"/>
      <c r="EB94" s="113" t="e">
        <f>ABS(IF(D94="","",SUMIF(Puertas!$K$15:$K$114,B94,Puertas!$V$15:$V$114)+SUMIF(Puertas!$O$15:$O$114,B94,Puertas!$X$15:$X$114)))</f>
        <v>#VALUE!</v>
      </c>
      <c r="EC94" s="113" t="str">
        <f t="shared" si="141"/>
        <v/>
      </c>
      <c r="ED94" s="114" t="str">
        <f t="shared" si="142"/>
        <v/>
      </c>
      <c r="EE94" s="43"/>
      <c r="EF94" s="6" t="b">
        <v>0</v>
      </c>
      <c r="EG94" s="6" t="b">
        <v>0</v>
      </c>
      <c r="EH94" s="5" t="e">
        <f t="shared" si="143"/>
        <v>#VALUE!</v>
      </c>
      <c r="EI94" s="5" t="e">
        <f t="shared" si="144"/>
        <v>#VALUE!</v>
      </c>
      <c r="EJ94" s="3">
        <f t="shared" si="145"/>
        <v>0</v>
      </c>
      <c r="EK94" s="3">
        <f t="shared" si="146"/>
        <v>0</v>
      </c>
      <c r="EL94" s="5" t="e">
        <f t="shared" si="147"/>
        <v>#VALUE!</v>
      </c>
      <c r="EM94" s="5" t="e">
        <f t="shared" si="148"/>
        <v>#VALUE!</v>
      </c>
    </row>
    <row r="95" spans="1:143" x14ac:dyDescent="0.3">
      <c r="A95" s="1">
        <v>79</v>
      </c>
      <c r="B95" s="15">
        <v>79</v>
      </c>
      <c r="C95" s="309"/>
      <c r="D95" s="309"/>
      <c r="E95" s="312"/>
      <c r="F95" s="332"/>
      <c r="G95" s="314"/>
      <c r="H95" s="446"/>
      <c r="I95" s="315"/>
      <c r="J95" s="312"/>
      <c r="K95" s="316"/>
      <c r="L95" s="317"/>
      <c r="M95" s="16">
        <f t="shared" si="130"/>
        <v>0</v>
      </c>
      <c r="N95" s="17">
        <f t="shared" si="149"/>
        <v>0</v>
      </c>
      <c r="O95" s="17">
        <f t="shared" si="150"/>
        <v>0</v>
      </c>
      <c r="P95" s="17">
        <f t="shared" si="153"/>
        <v>0</v>
      </c>
      <c r="Q95" s="17">
        <f t="shared" si="156"/>
        <v>0</v>
      </c>
      <c r="R95" s="17">
        <f t="shared" si="159"/>
        <v>0</v>
      </c>
      <c r="S95" s="17">
        <f t="shared" si="162"/>
        <v>0</v>
      </c>
      <c r="T95" s="17">
        <f t="shared" si="165"/>
        <v>0</v>
      </c>
      <c r="U95" s="17">
        <f t="shared" si="168"/>
        <v>0</v>
      </c>
      <c r="V95" s="17">
        <f t="shared" si="171"/>
        <v>0</v>
      </c>
      <c r="W95" s="17">
        <f t="shared" si="174"/>
        <v>0</v>
      </c>
      <c r="X95" s="17">
        <f t="shared" si="177"/>
        <v>0</v>
      </c>
      <c r="Y95" s="17">
        <f t="shared" si="180"/>
        <v>0</v>
      </c>
      <c r="Z95" s="17">
        <f t="shared" si="183"/>
        <v>0</v>
      </c>
      <c r="AA95" s="17">
        <f t="shared" ref="AA95:AA116" si="186">IF($AA$30=0,0,IF(AND($A95=$A94,$A95&lt;&gt;0,AA94&lt;&gt;0),$M95,0))</f>
        <v>0</v>
      </c>
      <c r="AB95" s="17">
        <f t="shared" si="89"/>
        <v>0</v>
      </c>
      <c r="AC95" s="17">
        <f t="shared" si="91"/>
        <v>0</v>
      </c>
      <c r="AD95" s="17">
        <f t="shared" si="93"/>
        <v>0</v>
      </c>
      <c r="AE95" s="17">
        <f t="shared" si="95"/>
        <v>0</v>
      </c>
      <c r="AF95" s="17">
        <f t="shared" si="97"/>
        <v>0</v>
      </c>
      <c r="AG95" s="17">
        <f t="shared" si="99"/>
        <v>0</v>
      </c>
      <c r="AH95" s="17">
        <f t="shared" si="101"/>
        <v>0</v>
      </c>
      <c r="AI95" s="17">
        <f t="shared" si="103"/>
        <v>0</v>
      </c>
      <c r="AJ95" s="17">
        <f t="shared" si="105"/>
        <v>0</v>
      </c>
      <c r="AK95" s="17">
        <f t="shared" si="107"/>
        <v>0</v>
      </c>
      <c r="AL95" s="17">
        <f t="shared" si="109"/>
        <v>0</v>
      </c>
      <c r="AM95" s="17">
        <f t="shared" si="111"/>
        <v>0</v>
      </c>
      <c r="AN95" s="17">
        <f t="shared" si="113"/>
        <v>0</v>
      </c>
      <c r="AO95" s="17">
        <f t="shared" si="115"/>
        <v>0</v>
      </c>
      <c r="AP95" s="17">
        <f t="shared" si="117"/>
        <v>0</v>
      </c>
      <c r="AQ95" s="17">
        <f t="shared" si="119"/>
        <v>0</v>
      </c>
      <c r="AR95" s="17">
        <f t="shared" si="121"/>
        <v>0</v>
      </c>
      <c r="AS95" s="17">
        <f t="shared" si="123"/>
        <v>0</v>
      </c>
      <c r="AT95" s="17">
        <f t="shared" si="131"/>
        <v>0</v>
      </c>
      <c r="AU95" s="17">
        <f t="shared" si="151"/>
        <v>0</v>
      </c>
      <c r="AV95" s="17">
        <f t="shared" si="154"/>
        <v>0</v>
      </c>
      <c r="AW95" s="17">
        <f t="shared" si="157"/>
        <v>0</v>
      </c>
      <c r="AX95" s="17">
        <f t="shared" si="160"/>
        <v>0</v>
      </c>
      <c r="AY95" s="17">
        <f t="shared" si="163"/>
        <v>0</v>
      </c>
      <c r="AZ95" s="17">
        <f t="shared" si="166"/>
        <v>0</v>
      </c>
      <c r="BA95" s="17">
        <f t="shared" si="169"/>
        <v>0</v>
      </c>
      <c r="BB95" s="17">
        <f t="shared" si="172"/>
        <v>0</v>
      </c>
      <c r="BC95" s="17">
        <f t="shared" si="175"/>
        <v>0</v>
      </c>
      <c r="BD95" s="17">
        <f t="shared" si="178"/>
        <v>0</v>
      </c>
      <c r="BE95" s="17">
        <f t="shared" si="181"/>
        <v>0</v>
      </c>
      <c r="BF95" s="17">
        <f t="shared" si="184"/>
        <v>0</v>
      </c>
      <c r="BG95" s="17">
        <f t="shared" ref="BG95:BG116" si="187">IF($BG$62=0,0,IF(AND($A95=$A94,$A95&lt;&gt;0,BG94&lt;&gt;0),$M95,0))</f>
        <v>0</v>
      </c>
      <c r="BH95" s="17">
        <f t="shared" si="90"/>
        <v>0</v>
      </c>
      <c r="BI95" s="17">
        <f t="shared" si="92"/>
        <v>0</v>
      </c>
      <c r="BJ95" s="17">
        <f t="shared" si="94"/>
        <v>0</v>
      </c>
      <c r="BK95" s="17">
        <f t="shared" si="96"/>
        <v>0</v>
      </c>
      <c r="BL95" s="17">
        <f t="shared" si="98"/>
        <v>0</v>
      </c>
      <c r="BM95" s="17">
        <f t="shared" si="100"/>
        <v>0</v>
      </c>
      <c r="BN95" s="17">
        <f t="shared" si="102"/>
        <v>0</v>
      </c>
      <c r="BO95" s="17">
        <f t="shared" si="104"/>
        <v>0</v>
      </c>
      <c r="BP95" s="17">
        <f t="shared" si="106"/>
        <v>0</v>
      </c>
      <c r="BQ95" s="17">
        <f t="shared" si="108"/>
        <v>0</v>
      </c>
      <c r="BR95" s="17">
        <f t="shared" si="110"/>
        <v>0</v>
      </c>
      <c r="BS95" s="17">
        <f t="shared" si="112"/>
        <v>0</v>
      </c>
      <c r="BT95" s="17">
        <f t="shared" si="114"/>
        <v>0</v>
      </c>
      <c r="BU95" s="17">
        <f t="shared" si="116"/>
        <v>0</v>
      </c>
      <c r="BV95" s="17">
        <f t="shared" si="118"/>
        <v>0</v>
      </c>
      <c r="BW95" s="17">
        <f t="shared" si="120"/>
        <v>0</v>
      </c>
      <c r="BX95" s="17">
        <f t="shared" si="122"/>
        <v>0</v>
      </c>
      <c r="BY95" s="17">
        <f t="shared" si="124"/>
        <v>0</v>
      </c>
      <c r="BZ95" s="17">
        <f t="shared" si="132"/>
        <v>0</v>
      </c>
      <c r="CA95" s="17">
        <f t="shared" si="152"/>
        <v>0</v>
      </c>
      <c r="CB95" s="17">
        <f t="shared" si="155"/>
        <v>0</v>
      </c>
      <c r="CC95" s="17">
        <f t="shared" si="158"/>
        <v>0</v>
      </c>
      <c r="CD95" s="17">
        <f t="shared" si="161"/>
        <v>0</v>
      </c>
      <c r="CE95" s="17">
        <f t="shared" si="164"/>
        <v>0</v>
      </c>
      <c r="CF95" s="17">
        <f t="shared" si="167"/>
        <v>0</v>
      </c>
      <c r="CG95" s="17">
        <f t="shared" si="170"/>
        <v>0</v>
      </c>
      <c r="CH95" s="17">
        <f t="shared" si="173"/>
        <v>0</v>
      </c>
      <c r="CI95" s="17">
        <f t="shared" si="176"/>
        <v>0</v>
      </c>
      <c r="CJ95" s="17">
        <f t="shared" si="179"/>
        <v>0</v>
      </c>
      <c r="CK95" s="17">
        <f t="shared" si="182"/>
        <v>0</v>
      </c>
      <c r="CL95" s="17">
        <f t="shared" si="185"/>
        <v>0</v>
      </c>
      <c r="CM95" s="17">
        <f t="shared" ref="CM95:CM116" si="188">IF($CM$94=0,0,IF(AND($A95=$A94,$A95&lt;&gt;0,CM94&lt;&gt;0),$M95,0))</f>
        <v>0</v>
      </c>
      <c r="CN95" s="17">
        <f>IF(CM95&lt;&gt;0,0,IF(OR($A95=0,$A95=$A94),0,$M95))</f>
        <v>0</v>
      </c>
      <c r="CO95" s="17"/>
      <c r="CP95" s="17"/>
      <c r="CQ95" s="17"/>
      <c r="CR95" s="17"/>
      <c r="CS95" s="17"/>
      <c r="CT95" s="17"/>
      <c r="CU95" s="17"/>
      <c r="CV95" s="17"/>
      <c r="CW95" s="17"/>
      <c r="CX95" s="17"/>
      <c r="CY95" s="17"/>
      <c r="CZ95" s="17"/>
      <c r="DA95" s="17"/>
      <c r="DB95" s="17"/>
      <c r="DC95" s="17"/>
      <c r="DD95" s="17"/>
      <c r="DE95" s="17"/>
      <c r="DF95" s="17"/>
      <c r="DG95" s="17"/>
      <c r="DH95" s="17"/>
      <c r="DI95" s="17"/>
      <c r="DJ95" s="17" t="str">
        <v/>
      </c>
      <c r="DK95" s="30" t="str">
        <f t="shared" si="133"/>
        <v/>
      </c>
      <c r="DL95" s="27" t="str">
        <f t="shared" si="125"/>
        <v/>
      </c>
      <c r="DM95" s="31" t="str">
        <f t="shared" si="126"/>
        <v/>
      </c>
      <c r="DN95" s="16">
        <f t="shared" si="134"/>
        <v>20</v>
      </c>
      <c r="DO95" s="16">
        <f t="shared" si="135"/>
        <v>0</v>
      </c>
      <c r="DP95" s="16">
        <f t="shared" si="136"/>
        <v>0</v>
      </c>
      <c r="DQ95" s="16">
        <f t="shared" si="137"/>
        <v>20</v>
      </c>
      <c r="DR95" s="16" t="str">
        <f t="shared" si="138"/>
        <v/>
      </c>
      <c r="DS95" s="18" t="str">
        <f>IF(ISERROR(CEILING(($DQ95*$DL95/60),Puertas!$S$4)),"",CEILING(($DQ95*$DL95/60),Puertas!$S$4))</f>
        <v/>
      </c>
      <c r="DT95" s="18" t="str">
        <f t="shared" si="127"/>
        <v/>
      </c>
      <c r="DU95" s="104" t="str">
        <f t="shared" si="128"/>
        <v/>
      </c>
      <c r="DV95" s="105" t="str">
        <f>IF(D95="","",SUMIF(Puertas!$K$15:$K$114,B95,Puertas!$U$15:$U$114)+SUMIF(Puertas!$O$15:$O$114,B95,Puertas!$W$15:$W$114))</f>
        <v/>
      </c>
      <c r="DW95" s="106" t="str">
        <f t="shared" si="129"/>
        <v/>
      </c>
      <c r="DX95" s="104" t="str">
        <f t="shared" si="139"/>
        <v/>
      </c>
      <c r="DY95" s="105" t="str">
        <f t="shared" si="140"/>
        <v/>
      </c>
      <c r="DZ95" s="107"/>
      <c r="EA95" s="107"/>
      <c r="EB95" s="105" t="e">
        <f>ABS(IF(D95="","",SUMIF(Puertas!$K$15:$K$114,B95,Puertas!$V$15:$V$114)+SUMIF(Puertas!$O$15:$O$114,B95,Puertas!$X$15:$X$114)))</f>
        <v>#VALUE!</v>
      </c>
      <c r="EC95" s="105" t="str">
        <f t="shared" si="141"/>
        <v/>
      </c>
      <c r="ED95" s="106" t="str">
        <f t="shared" si="142"/>
        <v/>
      </c>
      <c r="EE95" s="41"/>
      <c r="EF95" s="6" t="b">
        <v>0</v>
      </c>
      <c r="EG95" s="6" t="b">
        <v>0</v>
      </c>
      <c r="EH95" s="5" t="e">
        <f t="shared" si="143"/>
        <v>#VALUE!</v>
      </c>
      <c r="EI95" s="5" t="e">
        <f t="shared" si="144"/>
        <v>#VALUE!</v>
      </c>
      <c r="EJ95" s="3">
        <f t="shared" si="145"/>
        <v>0</v>
      </c>
      <c r="EK95" s="3">
        <f t="shared" si="146"/>
        <v>0</v>
      </c>
      <c r="EL95" s="5" t="e">
        <f t="shared" si="147"/>
        <v>#VALUE!</v>
      </c>
      <c r="EM95" s="5" t="e">
        <f t="shared" si="148"/>
        <v>#VALUE!</v>
      </c>
    </row>
    <row r="96" spans="1:143" x14ac:dyDescent="0.3">
      <c r="A96" s="1">
        <v>80</v>
      </c>
      <c r="B96" s="19">
        <v>80</v>
      </c>
      <c r="C96" s="310"/>
      <c r="D96" s="310"/>
      <c r="E96" s="318"/>
      <c r="F96" s="330"/>
      <c r="G96" s="320"/>
      <c r="H96" s="447"/>
      <c r="I96" s="321"/>
      <c r="J96" s="318"/>
      <c r="K96" s="322"/>
      <c r="L96" s="323"/>
      <c r="M96" s="20">
        <f t="shared" si="130"/>
        <v>0</v>
      </c>
      <c r="N96" s="21">
        <f t="shared" si="149"/>
        <v>0</v>
      </c>
      <c r="O96" s="21">
        <f t="shared" si="150"/>
        <v>0</v>
      </c>
      <c r="P96" s="21">
        <f t="shared" si="153"/>
        <v>0</v>
      </c>
      <c r="Q96" s="21">
        <f t="shared" si="156"/>
        <v>0</v>
      </c>
      <c r="R96" s="21">
        <f t="shared" si="159"/>
        <v>0</v>
      </c>
      <c r="S96" s="21">
        <f t="shared" si="162"/>
        <v>0</v>
      </c>
      <c r="T96" s="21">
        <f t="shared" si="165"/>
        <v>0</v>
      </c>
      <c r="U96" s="21">
        <f t="shared" si="168"/>
        <v>0</v>
      </c>
      <c r="V96" s="21">
        <f t="shared" si="171"/>
        <v>0</v>
      </c>
      <c r="W96" s="21">
        <f t="shared" si="174"/>
        <v>0</v>
      </c>
      <c r="X96" s="21">
        <f t="shared" si="177"/>
        <v>0</v>
      </c>
      <c r="Y96" s="21">
        <f t="shared" si="180"/>
        <v>0</v>
      </c>
      <c r="Z96" s="21">
        <f t="shared" si="183"/>
        <v>0</v>
      </c>
      <c r="AA96" s="21">
        <f t="shared" si="186"/>
        <v>0</v>
      </c>
      <c r="AB96" s="21">
        <f t="shared" ref="AB96:AB116" si="189">IF($AB$31=0,0,IF(AND($A96=$A95,$A96&lt;&gt;0,AB95&lt;&gt;0),$M96,0))</f>
        <v>0</v>
      </c>
      <c r="AC96" s="21">
        <f t="shared" si="91"/>
        <v>0</v>
      </c>
      <c r="AD96" s="21">
        <f t="shared" si="93"/>
        <v>0</v>
      </c>
      <c r="AE96" s="21">
        <f t="shared" si="95"/>
        <v>0</v>
      </c>
      <c r="AF96" s="21">
        <f t="shared" si="97"/>
        <v>0</v>
      </c>
      <c r="AG96" s="21">
        <f t="shared" si="99"/>
        <v>0</v>
      </c>
      <c r="AH96" s="21">
        <f t="shared" si="101"/>
        <v>0</v>
      </c>
      <c r="AI96" s="21">
        <f t="shared" si="103"/>
        <v>0</v>
      </c>
      <c r="AJ96" s="21">
        <f t="shared" si="105"/>
        <v>0</v>
      </c>
      <c r="AK96" s="21">
        <f t="shared" si="107"/>
        <v>0</v>
      </c>
      <c r="AL96" s="21">
        <f t="shared" si="109"/>
        <v>0</v>
      </c>
      <c r="AM96" s="21">
        <f t="shared" si="111"/>
        <v>0</v>
      </c>
      <c r="AN96" s="21">
        <f t="shared" si="113"/>
        <v>0</v>
      </c>
      <c r="AO96" s="21">
        <f t="shared" si="115"/>
        <v>0</v>
      </c>
      <c r="AP96" s="21">
        <f t="shared" si="117"/>
        <v>0</v>
      </c>
      <c r="AQ96" s="21">
        <f t="shared" si="119"/>
        <v>0</v>
      </c>
      <c r="AR96" s="21">
        <f t="shared" si="121"/>
        <v>0</v>
      </c>
      <c r="AS96" s="21">
        <f t="shared" si="123"/>
        <v>0</v>
      </c>
      <c r="AT96" s="21">
        <f t="shared" si="131"/>
        <v>0</v>
      </c>
      <c r="AU96" s="21">
        <f t="shared" si="151"/>
        <v>0</v>
      </c>
      <c r="AV96" s="21">
        <f t="shared" si="154"/>
        <v>0</v>
      </c>
      <c r="AW96" s="21">
        <f t="shared" si="157"/>
        <v>0</v>
      </c>
      <c r="AX96" s="21">
        <f t="shared" si="160"/>
        <v>0</v>
      </c>
      <c r="AY96" s="21">
        <f t="shared" si="163"/>
        <v>0</v>
      </c>
      <c r="AZ96" s="21">
        <f t="shared" si="166"/>
        <v>0</v>
      </c>
      <c r="BA96" s="21">
        <f t="shared" si="169"/>
        <v>0</v>
      </c>
      <c r="BB96" s="21">
        <f t="shared" si="172"/>
        <v>0</v>
      </c>
      <c r="BC96" s="21">
        <f t="shared" si="175"/>
        <v>0</v>
      </c>
      <c r="BD96" s="21">
        <f t="shared" si="178"/>
        <v>0</v>
      </c>
      <c r="BE96" s="21">
        <f t="shared" si="181"/>
        <v>0</v>
      </c>
      <c r="BF96" s="21">
        <f t="shared" si="184"/>
        <v>0</v>
      </c>
      <c r="BG96" s="21">
        <f t="shared" si="187"/>
        <v>0</v>
      </c>
      <c r="BH96" s="21">
        <f t="shared" ref="BH96:BH116" si="190">IF($BH$63=0,0,IF(AND($A96=$A95,$A96&lt;&gt;0,BH95&lt;&gt;0),$M96,0))</f>
        <v>0</v>
      </c>
      <c r="BI96" s="21">
        <f t="shared" si="92"/>
        <v>0</v>
      </c>
      <c r="BJ96" s="21">
        <f t="shared" si="94"/>
        <v>0</v>
      </c>
      <c r="BK96" s="21">
        <f t="shared" si="96"/>
        <v>0</v>
      </c>
      <c r="BL96" s="21">
        <f t="shared" si="98"/>
        <v>0</v>
      </c>
      <c r="BM96" s="21">
        <f t="shared" si="100"/>
        <v>0</v>
      </c>
      <c r="BN96" s="21">
        <f t="shared" si="102"/>
        <v>0</v>
      </c>
      <c r="BO96" s="21">
        <f t="shared" si="104"/>
        <v>0</v>
      </c>
      <c r="BP96" s="21">
        <f t="shared" si="106"/>
        <v>0</v>
      </c>
      <c r="BQ96" s="21">
        <f t="shared" si="108"/>
        <v>0</v>
      </c>
      <c r="BR96" s="21">
        <f t="shared" si="110"/>
        <v>0</v>
      </c>
      <c r="BS96" s="21">
        <f t="shared" si="112"/>
        <v>0</v>
      </c>
      <c r="BT96" s="21">
        <f t="shared" si="114"/>
        <v>0</v>
      </c>
      <c r="BU96" s="21">
        <f t="shared" si="116"/>
        <v>0</v>
      </c>
      <c r="BV96" s="21">
        <f t="shared" si="118"/>
        <v>0</v>
      </c>
      <c r="BW96" s="21">
        <f t="shared" si="120"/>
        <v>0</v>
      </c>
      <c r="BX96" s="21">
        <f t="shared" si="122"/>
        <v>0</v>
      </c>
      <c r="BY96" s="21">
        <f t="shared" si="124"/>
        <v>0</v>
      </c>
      <c r="BZ96" s="21">
        <f t="shared" si="132"/>
        <v>0</v>
      </c>
      <c r="CA96" s="21">
        <f t="shared" si="152"/>
        <v>0</v>
      </c>
      <c r="CB96" s="21">
        <f t="shared" si="155"/>
        <v>0</v>
      </c>
      <c r="CC96" s="21">
        <f t="shared" si="158"/>
        <v>0</v>
      </c>
      <c r="CD96" s="21">
        <f t="shared" si="161"/>
        <v>0</v>
      </c>
      <c r="CE96" s="21">
        <f t="shared" si="164"/>
        <v>0</v>
      </c>
      <c r="CF96" s="21">
        <f t="shared" si="167"/>
        <v>0</v>
      </c>
      <c r="CG96" s="21">
        <f t="shared" si="170"/>
        <v>0</v>
      </c>
      <c r="CH96" s="21">
        <f t="shared" si="173"/>
        <v>0</v>
      </c>
      <c r="CI96" s="21">
        <f t="shared" si="176"/>
        <v>0</v>
      </c>
      <c r="CJ96" s="21">
        <f t="shared" si="179"/>
        <v>0</v>
      </c>
      <c r="CK96" s="21">
        <f t="shared" si="182"/>
        <v>0</v>
      </c>
      <c r="CL96" s="21">
        <f t="shared" si="185"/>
        <v>0</v>
      </c>
      <c r="CM96" s="21">
        <f t="shared" si="188"/>
        <v>0</v>
      </c>
      <c r="CN96" s="21">
        <f t="shared" ref="CN96:CN116" si="191">IF($CN$95=0,0,IF(AND($A96=$A95,$A96&lt;&gt;0,CN95&lt;&gt;0),$M96,0))</f>
        <v>0</v>
      </c>
      <c r="CO96" s="21">
        <f>IF(CN96&lt;&gt;0,0,IF(OR($A96=0,$A96=$A95),0,$M96))</f>
        <v>0</v>
      </c>
      <c r="CP96" s="21"/>
      <c r="CQ96" s="21"/>
      <c r="CR96" s="21"/>
      <c r="CS96" s="21"/>
      <c r="CT96" s="21"/>
      <c r="CU96" s="21"/>
      <c r="CV96" s="21"/>
      <c r="CW96" s="21"/>
      <c r="CX96" s="21"/>
      <c r="CY96" s="21"/>
      <c r="CZ96" s="21"/>
      <c r="DA96" s="21"/>
      <c r="DB96" s="21"/>
      <c r="DC96" s="21"/>
      <c r="DD96" s="21"/>
      <c r="DE96" s="21"/>
      <c r="DF96" s="21"/>
      <c r="DG96" s="21"/>
      <c r="DH96" s="21"/>
      <c r="DI96" s="21"/>
      <c r="DJ96" s="21" t="str">
        <v/>
      </c>
      <c r="DK96" s="32" t="str">
        <f t="shared" si="133"/>
        <v/>
      </c>
      <c r="DL96" s="28" t="str">
        <f t="shared" si="125"/>
        <v/>
      </c>
      <c r="DM96" s="33" t="str">
        <f t="shared" si="126"/>
        <v/>
      </c>
      <c r="DN96" s="20">
        <f t="shared" si="134"/>
        <v>20</v>
      </c>
      <c r="DO96" s="20">
        <f t="shared" si="135"/>
        <v>0</v>
      </c>
      <c r="DP96" s="20">
        <f t="shared" si="136"/>
        <v>0</v>
      </c>
      <c r="DQ96" s="20">
        <f t="shared" si="137"/>
        <v>20</v>
      </c>
      <c r="DR96" s="20" t="str">
        <f t="shared" si="138"/>
        <v/>
      </c>
      <c r="DS96" s="22" t="str">
        <f>IF(ISERROR(CEILING(($DQ96*$DL96/60),Puertas!$S$4)),"",CEILING(($DQ96*$DL96/60),Puertas!$S$4))</f>
        <v/>
      </c>
      <c r="DT96" s="22" t="str">
        <f t="shared" si="127"/>
        <v/>
      </c>
      <c r="DU96" s="108" t="str">
        <f t="shared" si="128"/>
        <v/>
      </c>
      <c r="DV96" s="109" t="str">
        <f>IF(D96="","",SUMIF(Puertas!$K$15:$K$114,B96,Puertas!$U$15:$U$114)+SUMIF(Puertas!$O$15:$O$114,B96,Puertas!$W$15:$W$114))</f>
        <v/>
      </c>
      <c r="DW96" s="110" t="str">
        <f t="shared" si="129"/>
        <v/>
      </c>
      <c r="DX96" s="108" t="str">
        <f t="shared" si="139"/>
        <v/>
      </c>
      <c r="DY96" s="109" t="str">
        <f t="shared" si="140"/>
        <v/>
      </c>
      <c r="DZ96" s="111"/>
      <c r="EA96" s="111"/>
      <c r="EB96" s="109" t="e">
        <f>ABS(IF(D96="","",SUMIF(Puertas!$K$15:$K$114,B96,Puertas!$V$15:$V$114)+SUMIF(Puertas!$O$15:$O$114,B96,Puertas!$X$15:$X$114)))</f>
        <v>#VALUE!</v>
      </c>
      <c r="EC96" s="109" t="str">
        <f t="shared" si="141"/>
        <v/>
      </c>
      <c r="ED96" s="110" t="str">
        <f t="shared" si="142"/>
        <v/>
      </c>
      <c r="EE96" s="42"/>
      <c r="EF96" s="6" t="b">
        <v>0</v>
      </c>
      <c r="EG96" s="6" t="b">
        <v>0</v>
      </c>
      <c r="EH96" s="5" t="e">
        <f t="shared" si="143"/>
        <v>#VALUE!</v>
      </c>
      <c r="EI96" s="5" t="e">
        <f t="shared" si="144"/>
        <v>#VALUE!</v>
      </c>
      <c r="EJ96" s="3">
        <f t="shared" si="145"/>
        <v>0</v>
      </c>
      <c r="EK96" s="3">
        <f t="shared" si="146"/>
        <v>0</v>
      </c>
      <c r="EL96" s="5" t="e">
        <f t="shared" si="147"/>
        <v>#VALUE!</v>
      </c>
      <c r="EM96" s="5" t="e">
        <f t="shared" si="148"/>
        <v>#VALUE!</v>
      </c>
    </row>
    <row r="97" spans="1:143" x14ac:dyDescent="0.3">
      <c r="A97" s="1">
        <v>81</v>
      </c>
      <c r="B97" s="23">
        <v>81</v>
      </c>
      <c r="C97" s="311"/>
      <c r="D97" s="311"/>
      <c r="E97" s="324"/>
      <c r="F97" s="331"/>
      <c r="G97" s="326"/>
      <c r="H97" s="448"/>
      <c r="I97" s="327"/>
      <c r="J97" s="324"/>
      <c r="K97" s="328"/>
      <c r="L97" s="329"/>
      <c r="M97" s="24">
        <f t="shared" si="130"/>
        <v>0</v>
      </c>
      <c r="N97" s="25">
        <f t="shared" si="149"/>
        <v>0</v>
      </c>
      <c r="O97" s="25">
        <f t="shared" si="150"/>
        <v>0</v>
      </c>
      <c r="P97" s="25">
        <f t="shared" si="153"/>
        <v>0</v>
      </c>
      <c r="Q97" s="25">
        <f t="shared" si="156"/>
        <v>0</v>
      </c>
      <c r="R97" s="25">
        <f t="shared" si="159"/>
        <v>0</v>
      </c>
      <c r="S97" s="25">
        <f t="shared" si="162"/>
        <v>0</v>
      </c>
      <c r="T97" s="25">
        <f t="shared" si="165"/>
        <v>0</v>
      </c>
      <c r="U97" s="25">
        <f t="shared" si="168"/>
        <v>0</v>
      </c>
      <c r="V97" s="25">
        <f t="shared" si="171"/>
        <v>0</v>
      </c>
      <c r="W97" s="25">
        <f t="shared" si="174"/>
        <v>0</v>
      </c>
      <c r="X97" s="25">
        <f t="shared" si="177"/>
        <v>0</v>
      </c>
      <c r="Y97" s="25">
        <f t="shared" si="180"/>
        <v>0</v>
      </c>
      <c r="Z97" s="25">
        <f t="shared" si="183"/>
        <v>0</v>
      </c>
      <c r="AA97" s="25">
        <f t="shared" si="186"/>
        <v>0</v>
      </c>
      <c r="AB97" s="25">
        <f t="shared" si="189"/>
        <v>0</v>
      </c>
      <c r="AC97" s="25">
        <f t="shared" ref="AC97:AC116" si="192">IF($AC$32=0,0,IF(AND($A97=$A96,$A97&lt;&gt;0,AC96&lt;&gt;0),$M97,0))</f>
        <v>0</v>
      </c>
      <c r="AD97" s="25">
        <f t="shared" si="93"/>
        <v>0</v>
      </c>
      <c r="AE97" s="25">
        <f t="shared" si="95"/>
        <v>0</v>
      </c>
      <c r="AF97" s="25">
        <f t="shared" si="97"/>
        <v>0</v>
      </c>
      <c r="AG97" s="25">
        <f t="shared" si="99"/>
        <v>0</v>
      </c>
      <c r="AH97" s="25">
        <f t="shared" si="101"/>
        <v>0</v>
      </c>
      <c r="AI97" s="25">
        <f t="shared" si="103"/>
        <v>0</v>
      </c>
      <c r="AJ97" s="25">
        <f t="shared" si="105"/>
        <v>0</v>
      </c>
      <c r="AK97" s="25">
        <f t="shared" si="107"/>
        <v>0</v>
      </c>
      <c r="AL97" s="25">
        <f t="shared" si="109"/>
        <v>0</v>
      </c>
      <c r="AM97" s="25">
        <f t="shared" si="111"/>
        <v>0</v>
      </c>
      <c r="AN97" s="25">
        <f t="shared" si="113"/>
        <v>0</v>
      </c>
      <c r="AO97" s="25">
        <f t="shared" si="115"/>
        <v>0</v>
      </c>
      <c r="AP97" s="25">
        <f t="shared" si="117"/>
        <v>0</v>
      </c>
      <c r="AQ97" s="25">
        <f t="shared" si="119"/>
        <v>0</v>
      </c>
      <c r="AR97" s="25">
        <f t="shared" si="121"/>
        <v>0</v>
      </c>
      <c r="AS97" s="25">
        <f t="shared" si="123"/>
        <v>0</v>
      </c>
      <c r="AT97" s="25">
        <f t="shared" si="131"/>
        <v>0</v>
      </c>
      <c r="AU97" s="25">
        <f t="shared" si="151"/>
        <v>0</v>
      </c>
      <c r="AV97" s="25">
        <f t="shared" si="154"/>
        <v>0</v>
      </c>
      <c r="AW97" s="25">
        <f t="shared" si="157"/>
        <v>0</v>
      </c>
      <c r="AX97" s="25">
        <f t="shared" si="160"/>
        <v>0</v>
      </c>
      <c r="AY97" s="25">
        <f t="shared" si="163"/>
        <v>0</v>
      </c>
      <c r="AZ97" s="25">
        <f t="shared" si="166"/>
        <v>0</v>
      </c>
      <c r="BA97" s="25">
        <f t="shared" si="169"/>
        <v>0</v>
      </c>
      <c r="BB97" s="25">
        <f t="shared" si="172"/>
        <v>0</v>
      </c>
      <c r="BC97" s="25">
        <f t="shared" si="175"/>
        <v>0</v>
      </c>
      <c r="BD97" s="25">
        <f t="shared" si="178"/>
        <v>0</v>
      </c>
      <c r="BE97" s="25">
        <f t="shared" si="181"/>
        <v>0</v>
      </c>
      <c r="BF97" s="25">
        <f t="shared" si="184"/>
        <v>0</v>
      </c>
      <c r="BG97" s="25">
        <f t="shared" si="187"/>
        <v>0</v>
      </c>
      <c r="BH97" s="25">
        <f t="shared" si="190"/>
        <v>0</v>
      </c>
      <c r="BI97" s="25">
        <f t="shared" ref="BI97:BI116" si="193">IF($BI$64=0,0,IF(AND($A97=$A96,$A97&lt;&gt;0,BI96&lt;&gt;0),$M97,0))</f>
        <v>0</v>
      </c>
      <c r="BJ97" s="25">
        <f t="shared" si="94"/>
        <v>0</v>
      </c>
      <c r="BK97" s="25">
        <f t="shared" si="96"/>
        <v>0</v>
      </c>
      <c r="BL97" s="25">
        <f t="shared" si="98"/>
        <v>0</v>
      </c>
      <c r="BM97" s="25">
        <f t="shared" si="100"/>
        <v>0</v>
      </c>
      <c r="BN97" s="25">
        <f t="shared" si="102"/>
        <v>0</v>
      </c>
      <c r="BO97" s="25">
        <f t="shared" si="104"/>
        <v>0</v>
      </c>
      <c r="BP97" s="25">
        <f t="shared" si="106"/>
        <v>0</v>
      </c>
      <c r="BQ97" s="25">
        <f t="shared" si="108"/>
        <v>0</v>
      </c>
      <c r="BR97" s="25">
        <f t="shared" si="110"/>
        <v>0</v>
      </c>
      <c r="BS97" s="25">
        <f t="shared" si="112"/>
        <v>0</v>
      </c>
      <c r="BT97" s="25">
        <f t="shared" si="114"/>
        <v>0</v>
      </c>
      <c r="BU97" s="25">
        <f t="shared" si="116"/>
        <v>0</v>
      </c>
      <c r="BV97" s="25">
        <f t="shared" si="118"/>
        <v>0</v>
      </c>
      <c r="BW97" s="25">
        <f t="shared" si="120"/>
        <v>0</v>
      </c>
      <c r="BX97" s="25">
        <f t="shared" si="122"/>
        <v>0</v>
      </c>
      <c r="BY97" s="25">
        <f t="shared" si="124"/>
        <v>0</v>
      </c>
      <c r="BZ97" s="25">
        <f t="shared" si="132"/>
        <v>0</v>
      </c>
      <c r="CA97" s="25">
        <f t="shared" si="152"/>
        <v>0</v>
      </c>
      <c r="CB97" s="25">
        <f t="shared" si="155"/>
        <v>0</v>
      </c>
      <c r="CC97" s="25">
        <f t="shared" si="158"/>
        <v>0</v>
      </c>
      <c r="CD97" s="25">
        <f t="shared" si="161"/>
        <v>0</v>
      </c>
      <c r="CE97" s="25">
        <f t="shared" si="164"/>
        <v>0</v>
      </c>
      <c r="CF97" s="25">
        <f t="shared" si="167"/>
        <v>0</v>
      </c>
      <c r="CG97" s="25">
        <f t="shared" si="170"/>
        <v>0</v>
      </c>
      <c r="CH97" s="25">
        <f t="shared" si="173"/>
        <v>0</v>
      </c>
      <c r="CI97" s="25">
        <f t="shared" si="176"/>
        <v>0</v>
      </c>
      <c r="CJ97" s="25">
        <f t="shared" si="179"/>
        <v>0</v>
      </c>
      <c r="CK97" s="25">
        <f t="shared" si="182"/>
        <v>0</v>
      </c>
      <c r="CL97" s="25">
        <f t="shared" si="185"/>
        <v>0</v>
      </c>
      <c r="CM97" s="25">
        <f t="shared" si="188"/>
        <v>0</v>
      </c>
      <c r="CN97" s="25">
        <f t="shared" si="191"/>
        <v>0</v>
      </c>
      <c r="CO97" s="25">
        <f t="shared" ref="CO97:CO116" si="194">IF($CO$96=0,0,IF(AND($A97=$A96,$A97&lt;&gt;0,CO96&lt;&gt;0),$M97,0))</f>
        <v>0</v>
      </c>
      <c r="CP97" s="25">
        <f>IF(CO97&lt;&gt;0,0,IF(OR($A97=0,$A97=$A96),0,$M97))</f>
        <v>0</v>
      </c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 t="str">
        <v/>
      </c>
      <c r="DK97" s="34" t="str">
        <f t="shared" si="133"/>
        <v/>
      </c>
      <c r="DL97" s="29" t="str">
        <f t="shared" si="125"/>
        <v/>
      </c>
      <c r="DM97" s="35" t="str">
        <f t="shared" si="126"/>
        <v/>
      </c>
      <c r="DN97" s="24">
        <f t="shared" si="134"/>
        <v>20</v>
      </c>
      <c r="DO97" s="24">
        <f t="shared" si="135"/>
        <v>0</v>
      </c>
      <c r="DP97" s="24">
        <f t="shared" si="136"/>
        <v>0</v>
      </c>
      <c r="DQ97" s="24">
        <f t="shared" si="137"/>
        <v>20</v>
      </c>
      <c r="DR97" s="24" t="str">
        <f t="shared" si="138"/>
        <v/>
      </c>
      <c r="DS97" s="26" t="str">
        <f>IF(ISERROR(CEILING(($DQ97*$DL97/60),Puertas!$S$4)),"",CEILING(($DQ97*$DL97/60),Puertas!$S$4))</f>
        <v/>
      </c>
      <c r="DT97" s="26" t="str">
        <f t="shared" si="127"/>
        <v/>
      </c>
      <c r="DU97" s="112" t="str">
        <f t="shared" si="128"/>
        <v/>
      </c>
      <c r="DV97" s="113" t="str">
        <f>IF(D97="","",SUMIF(Puertas!$K$15:$K$114,B97,Puertas!$U$15:$U$114)+SUMIF(Puertas!$O$15:$O$114,B97,Puertas!$W$15:$W$114))</f>
        <v/>
      </c>
      <c r="DW97" s="114" t="str">
        <f t="shared" si="129"/>
        <v/>
      </c>
      <c r="DX97" s="112" t="str">
        <f t="shared" si="139"/>
        <v/>
      </c>
      <c r="DY97" s="113" t="str">
        <f t="shared" si="140"/>
        <v/>
      </c>
      <c r="DZ97" s="115"/>
      <c r="EA97" s="115"/>
      <c r="EB97" s="113" t="e">
        <f>ABS(IF(D97="","",SUMIF(Puertas!$K$15:$K$114,B97,Puertas!$V$15:$V$114)+SUMIF(Puertas!$O$15:$O$114,B97,Puertas!$X$15:$X$114)))</f>
        <v>#VALUE!</v>
      </c>
      <c r="EC97" s="113" t="str">
        <f t="shared" si="141"/>
        <v/>
      </c>
      <c r="ED97" s="114" t="str">
        <f t="shared" si="142"/>
        <v/>
      </c>
      <c r="EE97" s="43"/>
      <c r="EF97" s="6" t="b">
        <v>0</v>
      </c>
      <c r="EG97" s="6" t="b">
        <v>0</v>
      </c>
      <c r="EH97" s="5" t="e">
        <f t="shared" si="143"/>
        <v>#VALUE!</v>
      </c>
      <c r="EI97" s="5" t="e">
        <f t="shared" si="144"/>
        <v>#VALUE!</v>
      </c>
      <c r="EJ97" s="3">
        <f t="shared" si="145"/>
        <v>0</v>
      </c>
      <c r="EK97" s="3">
        <f t="shared" si="146"/>
        <v>0</v>
      </c>
      <c r="EL97" s="5" t="e">
        <f t="shared" si="147"/>
        <v>#VALUE!</v>
      </c>
      <c r="EM97" s="5" t="e">
        <f t="shared" si="148"/>
        <v>#VALUE!</v>
      </c>
    </row>
    <row r="98" spans="1:143" x14ac:dyDescent="0.3">
      <c r="A98" s="1">
        <v>82</v>
      </c>
      <c r="B98" s="15">
        <v>82</v>
      </c>
      <c r="C98" s="309"/>
      <c r="D98" s="309"/>
      <c r="E98" s="312"/>
      <c r="F98" s="332"/>
      <c r="G98" s="314"/>
      <c r="H98" s="446"/>
      <c r="I98" s="315"/>
      <c r="J98" s="312"/>
      <c r="K98" s="316"/>
      <c r="L98" s="317"/>
      <c r="M98" s="16">
        <f t="shared" si="130"/>
        <v>0</v>
      </c>
      <c r="N98" s="17">
        <f t="shared" si="149"/>
        <v>0</v>
      </c>
      <c r="O98" s="17">
        <f t="shared" si="150"/>
        <v>0</v>
      </c>
      <c r="P98" s="17">
        <f t="shared" si="153"/>
        <v>0</v>
      </c>
      <c r="Q98" s="17">
        <f t="shared" si="156"/>
        <v>0</v>
      </c>
      <c r="R98" s="17">
        <f t="shared" si="159"/>
        <v>0</v>
      </c>
      <c r="S98" s="17">
        <f t="shared" si="162"/>
        <v>0</v>
      </c>
      <c r="T98" s="17">
        <f t="shared" si="165"/>
        <v>0</v>
      </c>
      <c r="U98" s="17">
        <f t="shared" si="168"/>
        <v>0</v>
      </c>
      <c r="V98" s="17">
        <f t="shared" si="171"/>
        <v>0</v>
      </c>
      <c r="W98" s="17">
        <f t="shared" si="174"/>
        <v>0</v>
      </c>
      <c r="X98" s="17">
        <f t="shared" si="177"/>
        <v>0</v>
      </c>
      <c r="Y98" s="17">
        <f t="shared" si="180"/>
        <v>0</v>
      </c>
      <c r="Z98" s="17">
        <f t="shared" si="183"/>
        <v>0</v>
      </c>
      <c r="AA98" s="17">
        <f t="shared" si="186"/>
        <v>0</v>
      </c>
      <c r="AB98" s="17">
        <f t="shared" si="189"/>
        <v>0</v>
      </c>
      <c r="AC98" s="17">
        <f t="shared" si="192"/>
        <v>0</v>
      </c>
      <c r="AD98" s="17">
        <f t="shared" ref="AD98:AD116" si="195">IF($AD$33=0,0,IF(AND($A98=$A97,$A98&lt;&gt;0,AD97&lt;&gt;0),$M98,0))</f>
        <v>0</v>
      </c>
      <c r="AE98" s="17">
        <f t="shared" si="95"/>
        <v>0</v>
      </c>
      <c r="AF98" s="17">
        <f t="shared" si="97"/>
        <v>0</v>
      </c>
      <c r="AG98" s="17">
        <f t="shared" si="99"/>
        <v>0</v>
      </c>
      <c r="AH98" s="17">
        <f t="shared" si="101"/>
        <v>0</v>
      </c>
      <c r="AI98" s="17">
        <f t="shared" si="103"/>
        <v>0</v>
      </c>
      <c r="AJ98" s="17">
        <f t="shared" si="105"/>
        <v>0</v>
      </c>
      <c r="AK98" s="17">
        <f t="shared" si="107"/>
        <v>0</v>
      </c>
      <c r="AL98" s="17">
        <f t="shared" si="109"/>
        <v>0</v>
      </c>
      <c r="AM98" s="17">
        <f t="shared" si="111"/>
        <v>0</v>
      </c>
      <c r="AN98" s="17">
        <f t="shared" si="113"/>
        <v>0</v>
      </c>
      <c r="AO98" s="17">
        <f t="shared" si="115"/>
        <v>0</v>
      </c>
      <c r="AP98" s="17">
        <f t="shared" si="117"/>
        <v>0</v>
      </c>
      <c r="AQ98" s="17">
        <f t="shared" si="119"/>
        <v>0</v>
      </c>
      <c r="AR98" s="17">
        <f t="shared" si="121"/>
        <v>0</v>
      </c>
      <c r="AS98" s="17">
        <f t="shared" si="123"/>
        <v>0</v>
      </c>
      <c r="AT98" s="17">
        <f t="shared" si="131"/>
        <v>0</v>
      </c>
      <c r="AU98" s="17">
        <f t="shared" si="151"/>
        <v>0</v>
      </c>
      <c r="AV98" s="17">
        <f t="shared" si="154"/>
        <v>0</v>
      </c>
      <c r="AW98" s="17">
        <f t="shared" si="157"/>
        <v>0</v>
      </c>
      <c r="AX98" s="17">
        <f t="shared" si="160"/>
        <v>0</v>
      </c>
      <c r="AY98" s="17">
        <f t="shared" si="163"/>
        <v>0</v>
      </c>
      <c r="AZ98" s="17">
        <f t="shared" si="166"/>
        <v>0</v>
      </c>
      <c r="BA98" s="17">
        <f t="shared" si="169"/>
        <v>0</v>
      </c>
      <c r="BB98" s="17">
        <f t="shared" si="172"/>
        <v>0</v>
      </c>
      <c r="BC98" s="17">
        <f t="shared" si="175"/>
        <v>0</v>
      </c>
      <c r="BD98" s="17">
        <f t="shared" si="178"/>
        <v>0</v>
      </c>
      <c r="BE98" s="17">
        <f t="shared" si="181"/>
        <v>0</v>
      </c>
      <c r="BF98" s="17">
        <f t="shared" si="184"/>
        <v>0</v>
      </c>
      <c r="BG98" s="17">
        <f t="shared" si="187"/>
        <v>0</v>
      </c>
      <c r="BH98" s="17">
        <f t="shared" si="190"/>
        <v>0</v>
      </c>
      <c r="BI98" s="17">
        <f t="shared" si="193"/>
        <v>0</v>
      </c>
      <c r="BJ98" s="17">
        <f t="shared" ref="BJ98:BJ116" si="196">IF($BJ$65=0,0,IF(AND($A98=$A97,$A98&lt;&gt;0,BJ97&lt;&gt;0),$M98,0))</f>
        <v>0</v>
      </c>
      <c r="BK98" s="17">
        <f t="shared" si="96"/>
        <v>0</v>
      </c>
      <c r="BL98" s="17">
        <f t="shared" si="98"/>
        <v>0</v>
      </c>
      <c r="BM98" s="17">
        <f t="shared" si="100"/>
        <v>0</v>
      </c>
      <c r="BN98" s="17">
        <f t="shared" si="102"/>
        <v>0</v>
      </c>
      <c r="BO98" s="17">
        <f t="shared" si="104"/>
        <v>0</v>
      </c>
      <c r="BP98" s="17">
        <f t="shared" si="106"/>
        <v>0</v>
      </c>
      <c r="BQ98" s="17">
        <f t="shared" si="108"/>
        <v>0</v>
      </c>
      <c r="BR98" s="17">
        <f t="shared" si="110"/>
        <v>0</v>
      </c>
      <c r="BS98" s="17">
        <f t="shared" si="112"/>
        <v>0</v>
      </c>
      <c r="BT98" s="17">
        <f t="shared" si="114"/>
        <v>0</v>
      </c>
      <c r="BU98" s="17">
        <f t="shared" si="116"/>
        <v>0</v>
      </c>
      <c r="BV98" s="17">
        <f t="shared" si="118"/>
        <v>0</v>
      </c>
      <c r="BW98" s="17">
        <f t="shared" si="120"/>
        <v>0</v>
      </c>
      <c r="BX98" s="17">
        <f t="shared" si="122"/>
        <v>0</v>
      </c>
      <c r="BY98" s="17">
        <f t="shared" si="124"/>
        <v>0</v>
      </c>
      <c r="BZ98" s="17">
        <f t="shared" si="132"/>
        <v>0</v>
      </c>
      <c r="CA98" s="17">
        <f t="shared" si="152"/>
        <v>0</v>
      </c>
      <c r="CB98" s="17">
        <f t="shared" si="155"/>
        <v>0</v>
      </c>
      <c r="CC98" s="17">
        <f t="shared" si="158"/>
        <v>0</v>
      </c>
      <c r="CD98" s="17">
        <f t="shared" si="161"/>
        <v>0</v>
      </c>
      <c r="CE98" s="17">
        <f t="shared" si="164"/>
        <v>0</v>
      </c>
      <c r="CF98" s="17">
        <f t="shared" si="167"/>
        <v>0</v>
      </c>
      <c r="CG98" s="17">
        <f t="shared" si="170"/>
        <v>0</v>
      </c>
      <c r="CH98" s="17">
        <f t="shared" si="173"/>
        <v>0</v>
      </c>
      <c r="CI98" s="17">
        <f t="shared" si="176"/>
        <v>0</v>
      </c>
      <c r="CJ98" s="17">
        <f t="shared" si="179"/>
        <v>0</v>
      </c>
      <c r="CK98" s="17">
        <f t="shared" si="182"/>
        <v>0</v>
      </c>
      <c r="CL98" s="17">
        <f t="shared" si="185"/>
        <v>0</v>
      </c>
      <c r="CM98" s="17">
        <f t="shared" si="188"/>
        <v>0</v>
      </c>
      <c r="CN98" s="17">
        <f t="shared" si="191"/>
        <v>0</v>
      </c>
      <c r="CO98" s="17">
        <f t="shared" si="194"/>
        <v>0</v>
      </c>
      <c r="CP98" s="17">
        <f t="shared" ref="CP98:CP116" si="197">IF($CP$97=0,0,IF(AND($A98=$A97,$A98&lt;&gt;0,CP97&lt;&gt;0),$M98,0))</f>
        <v>0</v>
      </c>
      <c r="CQ98" s="17">
        <f>IF(CP98&lt;&gt;0,0,IF(OR($A98=0,$A98=$A97),0,$M98))</f>
        <v>0</v>
      </c>
      <c r="CR98" s="17"/>
      <c r="CS98" s="17"/>
      <c r="CT98" s="17"/>
      <c r="CU98" s="17"/>
      <c r="CV98" s="17"/>
      <c r="CW98" s="17"/>
      <c r="CX98" s="17"/>
      <c r="CY98" s="17"/>
      <c r="CZ98" s="17"/>
      <c r="DA98" s="17"/>
      <c r="DB98" s="17"/>
      <c r="DC98" s="17"/>
      <c r="DD98" s="17"/>
      <c r="DE98" s="17"/>
      <c r="DF98" s="17"/>
      <c r="DG98" s="17"/>
      <c r="DH98" s="17"/>
      <c r="DI98" s="17"/>
      <c r="DJ98" s="17" t="str">
        <v/>
      </c>
      <c r="DK98" s="30" t="str">
        <f t="shared" si="133"/>
        <v/>
      </c>
      <c r="DL98" s="27" t="str">
        <f t="shared" si="125"/>
        <v/>
      </c>
      <c r="DM98" s="31" t="str">
        <f t="shared" si="126"/>
        <v/>
      </c>
      <c r="DN98" s="16">
        <f t="shared" si="134"/>
        <v>20</v>
      </c>
      <c r="DO98" s="16">
        <f t="shared" si="135"/>
        <v>0</v>
      </c>
      <c r="DP98" s="16">
        <f t="shared" si="136"/>
        <v>0</v>
      </c>
      <c r="DQ98" s="16">
        <f t="shared" si="137"/>
        <v>20</v>
      </c>
      <c r="DR98" s="16" t="str">
        <f t="shared" si="138"/>
        <v/>
      </c>
      <c r="DS98" s="18" t="str">
        <f>IF(ISERROR(CEILING(($DQ98*$DL98/60),Puertas!$S$4)),"",CEILING(($DQ98*$DL98/60),Puertas!$S$4))</f>
        <v/>
      </c>
      <c r="DT98" s="18" t="str">
        <f t="shared" si="127"/>
        <v/>
      </c>
      <c r="DU98" s="104" t="str">
        <f t="shared" si="128"/>
        <v/>
      </c>
      <c r="DV98" s="105" t="str">
        <f>IF(D98="","",SUMIF(Puertas!$K$15:$K$114,B98,Puertas!$U$15:$U$114)+SUMIF(Puertas!$O$15:$O$114,B98,Puertas!$W$15:$W$114))</f>
        <v/>
      </c>
      <c r="DW98" s="106" t="str">
        <f t="shared" si="129"/>
        <v/>
      </c>
      <c r="DX98" s="104" t="str">
        <f t="shared" si="139"/>
        <v/>
      </c>
      <c r="DY98" s="105" t="str">
        <f t="shared" si="140"/>
        <v/>
      </c>
      <c r="DZ98" s="107"/>
      <c r="EA98" s="107"/>
      <c r="EB98" s="105" t="e">
        <f>ABS(IF(D98="","",SUMIF(Puertas!$K$15:$K$114,B98,Puertas!$V$15:$V$114)+SUMIF(Puertas!$O$15:$O$114,B98,Puertas!$X$15:$X$114)))</f>
        <v>#VALUE!</v>
      </c>
      <c r="EC98" s="105" t="str">
        <f t="shared" si="141"/>
        <v/>
      </c>
      <c r="ED98" s="106" t="str">
        <f t="shared" si="142"/>
        <v/>
      </c>
      <c r="EE98" s="41"/>
      <c r="EF98" s="6" t="b">
        <v>0</v>
      </c>
      <c r="EG98" s="6" t="b">
        <v>0</v>
      </c>
      <c r="EH98" s="5" t="e">
        <f t="shared" si="143"/>
        <v>#VALUE!</v>
      </c>
      <c r="EI98" s="5" t="e">
        <f t="shared" si="144"/>
        <v>#VALUE!</v>
      </c>
      <c r="EJ98" s="3">
        <f t="shared" si="145"/>
        <v>0</v>
      </c>
      <c r="EK98" s="3">
        <f t="shared" si="146"/>
        <v>0</v>
      </c>
      <c r="EL98" s="5" t="e">
        <f t="shared" si="147"/>
        <v>#VALUE!</v>
      </c>
      <c r="EM98" s="5" t="e">
        <f t="shared" si="148"/>
        <v>#VALUE!</v>
      </c>
    </row>
    <row r="99" spans="1:143" x14ac:dyDescent="0.3">
      <c r="A99" s="1">
        <v>83</v>
      </c>
      <c r="B99" s="19">
        <v>83</v>
      </c>
      <c r="C99" s="310"/>
      <c r="D99" s="310"/>
      <c r="E99" s="318"/>
      <c r="F99" s="330"/>
      <c r="G99" s="320"/>
      <c r="H99" s="447"/>
      <c r="I99" s="321"/>
      <c r="J99" s="318"/>
      <c r="K99" s="322"/>
      <c r="L99" s="323"/>
      <c r="M99" s="20">
        <f t="shared" si="130"/>
        <v>0</v>
      </c>
      <c r="N99" s="21">
        <f t="shared" si="149"/>
        <v>0</v>
      </c>
      <c r="O99" s="21">
        <f t="shared" si="150"/>
        <v>0</v>
      </c>
      <c r="P99" s="21">
        <f t="shared" si="153"/>
        <v>0</v>
      </c>
      <c r="Q99" s="21">
        <f t="shared" si="156"/>
        <v>0</v>
      </c>
      <c r="R99" s="21">
        <f t="shared" si="159"/>
        <v>0</v>
      </c>
      <c r="S99" s="21">
        <f t="shared" si="162"/>
        <v>0</v>
      </c>
      <c r="T99" s="21">
        <f t="shared" si="165"/>
        <v>0</v>
      </c>
      <c r="U99" s="21">
        <f t="shared" si="168"/>
        <v>0</v>
      </c>
      <c r="V99" s="21">
        <f t="shared" si="171"/>
        <v>0</v>
      </c>
      <c r="W99" s="21">
        <f t="shared" si="174"/>
        <v>0</v>
      </c>
      <c r="X99" s="21">
        <f t="shared" si="177"/>
        <v>0</v>
      </c>
      <c r="Y99" s="21">
        <f t="shared" si="180"/>
        <v>0</v>
      </c>
      <c r="Z99" s="21">
        <f t="shared" si="183"/>
        <v>0</v>
      </c>
      <c r="AA99" s="21">
        <f t="shared" si="186"/>
        <v>0</v>
      </c>
      <c r="AB99" s="21">
        <f t="shared" si="189"/>
        <v>0</v>
      </c>
      <c r="AC99" s="21">
        <f t="shared" si="192"/>
        <v>0</v>
      </c>
      <c r="AD99" s="21">
        <f t="shared" si="195"/>
        <v>0</v>
      </c>
      <c r="AE99" s="21">
        <f t="shared" ref="AE99:AE116" si="198">IF($AE$34=0,0,IF(AND($A99=$A98,$A99&lt;&gt;0,AE98&lt;&gt;0),$M99,0))</f>
        <v>0</v>
      </c>
      <c r="AF99" s="21">
        <f t="shared" si="97"/>
        <v>0</v>
      </c>
      <c r="AG99" s="21">
        <f t="shared" si="99"/>
        <v>0</v>
      </c>
      <c r="AH99" s="21">
        <f t="shared" si="101"/>
        <v>0</v>
      </c>
      <c r="AI99" s="21">
        <f t="shared" si="103"/>
        <v>0</v>
      </c>
      <c r="AJ99" s="21">
        <f t="shared" si="105"/>
        <v>0</v>
      </c>
      <c r="AK99" s="21">
        <f t="shared" si="107"/>
        <v>0</v>
      </c>
      <c r="AL99" s="21">
        <f t="shared" si="109"/>
        <v>0</v>
      </c>
      <c r="AM99" s="21">
        <f t="shared" si="111"/>
        <v>0</v>
      </c>
      <c r="AN99" s="21">
        <f t="shared" si="113"/>
        <v>0</v>
      </c>
      <c r="AO99" s="21">
        <f t="shared" si="115"/>
        <v>0</v>
      </c>
      <c r="AP99" s="21">
        <f t="shared" si="117"/>
        <v>0</v>
      </c>
      <c r="AQ99" s="21">
        <f t="shared" si="119"/>
        <v>0</v>
      </c>
      <c r="AR99" s="21">
        <f t="shared" si="121"/>
        <v>0</v>
      </c>
      <c r="AS99" s="21">
        <f t="shared" si="123"/>
        <v>0</v>
      </c>
      <c r="AT99" s="21">
        <f t="shared" si="131"/>
        <v>0</v>
      </c>
      <c r="AU99" s="21">
        <f t="shared" si="151"/>
        <v>0</v>
      </c>
      <c r="AV99" s="21">
        <f t="shared" si="154"/>
        <v>0</v>
      </c>
      <c r="AW99" s="21">
        <f t="shared" si="157"/>
        <v>0</v>
      </c>
      <c r="AX99" s="21">
        <f t="shared" si="160"/>
        <v>0</v>
      </c>
      <c r="AY99" s="21">
        <f t="shared" si="163"/>
        <v>0</v>
      </c>
      <c r="AZ99" s="21">
        <f t="shared" si="166"/>
        <v>0</v>
      </c>
      <c r="BA99" s="21">
        <f t="shared" si="169"/>
        <v>0</v>
      </c>
      <c r="BB99" s="21">
        <f t="shared" si="172"/>
        <v>0</v>
      </c>
      <c r="BC99" s="21">
        <f t="shared" si="175"/>
        <v>0</v>
      </c>
      <c r="BD99" s="21">
        <f t="shared" si="178"/>
        <v>0</v>
      </c>
      <c r="BE99" s="21">
        <f t="shared" si="181"/>
        <v>0</v>
      </c>
      <c r="BF99" s="21">
        <f t="shared" si="184"/>
        <v>0</v>
      </c>
      <c r="BG99" s="21">
        <f t="shared" si="187"/>
        <v>0</v>
      </c>
      <c r="BH99" s="21">
        <f t="shared" si="190"/>
        <v>0</v>
      </c>
      <c r="BI99" s="21">
        <f t="shared" si="193"/>
        <v>0</v>
      </c>
      <c r="BJ99" s="21">
        <f t="shared" si="196"/>
        <v>0</v>
      </c>
      <c r="BK99" s="21">
        <f t="shared" ref="BK99:BK116" si="199">IF($BK$66=0,0,IF(AND($A99=$A98,$A99&lt;&gt;0,BK98&lt;&gt;0),$M99,0))</f>
        <v>0</v>
      </c>
      <c r="BL99" s="21">
        <f t="shared" si="98"/>
        <v>0</v>
      </c>
      <c r="BM99" s="21">
        <f t="shared" si="100"/>
        <v>0</v>
      </c>
      <c r="BN99" s="21">
        <f t="shared" si="102"/>
        <v>0</v>
      </c>
      <c r="BO99" s="21">
        <f t="shared" si="104"/>
        <v>0</v>
      </c>
      <c r="BP99" s="21">
        <f t="shared" si="106"/>
        <v>0</v>
      </c>
      <c r="BQ99" s="21">
        <f t="shared" si="108"/>
        <v>0</v>
      </c>
      <c r="BR99" s="21">
        <f t="shared" si="110"/>
        <v>0</v>
      </c>
      <c r="BS99" s="21">
        <f t="shared" si="112"/>
        <v>0</v>
      </c>
      <c r="BT99" s="21">
        <f t="shared" si="114"/>
        <v>0</v>
      </c>
      <c r="BU99" s="21">
        <f t="shared" si="116"/>
        <v>0</v>
      </c>
      <c r="BV99" s="21">
        <f t="shared" si="118"/>
        <v>0</v>
      </c>
      <c r="BW99" s="21">
        <f t="shared" si="120"/>
        <v>0</v>
      </c>
      <c r="BX99" s="21">
        <f t="shared" si="122"/>
        <v>0</v>
      </c>
      <c r="BY99" s="21">
        <f t="shared" si="124"/>
        <v>0</v>
      </c>
      <c r="BZ99" s="21">
        <f t="shared" si="132"/>
        <v>0</v>
      </c>
      <c r="CA99" s="21">
        <f t="shared" si="152"/>
        <v>0</v>
      </c>
      <c r="CB99" s="21">
        <f t="shared" si="155"/>
        <v>0</v>
      </c>
      <c r="CC99" s="21">
        <f t="shared" si="158"/>
        <v>0</v>
      </c>
      <c r="CD99" s="21">
        <f t="shared" si="161"/>
        <v>0</v>
      </c>
      <c r="CE99" s="21">
        <f t="shared" si="164"/>
        <v>0</v>
      </c>
      <c r="CF99" s="21">
        <f t="shared" si="167"/>
        <v>0</v>
      </c>
      <c r="CG99" s="21">
        <f t="shared" si="170"/>
        <v>0</v>
      </c>
      <c r="CH99" s="21">
        <f t="shared" si="173"/>
        <v>0</v>
      </c>
      <c r="CI99" s="21">
        <f t="shared" si="176"/>
        <v>0</v>
      </c>
      <c r="CJ99" s="21">
        <f t="shared" si="179"/>
        <v>0</v>
      </c>
      <c r="CK99" s="21">
        <f t="shared" si="182"/>
        <v>0</v>
      </c>
      <c r="CL99" s="21">
        <f t="shared" si="185"/>
        <v>0</v>
      </c>
      <c r="CM99" s="21">
        <f t="shared" si="188"/>
        <v>0</v>
      </c>
      <c r="CN99" s="21">
        <f t="shared" si="191"/>
        <v>0</v>
      </c>
      <c r="CO99" s="21">
        <f t="shared" si="194"/>
        <v>0</v>
      </c>
      <c r="CP99" s="21">
        <f t="shared" si="197"/>
        <v>0</v>
      </c>
      <c r="CQ99" s="21">
        <f t="shared" ref="CQ99:CQ116" si="200">IF($CQ$98=0,0,IF(AND($A99=$A98,$A99&lt;&gt;0,CQ98&lt;&gt;0),$M99,0))</f>
        <v>0</v>
      </c>
      <c r="CR99" s="21">
        <f>IF(CQ99&lt;&gt;0,0,IF(OR($A99=0,$A99=$A98),0,$M99))</f>
        <v>0</v>
      </c>
      <c r="CS99" s="21"/>
      <c r="CT99" s="21"/>
      <c r="CU99" s="21"/>
      <c r="CV99" s="21"/>
      <c r="CW99" s="21"/>
      <c r="CX99" s="21"/>
      <c r="CY99" s="21"/>
      <c r="CZ99" s="21"/>
      <c r="DA99" s="21"/>
      <c r="DB99" s="21"/>
      <c r="DC99" s="21"/>
      <c r="DD99" s="21"/>
      <c r="DE99" s="21"/>
      <c r="DF99" s="21"/>
      <c r="DG99" s="21"/>
      <c r="DH99" s="21"/>
      <c r="DI99" s="21"/>
      <c r="DJ99" s="21" t="str">
        <v/>
      </c>
      <c r="DK99" s="32" t="str">
        <f t="shared" si="133"/>
        <v/>
      </c>
      <c r="DL99" s="28" t="str">
        <f t="shared" si="125"/>
        <v/>
      </c>
      <c r="DM99" s="33" t="str">
        <f t="shared" si="126"/>
        <v/>
      </c>
      <c r="DN99" s="20">
        <f t="shared" si="134"/>
        <v>20</v>
      </c>
      <c r="DO99" s="20">
        <f t="shared" si="135"/>
        <v>0</v>
      </c>
      <c r="DP99" s="20">
        <f t="shared" si="136"/>
        <v>0</v>
      </c>
      <c r="DQ99" s="20">
        <f t="shared" si="137"/>
        <v>20</v>
      </c>
      <c r="DR99" s="20" t="str">
        <f t="shared" si="138"/>
        <v/>
      </c>
      <c r="DS99" s="22" t="str">
        <f>IF(ISERROR(CEILING(($DQ99*$DL99/60),Puertas!$S$4)),"",CEILING(($DQ99*$DL99/60),Puertas!$S$4))</f>
        <v/>
      </c>
      <c r="DT99" s="22" t="str">
        <f t="shared" si="127"/>
        <v/>
      </c>
      <c r="DU99" s="108" t="str">
        <f t="shared" si="128"/>
        <v/>
      </c>
      <c r="DV99" s="109" t="str">
        <f>IF(D99="","",SUMIF(Puertas!$K$15:$K$114,B99,Puertas!$U$15:$U$114)+SUMIF(Puertas!$O$15:$O$114,B99,Puertas!$W$15:$W$114))</f>
        <v/>
      </c>
      <c r="DW99" s="110" t="str">
        <f t="shared" si="129"/>
        <v/>
      </c>
      <c r="DX99" s="108" t="str">
        <f t="shared" si="139"/>
        <v/>
      </c>
      <c r="DY99" s="109" t="str">
        <f t="shared" si="140"/>
        <v/>
      </c>
      <c r="DZ99" s="111"/>
      <c r="EA99" s="111"/>
      <c r="EB99" s="109" t="e">
        <f>ABS(IF(D99="","",SUMIF(Puertas!$K$15:$K$114,B99,Puertas!$V$15:$V$114)+SUMIF(Puertas!$O$15:$O$114,B99,Puertas!$X$15:$X$114)))</f>
        <v>#VALUE!</v>
      </c>
      <c r="EC99" s="109" t="str">
        <f t="shared" si="141"/>
        <v/>
      </c>
      <c r="ED99" s="110" t="str">
        <f t="shared" si="142"/>
        <v/>
      </c>
      <c r="EE99" s="42"/>
      <c r="EF99" s="6" t="b">
        <v>0</v>
      </c>
      <c r="EG99" s="6" t="b">
        <v>0</v>
      </c>
      <c r="EH99" s="5" t="e">
        <f t="shared" si="143"/>
        <v>#VALUE!</v>
      </c>
      <c r="EI99" s="5" t="e">
        <f t="shared" si="144"/>
        <v>#VALUE!</v>
      </c>
      <c r="EJ99" s="3">
        <f t="shared" si="145"/>
        <v>0</v>
      </c>
      <c r="EK99" s="3">
        <f t="shared" si="146"/>
        <v>0</v>
      </c>
      <c r="EL99" s="5" t="e">
        <f t="shared" si="147"/>
        <v>#VALUE!</v>
      </c>
      <c r="EM99" s="5" t="e">
        <f t="shared" si="148"/>
        <v>#VALUE!</v>
      </c>
    </row>
    <row r="100" spans="1:143" x14ac:dyDescent="0.3">
      <c r="A100" s="1">
        <v>84</v>
      </c>
      <c r="B100" s="23">
        <v>84</v>
      </c>
      <c r="C100" s="311"/>
      <c r="D100" s="311"/>
      <c r="E100" s="324"/>
      <c r="F100" s="331"/>
      <c r="G100" s="326"/>
      <c r="H100" s="448"/>
      <c r="I100" s="327"/>
      <c r="J100" s="324"/>
      <c r="K100" s="328"/>
      <c r="L100" s="329"/>
      <c r="M100" s="24">
        <f t="shared" si="130"/>
        <v>0</v>
      </c>
      <c r="N100" s="25">
        <f t="shared" si="149"/>
        <v>0</v>
      </c>
      <c r="O100" s="25">
        <f t="shared" si="150"/>
        <v>0</v>
      </c>
      <c r="P100" s="25">
        <f t="shared" si="153"/>
        <v>0</v>
      </c>
      <c r="Q100" s="25">
        <f t="shared" si="156"/>
        <v>0</v>
      </c>
      <c r="R100" s="25">
        <f t="shared" si="159"/>
        <v>0</v>
      </c>
      <c r="S100" s="25">
        <f t="shared" si="162"/>
        <v>0</v>
      </c>
      <c r="T100" s="25">
        <f t="shared" si="165"/>
        <v>0</v>
      </c>
      <c r="U100" s="25">
        <f t="shared" si="168"/>
        <v>0</v>
      </c>
      <c r="V100" s="25">
        <f t="shared" si="171"/>
        <v>0</v>
      </c>
      <c r="W100" s="25">
        <f t="shared" si="174"/>
        <v>0</v>
      </c>
      <c r="X100" s="25">
        <f t="shared" si="177"/>
        <v>0</v>
      </c>
      <c r="Y100" s="25">
        <f t="shared" si="180"/>
        <v>0</v>
      </c>
      <c r="Z100" s="25">
        <f t="shared" si="183"/>
        <v>0</v>
      </c>
      <c r="AA100" s="25">
        <f t="shared" si="186"/>
        <v>0</v>
      </c>
      <c r="AB100" s="25">
        <f t="shared" si="189"/>
        <v>0</v>
      </c>
      <c r="AC100" s="25">
        <f t="shared" si="192"/>
        <v>0</v>
      </c>
      <c r="AD100" s="25">
        <f t="shared" si="195"/>
        <v>0</v>
      </c>
      <c r="AE100" s="25">
        <f t="shared" si="198"/>
        <v>0</v>
      </c>
      <c r="AF100" s="25">
        <f t="shared" ref="AF100:AF116" si="201">IF($AF$35=0,0,IF(AND($A100=$A99,$A100&lt;&gt;0,AF99&lt;&gt;0),$M100,0))</f>
        <v>0</v>
      </c>
      <c r="AG100" s="25">
        <f t="shared" si="99"/>
        <v>0</v>
      </c>
      <c r="AH100" s="25">
        <f t="shared" si="101"/>
        <v>0</v>
      </c>
      <c r="AI100" s="25">
        <f t="shared" si="103"/>
        <v>0</v>
      </c>
      <c r="AJ100" s="25">
        <f t="shared" si="105"/>
        <v>0</v>
      </c>
      <c r="AK100" s="25">
        <f t="shared" si="107"/>
        <v>0</v>
      </c>
      <c r="AL100" s="25">
        <f t="shared" si="109"/>
        <v>0</v>
      </c>
      <c r="AM100" s="25">
        <f t="shared" si="111"/>
        <v>0</v>
      </c>
      <c r="AN100" s="25">
        <f t="shared" si="113"/>
        <v>0</v>
      </c>
      <c r="AO100" s="25">
        <f t="shared" si="115"/>
        <v>0</v>
      </c>
      <c r="AP100" s="25">
        <f t="shared" si="117"/>
        <v>0</v>
      </c>
      <c r="AQ100" s="25">
        <f t="shared" si="119"/>
        <v>0</v>
      </c>
      <c r="AR100" s="25">
        <f t="shared" si="121"/>
        <v>0</v>
      </c>
      <c r="AS100" s="25">
        <f t="shared" si="123"/>
        <v>0</v>
      </c>
      <c r="AT100" s="25">
        <f t="shared" si="131"/>
        <v>0</v>
      </c>
      <c r="AU100" s="25">
        <f t="shared" si="151"/>
        <v>0</v>
      </c>
      <c r="AV100" s="25">
        <f t="shared" si="154"/>
        <v>0</v>
      </c>
      <c r="AW100" s="25">
        <f t="shared" si="157"/>
        <v>0</v>
      </c>
      <c r="AX100" s="25">
        <f t="shared" si="160"/>
        <v>0</v>
      </c>
      <c r="AY100" s="25">
        <f t="shared" si="163"/>
        <v>0</v>
      </c>
      <c r="AZ100" s="25">
        <f t="shared" si="166"/>
        <v>0</v>
      </c>
      <c r="BA100" s="25">
        <f t="shared" si="169"/>
        <v>0</v>
      </c>
      <c r="BB100" s="25">
        <f t="shared" si="172"/>
        <v>0</v>
      </c>
      <c r="BC100" s="25">
        <f t="shared" si="175"/>
        <v>0</v>
      </c>
      <c r="BD100" s="25">
        <f t="shared" si="178"/>
        <v>0</v>
      </c>
      <c r="BE100" s="25">
        <f t="shared" si="181"/>
        <v>0</v>
      </c>
      <c r="BF100" s="25">
        <f t="shared" si="184"/>
        <v>0</v>
      </c>
      <c r="BG100" s="25">
        <f t="shared" si="187"/>
        <v>0</v>
      </c>
      <c r="BH100" s="25">
        <f t="shared" si="190"/>
        <v>0</v>
      </c>
      <c r="BI100" s="25">
        <f t="shared" si="193"/>
        <v>0</v>
      </c>
      <c r="BJ100" s="25">
        <f t="shared" si="196"/>
        <v>0</v>
      </c>
      <c r="BK100" s="25">
        <f t="shared" si="199"/>
        <v>0</v>
      </c>
      <c r="BL100" s="25">
        <f t="shared" ref="BL100:BL116" si="202">IF($BL$67=0,0,IF(AND($A100=$A99,$A100&lt;&gt;0,BL99&lt;&gt;0),$M100,0))</f>
        <v>0</v>
      </c>
      <c r="BM100" s="25">
        <f t="shared" si="100"/>
        <v>0</v>
      </c>
      <c r="BN100" s="25">
        <f t="shared" si="102"/>
        <v>0</v>
      </c>
      <c r="BO100" s="25">
        <f t="shared" si="104"/>
        <v>0</v>
      </c>
      <c r="BP100" s="25">
        <f t="shared" si="106"/>
        <v>0</v>
      </c>
      <c r="BQ100" s="25">
        <f t="shared" si="108"/>
        <v>0</v>
      </c>
      <c r="BR100" s="25">
        <f t="shared" si="110"/>
        <v>0</v>
      </c>
      <c r="BS100" s="25">
        <f t="shared" si="112"/>
        <v>0</v>
      </c>
      <c r="BT100" s="25">
        <f t="shared" si="114"/>
        <v>0</v>
      </c>
      <c r="BU100" s="25">
        <f t="shared" si="116"/>
        <v>0</v>
      </c>
      <c r="BV100" s="25">
        <f t="shared" si="118"/>
        <v>0</v>
      </c>
      <c r="BW100" s="25">
        <f t="shared" si="120"/>
        <v>0</v>
      </c>
      <c r="BX100" s="25">
        <f t="shared" si="122"/>
        <v>0</v>
      </c>
      <c r="BY100" s="25">
        <f t="shared" si="124"/>
        <v>0</v>
      </c>
      <c r="BZ100" s="25">
        <f t="shared" si="132"/>
        <v>0</v>
      </c>
      <c r="CA100" s="25">
        <f t="shared" si="152"/>
        <v>0</v>
      </c>
      <c r="CB100" s="25">
        <f t="shared" si="155"/>
        <v>0</v>
      </c>
      <c r="CC100" s="25">
        <f t="shared" si="158"/>
        <v>0</v>
      </c>
      <c r="CD100" s="25">
        <f t="shared" si="161"/>
        <v>0</v>
      </c>
      <c r="CE100" s="25">
        <f t="shared" si="164"/>
        <v>0</v>
      </c>
      <c r="CF100" s="25">
        <f t="shared" si="167"/>
        <v>0</v>
      </c>
      <c r="CG100" s="25">
        <f t="shared" si="170"/>
        <v>0</v>
      </c>
      <c r="CH100" s="25">
        <f t="shared" si="173"/>
        <v>0</v>
      </c>
      <c r="CI100" s="25">
        <f t="shared" si="176"/>
        <v>0</v>
      </c>
      <c r="CJ100" s="25">
        <f t="shared" si="179"/>
        <v>0</v>
      </c>
      <c r="CK100" s="25">
        <f t="shared" si="182"/>
        <v>0</v>
      </c>
      <c r="CL100" s="25">
        <f t="shared" si="185"/>
        <v>0</v>
      </c>
      <c r="CM100" s="25">
        <f t="shared" si="188"/>
        <v>0</v>
      </c>
      <c r="CN100" s="25">
        <f t="shared" si="191"/>
        <v>0</v>
      </c>
      <c r="CO100" s="25">
        <f t="shared" si="194"/>
        <v>0</v>
      </c>
      <c r="CP100" s="25">
        <f t="shared" si="197"/>
        <v>0</v>
      </c>
      <c r="CQ100" s="25">
        <f t="shared" si="200"/>
        <v>0</v>
      </c>
      <c r="CR100" s="25">
        <f t="shared" ref="CR100:CR116" si="203">IF($CR$99=0,0,IF(AND($A100=$A99,$A100&lt;&gt;0,CR99&lt;&gt;0),$M100,0))</f>
        <v>0</v>
      </c>
      <c r="CS100" s="25">
        <f>IF(CR100&lt;&gt;0,0,IF(OR($A100=0,$A100=$A99),0,$M100))</f>
        <v>0</v>
      </c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 t="str">
        <v/>
      </c>
      <c r="DK100" s="34" t="str">
        <f t="shared" si="133"/>
        <v/>
      </c>
      <c r="DL100" s="29" t="str">
        <f t="shared" si="125"/>
        <v/>
      </c>
      <c r="DM100" s="35" t="str">
        <f t="shared" si="126"/>
        <v/>
      </c>
      <c r="DN100" s="24">
        <f t="shared" si="134"/>
        <v>20</v>
      </c>
      <c r="DO100" s="24">
        <f t="shared" si="135"/>
        <v>0</v>
      </c>
      <c r="DP100" s="24">
        <f t="shared" si="136"/>
        <v>0</v>
      </c>
      <c r="DQ100" s="24">
        <f t="shared" si="137"/>
        <v>20</v>
      </c>
      <c r="DR100" s="24" t="str">
        <f t="shared" si="138"/>
        <v/>
      </c>
      <c r="DS100" s="26" t="str">
        <f>IF(ISERROR(CEILING(($DQ100*$DL100/60),Puertas!$S$4)),"",CEILING(($DQ100*$DL100/60),Puertas!$S$4))</f>
        <v/>
      </c>
      <c r="DT100" s="26" t="str">
        <f t="shared" si="127"/>
        <v/>
      </c>
      <c r="DU100" s="112" t="str">
        <f t="shared" si="128"/>
        <v/>
      </c>
      <c r="DV100" s="113" t="str">
        <f>IF(D100="","",SUMIF(Puertas!$K$15:$K$114,B100,Puertas!$U$15:$U$114)+SUMIF(Puertas!$O$15:$O$114,B100,Puertas!$W$15:$W$114))</f>
        <v/>
      </c>
      <c r="DW100" s="114" t="str">
        <f t="shared" si="129"/>
        <v/>
      </c>
      <c r="DX100" s="112" t="str">
        <f t="shared" si="139"/>
        <v/>
      </c>
      <c r="DY100" s="113" t="str">
        <f t="shared" si="140"/>
        <v/>
      </c>
      <c r="DZ100" s="115"/>
      <c r="EA100" s="115"/>
      <c r="EB100" s="113" t="e">
        <f>ABS(IF(D100="","",SUMIF(Puertas!$K$15:$K$114,B100,Puertas!$V$15:$V$114)+SUMIF(Puertas!$O$15:$O$114,B100,Puertas!$X$15:$X$114)))</f>
        <v>#VALUE!</v>
      </c>
      <c r="EC100" s="113" t="str">
        <f t="shared" si="141"/>
        <v/>
      </c>
      <c r="ED100" s="114" t="str">
        <f t="shared" si="142"/>
        <v/>
      </c>
      <c r="EE100" s="43"/>
      <c r="EF100" s="6" t="b">
        <v>0</v>
      </c>
      <c r="EG100" s="6" t="b">
        <v>0</v>
      </c>
      <c r="EH100" s="5" t="e">
        <f t="shared" si="143"/>
        <v>#VALUE!</v>
      </c>
      <c r="EI100" s="5" t="e">
        <f t="shared" si="144"/>
        <v>#VALUE!</v>
      </c>
      <c r="EJ100" s="3">
        <f t="shared" si="145"/>
        <v>0</v>
      </c>
      <c r="EK100" s="3">
        <f t="shared" si="146"/>
        <v>0</v>
      </c>
      <c r="EL100" s="5" t="e">
        <f t="shared" si="147"/>
        <v>#VALUE!</v>
      </c>
      <c r="EM100" s="5" t="e">
        <f t="shared" si="148"/>
        <v>#VALUE!</v>
      </c>
    </row>
    <row r="101" spans="1:143" x14ac:dyDescent="0.3">
      <c r="A101" s="1">
        <v>85</v>
      </c>
      <c r="B101" s="15">
        <v>85</v>
      </c>
      <c r="C101" s="309"/>
      <c r="D101" s="309"/>
      <c r="E101" s="312"/>
      <c r="F101" s="332"/>
      <c r="G101" s="314"/>
      <c r="H101" s="446"/>
      <c r="I101" s="315"/>
      <c r="J101" s="312"/>
      <c r="K101" s="316"/>
      <c r="L101" s="317"/>
      <c r="M101" s="16">
        <f t="shared" si="130"/>
        <v>0</v>
      </c>
      <c r="N101" s="17">
        <f t="shared" si="149"/>
        <v>0</v>
      </c>
      <c r="O101" s="17">
        <f t="shared" si="150"/>
        <v>0</v>
      </c>
      <c r="P101" s="17">
        <f t="shared" si="153"/>
        <v>0</v>
      </c>
      <c r="Q101" s="17">
        <f t="shared" si="156"/>
        <v>0</v>
      </c>
      <c r="R101" s="17">
        <f t="shared" si="159"/>
        <v>0</v>
      </c>
      <c r="S101" s="17">
        <f t="shared" si="162"/>
        <v>0</v>
      </c>
      <c r="T101" s="17">
        <f t="shared" si="165"/>
        <v>0</v>
      </c>
      <c r="U101" s="17">
        <f t="shared" si="168"/>
        <v>0</v>
      </c>
      <c r="V101" s="17">
        <f t="shared" si="171"/>
        <v>0</v>
      </c>
      <c r="W101" s="17">
        <f t="shared" si="174"/>
        <v>0</v>
      </c>
      <c r="X101" s="17">
        <f t="shared" si="177"/>
        <v>0</v>
      </c>
      <c r="Y101" s="17">
        <f t="shared" si="180"/>
        <v>0</v>
      </c>
      <c r="Z101" s="17">
        <f t="shared" si="183"/>
        <v>0</v>
      </c>
      <c r="AA101" s="17">
        <f t="shared" si="186"/>
        <v>0</v>
      </c>
      <c r="AB101" s="17">
        <f t="shared" si="189"/>
        <v>0</v>
      </c>
      <c r="AC101" s="17">
        <f t="shared" si="192"/>
        <v>0</v>
      </c>
      <c r="AD101" s="17">
        <f t="shared" si="195"/>
        <v>0</v>
      </c>
      <c r="AE101" s="17">
        <f t="shared" si="198"/>
        <v>0</v>
      </c>
      <c r="AF101" s="17">
        <f t="shared" si="201"/>
        <v>0</v>
      </c>
      <c r="AG101" s="17">
        <f t="shared" ref="AG101:AG116" si="204">IF($AG$36=0,0,IF(AND($A101=$A100,$A101&lt;&gt;0,AG100&lt;&gt;0),$M101,0))</f>
        <v>0</v>
      </c>
      <c r="AH101" s="17">
        <f t="shared" si="101"/>
        <v>0</v>
      </c>
      <c r="AI101" s="17">
        <f t="shared" si="103"/>
        <v>0</v>
      </c>
      <c r="AJ101" s="17">
        <f t="shared" si="105"/>
        <v>0</v>
      </c>
      <c r="AK101" s="17">
        <f t="shared" si="107"/>
        <v>0</v>
      </c>
      <c r="AL101" s="17">
        <f t="shared" si="109"/>
        <v>0</v>
      </c>
      <c r="AM101" s="17">
        <f t="shared" si="111"/>
        <v>0</v>
      </c>
      <c r="AN101" s="17">
        <f t="shared" si="113"/>
        <v>0</v>
      </c>
      <c r="AO101" s="17">
        <f t="shared" si="115"/>
        <v>0</v>
      </c>
      <c r="AP101" s="17">
        <f t="shared" si="117"/>
        <v>0</v>
      </c>
      <c r="AQ101" s="17">
        <f t="shared" si="119"/>
        <v>0</v>
      </c>
      <c r="AR101" s="17">
        <f t="shared" si="121"/>
        <v>0</v>
      </c>
      <c r="AS101" s="17">
        <f t="shared" si="123"/>
        <v>0</v>
      </c>
      <c r="AT101" s="17">
        <f t="shared" si="131"/>
        <v>0</v>
      </c>
      <c r="AU101" s="17">
        <f t="shared" si="151"/>
        <v>0</v>
      </c>
      <c r="AV101" s="17">
        <f t="shared" si="154"/>
        <v>0</v>
      </c>
      <c r="AW101" s="17">
        <f t="shared" si="157"/>
        <v>0</v>
      </c>
      <c r="AX101" s="17">
        <f t="shared" si="160"/>
        <v>0</v>
      </c>
      <c r="AY101" s="17">
        <f t="shared" si="163"/>
        <v>0</v>
      </c>
      <c r="AZ101" s="17">
        <f t="shared" si="166"/>
        <v>0</v>
      </c>
      <c r="BA101" s="17">
        <f t="shared" si="169"/>
        <v>0</v>
      </c>
      <c r="BB101" s="17">
        <f t="shared" si="172"/>
        <v>0</v>
      </c>
      <c r="BC101" s="17">
        <f t="shared" si="175"/>
        <v>0</v>
      </c>
      <c r="BD101" s="17">
        <f t="shared" si="178"/>
        <v>0</v>
      </c>
      <c r="BE101" s="17">
        <f t="shared" si="181"/>
        <v>0</v>
      </c>
      <c r="BF101" s="17">
        <f t="shared" si="184"/>
        <v>0</v>
      </c>
      <c r="BG101" s="17">
        <f t="shared" si="187"/>
        <v>0</v>
      </c>
      <c r="BH101" s="17">
        <f t="shared" si="190"/>
        <v>0</v>
      </c>
      <c r="BI101" s="17">
        <f t="shared" si="193"/>
        <v>0</v>
      </c>
      <c r="BJ101" s="17">
        <f t="shared" si="196"/>
        <v>0</v>
      </c>
      <c r="BK101" s="17">
        <f t="shared" si="199"/>
        <v>0</v>
      </c>
      <c r="BL101" s="17">
        <f t="shared" si="202"/>
        <v>0</v>
      </c>
      <c r="BM101" s="17">
        <f t="shared" si="100"/>
        <v>0</v>
      </c>
      <c r="BN101" s="17">
        <f t="shared" si="102"/>
        <v>0</v>
      </c>
      <c r="BO101" s="17">
        <f t="shared" si="104"/>
        <v>0</v>
      </c>
      <c r="BP101" s="17">
        <f t="shared" si="106"/>
        <v>0</v>
      </c>
      <c r="BQ101" s="17">
        <f t="shared" si="108"/>
        <v>0</v>
      </c>
      <c r="BR101" s="17">
        <f t="shared" si="110"/>
        <v>0</v>
      </c>
      <c r="BS101" s="17">
        <f t="shared" si="112"/>
        <v>0</v>
      </c>
      <c r="BT101" s="17">
        <f t="shared" si="114"/>
        <v>0</v>
      </c>
      <c r="BU101" s="17">
        <f t="shared" si="116"/>
        <v>0</v>
      </c>
      <c r="BV101" s="17">
        <f t="shared" si="118"/>
        <v>0</v>
      </c>
      <c r="BW101" s="17">
        <f t="shared" si="120"/>
        <v>0</v>
      </c>
      <c r="BX101" s="17">
        <f t="shared" si="122"/>
        <v>0</v>
      </c>
      <c r="BY101" s="17">
        <f t="shared" si="124"/>
        <v>0</v>
      </c>
      <c r="BZ101" s="17">
        <f t="shared" si="132"/>
        <v>0</v>
      </c>
      <c r="CA101" s="17">
        <f t="shared" si="152"/>
        <v>0</v>
      </c>
      <c r="CB101" s="17">
        <f t="shared" si="155"/>
        <v>0</v>
      </c>
      <c r="CC101" s="17">
        <f t="shared" si="158"/>
        <v>0</v>
      </c>
      <c r="CD101" s="17">
        <f t="shared" si="161"/>
        <v>0</v>
      </c>
      <c r="CE101" s="17">
        <f t="shared" si="164"/>
        <v>0</v>
      </c>
      <c r="CF101" s="17">
        <f t="shared" si="167"/>
        <v>0</v>
      </c>
      <c r="CG101" s="17">
        <f t="shared" si="170"/>
        <v>0</v>
      </c>
      <c r="CH101" s="17">
        <f t="shared" si="173"/>
        <v>0</v>
      </c>
      <c r="CI101" s="17">
        <f t="shared" si="176"/>
        <v>0</v>
      </c>
      <c r="CJ101" s="17">
        <f t="shared" si="179"/>
        <v>0</v>
      </c>
      <c r="CK101" s="17">
        <f t="shared" si="182"/>
        <v>0</v>
      </c>
      <c r="CL101" s="17">
        <f t="shared" si="185"/>
        <v>0</v>
      </c>
      <c r="CM101" s="17">
        <f t="shared" si="188"/>
        <v>0</v>
      </c>
      <c r="CN101" s="17">
        <f t="shared" si="191"/>
        <v>0</v>
      </c>
      <c r="CO101" s="17">
        <f t="shared" si="194"/>
        <v>0</v>
      </c>
      <c r="CP101" s="17">
        <f t="shared" si="197"/>
        <v>0</v>
      </c>
      <c r="CQ101" s="17">
        <f t="shared" si="200"/>
        <v>0</v>
      </c>
      <c r="CR101" s="17">
        <f t="shared" si="203"/>
        <v>0</v>
      </c>
      <c r="CS101" s="17">
        <f t="shared" ref="CS101:CS116" si="205">IF($CS$100=0,0,IF(AND($A101=$A100,$A101&lt;&gt;0,CS100&lt;&gt;0),$M101,0))</f>
        <v>0</v>
      </c>
      <c r="CT101" s="17">
        <f>IF(CS101&lt;&gt;0,0,IF(OR($A101=0,$A101=$A100),0,$M101))</f>
        <v>0</v>
      </c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  <c r="DG101" s="17"/>
      <c r="DH101" s="17"/>
      <c r="DI101" s="17"/>
      <c r="DJ101" s="17" t="str">
        <v/>
      </c>
      <c r="DK101" s="30" t="str">
        <f t="shared" si="133"/>
        <v/>
      </c>
      <c r="DL101" s="27" t="str">
        <f t="shared" si="125"/>
        <v/>
      </c>
      <c r="DM101" s="31" t="str">
        <f t="shared" si="126"/>
        <v/>
      </c>
      <c r="DN101" s="16">
        <f t="shared" si="134"/>
        <v>20</v>
      </c>
      <c r="DO101" s="16">
        <f t="shared" si="135"/>
        <v>0</v>
      </c>
      <c r="DP101" s="16">
        <f t="shared" si="136"/>
        <v>0</v>
      </c>
      <c r="DQ101" s="16">
        <f t="shared" si="137"/>
        <v>20</v>
      </c>
      <c r="DR101" s="16" t="str">
        <f t="shared" si="138"/>
        <v/>
      </c>
      <c r="DS101" s="18" t="str">
        <f>IF(ISERROR(CEILING(($DQ101*$DL101/60),Puertas!$S$4)),"",CEILING(($DQ101*$DL101/60),Puertas!$S$4))</f>
        <v/>
      </c>
      <c r="DT101" s="18" t="str">
        <f t="shared" si="127"/>
        <v/>
      </c>
      <c r="DU101" s="104" t="str">
        <f t="shared" si="128"/>
        <v/>
      </c>
      <c r="DV101" s="105" t="str">
        <f>IF(D101="","",SUMIF(Puertas!$K$15:$K$114,B101,Puertas!$U$15:$U$114)+SUMIF(Puertas!$O$15:$O$114,B101,Puertas!$W$15:$W$114))</f>
        <v/>
      </c>
      <c r="DW101" s="106" t="str">
        <f t="shared" si="129"/>
        <v/>
      </c>
      <c r="DX101" s="104" t="str">
        <f t="shared" si="139"/>
        <v/>
      </c>
      <c r="DY101" s="105" t="str">
        <f t="shared" si="140"/>
        <v/>
      </c>
      <c r="DZ101" s="107"/>
      <c r="EA101" s="107"/>
      <c r="EB101" s="105" t="e">
        <f>ABS(IF(D101="","",SUMIF(Puertas!$K$15:$K$114,B101,Puertas!$V$15:$V$114)+SUMIF(Puertas!$O$15:$O$114,B101,Puertas!$X$15:$X$114)))</f>
        <v>#VALUE!</v>
      </c>
      <c r="EC101" s="105" t="str">
        <f t="shared" si="141"/>
        <v/>
      </c>
      <c r="ED101" s="106" t="str">
        <f t="shared" si="142"/>
        <v/>
      </c>
      <c r="EE101" s="41"/>
      <c r="EF101" s="6" t="b">
        <v>0</v>
      </c>
      <c r="EG101" s="6" t="b">
        <v>0</v>
      </c>
      <c r="EH101" s="5" t="e">
        <f t="shared" si="143"/>
        <v>#VALUE!</v>
      </c>
      <c r="EI101" s="5" t="e">
        <f t="shared" si="144"/>
        <v>#VALUE!</v>
      </c>
      <c r="EJ101" s="3">
        <f t="shared" si="145"/>
        <v>0</v>
      </c>
      <c r="EK101" s="3">
        <f t="shared" si="146"/>
        <v>0</v>
      </c>
      <c r="EL101" s="5" t="e">
        <f t="shared" si="147"/>
        <v>#VALUE!</v>
      </c>
      <c r="EM101" s="5" t="e">
        <f t="shared" si="148"/>
        <v>#VALUE!</v>
      </c>
    </row>
    <row r="102" spans="1:143" x14ac:dyDescent="0.3">
      <c r="A102" s="1">
        <v>86</v>
      </c>
      <c r="B102" s="19">
        <v>86</v>
      </c>
      <c r="C102" s="310"/>
      <c r="D102" s="310"/>
      <c r="E102" s="318"/>
      <c r="F102" s="330"/>
      <c r="G102" s="320"/>
      <c r="H102" s="447"/>
      <c r="I102" s="321"/>
      <c r="J102" s="318"/>
      <c r="K102" s="322"/>
      <c r="L102" s="323"/>
      <c r="M102" s="20">
        <f t="shared" si="130"/>
        <v>0</v>
      </c>
      <c r="N102" s="21">
        <f t="shared" si="149"/>
        <v>0</v>
      </c>
      <c r="O102" s="21">
        <f t="shared" si="150"/>
        <v>0</v>
      </c>
      <c r="P102" s="21">
        <f t="shared" si="153"/>
        <v>0</v>
      </c>
      <c r="Q102" s="21">
        <f t="shared" si="156"/>
        <v>0</v>
      </c>
      <c r="R102" s="21">
        <f t="shared" si="159"/>
        <v>0</v>
      </c>
      <c r="S102" s="21">
        <f t="shared" si="162"/>
        <v>0</v>
      </c>
      <c r="T102" s="21">
        <f t="shared" si="165"/>
        <v>0</v>
      </c>
      <c r="U102" s="21">
        <f t="shared" si="168"/>
        <v>0</v>
      </c>
      <c r="V102" s="21">
        <f t="shared" si="171"/>
        <v>0</v>
      </c>
      <c r="W102" s="21">
        <f t="shared" si="174"/>
        <v>0</v>
      </c>
      <c r="X102" s="21">
        <f t="shared" si="177"/>
        <v>0</v>
      </c>
      <c r="Y102" s="21">
        <f t="shared" si="180"/>
        <v>0</v>
      </c>
      <c r="Z102" s="21">
        <f t="shared" si="183"/>
        <v>0</v>
      </c>
      <c r="AA102" s="21">
        <f t="shared" si="186"/>
        <v>0</v>
      </c>
      <c r="AB102" s="21">
        <f t="shared" si="189"/>
        <v>0</v>
      </c>
      <c r="AC102" s="21">
        <f t="shared" si="192"/>
        <v>0</v>
      </c>
      <c r="AD102" s="21">
        <f t="shared" si="195"/>
        <v>0</v>
      </c>
      <c r="AE102" s="21">
        <f t="shared" si="198"/>
        <v>0</v>
      </c>
      <c r="AF102" s="21">
        <f t="shared" si="201"/>
        <v>0</v>
      </c>
      <c r="AG102" s="21">
        <f t="shared" si="204"/>
        <v>0</v>
      </c>
      <c r="AH102" s="21">
        <f t="shared" ref="AH102:AH116" si="206">IF($AH$37=0,0,IF(AND($A102=$A101,$A102&lt;&gt;0,AH101&lt;&gt;0),$M102,0))</f>
        <v>0</v>
      </c>
      <c r="AI102" s="21">
        <f t="shared" si="103"/>
        <v>0</v>
      </c>
      <c r="AJ102" s="21">
        <f t="shared" si="105"/>
        <v>0</v>
      </c>
      <c r="AK102" s="21">
        <f t="shared" si="107"/>
        <v>0</v>
      </c>
      <c r="AL102" s="21">
        <f t="shared" si="109"/>
        <v>0</v>
      </c>
      <c r="AM102" s="21">
        <f t="shared" si="111"/>
        <v>0</v>
      </c>
      <c r="AN102" s="21">
        <f t="shared" si="113"/>
        <v>0</v>
      </c>
      <c r="AO102" s="21">
        <f t="shared" si="115"/>
        <v>0</v>
      </c>
      <c r="AP102" s="21">
        <f t="shared" si="117"/>
        <v>0</v>
      </c>
      <c r="AQ102" s="21">
        <f t="shared" si="119"/>
        <v>0</v>
      </c>
      <c r="AR102" s="21">
        <f t="shared" si="121"/>
        <v>0</v>
      </c>
      <c r="AS102" s="21">
        <f t="shared" si="123"/>
        <v>0</v>
      </c>
      <c r="AT102" s="21">
        <f t="shared" si="131"/>
        <v>0</v>
      </c>
      <c r="AU102" s="21">
        <f t="shared" si="151"/>
        <v>0</v>
      </c>
      <c r="AV102" s="21">
        <f t="shared" si="154"/>
        <v>0</v>
      </c>
      <c r="AW102" s="21">
        <f t="shared" si="157"/>
        <v>0</v>
      </c>
      <c r="AX102" s="21">
        <f t="shared" si="160"/>
        <v>0</v>
      </c>
      <c r="AY102" s="21">
        <f t="shared" si="163"/>
        <v>0</v>
      </c>
      <c r="AZ102" s="21">
        <f t="shared" si="166"/>
        <v>0</v>
      </c>
      <c r="BA102" s="21">
        <f t="shared" si="169"/>
        <v>0</v>
      </c>
      <c r="BB102" s="21">
        <f t="shared" si="172"/>
        <v>0</v>
      </c>
      <c r="BC102" s="21">
        <f t="shared" si="175"/>
        <v>0</v>
      </c>
      <c r="BD102" s="21">
        <f t="shared" si="178"/>
        <v>0</v>
      </c>
      <c r="BE102" s="21">
        <f t="shared" si="181"/>
        <v>0</v>
      </c>
      <c r="BF102" s="21">
        <f t="shared" si="184"/>
        <v>0</v>
      </c>
      <c r="BG102" s="21">
        <f t="shared" si="187"/>
        <v>0</v>
      </c>
      <c r="BH102" s="21">
        <f t="shared" si="190"/>
        <v>0</v>
      </c>
      <c r="BI102" s="21">
        <f t="shared" si="193"/>
        <v>0</v>
      </c>
      <c r="BJ102" s="21">
        <f t="shared" si="196"/>
        <v>0</v>
      </c>
      <c r="BK102" s="21">
        <f t="shared" si="199"/>
        <v>0</v>
      </c>
      <c r="BL102" s="21">
        <f t="shared" si="202"/>
        <v>0</v>
      </c>
      <c r="BM102" s="21">
        <f t="shared" si="100"/>
        <v>0</v>
      </c>
      <c r="BN102" s="21">
        <f t="shared" si="102"/>
        <v>0</v>
      </c>
      <c r="BO102" s="21">
        <f t="shared" si="104"/>
        <v>0</v>
      </c>
      <c r="BP102" s="21">
        <f t="shared" si="106"/>
        <v>0</v>
      </c>
      <c r="BQ102" s="21">
        <f t="shared" si="108"/>
        <v>0</v>
      </c>
      <c r="BR102" s="21">
        <f t="shared" si="110"/>
        <v>0</v>
      </c>
      <c r="BS102" s="21">
        <f t="shared" si="112"/>
        <v>0</v>
      </c>
      <c r="BT102" s="21">
        <f t="shared" si="114"/>
        <v>0</v>
      </c>
      <c r="BU102" s="21">
        <f t="shared" si="116"/>
        <v>0</v>
      </c>
      <c r="BV102" s="21">
        <f t="shared" si="118"/>
        <v>0</v>
      </c>
      <c r="BW102" s="21">
        <f t="shared" si="120"/>
        <v>0</v>
      </c>
      <c r="BX102" s="21">
        <f t="shared" si="122"/>
        <v>0</v>
      </c>
      <c r="BY102" s="21">
        <f t="shared" si="124"/>
        <v>0</v>
      </c>
      <c r="BZ102" s="21">
        <f t="shared" si="132"/>
        <v>0</v>
      </c>
      <c r="CA102" s="21">
        <f t="shared" si="152"/>
        <v>0</v>
      </c>
      <c r="CB102" s="21">
        <f t="shared" si="155"/>
        <v>0</v>
      </c>
      <c r="CC102" s="21">
        <f t="shared" si="158"/>
        <v>0</v>
      </c>
      <c r="CD102" s="21">
        <f t="shared" si="161"/>
        <v>0</v>
      </c>
      <c r="CE102" s="21">
        <f t="shared" si="164"/>
        <v>0</v>
      </c>
      <c r="CF102" s="21">
        <f t="shared" si="167"/>
        <v>0</v>
      </c>
      <c r="CG102" s="21">
        <f t="shared" si="170"/>
        <v>0</v>
      </c>
      <c r="CH102" s="21">
        <f t="shared" si="173"/>
        <v>0</v>
      </c>
      <c r="CI102" s="21">
        <f t="shared" si="176"/>
        <v>0</v>
      </c>
      <c r="CJ102" s="21">
        <f t="shared" si="179"/>
        <v>0</v>
      </c>
      <c r="CK102" s="21">
        <f t="shared" si="182"/>
        <v>0</v>
      </c>
      <c r="CL102" s="21">
        <f t="shared" si="185"/>
        <v>0</v>
      </c>
      <c r="CM102" s="21">
        <f t="shared" si="188"/>
        <v>0</v>
      </c>
      <c r="CN102" s="21">
        <f t="shared" si="191"/>
        <v>0</v>
      </c>
      <c r="CO102" s="21">
        <f t="shared" si="194"/>
        <v>0</v>
      </c>
      <c r="CP102" s="21">
        <f t="shared" si="197"/>
        <v>0</v>
      </c>
      <c r="CQ102" s="21">
        <f t="shared" si="200"/>
        <v>0</v>
      </c>
      <c r="CR102" s="21">
        <f t="shared" si="203"/>
        <v>0</v>
      </c>
      <c r="CS102" s="21">
        <f t="shared" si="205"/>
        <v>0</v>
      </c>
      <c r="CT102" s="21">
        <f t="shared" ref="CT102:CT116" si="207">IF($CT$101=0,0,IF(AND($A102=$A101,$A102&lt;&gt;0,CT101&lt;&gt;0),$M102,0))</f>
        <v>0</v>
      </c>
      <c r="CU102" s="21">
        <f>IF(CT102&lt;&gt;0,0,IF(OR($A102=0,$A102=$A101),0,$M102))</f>
        <v>0</v>
      </c>
      <c r="CV102" s="21"/>
      <c r="CW102" s="21"/>
      <c r="CX102" s="21"/>
      <c r="CY102" s="21"/>
      <c r="CZ102" s="21"/>
      <c r="DA102" s="21"/>
      <c r="DB102" s="21"/>
      <c r="DC102" s="21"/>
      <c r="DD102" s="21"/>
      <c r="DE102" s="21"/>
      <c r="DF102" s="21"/>
      <c r="DG102" s="21"/>
      <c r="DH102" s="21"/>
      <c r="DI102" s="21"/>
      <c r="DJ102" s="21" t="str">
        <v/>
      </c>
      <c r="DK102" s="32" t="str">
        <f t="shared" si="133"/>
        <v/>
      </c>
      <c r="DL102" s="28" t="str">
        <f t="shared" si="125"/>
        <v/>
      </c>
      <c r="DM102" s="33" t="str">
        <f t="shared" si="126"/>
        <v/>
      </c>
      <c r="DN102" s="20">
        <f t="shared" si="134"/>
        <v>20</v>
      </c>
      <c r="DO102" s="20">
        <f t="shared" si="135"/>
        <v>0</v>
      </c>
      <c r="DP102" s="20">
        <f t="shared" si="136"/>
        <v>0</v>
      </c>
      <c r="DQ102" s="20">
        <f t="shared" si="137"/>
        <v>20</v>
      </c>
      <c r="DR102" s="20" t="str">
        <f t="shared" si="138"/>
        <v/>
      </c>
      <c r="DS102" s="22" t="str">
        <f>IF(ISERROR(CEILING(($DQ102*$DL102/60),Puertas!$S$4)),"",CEILING(($DQ102*$DL102/60),Puertas!$S$4))</f>
        <v/>
      </c>
      <c r="DT102" s="22" t="str">
        <f t="shared" si="127"/>
        <v/>
      </c>
      <c r="DU102" s="108" t="str">
        <f t="shared" si="128"/>
        <v/>
      </c>
      <c r="DV102" s="109" t="str">
        <f>IF(D102="","",SUMIF(Puertas!$K$15:$K$114,B102,Puertas!$U$15:$U$114)+SUMIF(Puertas!$O$15:$O$114,B102,Puertas!$W$15:$W$114))</f>
        <v/>
      </c>
      <c r="DW102" s="110" t="str">
        <f t="shared" si="129"/>
        <v/>
      </c>
      <c r="DX102" s="108" t="str">
        <f t="shared" si="139"/>
        <v/>
      </c>
      <c r="DY102" s="109" t="str">
        <f t="shared" si="140"/>
        <v/>
      </c>
      <c r="DZ102" s="111"/>
      <c r="EA102" s="111"/>
      <c r="EB102" s="109" t="e">
        <f>ABS(IF(D102="","",SUMIF(Puertas!$K$15:$K$114,B102,Puertas!$V$15:$V$114)+SUMIF(Puertas!$O$15:$O$114,B102,Puertas!$X$15:$X$114)))</f>
        <v>#VALUE!</v>
      </c>
      <c r="EC102" s="109" t="str">
        <f t="shared" si="141"/>
        <v/>
      </c>
      <c r="ED102" s="110" t="str">
        <f t="shared" si="142"/>
        <v/>
      </c>
      <c r="EE102" s="42"/>
      <c r="EF102" s="6" t="b">
        <v>0</v>
      </c>
      <c r="EG102" s="6" t="b">
        <v>0</v>
      </c>
      <c r="EH102" s="5" t="e">
        <f t="shared" si="143"/>
        <v>#VALUE!</v>
      </c>
      <c r="EI102" s="5" t="e">
        <f t="shared" si="144"/>
        <v>#VALUE!</v>
      </c>
      <c r="EJ102" s="3">
        <f t="shared" si="145"/>
        <v>0</v>
      </c>
      <c r="EK102" s="3">
        <f t="shared" si="146"/>
        <v>0</v>
      </c>
      <c r="EL102" s="5" t="e">
        <f t="shared" si="147"/>
        <v>#VALUE!</v>
      </c>
      <c r="EM102" s="5" t="e">
        <f t="shared" si="148"/>
        <v>#VALUE!</v>
      </c>
    </row>
    <row r="103" spans="1:143" x14ac:dyDescent="0.3">
      <c r="A103" s="1">
        <v>87</v>
      </c>
      <c r="B103" s="23">
        <v>87</v>
      </c>
      <c r="C103" s="311"/>
      <c r="D103" s="311"/>
      <c r="E103" s="324"/>
      <c r="F103" s="331"/>
      <c r="G103" s="326"/>
      <c r="H103" s="448"/>
      <c r="I103" s="327"/>
      <c r="J103" s="324"/>
      <c r="K103" s="328"/>
      <c r="L103" s="329"/>
      <c r="M103" s="24">
        <f t="shared" si="130"/>
        <v>0</v>
      </c>
      <c r="N103" s="25">
        <f t="shared" si="149"/>
        <v>0</v>
      </c>
      <c r="O103" s="25">
        <f t="shared" si="150"/>
        <v>0</v>
      </c>
      <c r="P103" s="25">
        <f t="shared" si="153"/>
        <v>0</v>
      </c>
      <c r="Q103" s="25">
        <f t="shared" si="156"/>
        <v>0</v>
      </c>
      <c r="R103" s="25">
        <f t="shared" si="159"/>
        <v>0</v>
      </c>
      <c r="S103" s="25">
        <f t="shared" si="162"/>
        <v>0</v>
      </c>
      <c r="T103" s="25">
        <f t="shared" si="165"/>
        <v>0</v>
      </c>
      <c r="U103" s="25">
        <f t="shared" si="168"/>
        <v>0</v>
      </c>
      <c r="V103" s="25">
        <f t="shared" si="171"/>
        <v>0</v>
      </c>
      <c r="W103" s="25">
        <f t="shared" si="174"/>
        <v>0</v>
      </c>
      <c r="X103" s="25">
        <f t="shared" si="177"/>
        <v>0</v>
      </c>
      <c r="Y103" s="25">
        <f t="shared" si="180"/>
        <v>0</v>
      </c>
      <c r="Z103" s="25">
        <f t="shared" si="183"/>
        <v>0</v>
      </c>
      <c r="AA103" s="25">
        <f t="shared" si="186"/>
        <v>0</v>
      </c>
      <c r="AB103" s="25">
        <f t="shared" si="189"/>
        <v>0</v>
      </c>
      <c r="AC103" s="25">
        <f t="shared" si="192"/>
        <v>0</v>
      </c>
      <c r="AD103" s="25">
        <f t="shared" si="195"/>
        <v>0</v>
      </c>
      <c r="AE103" s="25">
        <f t="shared" si="198"/>
        <v>0</v>
      </c>
      <c r="AF103" s="25">
        <f t="shared" si="201"/>
        <v>0</v>
      </c>
      <c r="AG103" s="25">
        <f t="shared" si="204"/>
        <v>0</v>
      </c>
      <c r="AH103" s="25">
        <f t="shared" si="206"/>
        <v>0</v>
      </c>
      <c r="AI103" s="25">
        <f t="shared" ref="AI103:AI116" si="208">IF($AI$38=0,0,IF(AND($A103=$A102,$A103&lt;&gt;0,AI102&lt;&gt;0),$M103,0))</f>
        <v>0</v>
      </c>
      <c r="AJ103" s="25">
        <f t="shared" si="105"/>
        <v>0</v>
      </c>
      <c r="AK103" s="25">
        <f t="shared" si="107"/>
        <v>0</v>
      </c>
      <c r="AL103" s="25">
        <f t="shared" si="109"/>
        <v>0</v>
      </c>
      <c r="AM103" s="25">
        <f t="shared" si="111"/>
        <v>0</v>
      </c>
      <c r="AN103" s="25">
        <f t="shared" si="113"/>
        <v>0</v>
      </c>
      <c r="AO103" s="25">
        <f t="shared" si="115"/>
        <v>0</v>
      </c>
      <c r="AP103" s="25">
        <f t="shared" si="117"/>
        <v>0</v>
      </c>
      <c r="AQ103" s="25">
        <f t="shared" si="119"/>
        <v>0</v>
      </c>
      <c r="AR103" s="25">
        <f t="shared" si="121"/>
        <v>0</v>
      </c>
      <c r="AS103" s="25">
        <f t="shared" si="123"/>
        <v>0</v>
      </c>
      <c r="AT103" s="25">
        <f t="shared" si="131"/>
        <v>0</v>
      </c>
      <c r="AU103" s="25">
        <f t="shared" si="151"/>
        <v>0</v>
      </c>
      <c r="AV103" s="25">
        <f t="shared" si="154"/>
        <v>0</v>
      </c>
      <c r="AW103" s="25">
        <f t="shared" si="157"/>
        <v>0</v>
      </c>
      <c r="AX103" s="25">
        <f t="shared" si="160"/>
        <v>0</v>
      </c>
      <c r="AY103" s="25">
        <f t="shared" si="163"/>
        <v>0</v>
      </c>
      <c r="AZ103" s="25">
        <f t="shared" si="166"/>
        <v>0</v>
      </c>
      <c r="BA103" s="25">
        <f t="shared" si="169"/>
        <v>0</v>
      </c>
      <c r="BB103" s="25">
        <f t="shared" si="172"/>
        <v>0</v>
      </c>
      <c r="BC103" s="25">
        <f t="shared" si="175"/>
        <v>0</v>
      </c>
      <c r="BD103" s="25">
        <f t="shared" si="178"/>
        <v>0</v>
      </c>
      <c r="BE103" s="25">
        <f t="shared" si="181"/>
        <v>0</v>
      </c>
      <c r="BF103" s="25">
        <f t="shared" si="184"/>
        <v>0</v>
      </c>
      <c r="BG103" s="25">
        <f t="shared" si="187"/>
        <v>0</v>
      </c>
      <c r="BH103" s="25">
        <f t="shared" si="190"/>
        <v>0</v>
      </c>
      <c r="BI103" s="25">
        <f t="shared" si="193"/>
        <v>0</v>
      </c>
      <c r="BJ103" s="25">
        <f t="shared" si="196"/>
        <v>0</v>
      </c>
      <c r="BK103" s="25">
        <f t="shared" si="199"/>
        <v>0</v>
      </c>
      <c r="BL103" s="25">
        <f t="shared" si="202"/>
        <v>0</v>
      </c>
      <c r="BM103" s="25">
        <f t="shared" si="100"/>
        <v>0</v>
      </c>
      <c r="BN103" s="25">
        <f t="shared" si="102"/>
        <v>0</v>
      </c>
      <c r="BO103" s="25">
        <f t="shared" si="104"/>
        <v>0</v>
      </c>
      <c r="BP103" s="25">
        <f t="shared" si="106"/>
        <v>0</v>
      </c>
      <c r="BQ103" s="25">
        <f t="shared" si="108"/>
        <v>0</v>
      </c>
      <c r="BR103" s="25">
        <f t="shared" si="110"/>
        <v>0</v>
      </c>
      <c r="BS103" s="25">
        <f t="shared" si="112"/>
        <v>0</v>
      </c>
      <c r="BT103" s="25">
        <f t="shared" si="114"/>
        <v>0</v>
      </c>
      <c r="BU103" s="25">
        <f t="shared" si="116"/>
        <v>0</v>
      </c>
      <c r="BV103" s="25">
        <f t="shared" si="118"/>
        <v>0</v>
      </c>
      <c r="BW103" s="25">
        <f t="shared" si="120"/>
        <v>0</v>
      </c>
      <c r="BX103" s="25">
        <f t="shared" si="122"/>
        <v>0</v>
      </c>
      <c r="BY103" s="25">
        <f t="shared" si="124"/>
        <v>0</v>
      </c>
      <c r="BZ103" s="25">
        <f t="shared" si="132"/>
        <v>0</v>
      </c>
      <c r="CA103" s="25">
        <f t="shared" si="152"/>
        <v>0</v>
      </c>
      <c r="CB103" s="25">
        <f t="shared" si="155"/>
        <v>0</v>
      </c>
      <c r="CC103" s="25">
        <f t="shared" si="158"/>
        <v>0</v>
      </c>
      <c r="CD103" s="25">
        <f t="shared" si="161"/>
        <v>0</v>
      </c>
      <c r="CE103" s="25">
        <f t="shared" si="164"/>
        <v>0</v>
      </c>
      <c r="CF103" s="25">
        <f t="shared" si="167"/>
        <v>0</v>
      </c>
      <c r="CG103" s="25">
        <f t="shared" si="170"/>
        <v>0</v>
      </c>
      <c r="CH103" s="25">
        <f t="shared" si="173"/>
        <v>0</v>
      </c>
      <c r="CI103" s="25">
        <f t="shared" si="176"/>
        <v>0</v>
      </c>
      <c r="CJ103" s="25">
        <f t="shared" si="179"/>
        <v>0</v>
      </c>
      <c r="CK103" s="25">
        <f t="shared" si="182"/>
        <v>0</v>
      </c>
      <c r="CL103" s="25">
        <f t="shared" si="185"/>
        <v>0</v>
      </c>
      <c r="CM103" s="25">
        <f t="shared" si="188"/>
        <v>0</v>
      </c>
      <c r="CN103" s="25">
        <f t="shared" si="191"/>
        <v>0</v>
      </c>
      <c r="CO103" s="25">
        <f t="shared" si="194"/>
        <v>0</v>
      </c>
      <c r="CP103" s="25">
        <f t="shared" si="197"/>
        <v>0</v>
      </c>
      <c r="CQ103" s="25">
        <f t="shared" si="200"/>
        <v>0</v>
      </c>
      <c r="CR103" s="25">
        <f t="shared" si="203"/>
        <v>0</v>
      </c>
      <c r="CS103" s="25">
        <f t="shared" si="205"/>
        <v>0</v>
      </c>
      <c r="CT103" s="25">
        <f t="shared" si="207"/>
        <v>0</v>
      </c>
      <c r="CU103" s="25">
        <f t="shared" ref="CU103:CU116" si="209">IF($CU$102=0,0,IF(AND($A103=$A102,$A103&lt;&gt;0,CU102&lt;&gt;0),$M103,0))</f>
        <v>0</v>
      </c>
      <c r="CV103" s="25">
        <f>IF(CU103&lt;&gt;0,0,IF(OR($A103=0,$A103=$A102),0,$M103))</f>
        <v>0</v>
      </c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 t="str">
        <v/>
      </c>
      <c r="DK103" s="34" t="str">
        <f t="shared" si="133"/>
        <v/>
      </c>
      <c r="DL103" s="29" t="str">
        <f t="shared" si="125"/>
        <v/>
      </c>
      <c r="DM103" s="35" t="str">
        <f t="shared" si="126"/>
        <v/>
      </c>
      <c r="DN103" s="24">
        <f t="shared" si="134"/>
        <v>20</v>
      </c>
      <c r="DO103" s="24">
        <f t="shared" si="135"/>
        <v>0</v>
      </c>
      <c r="DP103" s="24">
        <f t="shared" si="136"/>
        <v>0</v>
      </c>
      <c r="DQ103" s="24">
        <f t="shared" si="137"/>
        <v>20</v>
      </c>
      <c r="DR103" s="24" t="str">
        <f t="shared" si="138"/>
        <v/>
      </c>
      <c r="DS103" s="26" t="str">
        <f>IF(ISERROR(CEILING(($DQ103*$DL103/60),Puertas!$S$4)),"",CEILING(($DQ103*$DL103/60),Puertas!$S$4))</f>
        <v/>
      </c>
      <c r="DT103" s="26" t="str">
        <f t="shared" si="127"/>
        <v/>
      </c>
      <c r="DU103" s="112" t="str">
        <f t="shared" si="128"/>
        <v/>
      </c>
      <c r="DV103" s="113" t="str">
        <f>IF(D103="","",SUMIF(Puertas!$K$15:$K$114,B103,Puertas!$U$15:$U$114)+SUMIF(Puertas!$O$15:$O$114,B103,Puertas!$W$15:$W$114))</f>
        <v/>
      </c>
      <c r="DW103" s="114" t="str">
        <f t="shared" si="129"/>
        <v/>
      </c>
      <c r="DX103" s="112" t="str">
        <f t="shared" si="139"/>
        <v/>
      </c>
      <c r="DY103" s="113" t="str">
        <f t="shared" si="140"/>
        <v/>
      </c>
      <c r="DZ103" s="115"/>
      <c r="EA103" s="115"/>
      <c r="EB103" s="113" t="e">
        <f>ABS(IF(D103="","",SUMIF(Puertas!$K$15:$K$114,B103,Puertas!$V$15:$V$114)+SUMIF(Puertas!$O$15:$O$114,B103,Puertas!$X$15:$X$114)))</f>
        <v>#VALUE!</v>
      </c>
      <c r="EC103" s="113" t="str">
        <f t="shared" si="141"/>
        <v/>
      </c>
      <c r="ED103" s="114" t="str">
        <f t="shared" si="142"/>
        <v/>
      </c>
      <c r="EE103" s="43"/>
      <c r="EF103" s="6" t="b">
        <v>0</v>
      </c>
      <c r="EG103" s="6" t="b">
        <v>0</v>
      </c>
      <c r="EH103" s="5" t="e">
        <f t="shared" si="143"/>
        <v>#VALUE!</v>
      </c>
      <c r="EI103" s="5" t="e">
        <f t="shared" si="144"/>
        <v>#VALUE!</v>
      </c>
      <c r="EJ103" s="3">
        <f t="shared" si="145"/>
        <v>0</v>
      </c>
      <c r="EK103" s="3">
        <f t="shared" si="146"/>
        <v>0</v>
      </c>
      <c r="EL103" s="5" t="e">
        <f t="shared" si="147"/>
        <v>#VALUE!</v>
      </c>
      <c r="EM103" s="5" t="e">
        <f t="shared" si="148"/>
        <v>#VALUE!</v>
      </c>
    </row>
    <row r="104" spans="1:143" x14ac:dyDescent="0.3">
      <c r="A104" s="1">
        <v>88</v>
      </c>
      <c r="B104" s="15">
        <v>88</v>
      </c>
      <c r="C104" s="309"/>
      <c r="D104" s="309"/>
      <c r="E104" s="312"/>
      <c r="F104" s="332"/>
      <c r="G104" s="314"/>
      <c r="H104" s="446"/>
      <c r="I104" s="315"/>
      <c r="J104" s="312"/>
      <c r="K104" s="316"/>
      <c r="L104" s="317"/>
      <c r="M104" s="16">
        <f t="shared" si="130"/>
        <v>0</v>
      </c>
      <c r="N104" s="17">
        <f t="shared" si="149"/>
        <v>0</v>
      </c>
      <c r="O104" s="17">
        <f t="shared" si="150"/>
        <v>0</v>
      </c>
      <c r="P104" s="17">
        <f t="shared" si="153"/>
        <v>0</v>
      </c>
      <c r="Q104" s="17">
        <f t="shared" si="156"/>
        <v>0</v>
      </c>
      <c r="R104" s="17">
        <f t="shared" si="159"/>
        <v>0</v>
      </c>
      <c r="S104" s="17">
        <f t="shared" si="162"/>
        <v>0</v>
      </c>
      <c r="T104" s="17">
        <f t="shared" si="165"/>
        <v>0</v>
      </c>
      <c r="U104" s="17">
        <f t="shared" si="168"/>
        <v>0</v>
      </c>
      <c r="V104" s="17">
        <f t="shared" si="171"/>
        <v>0</v>
      </c>
      <c r="W104" s="17">
        <f t="shared" si="174"/>
        <v>0</v>
      </c>
      <c r="X104" s="17">
        <f t="shared" si="177"/>
        <v>0</v>
      </c>
      <c r="Y104" s="17">
        <f t="shared" si="180"/>
        <v>0</v>
      </c>
      <c r="Z104" s="17">
        <f t="shared" si="183"/>
        <v>0</v>
      </c>
      <c r="AA104" s="17">
        <f t="shared" si="186"/>
        <v>0</v>
      </c>
      <c r="AB104" s="17">
        <f t="shared" si="189"/>
        <v>0</v>
      </c>
      <c r="AC104" s="17">
        <f t="shared" si="192"/>
        <v>0</v>
      </c>
      <c r="AD104" s="17">
        <f t="shared" si="195"/>
        <v>0</v>
      </c>
      <c r="AE104" s="17">
        <f t="shared" si="198"/>
        <v>0</v>
      </c>
      <c r="AF104" s="17">
        <f t="shared" si="201"/>
        <v>0</v>
      </c>
      <c r="AG104" s="17">
        <f t="shared" si="204"/>
        <v>0</v>
      </c>
      <c r="AH104" s="17">
        <f t="shared" si="206"/>
        <v>0</v>
      </c>
      <c r="AI104" s="17">
        <f t="shared" si="208"/>
        <v>0</v>
      </c>
      <c r="AJ104" s="17">
        <f t="shared" ref="AJ104:AJ116" si="210">IF($AJ$39=0,0,IF(AND($A104=$A103,$A104&lt;&gt;0,AJ103&lt;&gt;0),$M104,0))</f>
        <v>0</v>
      </c>
      <c r="AK104" s="17">
        <f t="shared" si="107"/>
        <v>0</v>
      </c>
      <c r="AL104" s="17">
        <f t="shared" si="109"/>
        <v>0</v>
      </c>
      <c r="AM104" s="17">
        <f t="shared" si="111"/>
        <v>0</v>
      </c>
      <c r="AN104" s="17">
        <f t="shared" si="113"/>
        <v>0</v>
      </c>
      <c r="AO104" s="17">
        <f t="shared" si="115"/>
        <v>0</v>
      </c>
      <c r="AP104" s="17">
        <f t="shared" si="117"/>
        <v>0</v>
      </c>
      <c r="AQ104" s="17">
        <f t="shared" si="119"/>
        <v>0</v>
      </c>
      <c r="AR104" s="17">
        <f t="shared" si="121"/>
        <v>0</v>
      </c>
      <c r="AS104" s="17">
        <f t="shared" si="123"/>
        <v>0</v>
      </c>
      <c r="AT104" s="17">
        <f t="shared" si="131"/>
        <v>0</v>
      </c>
      <c r="AU104" s="17">
        <f t="shared" si="151"/>
        <v>0</v>
      </c>
      <c r="AV104" s="17">
        <f t="shared" si="154"/>
        <v>0</v>
      </c>
      <c r="AW104" s="17">
        <f t="shared" si="157"/>
        <v>0</v>
      </c>
      <c r="AX104" s="17">
        <f t="shared" si="160"/>
        <v>0</v>
      </c>
      <c r="AY104" s="17">
        <f t="shared" si="163"/>
        <v>0</v>
      </c>
      <c r="AZ104" s="17">
        <f t="shared" si="166"/>
        <v>0</v>
      </c>
      <c r="BA104" s="17">
        <f t="shared" si="169"/>
        <v>0</v>
      </c>
      <c r="BB104" s="17">
        <f t="shared" si="172"/>
        <v>0</v>
      </c>
      <c r="BC104" s="17">
        <f t="shared" si="175"/>
        <v>0</v>
      </c>
      <c r="BD104" s="17">
        <f t="shared" si="178"/>
        <v>0</v>
      </c>
      <c r="BE104" s="17">
        <f t="shared" si="181"/>
        <v>0</v>
      </c>
      <c r="BF104" s="17">
        <f t="shared" si="184"/>
        <v>0</v>
      </c>
      <c r="BG104" s="17">
        <f t="shared" si="187"/>
        <v>0</v>
      </c>
      <c r="BH104" s="17">
        <f t="shared" si="190"/>
        <v>0</v>
      </c>
      <c r="BI104" s="17">
        <f t="shared" si="193"/>
        <v>0</v>
      </c>
      <c r="BJ104" s="17">
        <f t="shared" si="196"/>
        <v>0</v>
      </c>
      <c r="BK104" s="17">
        <f t="shared" si="199"/>
        <v>0</v>
      </c>
      <c r="BL104" s="17">
        <f t="shared" si="202"/>
        <v>0</v>
      </c>
      <c r="BM104" s="17">
        <f t="shared" si="100"/>
        <v>0</v>
      </c>
      <c r="BN104" s="17">
        <f t="shared" si="102"/>
        <v>0</v>
      </c>
      <c r="BO104" s="17">
        <f t="shared" si="104"/>
        <v>0</v>
      </c>
      <c r="BP104" s="17">
        <f t="shared" si="106"/>
        <v>0</v>
      </c>
      <c r="BQ104" s="17">
        <f t="shared" si="108"/>
        <v>0</v>
      </c>
      <c r="BR104" s="17">
        <f t="shared" si="110"/>
        <v>0</v>
      </c>
      <c r="BS104" s="17">
        <f t="shared" si="112"/>
        <v>0</v>
      </c>
      <c r="BT104" s="17">
        <f t="shared" si="114"/>
        <v>0</v>
      </c>
      <c r="BU104" s="17">
        <f t="shared" si="116"/>
        <v>0</v>
      </c>
      <c r="BV104" s="17">
        <f t="shared" si="118"/>
        <v>0</v>
      </c>
      <c r="BW104" s="17">
        <f t="shared" si="120"/>
        <v>0</v>
      </c>
      <c r="BX104" s="17">
        <f t="shared" si="122"/>
        <v>0</v>
      </c>
      <c r="BY104" s="17">
        <f t="shared" si="124"/>
        <v>0</v>
      </c>
      <c r="BZ104" s="17">
        <f t="shared" si="132"/>
        <v>0</v>
      </c>
      <c r="CA104" s="17">
        <f t="shared" si="152"/>
        <v>0</v>
      </c>
      <c r="CB104" s="17">
        <f t="shared" si="155"/>
        <v>0</v>
      </c>
      <c r="CC104" s="17">
        <f t="shared" si="158"/>
        <v>0</v>
      </c>
      <c r="CD104" s="17">
        <f t="shared" si="161"/>
        <v>0</v>
      </c>
      <c r="CE104" s="17">
        <f t="shared" si="164"/>
        <v>0</v>
      </c>
      <c r="CF104" s="17">
        <f t="shared" si="167"/>
        <v>0</v>
      </c>
      <c r="CG104" s="17">
        <f t="shared" si="170"/>
        <v>0</v>
      </c>
      <c r="CH104" s="17">
        <f t="shared" si="173"/>
        <v>0</v>
      </c>
      <c r="CI104" s="17">
        <f t="shared" si="176"/>
        <v>0</v>
      </c>
      <c r="CJ104" s="17">
        <f t="shared" si="179"/>
        <v>0</v>
      </c>
      <c r="CK104" s="17">
        <f t="shared" si="182"/>
        <v>0</v>
      </c>
      <c r="CL104" s="17">
        <f t="shared" si="185"/>
        <v>0</v>
      </c>
      <c r="CM104" s="17">
        <f t="shared" si="188"/>
        <v>0</v>
      </c>
      <c r="CN104" s="17">
        <f t="shared" si="191"/>
        <v>0</v>
      </c>
      <c r="CO104" s="17">
        <f t="shared" si="194"/>
        <v>0</v>
      </c>
      <c r="CP104" s="17">
        <f t="shared" si="197"/>
        <v>0</v>
      </c>
      <c r="CQ104" s="17">
        <f t="shared" si="200"/>
        <v>0</v>
      </c>
      <c r="CR104" s="17">
        <f t="shared" si="203"/>
        <v>0</v>
      </c>
      <c r="CS104" s="17">
        <f t="shared" si="205"/>
        <v>0</v>
      </c>
      <c r="CT104" s="17">
        <f t="shared" si="207"/>
        <v>0</v>
      </c>
      <c r="CU104" s="17">
        <f t="shared" si="209"/>
        <v>0</v>
      </c>
      <c r="CV104" s="17">
        <f t="shared" ref="CV104:CV116" si="211">IF($CV$103=0,0,IF(AND($A104=$A103,$A104&lt;&gt;0,CV103&lt;&gt;0),$M104,0))</f>
        <v>0</v>
      </c>
      <c r="CW104" s="17">
        <f>IF(CV104&lt;&gt;0,0,IF(OR($A104=0,$A104=$A103),0,$M104))</f>
        <v>0</v>
      </c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 t="str">
        <v/>
      </c>
      <c r="DK104" s="30" t="str">
        <f t="shared" si="133"/>
        <v/>
      </c>
      <c r="DL104" s="27" t="str">
        <f t="shared" si="125"/>
        <v/>
      </c>
      <c r="DM104" s="31" t="str">
        <f t="shared" si="126"/>
        <v/>
      </c>
      <c r="DN104" s="16">
        <f t="shared" si="134"/>
        <v>20</v>
      </c>
      <c r="DO104" s="16">
        <f t="shared" si="135"/>
        <v>0</v>
      </c>
      <c r="DP104" s="16">
        <f t="shared" si="136"/>
        <v>0</v>
      </c>
      <c r="DQ104" s="16">
        <f t="shared" si="137"/>
        <v>20</v>
      </c>
      <c r="DR104" s="16" t="str">
        <f t="shared" si="138"/>
        <v/>
      </c>
      <c r="DS104" s="18" t="str">
        <f>IF(ISERROR(CEILING(($DQ104*$DL104/60),Puertas!$S$4)),"",CEILING(($DQ104*$DL104/60),Puertas!$S$4))</f>
        <v/>
      </c>
      <c r="DT104" s="18" t="str">
        <f t="shared" si="127"/>
        <v/>
      </c>
      <c r="DU104" s="104" t="str">
        <f t="shared" si="128"/>
        <v/>
      </c>
      <c r="DV104" s="105" t="str">
        <f>IF(D104="","",SUMIF(Puertas!$K$15:$K$114,B104,Puertas!$U$15:$U$114)+SUMIF(Puertas!$O$15:$O$114,B104,Puertas!$W$15:$W$114))</f>
        <v/>
      </c>
      <c r="DW104" s="106" t="str">
        <f t="shared" si="129"/>
        <v/>
      </c>
      <c r="DX104" s="104" t="str">
        <f t="shared" si="139"/>
        <v/>
      </c>
      <c r="DY104" s="105" t="str">
        <f t="shared" si="140"/>
        <v/>
      </c>
      <c r="DZ104" s="107"/>
      <c r="EA104" s="107"/>
      <c r="EB104" s="105" t="e">
        <f>ABS(IF(D104="","",SUMIF(Puertas!$K$15:$K$114,B104,Puertas!$V$15:$V$114)+SUMIF(Puertas!$O$15:$O$114,B104,Puertas!$X$15:$X$114)))</f>
        <v>#VALUE!</v>
      </c>
      <c r="EC104" s="105" t="str">
        <f t="shared" si="141"/>
        <v/>
      </c>
      <c r="ED104" s="106" t="str">
        <f t="shared" si="142"/>
        <v/>
      </c>
      <c r="EE104" s="41"/>
      <c r="EF104" s="6" t="b">
        <v>0</v>
      </c>
      <c r="EG104" s="6" t="b">
        <v>0</v>
      </c>
      <c r="EH104" s="5" t="e">
        <f t="shared" si="143"/>
        <v>#VALUE!</v>
      </c>
      <c r="EI104" s="5" t="e">
        <f t="shared" si="144"/>
        <v>#VALUE!</v>
      </c>
      <c r="EJ104" s="3">
        <f t="shared" si="145"/>
        <v>0</v>
      </c>
      <c r="EK104" s="3">
        <f t="shared" si="146"/>
        <v>0</v>
      </c>
      <c r="EL104" s="5" t="e">
        <f t="shared" si="147"/>
        <v>#VALUE!</v>
      </c>
      <c r="EM104" s="5" t="e">
        <f t="shared" si="148"/>
        <v>#VALUE!</v>
      </c>
    </row>
    <row r="105" spans="1:143" x14ac:dyDescent="0.3">
      <c r="A105" s="1">
        <v>89</v>
      </c>
      <c r="B105" s="19">
        <v>89</v>
      </c>
      <c r="C105" s="310"/>
      <c r="D105" s="310"/>
      <c r="E105" s="318"/>
      <c r="F105" s="330"/>
      <c r="G105" s="320"/>
      <c r="H105" s="447"/>
      <c r="I105" s="321"/>
      <c r="J105" s="318"/>
      <c r="K105" s="322"/>
      <c r="L105" s="323"/>
      <c r="M105" s="20">
        <f t="shared" si="130"/>
        <v>0</v>
      </c>
      <c r="N105" s="21">
        <f t="shared" si="149"/>
        <v>0</v>
      </c>
      <c r="O105" s="21">
        <f t="shared" si="150"/>
        <v>0</v>
      </c>
      <c r="P105" s="21">
        <f t="shared" si="153"/>
        <v>0</v>
      </c>
      <c r="Q105" s="21">
        <f t="shared" si="156"/>
        <v>0</v>
      </c>
      <c r="R105" s="21">
        <f t="shared" si="159"/>
        <v>0</v>
      </c>
      <c r="S105" s="21">
        <f t="shared" si="162"/>
        <v>0</v>
      </c>
      <c r="T105" s="21">
        <f t="shared" si="165"/>
        <v>0</v>
      </c>
      <c r="U105" s="21">
        <f t="shared" si="168"/>
        <v>0</v>
      </c>
      <c r="V105" s="21">
        <f t="shared" si="171"/>
        <v>0</v>
      </c>
      <c r="W105" s="21">
        <f t="shared" si="174"/>
        <v>0</v>
      </c>
      <c r="X105" s="21">
        <f t="shared" si="177"/>
        <v>0</v>
      </c>
      <c r="Y105" s="21">
        <f t="shared" si="180"/>
        <v>0</v>
      </c>
      <c r="Z105" s="21">
        <f t="shared" si="183"/>
        <v>0</v>
      </c>
      <c r="AA105" s="21">
        <f t="shared" si="186"/>
        <v>0</v>
      </c>
      <c r="AB105" s="21">
        <f t="shared" si="189"/>
        <v>0</v>
      </c>
      <c r="AC105" s="21">
        <f t="shared" si="192"/>
        <v>0</v>
      </c>
      <c r="AD105" s="21">
        <f t="shared" si="195"/>
        <v>0</v>
      </c>
      <c r="AE105" s="21">
        <f t="shared" si="198"/>
        <v>0</v>
      </c>
      <c r="AF105" s="21">
        <f t="shared" si="201"/>
        <v>0</v>
      </c>
      <c r="AG105" s="21">
        <f t="shared" si="204"/>
        <v>0</v>
      </c>
      <c r="AH105" s="21">
        <f t="shared" si="206"/>
        <v>0</v>
      </c>
      <c r="AI105" s="21">
        <f t="shared" si="208"/>
        <v>0</v>
      </c>
      <c r="AJ105" s="21">
        <f t="shared" si="210"/>
        <v>0</v>
      </c>
      <c r="AK105" s="21">
        <f t="shared" ref="AK105:AK116" si="212">IF($AK$40=0,0,IF(AND($A105=$A104,$A105&lt;&gt;0,AK104&lt;&gt;0),$M105,0))</f>
        <v>0</v>
      </c>
      <c r="AL105" s="21">
        <f t="shared" si="109"/>
        <v>0</v>
      </c>
      <c r="AM105" s="21">
        <f t="shared" si="111"/>
        <v>0</v>
      </c>
      <c r="AN105" s="21">
        <f t="shared" si="113"/>
        <v>0</v>
      </c>
      <c r="AO105" s="21">
        <f t="shared" si="115"/>
        <v>0</v>
      </c>
      <c r="AP105" s="21">
        <f t="shared" si="117"/>
        <v>0</v>
      </c>
      <c r="AQ105" s="21">
        <f t="shared" si="119"/>
        <v>0</v>
      </c>
      <c r="AR105" s="21">
        <f t="shared" si="121"/>
        <v>0</v>
      </c>
      <c r="AS105" s="21">
        <f t="shared" si="123"/>
        <v>0</v>
      </c>
      <c r="AT105" s="21">
        <f t="shared" si="131"/>
        <v>0</v>
      </c>
      <c r="AU105" s="21">
        <f t="shared" si="151"/>
        <v>0</v>
      </c>
      <c r="AV105" s="21">
        <f t="shared" si="154"/>
        <v>0</v>
      </c>
      <c r="AW105" s="21">
        <f t="shared" si="157"/>
        <v>0</v>
      </c>
      <c r="AX105" s="21">
        <f t="shared" si="160"/>
        <v>0</v>
      </c>
      <c r="AY105" s="21">
        <f t="shared" si="163"/>
        <v>0</v>
      </c>
      <c r="AZ105" s="21">
        <f t="shared" si="166"/>
        <v>0</v>
      </c>
      <c r="BA105" s="21">
        <f t="shared" si="169"/>
        <v>0</v>
      </c>
      <c r="BB105" s="21">
        <f t="shared" si="172"/>
        <v>0</v>
      </c>
      <c r="BC105" s="21">
        <f t="shared" si="175"/>
        <v>0</v>
      </c>
      <c r="BD105" s="21">
        <f t="shared" si="178"/>
        <v>0</v>
      </c>
      <c r="BE105" s="21">
        <f t="shared" si="181"/>
        <v>0</v>
      </c>
      <c r="BF105" s="21">
        <f t="shared" si="184"/>
        <v>0</v>
      </c>
      <c r="BG105" s="21">
        <f t="shared" si="187"/>
        <v>0</v>
      </c>
      <c r="BH105" s="21">
        <f t="shared" si="190"/>
        <v>0</v>
      </c>
      <c r="BI105" s="21">
        <f t="shared" si="193"/>
        <v>0</v>
      </c>
      <c r="BJ105" s="21">
        <f t="shared" si="196"/>
        <v>0</v>
      </c>
      <c r="BK105" s="21">
        <f t="shared" si="199"/>
        <v>0</v>
      </c>
      <c r="BL105" s="21">
        <f t="shared" si="202"/>
        <v>0</v>
      </c>
      <c r="BM105" s="21">
        <f t="shared" si="100"/>
        <v>0</v>
      </c>
      <c r="BN105" s="21">
        <f t="shared" si="102"/>
        <v>0</v>
      </c>
      <c r="BO105" s="21">
        <f t="shared" si="104"/>
        <v>0</v>
      </c>
      <c r="BP105" s="21">
        <f t="shared" si="106"/>
        <v>0</v>
      </c>
      <c r="BQ105" s="21">
        <f t="shared" si="108"/>
        <v>0</v>
      </c>
      <c r="BR105" s="21">
        <f t="shared" si="110"/>
        <v>0</v>
      </c>
      <c r="BS105" s="21">
        <f t="shared" si="112"/>
        <v>0</v>
      </c>
      <c r="BT105" s="21">
        <f t="shared" si="114"/>
        <v>0</v>
      </c>
      <c r="BU105" s="21">
        <f t="shared" si="116"/>
        <v>0</v>
      </c>
      <c r="BV105" s="21">
        <f t="shared" si="118"/>
        <v>0</v>
      </c>
      <c r="BW105" s="21">
        <f t="shared" si="120"/>
        <v>0</v>
      </c>
      <c r="BX105" s="21">
        <f t="shared" si="122"/>
        <v>0</v>
      </c>
      <c r="BY105" s="21">
        <f t="shared" si="124"/>
        <v>0</v>
      </c>
      <c r="BZ105" s="21">
        <f t="shared" si="132"/>
        <v>0</v>
      </c>
      <c r="CA105" s="21">
        <f t="shared" si="152"/>
        <v>0</v>
      </c>
      <c r="CB105" s="21">
        <f t="shared" si="155"/>
        <v>0</v>
      </c>
      <c r="CC105" s="21">
        <f t="shared" si="158"/>
        <v>0</v>
      </c>
      <c r="CD105" s="21">
        <f t="shared" si="161"/>
        <v>0</v>
      </c>
      <c r="CE105" s="21">
        <f t="shared" si="164"/>
        <v>0</v>
      </c>
      <c r="CF105" s="21">
        <f t="shared" si="167"/>
        <v>0</v>
      </c>
      <c r="CG105" s="21">
        <f t="shared" si="170"/>
        <v>0</v>
      </c>
      <c r="CH105" s="21">
        <f t="shared" si="173"/>
        <v>0</v>
      </c>
      <c r="CI105" s="21">
        <f t="shared" si="176"/>
        <v>0</v>
      </c>
      <c r="CJ105" s="21">
        <f t="shared" si="179"/>
        <v>0</v>
      </c>
      <c r="CK105" s="21">
        <f t="shared" si="182"/>
        <v>0</v>
      </c>
      <c r="CL105" s="21">
        <f t="shared" si="185"/>
        <v>0</v>
      </c>
      <c r="CM105" s="21">
        <f t="shared" si="188"/>
        <v>0</v>
      </c>
      <c r="CN105" s="21">
        <f t="shared" si="191"/>
        <v>0</v>
      </c>
      <c r="CO105" s="21">
        <f t="shared" si="194"/>
        <v>0</v>
      </c>
      <c r="CP105" s="21">
        <f t="shared" si="197"/>
        <v>0</v>
      </c>
      <c r="CQ105" s="21">
        <f t="shared" si="200"/>
        <v>0</v>
      </c>
      <c r="CR105" s="21">
        <f t="shared" si="203"/>
        <v>0</v>
      </c>
      <c r="CS105" s="21">
        <f t="shared" si="205"/>
        <v>0</v>
      </c>
      <c r="CT105" s="21">
        <f t="shared" si="207"/>
        <v>0</v>
      </c>
      <c r="CU105" s="21">
        <f t="shared" si="209"/>
        <v>0</v>
      </c>
      <c r="CV105" s="21">
        <f t="shared" si="211"/>
        <v>0</v>
      </c>
      <c r="CW105" s="21">
        <f t="shared" ref="CW105:CW116" si="213">IF($CW$104=0,0,IF(AND($A105=$A104,$A105&lt;&gt;0,CW104&lt;&gt;0),$M105,0))</f>
        <v>0</v>
      </c>
      <c r="CX105" s="21">
        <f>IF(CW105&lt;&gt;0,0,IF(OR($A105=0,$A105=$A104),0,$M105))</f>
        <v>0</v>
      </c>
      <c r="CY105" s="21"/>
      <c r="CZ105" s="21"/>
      <c r="DA105" s="21"/>
      <c r="DB105" s="21"/>
      <c r="DC105" s="21"/>
      <c r="DD105" s="21"/>
      <c r="DE105" s="21"/>
      <c r="DF105" s="21"/>
      <c r="DG105" s="21"/>
      <c r="DH105" s="21"/>
      <c r="DI105" s="21"/>
      <c r="DJ105" s="21" t="str">
        <v/>
      </c>
      <c r="DK105" s="32" t="str">
        <f t="shared" si="133"/>
        <v/>
      </c>
      <c r="DL105" s="28" t="str">
        <f t="shared" si="125"/>
        <v/>
      </c>
      <c r="DM105" s="33" t="str">
        <f t="shared" si="126"/>
        <v/>
      </c>
      <c r="DN105" s="20">
        <f t="shared" si="134"/>
        <v>20</v>
      </c>
      <c r="DO105" s="20">
        <f t="shared" si="135"/>
        <v>0</v>
      </c>
      <c r="DP105" s="20">
        <f t="shared" si="136"/>
        <v>0</v>
      </c>
      <c r="DQ105" s="20">
        <f t="shared" si="137"/>
        <v>20</v>
      </c>
      <c r="DR105" s="20" t="str">
        <f t="shared" si="138"/>
        <v/>
      </c>
      <c r="DS105" s="22" t="str">
        <f>IF(ISERROR(CEILING(($DQ105*$DL105/60),Puertas!$S$4)),"",CEILING(($DQ105*$DL105/60),Puertas!$S$4))</f>
        <v/>
      </c>
      <c r="DT105" s="22" t="str">
        <f t="shared" si="127"/>
        <v/>
      </c>
      <c r="DU105" s="108" t="str">
        <f t="shared" si="128"/>
        <v/>
      </c>
      <c r="DV105" s="109" t="str">
        <f>IF(D105="","",SUMIF(Puertas!$K$15:$K$114,B105,Puertas!$U$15:$U$114)+SUMIF(Puertas!$O$15:$O$114,B105,Puertas!$W$15:$W$114))</f>
        <v/>
      </c>
      <c r="DW105" s="110" t="str">
        <f t="shared" si="129"/>
        <v/>
      </c>
      <c r="DX105" s="108" t="str">
        <f t="shared" si="139"/>
        <v/>
      </c>
      <c r="DY105" s="109" t="str">
        <f t="shared" si="140"/>
        <v/>
      </c>
      <c r="DZ105" s="111"/>
      <c r="EA105" s="111"/>
      <c r="EB105" s="109" t="e">
        <f>ABS(IF(D105="","",SUMIF(Puertas!$K$15:$K$114,B105,Puertas!$V$15:$V$114)+SUMIF(Puertas!$O$15:$O$114,B105,Puertas!$X$15:$X$114)))</f>
        <v>#VALUE!</v>
      </c>
      <c r="EC105" s="109" t="str">
        <f t="shared" si="141"/>
        <v/>
      </c>
      <c r="ED105" s="110" t="str">
        <f t="shared" si="142"/>
        <v/>
      </c>
      <c r="EE105" s="42"/>
      <c r="EF105" s="6" t="b">
        <v>0</v>
      </c>
      <c r="EG105" s="6" t="b">
        <v>0</v>
      </c>
      <c r="EH105" s="5" t="e">
        <f t="shared" si="143"/>
        <v>#VALUE!</v>
      </c>
      <c r="EI105" s="5" t="e">
        <f t="shared" si="144"/>
        <v>#VALUE!</v>
      </c>
      <c r="EJ105" s="3">
        <f t="shared" si="145"/>
        <v>0</v>
      </c>
      <c r="EK105" s="3">
        <f t="shared" si="146"/>
        <v>0</v>
      </c>
      <c r="EL105" s="5" t="e">
        <f t="shared" si="147"/>
        <v>#VALUE!</v>
      </c>
      <c r="EM105" s="5" t="e">
        <f t="shared" si="148"/>
        <v>#VALUE!</v>
      </c>
    </row>
    <row r="106" spans="1:143" x14ac:dyDescent="0.3">
      <c r="A106" s="1">
        <v>90</v>
      </c>
      <c r="B106" s="23">
        <v>90</v>
      </c>
      <c r="C106" s="311"/>
      <c r="D106" s="311"/>
      <c r="E106" s="324"/>
      <c r="F106" s="331"/>
      <c r="G106" s="326"/>
      <c r="H106" s="448"/>
      <c r="I106" s="327"/>
      <c r="J106" s="324"/>
      <c r="K106" s="328"/>
      <c r="L106" s="329"/>
      <c r="M106" s="24">
        <f t="shared" si="130"/>
        <v>0</v>
      </c>
      <c r="N106" s="25">
        <f t="shared" si="149"/>
        <v>0</v>
      </c>
      <c r="O106" s="25">
        <f t="shared" si="150"/>
        <v>0</v>
      </c>
      <c r="P106" s="25">
        <f t="shared" si="153"/>
        <v>0</v>
      </c>
      <c r="Q106" s="25">
        <f t="shared" si="156"/>
        <v>0</v>
      </c>
      <c r="R106" s="25">
        <f t="shared" si="159"/>
        <v>0</v>
      </c>
      <c r="S106" s="25">
        <f t="shared" si="162"/>
        <v>0</v>
      </c>
      <c r="T106" s="25">
        <f t="shared" si="165"/>
        <v>0</v>
      </c>
      <c r="U106" s="25">
        <f t="shared" si="168"/>
        <v>0</v>
      </c>
      <c r="V106" s="25">
        <f t="shared" si="171"/>
        <v>0</v>
      </c>
      <c r="W106" s="25">
        <f t="shared" si="174"/>
        <v>0</v>
      </c>
      <c r="X106" s="25">
        <f t="shared" si="177"/>
        <v>0</v>
      </c>
      <c r="Y106" s="25">
        <f t="shared" si="180"/>
        <v>0</v>
      </c>
      <c r="Z106" s="25">
        <f t="shared" si="183"/>
        <v>0</v>
      </c>
      <c r="AA106" s="25">
        <f t="shared" si="186"/>
        <v>0</v>
      </c>
      <c r="AB106" s="25">
        <f t="shared" si="189"/>
        <v>0</v>
      </c>
      <c r="AC106" s="25">
        <f t="shared" si="192"/>
        <v>0</v>
      </c>
      <c r="AD106" s="25">
        <f t="shared" si="195"/>
        <v>0</v>
      </c>
      <c r="AE106" s="25">
        <f t="shared" si="198"/>
        <v>0</v>
      </c>
      <c r="AF106" s="25">
        <f t="shared" si="201"/>
        <v>0</v>
      </c>
      <c r="AG106" s="25">
        <f t="shared" si="204"/>
        <v>0</v>
      </c>
      <c r="AH106" s="25">
        <f t="shared" si="206"/>
        <v>0</v>
      </c>
      <c r="AI106" s="25">
        <f t="shared" si="208"/>
        <v>0</v>
      </c>
      <c r="AJ106" s="25">
        <f t="shared" si="210"/>
        <v>0</v>
      </c>
      <c r="AK106" s="25">
        <f t="shared" si="212"/>
        <v>0</v>
      </c>
      <c r="AL106" s="25">
        <f t="shared" ref="AL106:AL116" si="214">IF($AL$41=0,0,IF(AND($A106=$A105,$A106&lt;&gt;0,AL105&lt;&gt;0),$M106,0))</f>
        <v>0</v>
      </c>
      <c r="AM106" s="25">
        <f t="shared" si="111"/>
        <v>0</v>
      </c>
      <c r="AN106" s="25">
        <f t="shared" si="113"/>
        <v>0</v>
      </c>
      <c r="AO106" s="25">
        <f t="shared" si="115"/>
        <v>0</v>
      </c>
      <c r="AP106" s="25">
        <f t="shared" si="117"/>
        <v>0</v>
      </c>
      <c r="AQ106" s="25">
        <f t="shared" si="119"/>
        <v>0</v>
      </c>
      <c r="AR106" s="25">
        <f t="shared" si="121"/>
        <v>0</v>
      </c>
      <c r="AS106" s="25">
        <f t="shared" si="123"/>
        <v>0</v>
      </c>
      <c r="AT106" s="25">
        <f t="shared" si="131"/>
        <v>0</v>
      </c>
      <c r="AU106" s="25">
        <f t="shared" si="151"/>
        <v>0</v>
      </c>
      <c r="AV106" s="25">
        <f t="shared" si="154"/>
        <v>0</v>
      </c>
      <c r="AW106" s="25">
        <f t="shared" si="157"/>
        <v>0</v>
      </c>
      <c r="AX106" s="25">
        <f t="shared" si="160"/>
        <v>0</v>
      </c>
      <c r="AY106" s="25">
        <f t="shared" si="163"/>
        <v>0</v>
      </c>
      <c r="AZ106" s="25">
        <f t="shared" si="166"/>
        <v>0</v>
      </c>
      <c r="BA106" s="25">
        <f t="shared" si="169"/>
        <v>0</v>
      </c>
      <c r="BB106" s="25">
        <f t="shared" si="172"/>
        <v>0</v>
      </c>
      <c r="BC106" s="25">
        <f t="shared" si="175"/>
        <v>0</v>
      </c>
      <c r="BD106" s="25">
        <f t="shared" si="178"/>
        <v>0</v>
      </c>
      <c r="BE106" s="25">
        <f t="shared" si="181"/>
        <v>0</v>
      </c>
      <c r="BF106" s="25">
        <f t="shared" si="184"/>
        <v>0</v>
      </c>
      <c r="BG106" s="25">
        <f t="shared" si="187"/>
        <v>0</v>
      </c>
      <c r="BH106" s="25">
        <f t="shared" si="190"/>
        <v>0</v>
      </c>
      <c r="BI106" s="25">
        <f t="shared" si="193"/>
        <v>0</v>
      </c>
      <c r="BJ106" s="25">
        <f t="shared" si="196"/>
        <v>0</v>
      </c>
      <c r="BK106" s="25">
        <f t="shared" si="199"/>
        <v>0</v>
      </c>
      <c r="BL106" s="25">
        <f t="shared" si="202"/>
        <v>0</v>
      </c>
      <c r="BM106" s="25">
        <f t="shared" si="100"/>
        <v>0</v>
      </c>
      <c r="BN106" s="25">
        <f t="shared" si="102"/>
        <v>0</v>
      </c>
      <c r="BO106" s="25">
        <f t="shared" si="104"/>
        <v>0</v>
      </c>
      <c r="BP106" s="25">
        <f t="shared" si="106"/>
        <v>0</v>
      </c>
      <c r="BQ106" s="25">
        <f t="shared" si="108"/>
        <v>0</v>
      </c>
      <c r="BR106" s="25">
        <f t="shared" si="110"/>
        <v>0</v>
      </c>
      <c r="BS106" s="25">
        <f t="shared" si="112"/>
        <v>0</v>
      </c>
      <c r="BT106" s="25">
        <f t="shared" si="114"/>
        <v>0</v>
      </c>
      <c r="BU106" s="25">
        <f t="shared" si="116"/>
        <v>0</v>
      </c>
      <c r="BV106" s="25">
        <f t="shared" si="118"/>
        <v>0</v>
      </c>
      <c r="BW106" s="25">
        <f t="shared" si="120"/>
        <v>0</v>
      </c>
      <c r="BX106" s="25">
        <f t="shared" si="122"/>
        <v>0</v>
      </c>
      <c r="BY106" s="25">
        <f t="shared" si="124"/>
        <v>0</v>
      </c>
      <c r="BZ106" s="25">
        <f t="shared" si="132"/>
        <v>0</v>
      </c>
      <c r="CA106" s="25">
        <f t="shared" si="152"/>
        <v>0</v>
      </c>
      <c r="CB106" s="25">
        <f t="shared" si="155"/>
        <v>0</v>
      </c>
      <c r="CC106" s="25">
        <f t="shared" si="158"/>
        <v>0</v>
      </c>
      <c r="CD106" s="25">
        <f t="shared" si="161"/>
        <v>0</v>
      </c>
      <c r="CE106" s="25">
        <f t="shared" si="164"/>
        <v>0</v>
      </c>
      <c r="CF106" s="25">
        <f t="shared" si="167"/>
        <v>0</v>
      </c>
      <c r="CG106" s="25">
        <f t="shared" si="170"/>
        <v>0</v>
      </c>
      <c r="CH106" s="25">
        <f t="shared" si="173"/>
        <v>0</v>
      </c>
      <c r="CI106" s="25">
        <f t="shared" si="176"/>
        <v>0</v>
      </c>
      <c r="CJ106" s="25">
        <f t="shared" si="179"/>
        <v>0</v>
      </c>
      <c r="CK106" s="25">
        <f t="shared" si="182"/>
        <v>0</v>
      </c>
      <c r="CL106" s="25">
        <f t="shared" si="185"/>
        <v>0</v>
      </c>
      <c r="CM106" s="25">
        <f t="shared" si="188"/>
        <v>0</v>
      </c>
      <c r="CN106" s="25">
        <f t="shared" si="191"/>
        <v>0</v>
      </c>
      <c r="CO106" s="25">
        <f t="shared" si="194"/>
        <v>0</v>
      </c>
      <c r="CP106" s="25">
        <f t="shared" si="197"/>
        <v>0</v>
      </c>
      <c r="CQ106" s="25">
        <f t="shared" si="200"/>
        <v>0</v>
      </c>
      <c r="CR106" s="25">
        <f t="shared" si="203"/>
        <v>0</v>
      </c>
      <c r="CS106" s="25">
        <f t="shared" si="205"/>
        <v>0</v>
      </c>
      <c r="CT106" s="25">
        <f t="shared" si="207"/>
        <v>0</v>
      </c>
      <c r="CU106" s="25">
        <f t="shared" si="209"/>
        <v>0</v>
      </c>
      <c r="CV106" s="25">
        <f t="shared" si="211"/>
        <v>0</v>
      </c>
      <c r="CW106" s="25">
        <f t="shared" si="213"/>
        <v>0</v>
      </c>
      <c r="CX106" s="25">
        <f t="shared" ref="CX106:CX116" si="215">IF($CX$105=0,0,IF(AND($A106=$A105,$A106&lt;&gt;0,CX105&lt;&gt;0),$M106,0))</f>
        <v>0</v>
      </c>
      <c r="CY106" s="25">
        <f>IF(CX106&lt;&gt;0,0,IF(OR($A106=0,$A106=$A105),0,$M106))</f>
        <v>0</v>
      </c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 t="str">
        <v/>
      </c>
      <c r="DK106" s="34" t="str">
        <f t="shared" si="133"/>
        <v/>
      </c>
      <c r="DL106" s="29" t="str">
        <f t="shared" si="125"/>
        <v/>
      </c>
      <c r="DM106" s="35" t="str">
        <f t="shared" si="126"/>
        <v/>
      </c>
      <c r="DN106" s="24">
        <f t="shared" si="134"/>
        <v>20</v>
      </c>
      <c r="DO106" s="24">
        <f t="shared" si="135"/>
        <v>0</v>
      </c>
      <c r="DP106" s="24">
        <f t="shared" si="136"/>
        <v>0</v>
      </c>
      <c r="DQ106" s="24">
        <f t="shared" si="137"/>
        <v>20</v>
      </c>
      <c r="DR106" s="24" t="str">
        <f t="shared" si="138"/>
        <v/>
      </c>
      <c r="DS106" s="26" t="str">
        <f>IF(ISERROR(CEILING(($DQ106*$DL106/60),Puertas!$S$4)),"",CEILING(($DQ106*$DL106/60),Puertas!$S$4))</f>
        <v/>
      </c>
      <c r="DT106" s="26" t="str">
        <f t="shared" si="127"/>
        <v/>
      </c>
      <c r="DU106" s="112" t="str">
        <f t="shared" si="128"/>
        <v/>
      </c>
      <c r="DV106" s="113" t="str">
        <f>IF(D106="","",SUMIF(Puertas!$K$15:$K$114,B106,Puertas!$U$15:$U$114)+SUMIF(Puertas!$O$15:$O$114,B106,Puertas!$W$15:$W$114))</f>
        <v/>
      </c>
      <c r="DW106" s="114" t="str">
        <f t="shared" si="129"/>
        <v/>
      </c>
      <c r="DX106" s="112" t="str">
        <f t="shared" si="139"/>
        <v/>
      </c>
      <c r="DY106" s="113" t="str">
        <f t="shared" si="140"/>
        <v/>
      </c>
      <c r="DZ106" s="115"/>
      <c r="EA106" s="115"/>
      <c r="EB106" s="113" t="e">
        <f>ABS(IF(D106="","",SUMIF(Puertas!$K$15:$K$114,B106,Puertas!$V$15:$V$114)+SUMIF(Puertas!$O$15:$O$114,B106,Puertas!$X$15:$X$114)))</f>
        <v>#VALUE!</v>
      </c>
      <c r="EC106" s="113" t="str">
        <f t="shared" si="141"/>
        <v/>
      </c>
      <c r="ED106" s="114" t="str">
        <f t="shared" si="142"/>
        <v/>
      </c>
      <c r="EE106" s="43"/>
      <c r="EF106" s="6" t="b">
        <v>0</v>
      </c>
      <c r="EG106" s="6" t="b">
        <v>0</v>
      </c>
      <c r="EH106" s="5" t="e">
        <f t="shared" si="143"/>
        <v>#VALUE!</v>
      </c>
      <c r="EI106" s="5" t="e">
        <f t="shared" si="144"/>
        <v>#VALUE!</v>
      </c>
      <c r="EJ106" s="3">
        <f t="shared" si="145"/>
        <v>0</v>
      </c>
      <c r="EK106" s="3">
        <f t="shared" si="146"/>
        <v>0</v>
      </c>
      <c r="EL106" s="5" t="e">
        <f t="shared" si="147"/>
        <v>#VALUE!</v>
      </c>
      <c r="EM106" s="5" t="e">
        <f t="shared" si="148"/>
        <v>#VALUE!</v>
      </c>
    </row>
    <row r="107" spans="1:143" x14ac:dyDescent="0.3">
      <c r="A107" s="1">
        <v>91</v>
      </c>
      <c r="B107" s="15">
        <v>91</v>
      </c>
      <c r="C107" s="309"/>
      <c r="D107" s="309"/>
      <c r="E107" s="312"/>
      <c r="F107" s="332"/>
      <c r="G107" s="314"/>
      <c r="H107" s="446"/>
      <c r="I107" s="315"/>
      <c r="J107" s="312"/>
      <c r="K107" s="316"/>
      <c r="L107" s="317"/>
      <c r="M107" s="16">
        <f t="shared" si="130"/>
        <v>0</v>
      </c>
      <c r="N107" s="17">
        <f t="shared" si="149"/>
        <v>0</v>
      </c>
      <c r="O107" s="17">
        <f t="shared" si="150"/>
        <v>0</v>
      </c>
      <c r="P107" s="17">
        <f t="shared" si="153"/>
        <v>0</v>
      </c>
      <c r="Q107" s="17">
        <f t="shared" si="156"/>
        <v>0</v>
      </c>
      <c r="R107" s="17">
        <f t="shared" si="159"/>
        <v>0</v>
      </c>
      <c r="S107" s="17">
        <f t="shared" si="162"/>
        <v>0</v>
      </c>
      <c r="T107" s="17">
        <f t="shared" si="165"/>
        <v>0</v>
      </c>
      <c r="U107" s="17">
        <f t="shared" si="168"/>
        <v>0</v>
      </c>
      <c r="V107" s="17">
        <f t="shared" si="171"/>
        <v>0</v>
      </c>
      <c r="W107" s="17">
        <f t="shared" si="174"/>
        <v>0</v>
      </c>
      <c r="X107" s="17">
        <f t="shared" si="177"/>
        <v>0</v>
      </c>
      <c r="Y107" s="17">
        <f t="shared" si="180"/>
        <v>0</v>
      </c>
      <c r="Z107" s="17">
        <f t="shared" si="183"/>
        <v>0</v>
      </c>
      <c r="AA107" s="17">
        <f t="shared" si="186"/>
        <v>0</v>
      </c>
      <c r="AB107" s="17">
        <f t="shared" si="189"/>
        <v>0</v>
      </c>
      <c r="AC107" s="17">
        <f t="shared" si="192"/>
        <v>0</v>
      </c>
      <c r="AD107" s="17">
        <f t="shared" si="195"/>
        <v>0</v>
      </c>
      <c r="AE107" s="17">
        <f t="shared" si="198"/>
        <v>0</v>
      </c>
      <c r="AF107" s="17">
        <f t="shared" si="201"/>
        <v>0</v>
      </c>
      <c r="AG107" s="17">
        <f t="shared" si="204"/>
        <v>0</v>
      </c>
      <c r="AH107" s="17">
        <f t="shared" si="206"/>
        <v>0</v>
      </c>
      <c r="AI107" s="17">
        <f t="shared" si="208"/>
        <v>0</v>
      </c>
      <c r="AJ107" s="17">
        <f t="shared" si="210"/>
        <v>0</v>
      </c>
      <c r="AK107" s="17">
        <f t="shared" si="212"/>
        <v>0</v>
      </c>
      <c r="AL107" s="17">
        <f t="shared" si="214"/>
        <v>0</v>
      </c>
      <c r="AM107" s="17">
        <f t="shared" ref="AM107:AM116" si="216">IF($AM$42=0,0,IF(AND($A107=$A106,$A107&lt;&gt;0,AM106&lt;&gt;0),$M107,0))</f>
        <v>0</v>
      </c>
      <c r="AN107" s="17">
        <f t="shared" si="113"/>
        <v>0</v>
      </c>
      <c r="AO107" s="17">
        <f t="shared" si="115"/>
        <v>0</v>
      </c>
      <c r="AP107" s="17">
        <f t="shared" si="117"/>
        <v>0</v>
      </c>
      <c r="AQ107" s="17">
        <f t="shared" si="119"/>
        <v>0</v>
      </c>
      <c r="AR107" s="17">
        <f t="shared" si="121"/>
        <v>0</v>
      </c>
      <c r="AS107" s="17">
        <f t="shared" si="123"/>
        <v>0</v>
      </c>
      <c r="AT107" s="17">
        <f t="shared" si="131"/>
        <v>0</v>
      </c>
      <c r="AU107" s="17">
        <f t="shared" si="151"/>
        <v>0</v>
      </c>
      <c r="AV107" s="17">
        <f t="shared" si="154"/>
        <v>0</v>
      </c>
      <c r="AW107" s="17">
        <f t="shared" si="157"/>
        <v>0</v>
      </c>
      <c r="AX107" s="17">
        <f t="shared" si="160"/>
        <v>0</v>
      </c>
      <c r="AY107" s="17">
        <f t="shared" si="163"/>
        <v>0</v>
      </c>
      <c r="AZ107" s="17">
        <f t="shared" si="166"/>
        <v>0</v>
      </c>
      <c r="BA107" s="17">
        <f t="shared" si="169"/>
        <v>0</v>
      </c>
      <c r="BB107" s="17">
        <f t="shared" si="172"/>
        <v>0</v>
      </c>
      <c r="BC107" s="17">
        <f t="shared" si="175"/>
        <v>0</v>
      </c>
      <c r="BD107" s="17">
        <f t="shared" si="178"/>
        <v>0</v>
      </c>
      <c r="BE107" s="17">
        <f t="shared" si="181"/>
        <v>0</v>
      </c>
      <c r="BF107" s="17">
        <f t="shared" si="184"/>
        <v>0</v>
      </c>
      <c r="BG107" s="17">
        <f t="shared" si="187"/>
        <v>0</v>
      </c>
      <c r="BH107" s="17">
        <f t="shared" si="190"/>
        <v>0</v>
      </c>
      <c r="BI107" s="17">
        <f t="shared" si="193"/>
        <v>0</v>
      </c>
      <c r="BJ107" s="17">
        <f t="shared" si="196"/>
        <v>0</v>
      </c>
      <c r="BK107" s="17">
        <f t="shared" si="199"/>
        <v>0</v>
      </c>
      <c r="BL107" s="17">
        <f t="shared" si="202"/>
        <v>0</v>
      </c>
      <c r="BM107" s="17">
        <f t="shared" si="100"/>
        <v>0</v>
      </c>
      <c r="BN107" s="17">
        <f t="shared" si="102"/>
        <v>0</v>
      </c>
      <c r="BO107" s="17">
        <f t="shared" si="104"/>
        <v>0</v>
      </c>
      <c r="BP107" s="17">
        <f t="shared" si="106"/>
        <v>0</v>
      </c>
      <c r="BQ107" s="17">
        <f t="shared" si="108"/>
        <v>0</v>
      </c>
      <c r="BR107" s="17">
        <f t="shared" si="110"/>
        <v>0</v>
      </c>
      <c r="BS107" s="17">
        <f t="shared" si="112"/>
        <v>0</v>
      </c>
      <c r="BT107" s="17">
        <f t="shared" si="114"/>
        <v>0</v>
      </c>
      <c r="BU107" s="17">
        <f t="shared" si="116"/>
        <v>0</v>
      </c>
      <c r="BV107" s="17">
        <f t="shared" si="118"/>
        <v>0</v>
      </c>
      <c r="BW107" s="17">
        <f t="shared" si="120"/>
        <v>0</v>
      </c>
      <c r="BX107" s="17">
        <f t="shared" si="122"/>
        <v>0</v>
      </c>
      <c r="BY107" s="17">
        <f t="shared" si="124"/>
        <v>0</v>
      </c>
      <c r="BZ107" s="17">
        <f t="shared" si="132"/>
        <v>0</v>
      </c>
      <c r="CA107" s="17">
        <f t="shared" si="152"/>
        <v>0</v>
      </c>
      <c r="CB107" s="17">
        <f t="shared" si="155"/>
        <v>0</v>
      </c>
      <c r="CC107" s="17">
        <f t="shared" si="158"/>
        <v>0</v>
      </c>
      <c r="CD107" s="17">
        <f t="shared" si="161"/>
        <v>0</v>
      </c>
      <c r="CE107" s="17">
        <f t="shared" si="164"/>
        <v>0</v>
      </c>
      <c r="CF107" s="17">
        <f t="shared" si="167"/>
        <v>0</v>
      </c>
      <c r="CG107" s="17">
        <f t="shared" si="170"/>
        <v>0</v>
      </c>
      <c r="CH107" s="17">
        <f t="shared" si="173"/>
        <v>0</v>
      </c>
      <c r="CI107" s="17">
        <f t="shared" si="176"/>
        <v>0</v>
      </c>
      <c r="CJ107" s="17">
        <f t="shared" si="179"/>
        <v>0</v>
      </c>
      <c r="CK107" s="17">
        <f t="shared" si="182"/>
        <v>0</v>
      </c>
      <c r="CL107" s="17">
        <f t="shared" si="185"/>
        <v>0</v>
      </c>
      <c r="CM107" s="17">
        <f t="shared" si="188"/>
        <v>0</v>
      </c>
      <c r="CN107" s="17">
        <f t="shared" si="191"/>
        <v>0</v>
      </c>
      <c r="CO107" s="17">
        <f t="shared" si="194"/>
        <v>0</v>
      </c>
      <c r="CP107" s="17">
        <f t="shared" si="197"/>
        <v>0</v>
      </c>
      <c r="CQ107" s="17">
        <f t="shared" si="200"/>
        <v>0</v>
      </c>
      <c r="CR107" s="17">
        <f t="shared" si="203"/>
        <v>0</v>
      </c>
      <c r="CS107" s="17">
        <f t="shared" si="205"/>
        <v>0</v>
      </c>
      <c r="CT107" s="17">
        <f t="shared" si="207"/>
        <v>0</v>
      </c>
      <c r="CU107" s="17">
        <f t="shared" si="209"/>
        <v>0</v>
      </c>
      <c r="CV107" s="17">
        <f t="shared" si="211"/>
        <v>0</v>
      </c>
      <c r="CW107" s="17">
        <f t="shared" si="213"/>
        <v>0</v>
      </c>
      <c r="CX107" s="17">
        <f t="shared" si="215"/>
        <v>0</v>
      </c>
      <c r="CY107" s="17">
        <f t="shared" ref="CY107:CY116" si="217">IF($CY$106=0,0,IF(AND($A107=$A106,$A107&lt;&gt;0,CY106&lt;&gt;0),$M107,0))</f>
        <v>0</v>
      </c>
      <c r="CZ107" s="17">
        <f>IF(CY107&lt;&gt;0,0,IF(OR($A107=0,$A107=$A106),0,$M107))</f>
        <v>0</v>
      </c>
      <c r="DA107" s="17"/>
      <c r="DB107" s="17"/>
      <c r="DC107" s="17"/>
      <c r="DD107" s="17"/>
      <c r="DE107" s="17"/>
      <c r="DF107" s="17"/>
      <c r="DG107" s="17"/>
      <c r="DH107" s="17"/>
      <c r="DI107" s="17"/>
      <c r="DJ107" s="17" t="str">
        <v/>
      </c>
      <c r="DK107" s="30" t="str">
        <f t="shared" si="133"/>
        <v/>
      </c>
      <c r="DL107" s="27" t="str">
        <f t="shared" si="125"/>
        <v/>
      </c>
      <c r="DM107" s="31" t="str">
        <f t="shared" si="126"/>
        <v/>
      </c>
      <c r="DN107" s="16">
        <f t="shared" si="134"/>
        <v>20</v>
      </c>
      <c r="DO107" s="16">
        <f t="shared" si="135"/>
        <v>0</v>
      </c>
      <c r="DP107" s="16">
        <f t="shared" si="136"/>
        <v>0</v>
      </c>
      <c r="DQ107" s="16">
        <f t="shared" si="137"/>
        <v>20</v>
      </c>
      <c r="DR107" s="16" t="str">
        <f t="shared" si="138"/>
        <v/>
      </c>
      <c r="DS107" s="18" t="str">
        <f>IF(ISERROR(CEILING(($DQ107*$DL107/60),Puertas!$S$4)),"",CEILING(($DQ107*$DL107/60),Puertas!$S$4))</f>
        <v/>
      </c>
      <c r="DT107" s="18" t="str">
        <f t="shared" si="127"/>
        <v/>
      </c>
      <c r="DU107" s="104" t="str">
        <f t="shared" si="128"/>
        <v/>
      </c>
      <c r="DV107" s="105" t="str">
        <f>IF(D107="","",SUMIF(Puertas!$K$15:$K$114,B107,Puertas!$U$15:$U$114)+SUMIF(Puertas!$O$15:$O$114,B107,Puertas!$W$15:$W$114))</f>
        <v/>
      </c>
      <c r="DW107" s="106" t="str">
        <f t="shared" si="129"/>
        <v/>
      </c>
      <c r="DX107" s="104" t="str">
        <f t="shared" si="139"/>
        <v/>
      </c>
      <c r="DY107" s="105" t="str">
        <f t="shared" si="140"/>
        <v/>
      </c>
      <c r="DZ107" s="107"/>
      <c r="EA107" s="107"/>
      <c r="EB107" s="105" t="e">
        <f>ABS(IF(D107="","",SUMIF(Puertas!$K$15:$K$114,B107,Puertas!$V$15:$V$114)+SUMIF(Puertas!$O$15:$O$114,B107,Puertas!$X$15:$X$114)))</f>
        <v>#VALUE!</v>
      </c>
      <c r="EC107" s="105" t="str">
        <f t="shared" si="141"/>
        <v/>
      </c>
      <c r="ED107" s="106" t="str">
        <f t="shared" si="142"/>
        <v/>
      </c>
      <c r="EE107" s="41"/>
      <c r="EF107" s="6" t="b">
        <v>0</v>
      </c>
      <c r="EG107" s="6" t="b">
        <v>0</v>
      </c>
      <c r="EH107" s="5" t="e">
        <f t="shared" si="143"/>
        <v>#VALUE!</v>
      </c>
      <c r="EI107" s="5" t="e">
        <f t="shared" si="144"/>
        <v>#VALUE!</v>
      </c>
      <c r="EJ107" s="3">
        <f t="shared" si="145"/>
        <v>0</v>
      </c>
      <c r="EK107" s="3">
        <f t="shared" si="146"/>
        <v>0</v>
      </c>
      <c r="EL107" s="5" t="e">
        <f t="shared" si="147"/>
        <v>#VALUE!</v>
      </c>
      <c r="EM107" s="5" t="e">
        <f t="shared" si="148"/>
        <v>#VALUE!</v>
      </c>
    </row>
    <row r="108" spans="1:143" x14ac:dyDescent="0.3">
      <c r="A108" s="1">
        <v>92</v>
      </c>
      <c r="B108" s="19">
        <v>92</v>
      </c>
      <c r="C108" s="310"/>
      <c r="D108" s="310"/>
      <c r="E108" s="318"/>
      <c r="F108" s="330"/>
      <c r="G108" s="320"/>
      <c r="H108" s="447"/>
      <c r="I108" s="321"/>
      <c r="J108" s="318"/>
      <c r="K108" s="322"/>
      <c r="L108" s="323"/>
      <c r="M108" s="20">
        <f t="shared" si="130"/>
        <v>0</v>
      </c>
      <c r="N108" s="21">
        <f t="shared" si="149"/>
        <v>0</v>
      </c>
      <c r="O108" s="21">
        <f t="shared" si="150"/>
        <v>0</v>
      </c>
      <c r="P108" s="21">
        <f t="shared" si="153"/>
        <v>0</v>
      </c>
      <c r="Q108" s="21">
        <f t="shared" si="156"/>
        <v>0</v>
      </c>
      <c r="R108" s="21">
        <f t="shared" si="159"/>
        <v>0</v>
      </c>
      <c r="S108" s="21">
        <f t="shared" si="162"/>
        <v>0</v>
      </c>
      <c r="T108" s="21">
        <f t="shared" si="165"/>
        <v>0</v>
      </c>
      <c r="U108" s="21">
        <f t="shared" si="168"/>
        <v>0</v>
      </c>
      <c r="V108" s="21">
        <f t="shared" si="171"/>
        <v>0</v>
      </c>
      <c r="W108" s="21">
        <f t="shared" si="174"/>
        <v>0</v>
      </c>
      <c r="X108" s="21">
        <f t="shared" si="177"/>
        <v>0</v>
      </c>
      <c r="Y108" s="21">
        <f t="shared" si="180"/>
        <v>0</v>
      </c>
      <c r="Z108" s="21">
        <f t="shared" si="183"/>
        <v>0</v>
      </c>
      <c r="AA108" s="21">
        <f t="shared" si="186"/>
        <v>0</v>
      </c>
      <c r="AB108" s="21">
        <f t="shared" si="189"/>
        <v>0</v>
      </c>
      <c r="AC108" s="21">
        <f t="shared" si="192"/>
        <v>0</v>
      </c>
      <c r="AD108" s="21">
        <f t="shared" si="195"/>
        <v>0</v>
      </c>
      <c r="AE108" s="21">
        <f t="shared" si="198"/>
        <v>0</v>
      </c>
      <c r="AF108" s="21">
        <f t="shared" si="201"/>
        <v>0</v>
      </c>
      <c r="AG108" s="21">
        <f t="shared" si="204"/>
        <v>0</v>
      </c>
      <c r="AH108" s="21">
        <f t="shared" si="206"/>
        <v>0</v>
      </c>
      <c r="AI108" s="21">
        <f t="shared" si="208"/>
        <v>0</v>
      </c>
      <c r="AJ108" s="21">
        <f t="shared" si="210"/>
        <v>0</v>
      </c>
      <c r="AK108" s="21">
        <f t="shared" si="212"/>
        <v>0</v>
      </c>
      <c r="AL108" s="21">
        <f t="shared" si="214"/>
        <v>0</v>
      </c>
      <c r="AM108" s="21">
        <f t="shared" si="216"/>
        <v>0</v>
      </c>
      <c r="AN108" s="21">
        <f t="shared" ref="AN108:AN116" si="218">IF($AN$43=0,0,IF(AND($A108=$A107,$A108&lt;&gt;0,AN107&lt;&gt;0),$M108,0))</f>
        <v>0</v>
      </c>
      <c r="AO108" s="21">
        <f t="shared" si="115"/>
        <v>0</v>
      </c>
      <c r="AP108" s="21">
        <f t="shared" si="117"/>
        <v>0</v>
      </c>
      <c r="AQ108" s="21">
        <f t="shared" si="119"/>
        <v>0</v>
      </c>
      <c r="AR108" s="21">
        <f t="shared" si="121"/>
        <v>0</v>
      </c>
      <c r="AS108" s="21">
        <f t="shared" si="123"/>
        <v>0</v>
      </c>
      <c r="AT108" s="21">
        <f t="shared" si="131"/>
        <v>0</v>
      </c>
      <c r="AU108" s="21">
        <f t="shared" si="151"/>
        <v>0</v>
      </c>
      <c r="AV108" s="21">
        <f t="shared" si="154"/>
        <v>0</v>
      </c>
      <c r="AW108" s="21">
        <f t="shared" si="157"/>
        <v>0</v>
      </c>
      <c r="AX108" s="21">
        <f t="shared" si="160"/>
        <v>0</v>
      </c>
      <c r="AY108" s="21">
        <f t="shared" si="163"/>
        <v>0</v>
      </c>
      <c r="AZ108" s="21">
        <f t="shared" si="166"/>
        <v>0</v>
      </c>
      <c r="BA108" s="21">
        <f t="shared" si="169"/>
        <v>0</v>
      </c>
      <c r="BB108" s="21">
        <f t="shared" si="172"/>
        <v>0</v>
      </c>
      <c r="BC108" s="21">
        <f t="shared" si="175"/>
        <v>0</v>
      </c>
      <c r="BD108" s="21">
        <f t="shared" si="178"/>
        <v>0</v>
      </c>
      <c r="BE108" s="21">
        <f t="shared" si="181"/>
        <v>0</v>
      </c>
      <c r="BF108" s="21">
        <f t="shared" si="184"/>
        <v>0</v>
      </c>
      <c r="BG108" s="21">
        <f t="shared" si="187"/>
        <v>0</v>
      </c>
      <c r="BH108" s="21">
        <f t="shared" si="190"/>
        <v>0</v>
      </c>
      <c r="BI108" s="21">
        <f t="shared" si="193"/>
        <v>0</v>
      </c>
      <c r="BJ108" s="21">
        <f t="shared" si="196"/>
        <v>0</v>
      </c>
      <c r="BK108" s="21">
        <f t="shared" si="199"/>
        <v>0</v>
      </c>
      <c r="BL108" s="21">
        <f t="shared" si="202"/>
        <v>0</v>
      </c>
      <c r="BM108" s="21">
        <f t="shared" si="100"/>
        <v>0</v>
      </c>
      <c r="BN108" s="21">
        <f t="shared" si="102"/>
        <v>0</v>
      </c>
      <c r="BO108" s="21">
        <f t="shared" si="104"/>
        <v>0</v>
      </c>
      <c r="BP108" s="21">
        <f t="shared" si="106"/>
        <v>0</v>
      </c>
      <c r="BQ108" s="21">
        <f t="shared" si="108"/>
        <v>0</v>
      </c>
      <c r="BR108" s="21">
        <f t="shared" si="110"/>
        <v>0</v>
      </c>
      <c r="BS108" s="21">
        <f t="shared" si="112"/>
        <v>0</v>
      </c>
      <c r="BT108" s="21">
        <f t="shared" si="114"/>
        <v>0</v>
      </c>
      <c r="BU108" s="21">
        <f t="shared" si="116"/>
        <v>0</v>
      </c>
      <c r="BV108" s="21">
        <f t="shared" si="118"/>
        <v>0</v>
      </c>
      <c r="BW108" s="21">
        <f t="shared" si="120"/>
        <v>0</v>
      </c>
      <c r="BX108" s="21">
        <f t="shared" si="122"/>
        <v>0</v>
      </c>
      <c r="BY108" s="21">
        <f t="shared" si="124"/>
        <v>0</v>
      </c>
      <c r="BZ108" s="21">
        <f t="shared" si="132"/>
        <v>0</v>
      </c>
      <c r="CA108" s="21">
        <f t="shared" si="152"/>
        <v>0</v>
      </c>
      <c r="CB108" s="21">
        <f t="shared" si="155"/>
        <v>0</v>
      </c>
      <c r="CC108" s="21">
        <f t="shared" si="158"/>
        <v>0</v>
      </c>
      <c r="CD108" s="21">
        <f t="shared" si="161"/>
        <v>0</v>
      </c>
      <c r="CE108" s="21">
        <f t="shared" si="164"/>
        <v>0</v>
      </c>
      <c r="CF108" s="21">
        <f t="shared" si="167"/>
        <v>0</v>
      </c>
      <c r="CG108" s="21">
        <f t="shared" si="170"/>
        <v>0</v>
      </c>
      <c r="CH108" s="21">
        <f t="shared" si="173"/>
        <v>0</v>
      </c>
      <c r="CI108" s="21">
        <f t="shared" si="176"/>
        <v>0</v>
      </c>
      <c r="CJ108" s="21">
        <f t="shared" si="179"/>
        <v>0</v>
      </c>
      <c r="CK108" s="21">
        <f t="shared" si="182"/>
        <v>0</v>
      </c>
      <c r="CL108" s="21">
        <f t="shared" si="185"/>
        <v>0</v>
      </c>
      <c r="CM108" s="21">
        <f t="shared" si="188"/>
        <v>0</v>
      </c>
      <c r="CN108" s="21">
        <f t="shared" si="191"/>
        <v>0</v>
      </c>
      <c r="CO108" s="21">
        <f t="shared" si="194"/>
        <v>0</v>
      </c>
      <c r="CP108" s="21">
        <f t="shared" si="197"/>
        <v>0</v>
      </c>
      <c r="CQ108" s="21">
        <f t="shared" si="200"/>
        <v>0</v>
      </c>
      <c r="CR108" s="21">
        <f t="shared" si="203"/>
        <v>0</v>
      </c>
      <c r="CS108" s="21">
        <f t="shared" si="205"/>
        <v>0</v>
      </c>
      <c r="CT108" s="21">
        <f t="shared" si="207"/>
        <v>0</v>
      </c>
      <c r="CU108" s="21">
        <f t="shared" si="209"/>
        <v>0</v>
      </c>
      <c r="CV108" s="21">
        <f t="shared" si="211"/>
        <v>0</v>
      </c>
      <c r="CW108" s="21">
        <f t="shared" si="213"/>
        <v>0</v>
      </c>
      <c r="CX108" s="21">
        <f t="shared" si="215"/>
        <v>0</v>
      </c>
      <c r="CY108" s="21">
        <f t="shared" si="217"/>
        <v>0</v>
      </c>
      <c r="CZ108" s="21">
        <f t="shared" ref="CZ108:CZ116" si="219">IF($CZ$107=0,0,IF(AND($A108=$A107,$A108&lt;&gt;0,CZ107&lt;&gt;0),$M108,0))</f>
        <v>0</v>
      </c>
      <c r="DA108" s="21">
        <f>IF(CZ108&lt;&gt;0,0,IF(OR($A108=0,$A108=$A107),0,$M108))</f>
        <v>0</v>
      </c>
      <c r="DB108" s="21"/>
      <c r="DC108" s="21"/>
      <c r="DD108" s="21"/>
      <c r="DE108" s="21"/>
      <c r="DF108" s="21"/>
      <c r="DG108" s="21"/>
      <c r="DH108" s="21"/>
      <c r="DI108" s="21"/>
      <c r="DJ108" s="21" t="str">
        <v/>
      </c>
      <c r="DK108" s="32" t="str">
        <f t="shared" si="133"/>
        <v/>
      </c>
      <c r="DL108" s="28" t="str">
        <f t="shared" si="125"/>
        <v/>
      </c>
      <c r="DM108" s="33" t="str">
        <f t="shared" si="126"/>
        <v/>
      </c>
      <c r="DN108" s="20">
        <f t="shared" si="134"/>
        <v>20</v>
      </c>
      <c r="DO108" s="20">
        <f t="shared" si="135"/>
        <v>0</v>
      </c>
      <c r="DP108" s="20">
        <f t="shared" si="136"/>
        <v>0</v>
      </c>
      <c r="DQ108" s="20">
        <f t="shared" si="137"/>
        <v>20</v>
      </c>
      <c r="DR108" s="20" t="str">
        <f t="shared" si="138"/>
        <v/>
      </c>
      <c r="DS108" s="22" t="str">
        <f>IF(ISERROR(CEILING(($DQ108*$DL108/60),Puertas!$S$4)),"",CEILING(($DQ108*$DL108/60),Puertas!$S$4))</f>
        <v/>
      </c>
      <c r="DT108" s="22" t="str">
        <f t="shared" si="127"/>
        <v/>
      </c>
      <c r="DU108" s="108" t="str">
        <f t="shared" si="128"/>
        <v/>
      </c>
      <c r="DV108" s="109" t="str">
        <f>IF(D108="","",SUMIF(Puertas!$K$15:$K$114,B108,Puertas!$U$15:$U$114)+SUMIF(Puertas!$O$15:$O$114,B108,Puertas!$W$15:$W$114))</f>
        <v/>
      </c>
      <c r="DW108" s="110" t="str">
        <f t="shared" si="129"/>
        <v/>
      </c>
      <c r="DX108" s="108" t="str">
        <f t="shared" si="139"/>
        <v/>
      </c>
      <c r="DY108" s="109" t="str">
        <f t="shared" si="140"/>
        <v/>
      </c>
      <c r="DZ108" s="111"/>
      <c r="EA108" s="111"/>
      <c r="EB108" s="109" t="e">
        <f>ABS(IF(D108="","",SUMIF(Puertas!$K$15:$K$114,B108,Puertas!$V$15:$V$114)+SUMIF(Puertas!$O$15:$O$114,B108,Puertas!$X$15:$X$114)))</f>
        <v>#VALUE!</v>
      </c>
      <c r="EC108" s="109" t="str">
        <f t="shared" si="141"/>
        <v/>
      </c>
      <c r="ED108" s="110" t="str">
        <f t="shared" si="142"/>
        <v/>
      </c>
      <c r="EE108" s="42"/>
      <c r="EF108" s="6" t="b">
        <v>0</v>
      </c>
      <c r="EG108" s="6" t="b">
        <v>0</v>
      </c>
      <c r="EH108" s="5" t="e">
        <f t="shared" si="143"/>
        <v>#VALUE!</v>
      </c>
      <c r="EI108" s="5" t="e">
        <f t="shared" si="144"/>
        <v>#VALUE!</v>
      </c>
      <c r="EJ108" s="3">
        <f t="shared" si="145"/>
        <v>0</v>
      </c>
      <c r="EK108" s="3">
        <f t="shared" si="146"/>
        <v>0</v>
      </c>
      <c r="EL108" s="5" t="e">
        <f t="shared" si="147"/>
        <v>#VALUE!</v>
      </c>
      <c r="EM108" s="5" t="e">
        <f t="shared" si="148"/>
        <v>#VALUE!</v>
      </c>
    </row>
    <row r="109" spans="1:143" x14ac:dyDescent="0.3">
      <c r="A109" s="1">
        <v>93</v>
      </c>
      <c r="B109" s="23">
        <v>93</v>
      </c>
      <c r="C109" s="311"/>
      <c r="D109" s="311"/>
      <c r="E109" s="324"/>
      <c r="F109" s="331"/>
      <c r="G109" s="326"/>
      <c r="H109" s="448"/>
      <c r="I109" s="327"/>
      <c r="J109" s="324"/>
      <c r="K109" s="328"/>
      <c r="L109" s="329"/>
      <c r="M109" s="24">
        <f t="shared" si="130"/>
        <v>0</v>
      </c>
      <c r="N109" s="25">
        <f t="shared" si="149"/>
        <v>0</v>
      </c>
      <c r="O109" s="25">
        <f t="shared" si="150"/>
        <v>0</v>
      </c>
      <c r="P109" s="25">
        <f t="shared" si="153"/>
        <v>0</v>
      </c>
      <c r="Q109" s="25">
        <f t="shared" si="156"/>
        <v>0</v>
      </c>
      <c r="R109" s="25">
        <f t="shared" si="159"/>
        <v>0</v>
      </c>
      <c r="S109" s="25">
        <f t="shared" si="162"/>
        <v>0</v>
      </c>
      <c r="T109" s="25">
        <f t="shared" si="165"/>
        <v>0</v>
      </c>
      <c r="U109" s="25">
        <f t="shared" si="168"/>
        <v>0</v>
      </c>
      <c r="V109" s="25">
        <f t="shared" si="171"/>
        <v>0</v>
      </c>
      <c r="W109" s="25">
        <f t="shared" si="174"/>
        <v>0</v>
      </c>
      <c r="X109" s="25">
        <f t="shared" si="177"/>
        <v>0</v>
      </c>
      <c r="Y109" s="25">
        <f t="shared" si="180"/>
        <v>0</v>
      </c>
      <c r="Z109" s="25">
        <f t="shared" si="183"/>
        <v>0</v>
      </c>
      <c r="AA109" s="25">
        <f t="shared" si="186"/>
        <v>0</v>
      </c>
      <c r="AB109" s="25">
        <f t="shared" si="189"/>
        <v>0</v>
      </c>
      <c r="AC109" s="25">
        <f t="shared" si="192"/>
        <v>0</v>
      </c>
      <c r="AD109" s="25">
        <f t="shared" si="195"/>
        <v>0</v>
      </c>
      <c r="AE109" s="25">
        <f t="shared" si="198"/>
        <v>0</v>
      </c>
      <c r="AF109" s="25">
        <f t="shared" si="201"/>
        <v>0</v>
      </c>
      <c r="AG109" s="25">
        <f t="shared" si="204"/>
        <v>0</v>
      </c>
      <c r="AH109" s="25">
        <f t="shared" si="206"/>
        <v>0</v>
      </c>
      <c r="AI109" s="25">
        <f t="shared" si="208"/>
        <v>0</v>
      </c>
      <c r="AJ109" s="25">
        <f t="shared" si="210"/>
        <v>0</v>
      </c>
      <c r="AK109" s="25">
        <f t="shared" si="212"/>
        <v>0</v>
      </c>
      <c r="AL109" s="25">
        <f t="shared" si="214"/>
        <v>0</v>
      </c>
      <c r="AM109" s="25">
        <f t="shared" si="216"/>
        <v>0</v>
      </c>
      <c r="AN109" s="25">
        <f t="shared" si="218"/>
        <v>0</v>
      </c>
      <c r="AO109" s="25">
        <f t="shared" ref="AO109:AO116" si="220">IF($AO$44=0,0,IF(AND($A109=$A108,$A109&lt;&gt;0,AO108&lt;&gt;0),$M109,0))</f>
        <v>0</v>
      </c>
      <c r="AP109" s="25">
        <f t="shared" si="117"/>
        <v>0</v>
      </c>
      <c r="AQ109" s="25">
        <f t="shared" si="119"/>
        <v>0</v>
      </c>
      <c r="AR109" s="25">
        <f t="shared" si="121"/>
        <v>0</v>
      </c>
      <c r="AS109" s="25">
        <f t="shared" si="123"/>
        <v>0</v>
      </c>
      <c r="AT109" s="25">
        <f t="shared" si="131"/>
        <v>0</v>
      </c>
      <c r="AU109" s="25">
        <f t="shared" si="151"/>
        <v>0</v>
      </c>
      <c r="AV109" s="25">
        <f t="shared" si="154"/>
        <v>0</v>
      </c>
      <c r="AW109" s="25">
        <f t="shared" si="157"/>
        <v>0</v>
      </c>
      <c r="AX109" s="25">
        <f t="shared" si="160"/>
        <v>0</v>
      </c>
      <c r="AY109" s="25">
        <f t="shared" si="163"/>
        <v>0</v>
      </c>
      <c r="AZ109" s="25">
        <f t="shared" si="166"/>
        <v>0</v>
      </c>
      <c r="BA109" s="25">
        <f t="shared" si="169"/>
        <v>0</v>
      </c>
      <c r="BB109" s="25">
        <f t="shared" si="172"/>
        <v>0</v>
      </c>
      <c r="BC109" s="25">
        <f t="shared" si="175"/>
        <v>0</v>
      </c>
      <c r="BD109" s="25">
        <f t="shared" si="178"/>
        <v>0</v>
      </c>
      <c r="BE109" s="25">
        <f t="shared" si="181"/>
        <v>0</v>
      </c>
      <c r="BF109" s="25">
        <f t="shared" si="184"/>
        <v>0</v>
      </c>
      <c r="BG109" s="25">
        <f t="shared" si="187"/>
        <v>0</v>
      </c>
      <c r="BH109" s="25">
        <f t="shared" si="190"/>
        <v>0</v>
      </c>
      <c r="BI109" s="25">
        <f t="shared" si="193"/>
        <v>0</v>
      </c>
      <c r="BJ109" s="25">
        <f t="shared" si="196"/>
        <v>0</v>
      </c>
      <c r="BK109" s="25">
        <f t="shared" si="199"/>
        <v>0</v>
      </c>
      <c r="BL109" s="25">
        <f t="shared" si="202"/>
        <v>0</v>
      </c>
      <c r="BM109" s="25">
        <f t="shared" si="100"/>
        <v>0</v>
      </c>
      <c r="BN109" s="25">
        <f t="shared" si="102"/>
        <v>0</v>
      </c>
      <c r="BO109" s="25">
        <f t="shared" si="104"/>
        <v>0</v>
      </c>
      <c r="BP109" s="25">
        <f t="shared" si="106"/>
        <v>0</v>
      </c>
      <c r="BQ109" s="25">
        <f t="shared" si="108"/>
        <v>0</v>
      </c>
      <c r="BR109" s="25">
        <f t="shared" si="110"/>
        <v>0</v>
      </c>
      <c r="BS109" s="25">
        <f t="shared" si="112"/>
        <v>0</v>
      </c>
      <c r="BT109" s="25">
        <f t="shared" si="114"/>
        <v>0</v>
      </c>
      <c r="BU109" s="25">
        <f t="shared" si="116"/>
        <v>0</v>
      </c>
      <c r="BV109" s="25">
        <f t="shared" si="118"/>
        <v>0</v>
      </c>
      <c r="BW109" s="25">
        <f t="shared" si="120"/>
        <v>0</v>
      </c>
      <c r="BX109" s="25">
        <f t="shared" si="122"/>
        <v>0</v>
      </c>
      <c r="BY109" s="25">
        <f t="shared" si="124"/>
        <v>0</v>
      </c>
      <c r="BZ109" s="25">
        <f t="shared" si="132"/>
        <v>0</v>
      </c>
      <c r="CA109" s="25">
        <f t="shared" si="152"/>
        <v>0</v>
      </c>
      <c r="CB109" s="25">
        <f t="shared" si="155"/>
        <v>0</v>
      </c>
      <c r="CC109" s="25">
        <f t="shared" si="158"/>
        <v>0</v>
      </c>
      <c r="CD109" s="25">
        <f t="shared" si="161"/>
        <v>0</v>
      </c>
      <c r="CE109" s="25">
        <f t="shared" si="164"/>
        <v>0</v>
      </c>
      <c r="CF109" s="25">
        <f t="shared" si="167"/>
        <v>0</v>
      </c>
      <c r="CG109" s="25">
        <f t="shared" si="170"/>
        <v>0</v>
      </c>
      <c r="CH109" s="25">
        <f t="shared" si="173"/>
        <v>0</v>
      </c>
      <c r="CI109" s="25">
        <f t="shared" si="176"/>
        <v>0</v>
      </c>
      <c r="CJ109" s="25">
        <f t="shared" si="179"/>
        <v>0</v>
      </c>
      <c r="CK109" s="25">
        <f t="shared" si="182"/>
        <v>0</v>
      </c>
      <c r="CL109" s="25">
        <f t="shared" si="185"/>
        <v>0</v>
      </c>
      <c r="CM109" s="25">
        <f t="shared" si="188"/>
        <v>0</v>
      </c>
      <c r="CN109" s="25">
        <f t="shared" si="191"/>
        <v>0</v>
      </c>
      <c r="CO109" s="25">
        <f t="shared" si="194"/>
        <v>0</v>
      </c>
      <c r="CP109" s="25">
        <f t="shared" si="197"/>
        <v>0</v>
      </c>
      <c r="CQ109" s="25">
        <f t="shared" si="200"/>
        <v>0</v>
      </c>
      <c r="CR109" s="25">
        <f t="shared" si="203"/>
        <v>0</v>
      </c>
      <c r="CS109" s="25">
        <f t="shared" si="205"/>
        <v>0</v>
      </c>
      <c r="CT109" s="25">
        <f t="shared" si="207"/>
        <v>0</v>
      </c>
      <c r="CU109" s="25">
        <f t="shared" si="209"/>
        <v>0</v>
      </c>
      <c r="CV109" s="25">
        <f t="shared" si="211"/>
        <v>0</v>
      </c>
      <c r="CW109" s="25">
        <f t="shared" si="213"/>
        <v>0</v>
      </c>
      <c r="CX109" s="25">
        <f t="shared" si="215"/>
        <v>0</v>
      </c>
      <c r="CY109" s="25">
        <f t="shared" si="217"/>
        <v>0</v>
      </c>
      <c r="CZ109" s="25">
        <f t="shared" si="219"/>
        <v>0</v>
      </c>
      <c r="DA109" s="25">
        <f t="shared" ref="DA109:DA116" si="221">IF($DA$108=0,0,IF(AND($A109=$A108,$A109&lt;&gt;0,DA108&lt;&gt;0),$M109,0))</f>
        <v>0</v>
      </c>
      <c r="DB109" s="25">
        <f>IF(DA109&lt;&gt;0,0,IF(OR($A109=0,$A109=$A108),0,$M109))</f>
        <v>0</v>
      </c>
      <c r="DC109" s="25"/>
      <c r="DD109" s="25"/>
      <c r="DE109" s="25"/>
      <c r="DF109" s="25"/>
      <c r="DG109" s="25"/>
      <c r="DH109" s="25"/>
      <c r="DI109" s="25"/>
      <c r="DJ109" s="25" t="str">
        <v/>
      </c>
      <c r="DK109" s="34" t="str">
        <f t="shared" si="133"/>
        <v/>
      </c>
      <c r="DL109" s="29" t="str">
        <f t="shared" si="125"/>
        <v/>
      </c>
      <c r="DM109" s="35" t="str">
        <f t="shared" si="126"/>
        <v/>
      </c>
      <c r="DN109" s="24">
        <f t="shared" si="134"/>
        <v>20</v>
      </c>
      <c r="DO109" s="24">
        <f t="shared" si="135"/>
        <v>0</v>
      </c>
      <c r="DP109" s="24">
        <f t="shared" si="136"/>
        <v>0</v>
      </c>
      <c r="DQ109" s="24">
        <f t="shared" si="137"/>
        <v>20</v>
      </c>
      <c r="DR109" s="24" t="str">
        <f t="shared" si="138"/>
        <v/>
      </c>
      <c r="DS109" s="26" t="str">
        <f>IF(ISERROR(CEILING(($DQ109*$DL109/60),Puertas!$S$4)),"",CEILING(($DQ109*$DL109/60),Puertas!$S$4))</f>
        <v/>
      </c>
      <c r="DT109" s="26" t="str">
        <f t="shared" si="127"/>
        <v/>
      </c>
      <c r="DU109" s="112" t="str">
        <f t="shared" si="128"/>
        <v/>
      </c>
      <c r="DV109" s="113" t="str">
        <f>IF(D109="","",SUMIF(Puertas!$K$15:$K$114,B109,Puertas!$U$15:$U$114)+SUMIF(Puertas!$O$15:$O$114,B109,Puertas!$W$15:$W$114))</f>
        <v/>
      </c>
      <c r="DW109" s="114" t="str">
        <f t="shared" si="129"/>
        <v/>
      </c>
      <c r="DX109" s="112" t="str">
        <f t="shared" si="139"/>
        <v/>
      </c>
      <c r="DY109" s="113" t="str">
        <f t="shared" si="140"/>
        <v/>
      </c>
      <c r="DZ109" s="115"/>
      <c r="EA109" s="115"/>
      <c r="EB109" s="113" t="e">
        <f>ABS(IF(D109="","",SUMIF(Puertas!$K$15:$K$114,B109,Puertas!$V$15:$V$114)+SUMIF(Puertas!$O$15:$O$114,B109,Puertas!$X$15:$X$114)))</f>
        <v>#VALUE!</v>
      </c>
      <c r="EC109" s="113" t="str">
        <f t="shared" si="141"/>
        <v/>
      </c>
      <c r="ED109" s="114" t="str">
        <f t="shared" si="142"/>
        <v/>
      </c>
      <c r="EE109" s="43"/>
      <c r="EF109" s="6" t="b">
        <v>0</v>
      </c>
      <c r="EG109" s="6" t="b">
        <v>0</v>
      </c>
      <c r="EH109" s="5" t="e">
        <f t="shared" si="143"/>
        <v>#VALUE!</v>
      </c>
      <c r="EI109" s="5" t="e">
        <f t="shared" si="144"/>
        <v>#VALUE!</v>
      </c>
      <c r="EJ109" s="3">
        <f t="shared" si="145"/>
        <v>0</v>
      </c>
      <c r="EK109" s="3">
        <f t="shared" si="146"/>
        <v>0</v>
      </c>
      <c r="EL109" s="5" t="e">
        <f t="shared" si="147"/>
        <v>#VALUE!</v>
      </c>
      <c r="EM109" s="5" t="e">
        <f t="shared" si="148"/>
        <v>#VALUE!</v>
      </c>
    </row>
    <row r="110" spans="1:143" x14ac:dyDescent="0.3">
      <c r="A110" s="1">
        <v>94</v>
      </c>
      <c r="B110" s="15">
        <v>94</v>
      </c>
      <c r="C110" s="309"/>
      <c r="D110" s="309"/>
      <c r="E110" s="312"/>
      <c r="F110" s="332"/>
      <c r="G110" s="314"/>
      <c r="H110" s="446"/>
      <c r="I110" s="315"/>
      <c r="J110" s="312"/>
      <c r="K110" s="316"/>
      <c r="L110" s="317"/>
      <c r="M110" s="16">
        <f t="shared" si="130"/>
        <v>0</v>
      </c>
      <c r="N110" s="17">
        <f t="shared" si="149"/>
        <v>0</v>
      </c>
      <c r="O110" s="17">
        <f t="shared" si="150"/>
        <v>0</v>
      </c>
      <c r="P110" s="17">
        <f t="shared" si="153"/>
        <v>0</v>
      </c>
      <c r="Q110" s="17">
        <f t="shared" si="156"/>
        <v>0</v>
      </c>
      <c r="R110" s="17">
        <f t="shared" si="159"/>
        <v>0</v>
      </c>
      <c r="S110" s="17">
        <f t="shared" si="162"/>
        <v>0</v>
      </c>
      <c r="T110" s="17">
        <f t="shared" si="165"/>
        <v>0</v>
      </c>
      <c r="U110" s="17">
        <f t="shared" si="168"/>
        <v>0</v>
      </c>
      <c r="V110" s="17">
        <f t="shared" si="171"/>
        <v>0</v>
      </c>
      <c r="W110" s="17">
        <f t="shared" si="174"/>
        <v>0</v>
      </c>
      <c r="X110" s="17">
        <f t="shared" si="177"/>
        <v>0</v>
      </c>
      <c r="Y110" s="17">
        <f t="shared" si="180"/>
        <v>0</v>
      </c>
      <c r="Z110" s="17">
        <f t="shared" si="183"/>
        <v>0</v>
      </c>
      <c r="AA110" s="17">
        <f t="shared" si="186"/>
        <v>0</v>
      </c>
      <c r="AB110" s="17">
        <f t="shared" si="189"/>
        <v>0</v>
      </c>
      <c r="AC110" s="17">
        <f t="shared" si="192"/>
        <v>0</v>
      </c>
      <c r="AD110" s="17">
        <f t="shared" si="195"/>
        <v>0</v>
      </c>
      <c r="AE110" s="17">
        <f t="shared" si="198"/>
        <v>0</v>
      </c>
      <c r="AF110" s="17">
        <f t="shared" si="201"/>
        <v>0</v>
      </c>
      <c r="AG110" s="17">
        <f t="shared" si="204"/>
        <v>0</v>
      </c>
      <c r="AH110" s="17">
        <f t="shared" si="206"/>
        <v>0</v>
      </c>
      <c r="AI110" s="17">
        <f t="shared" si="208"/>
        <v>0</v>
      </c>
      <c r="AJ110" s="17">
        <f t="shared" si="210"/>
        <v>0</v>
      </c>
      <c r="AK110" s="17">
        <f t="shared" si="212"/>
        <v>0</v>
      </c>
      <c r="AL110" s="17">
        <f t="shared" si="214"/>
        <v>0</v>
      </c>
      <c r="AM110" s="17">
        <f t="shared" si="216"/>
        <v>0</v>
      </c>
      <c r="AN110" s="17">
        <f t="shared" si="218"/>
        <v>0</v>
      </c>
      <c r="AO110" s="17">
        <f t="shared" si="220"/>
        <v>0</v>
      </c>
      <c r="AP110" s="17">
        <f t="shared" ref="AP110:AP116" si="222">IF($AP$45=0,0,IF(AND($A110=$A109,$A110&lt;&gt;0,AP109&lt;&gt;0),$M110,0))</f>
        <v>0</v>
      </c>
      <c r="AQ110" s="17">
        <f t="shared" si="119"/>
        <v>0</v>
      </c>
      <c r="AR110" s="17">
        <f t="shared" si="121"/>
        <v>0</v>
      </c>
      <c r="AS110" s="17">
        <f t="shared" si="123"/>
        <v>0</v>
      </c>
      <c r="AT110" s="17">
        <f t="shared" si="131"/>
        <v>0</v>
      </c>
      <c r="AU110" s="17">
        <f t="shared" si="151"/>
        <v>0</v>
      </c>
      <c r="AV110" s="17">
        <f t="shared" si="154"/>
        <v>0</v>
      </c>
      <c r="AW110" s="17">
        <f t="shared" si="157"/>
        <v>0</v>
      </c>
      <c r="AX110" s="17">
        <f t="shared" si="160"/>
        <v>0</v>
      </c>
      <c r="AY110" s="17">
        <f t="shared" si="163"/>
        <v>0</v>
      </c>
      <c r="AZ110" s="17">
        <f t="shared" si="166"/>
        <v>0</v>
      </c>
      <c r="BA110" s="17">
        <f t="shared" si="169"/>
        <v>0</v>
      </c>
      <c r="BB110" s="17">
        <f t="shared" si="172"/>
        <v>0</v>
      </c>
      <c r="BC110" s="17">
        <f t="shared" si="175"/>
        <v>0</v>
      </c>
      <c r="BD110" s="17">
        <f t="shared" si="178"/>
        <v>0</v>
      </c>
      <c r="BE110" s="17">
        <f t="shared" si="181"/>
        <v>0</v>
      </c>
      <c r="BF110" s="17">
        <f t="shared" si="184"/>
        <v>0</v>
      </c>
      <c r="BG110" s="17">
        <f t="shared" si="187"/>
        <v>0</v>
      </c>
      <c r="BH110" s="17">
        <f t="shared" si="190"/>
        <v>0</v>
      </c>
      <c r="BI110" s="17">
        <f t="shared" si="193"/>
        <v>0</v>
      </c>
      <c r="BJ110" s="17">
        <f t="shared" si="196"/>
        <v>0</v>
      </c>
      <c r="BK110" s="17">
        <f t="shared" si="199"/>
        <v>0</v>
      </c>
      <c r="BL110" s="17">
        <f t="shared" si="202"/>
        <v>0</v>
      </c>
      <c r="BM110" s="17">
        <f t="shared" si="100"/>
        <v>0</v>
      </c>
      <c r="BN110" s="17">
        <f t="shared" si="102"/>
        <v>0</v>
      </c>
      <c r="BO110" s="17">
        <f t="shared" si="104"/>
        <v>0</v>
      </c>
      <c r="BP110" s="17">
        <f t="shared" si="106"/>
        <v>0</v>
      </c>
      <c r="BQ110" s="17">
        <f t="shared" si="108"/>
        <v>0</v>
      </c>
      <c r="BR110" s="17">
        <f t="shared" si="110"/>
        <v>0</v>
      </c>
      <c r="BS110" s="17">
        <f t="shared" si="112"/>
        <v>0</v>
      </c>
      <c r="BT110" s="17">
        <f t="shared" si="114"/>
        <v>0</v>
      </c>
      <c r="BU110" s="17">
        <f t="shared" si="116"/>
        <v>0</v>
      </c>
      <c r="BV110" s="17">
        <f t="shared" si="118"/>
        <v>0</v>
      </c>
      <c r="BW110" s="17">
        <f t="shared" si="120"/>
        <v>0</v>
      </c>
      <c r="BX110" s="17">
        <f t="shared" si="122"/>
        <v>0</v>
      </c>
      <c r="BY110" s="17">
        <f t="shared" si="124"/>
        <v>0</v>
      </c>
      <c r="BZ110" s="17">
        <f t="shared" si="132"/>
        <v>0</v>
      </c>
      <c r="CA110" s="17">
        <f t="shared" si="152"/>
        <v>0</v>
      </c>
      <c r="CB110" s="17">
        <f t="shared" si="155"/>
        <v>0</v>
      </c>
      <c r="CC110" s="17">
        <f t="shared" si="158"/>
        <v>0</v>
      </c>
      <c r="CD110" s="17">
        <f t="shared" si="161"/>
        <v>0</v>
      </c>
      <c r="CE110" s="17">
        <f t="shared" si="164"/>
        <v>0</v>
      </c>
      <c r="CF110" s="17">
        <f t="shared" si="167"/>
        <v>0</v>
      </c>
      <c r="CG110" s="17">
        <f t="shared" si="170"/>
        <v>0</v>
      </c>
      <c r="CH110" s="17">
        <f t="shared" si="173"/>
        <v>0</v>
      </c>
      <c r="CI110" s="17">
        <f t="shared" si="176"/>
        <v>0</v>
      </c>
      <c r="CJ110" s="17">
        <f t="shared" si="179"/>
        <v>0</v>
      </c>
      <c r="CK110" s="17">
        <f t="shared" si="182"/>
        <v>0</v>
      </c>
      <c r="CL110" s="17">
        <f t="shared" si="185"/>
        <v>0</v>
      </c>
      <c r="CM110" s="17">
        <f t="shared" si="188"/>
        <v>0</v>
      </c>
      <c r="CN110" s="17">
        <f t="shared" si="191"/>
        <v>0</v>
      </c>
      <c r="CO110" s="17">
        <f t="shared" si="194"/>
        <v>0</v>
      </c>
      <c r="CP110" s="17">
        <f t="shared" si="197"/>
        <v>0</v>
      </c>
      <c r="CQ110" s="17">
        <f t="shared" si="200"/>
        <v>0</v>
      </c>
      <c r="CR110" s="17">
        <f t="shared" si="203"/>
        <v>0</v>
      </c>
      <c r="CS110" s="17">
        <f t="shared" si="205"/>
        <v>0</v>
      </c>
      <c r="CT110" s="17">
        <f t="shared" si="207"/>
        <v>0</v>
      </c>
      <c r="CU110" s="17">
        <f t="shared" si="209"/>
        <v>0</v>
      </c>
      <c r="CV110" s="17">
        <f t="shared" si="211"/>
        <v>0</v>
      </c>
      <c r="CW110" s="17">
        <f t="shared" si="213"/>
        <v>0</v>
      </c>
      <c r="CX110" s="17">
        <f t="shared" si="215"/>
        <v>0</v>
      </c>
      <c r="CY110" s="17">
        <f t="shared" si="217"/>
        <v>0</v>
      </c>
      <c r="CZ110" s="17">
        <f t="shared" si="219"/>
        <v>0</v>
      </c>
      <c r="DA110" s="17">
        <f t="shared" si="221"/>
        <v>0</v>
      </c>
      <c r="DB110" s="17">
        <f t="shared" ref="DB110:DB116" si="223">IF($DB$109=0,0,IF(AND($A110=$A109,$A110&lt;&gt;0,DB109&lt;&gt;0),$M110,0))</f>
        <v>0</v>
      </c>
      <c r="DC110" s="17">
        <f>IF(DB110&lt;&gt;0,0,IF(OR($A110=0,$A110=$A109),0,$M110))</f>
        <v>0</v>
      </c>
      <c r="DD110" s="17"/>
      <c r="DE110" s="17"/>
      <c r="DF110" s="17"/>
      <c r="DG110" s="17"/>
      <c r="DH110" s="17"/>
      <c r="DI110" s="17"/>
      <c r="DJ110" s="17" t="str">
        <v/>
      </c>
      <c r="DK110" s="30" t="str">
        <f t="shared" si="133"/>
        <v/>
      </c>
      <c r="DL110" s="27" t="str">
        <f t="shared" si="125"/>
        <v/>
      </c>
      <c r="DM110" s="31" t="str">
        <f t="shared" si="126"/>
        <v/>
      </c>
      <c r="DN110" s="16">
        <f t="shared" si="134"/>
        <v>20</v>
      </c>
      <c r="DO110" s="16">
        <f t="shared" si="135"/>
        <v>0</v>
      </c>
      <c r="DP110" s="16">
        <f t="shared" si="136"/>
        <v>0</v>
      </c>
      <c r="DQ110" s="16">
        <f t="shared" si="137"/>
        <v>20</v>
      </c>
      <c r="DR110" s="16" t="str">
        <f t="shared" si="138"/>
        <v/>
      </c>
      <c r="DS110" s="18" t="str">
        <f>IF(ISERROR(CEILING(($DQ110*$DL110/60),Puertas!$S$4)),"",CEILING(($DQ110*$DL110/60),Puertas!$S$4))</f>
        <v/>
      </c>
      <c r="DT110" s="18" t="str">
        <f t="shared" si="127"/>
        <v/>
      </c>
      <c r="DU110" s="104" t="str">
        <f t="shared" si="128"/>
        <v/>
      </c>
      <c r="DV110" s="105" t="str">
        <f>IF(D110="","",SUMIF(Puertas!$K$15:$K$114,B110,Puertas!$U$15:$U$114)+SUMIF(Puertas!$O$15:$O$114,B110,Puertas!$W$15:$W$114))</f>
        <v/>
      </c>
      <c r="DW110" s="106" t="str">
        <f t="shared" si="129"/>
        <v/>
      </c>
      <c r="DX110" s="104" t="str">
        <f t="shared" si="139"/>
        <v/>
      </c>
      <c r="DY110" s="105" t="str">
        <f t="shared" si="140"/>
        <v/>
      </c>
      <c r="DZ110" s="107"/>
      <c r="EA110" s="107"/>
      <c r="EB110" s="105" t="e">
        <f>ABS(IF(D110="","",SUMIF(Puertas!$K$15:$K$114,B110,Puertas!$V$15:$V$114)+SUMIF(Puertas!$O$15:$O$114,B110,Puertas!$X$15:$X$114)))</f>
        <v>#VALUE!</v>
      </c>
      <c r="EC110" s="105" t="str">
        <f t="shared" si="141"/>
        <v/>
      </c>
      <c r="ED110" s="106" t="str">
        <f t="shared" si="142"/>
        <v/>
      </c>
      <c r="EE110" s="41"/>
      <c r="EF110" s="6" t="b">
        <v>0</v>
      </c>
      <c r="EG110" s="6" t="b">
        <v>0</v>
      </c>
      <c r="EH110" s="5" t="e">
        <f t="shared" si="143"/>
        <v>#VALUE!</v>
      </c>
      <c r="EI110" s="5" t="e">
        <f t="shared" si="144"/>
        <v>#VALUE!</v>
      </c>
      <c r="EJ110" s="3">
        <f t="shared" si="145"/>
        <v>0</v>
      </c>
      <c r="EK110" s="3">
        <f t="shared" si="146"/>
        <v>0</v>
      </c>
      <c r="EL110" s="5" t="e">
        <f t="shared" si="147"/>
        <v>#VALUE!</v>
      </c>
      <c r="EM110" s="5" t="e">
        <f t="shared" si="148"/>
        <v>#VALUE!</v>
      </c>
    </row>
    <row r="111" spans="1:143" x14ac:dyDescent="0.3">
      <c r="A111" s="1">
        <v>95</v>
      </c>
      <c r="B111" s="19">
        <v>95</v>
      </c>
      <c r="C111" s="310"/>
      <c r="D111" s="310"/>
      <c r="E111" s="318"/>
      <c r="F111" s="330"/>
      <c r="G111" s="320"/>
      <c r="H111" s="447"/>
      <c r="I111" s="321"/>
      <c r="J111" s="318"/>
      <c r="K111" s="322"/>
      <c r="L111" s="323"/>
      <c r="M111" s="20">
        <f t="shared" si="130"/>
        <v>0</v>
      </c>
      <c r="N111" s="21">
        <f t="shared" si="149"/>
        <v>0</v>
      </c>
      <c r="O111" s="21">
        <f t="shared" si="150"/>
        <v>0</v>
      </c>
      <c r="P111" s="21">
        <f t="shared" si="153"/>
        <v>0</v>
      </c>
      <c r="Q111" s="21">
        <f t="shared" si="156"/>
        <v>0</v>
      </c>
      <c r="R111" s="21">
        <f t="shared" si="159"/>
        <v>0</v>
      </c>
      <c r="S111" s="21">
        <f t="shared" si="162"/>
        <v>0</v>
      </c>
      <c r="T111" s="21">
        <f t="shared" si="165"/>
        <v>0</v>
      </c>
      <c r="U111" s="21">
        <f t="shared" si="168"/>
        <v>0</v>
      </c>
      <c r="V111" s="21">
        <f t="shared" si="171"/>
        <v>0</v>
      </c>
      <c r="W111" s="21">
        <f t="shared" si="174"/>
        <v>0</v>
      </c>
      <c r="X111" s="21">
        <f t="shared" si="177"/>
        <v>0</v>
      </c>
      <c r="Y111" s="21">
        <f t="shared" si="180"/>
        <v>0</v>
      </c>
      <c r="Z111" s="21">
        <f t="shared" si="183"/>
        <v>0</v>
      </c>
      <c r="AA111" s="21">
        <f t="shared" si="186"/>
        <v>0</v>
      </c>
      <c r="AB111" s="21">
        <f t="shared" si="189"/>
        <v>0</v>
      </c>
      <c r="AC111" s="21">
        <f t="shared" si="192"/>
        <v>0</v>
      </c>
      <c r="AD111" s="21">
        <f t="shared" si="195"/>
        <v>0</v>
      </c>
      <c r="AE111" s="21">
        <f t="shared" si="198"/>
        <v>0</v>
      </c>
      <c r="AF111" s="21">
        <f t="shared" si="201"/>
        <v>0</v>
      </c>
      <c r="AG111" s="21">
        <f t="shared" si="204"/>
        <v>0</v>
      </c>
      <c r="AH111" s="21">
        <f t="shared" si="206"/>
        <v>0</v>
      </c>
      <c r="AI111" s="21">
        <f t="shared" si="208"/>
        <v>0</v>
      </c>
      <c r="AJ111" s="21">
        <f t="shared" si="210"/>
        <v>0</v>
      </c>
      <c r="AK111" s="21">
        <f t="shared" si="212"/>
        <v>0</v>
      </c>
      <c r="AL111" s="21">
        <f t="shared" si="214"/>
        <v>0</v>
      </c>
      <c r="AM111" s="21">
        <f t="shared" si="216"/>
        <v>0</v>
      </c>
      <c r="AN111" s="21">
        <f t="shared" si="218"/>
        <v>0</v>
      </c>
      <c r="AO111" s="21">
        <f t="shared" si="220"/>
        <v>0</v>
      </c>
      <c r="AP111" s="21">
        <f t="shared" si="222"/>
        <v>0</v>
      </c>
      <c r="AQ111" s="21">
        <f t="shared" ref="AQ111:AQ116" si="224">IF($AQ$46=0,0,IF(AND($A111=$A110,$A111&lt;&gt;0,AQ110&lt;&gt;0),$M111,0))</f>
        <v>0</v>
      </c>
      <c r="AR111" s="21">
        <f t="shared" si="121"/>
        <v>0</v>
      </c>
      <c r="AS111" s="21">
        <f t="shared" si="123"/>
        <v>0</v>
      </c>
      <c r="AT111" s="21">
        <f t="shared" si="131"/>
        <v>0</v>
      </c>
      <c r="AU111" s="21">
        <f t="shared" si="151"/>
        <v>0</v>
      </c>
      <c r="AV111" s="21">
        <f t="shared" si="154"/>
        <v>0</v>
      </c>
      <c r="AW111" s="21">
        <f t="shared" si="157"/>
        <v>0</v>
      </c>
      <c r="AX111" s="21">
        <f t="shared" si="160"/>
        <v>0</v>
      </c>
      <c r="AY111" s="21">
        <f t="shared" si="163"/>
        <v>0</v>
      </c>
      <c r="AZ111" s="21">
        <f t="shared" si="166"/>
        <v>0</v>
      </c>
      <c r="BA111" s="21">
        <f t="shared" si="169"/>
        <v>0</v>
      </c>
      <c r="BB111" s="21">
        <f t="shared" si="172"/>
        <v>0</v>
      </c>
      <c r="BC111" s="21">
        <f t="shared" si="175"/>
        <v>0</v>
      </c>
      <c r="BD111" s="21">
        <f t="shared" si="178"/>
        <v>0</v>
      </c>
      <c r="BE111" s="21">
        <f t="shared" si="181"/>
        <v>0</v>
      </c>
      <c r="BF111" s="21">
        <f t="shared" si="184"/>
        <v>0</v>
      </c>
      <c r="BG111" s="21">
        <f t="shared" si="187"/>
        <v>0</v>
      </c>
      <c r="BH111" s="21">
        <f t="shared" si="190"/>
        <v>0</v>
      </c>
      <c r="BI111" s="21">
        <f t="shared" si="193"/>
        <v>0</v>
      </c>
      <c r="BJ111" s="21">
        <f t="shared" si="196"/>
        <v>0</v>
      </c>
      <c r="BK111" s="21">
        <f t="shared" si="199"/>
        <v>0</v>
      </c>
      <c r="BL111" s="21">
        <f t="shared" si="202"/>
        <v>0</v>
      </c>
      <c r="BM111" s="21">
        <f t="shared" si="100"/>
        <v>0</v>
      </c>
      <c r="BN111" s="21">
        <f t="shared" si="102"/>
        <v>0</v>
      </c>
      <c r="BO111" s="21">
        <f t="shared" si="104"/>
        <v>0</v>
      </c>
      <c r="BP111" s="21">
        <f t="shared" si="106"/>
        <v>0</v>
      </c>
      <c r="BQ111" s="21">
        <f t="shared" si="108"/>
        <v>0</v>
      </c>
      <c r="BR111" s="21">
        <f t="shared" si="110"/>
        <v>0</v>
      </c>
      <c r="BS111" s="21">
        <f t="shared" si="112"/>
        <v>0</v>
      </c>
      <c r="BT111" s="21">
        <f t="shared" si="114"/>
        <v>0</v>
      </c>
      <c r="BU111" s="21">
        <f t="shared" si="116"/>
        <v>0</v>
      </c>
      <c r="BV111" s="21">
        <f t="shared" si="118"/>
        <v>0</v>
      </c>
      <c r="BW111" s="21">
        <f t="shared" si="120"/>
        <v>0</v>
      </c>
      <c r="BX111" s="21">
        <f t="shared" si="122"/>
        <v>0</v>
      </c>
      <c r="BY111" s="21">
        <f t="shared" si="124"/>
        <v>0</v>
      </c>
      <c r="BZ111" s="21">
        <f t="shared" si="132"/>
        <v>0</v>
      </c>
      <c r="CA111" s="21">
        <f t="shared" si="152"/>
        <v>0</v>
      </c>
      <c r="CB111" s="21">
        <f t="shared" si="155"/>
        <v>0</v>
      </c>
      <c r="CC111" s="21">
        <f t="shared" si="158"/>
        <v>0</v>
      </c>
      <c r="CD111" s="21">
        <f t="shared" si="161"/>
        <v>0</v>
      </c>
      <c r="CE111" s="21">
        <f t="shared" si="164"/>
        <v>0</v>
      </c>
      <c r="CF111" s="21">
        <f t="shared" si="167"/>
        <v>0</v>
      </c>
      <c r="CG111" s="21">
        <f t="shared" si="170"/>
        <v>0</v>
      </c>
      <c r="CH111" s="21">
        <f t="shared" si="173"/>
        <v>0</v>
      </c>
      <c r="CI111" s="21">
        <f t="shared" si="176"/>
        <v>0</v>
      </c>
      <c r="CJ111" s="21">
        <f t="shared" si="179"/>
        <v>0</v>
      </c>
      <c r="CK111" s="21">
        <f t="shared" si="182"/>
        <v>0</v>
      </c>
      <c r="CL111" s="21">
        <f t="shared" si="185"/>
        <v>0</v>
      </c>
      <c r="CM111" s="21">
        <f t="shared" si="188"/>
        <v>0</v>
      </c>
      <c r="CN111" s="21">
        <f t="shared" si="191"/>
        <v>0</v>
      </c>
      <c r="CO111" s="21">
        <f t="shared" si="194"/>
        <v>0</v>
      </c>
      <c r="CP111" s="21">
        <f t="shared" si="197"/>
        <v>0</v>
      </c>
      <c r="CQ111" s="21">
        <f t="shared" si="200"/>
        <v>0</v>
      </c>
      <c r="CR111" s="21">
        <f t="shared" si="203"/>
        <v>0</v>
      </c>
      <c r="CS111" s="21">
        <f t="shared" si="205"/>
        <v>0</v>
      </c>
      <c r="CT111" s="21">
        <f t="shared" si="207"/>
        <v>0</v>
      </c>
      <c r="CU111" s="21">
        <f t="shared" si="209"/>
        <v>0</v>
      </c>
      <c r="CV111" s="21">
        <f t="shared" si="211"/>
        <v>0</v>
      </c>
      <c r="CW111" s="21">
        <f t="shared" si="213"/>
        <v>0</v>
      </c>
      <c r="CX111" s="21">
        <f t="shared" si="215"/>
        <v>0</v>
      </c>
      <c r="CY111" s="21">
        <f t="shared" si="217"/>
        <v>0</v>
      </c>
      <c r="CZ111" s="21">
        <f t="shared" si="219"/>
        <v>0</v>
      </c>
      <c r="DA111" s="21">
        <f t="shared" si="221"/>
        <v>0</v>
      </c>
      <c r="DB111" s="21">
        <f t="shared" si="223"/>
        <v>0</v>
      </c>
      <c r="DC111" s="21">
        <f t="shared" ref="DC111:DC116" si="225">IF($DC$110=0,0,IF(AND($A111=$A110,$A111&lt;&gt;0,DC110&lt;&gt;0),$M111,0))</f>
        <v>0</v>
      </c>
      <c r="DD111" s="21">
        <f>IF(DC111&lt;&gt;0,0,IF(OR($A111=0,$A111=$A110),0,$M111))</f>
        <v>0</v>
      </c>
      <c r="DE111" s="21"/>
      <c r="DF111" s="21"/>
      <c r="DG111" s="21"/>
      <c r="DH111" s="21"/>
      <c r="DI111" s="21"/>
      <c r="DJ111" s="21" t="str">
        <v/>
      </c>
      <c r="DK111" s="32" t="str">
        <f t="shared" si="133"/>
        <v/>
      </c>
      <c r="DL111" s="28" t="str">
        <f t="shared" si="125"/>
        <v/>
      </c>
      <c r="DM111" s="33" t="str">
        <f t="shared" si="126"/>
        <v/>
      </c>
      <c r="DN111" s="20">
        <f t="shared" si="134"/>
        <v>20</v>
      </c>
      <c r="DO111" s="20">
        <f t="shared" si="135"/>
        <v>0</v>
      </c>
      <c r="DP111" s="20">
        <f t="shared" si="136"/>
        <v>0</v>
      </c>
      <c r="DQ111" s="20">
        <f t="shared" si="137"/>
        <v>20</v>
      </c>
      <c r="DR111" s="20" t="str">
        <f t="shared" si="138"/>
        <v/>
      </c>
      <c r="DS111" s="22" t="str">
        <f>IF(ISERROR(CEILING(($DQ111*$DL111/60),Puertas!$S$4)),"",CEILING(($DQ111*$DL111/60),Puertas!$S$4))</f>
        <v/>
      </c>
      <c r="DT111" s="22" t="str">
        <f t="shared" si="127"/>
        <v/>
      </c>
      <c r="DU111" s="108" t="str">
        <f t="shared" si="128"/>
        <v/>
      </c>
      <c r="DV111" s="109" t="str">
        <f>IF(D111="","",SUMIF(Puertas!$K$15:$K$114,B111,Puertas!$U$15:$U$114)+SUMIF(Puertas!$O$15:$O$114,B111,Puertas!$W$15:$W$114))</f>
        <v/>
      </c>
      <c r="DW111" s="110" t="str">
        <f t="shared" si="129"/>
        <v/>
      </c>
      <c r="DX111" s="108" t="str">
        <f t="shared" si="139"/>
        <v/>
      </c>
      <c r="DY111" s="109" t="str">
        <f t="shared" si="140"/>
        <v/>
      </c>
      <c r="DZ111" s="111"/>
      <c r="EA111" s="111"/>
      <c r="EB111" s="109" t="e">
        <f>ABS(IF(D111="","",SUMIF(Puertas!$K$15:$K$114,B111,Puertas!$V$15:$V$114)+SUMIF(Puertas!$O$15:$O$114,B111,Puertas!$X$15:$X$114)))</f>
        <v>#VALUE!</v>
      </c>
      <c r="EC111" s="109" t="str">
        <f t="shared" si="141"/>
        <v/>
      </c>
      <c r="ED111" s="110" t="str">
        <f t="shared" si="142"/>
        <v/>
      </c>
      <c r="EE111" s="42"/>
      <c r="EF111" s="6" t="b">
        <v>0</v>
      </c>
      <c r="EG111" s="6" t="b">
        <v>0</v>
      </c>
      <c r="EH111" s="5" t="e">
        <f t="shared" si="143"/>
        <v>#VALUE!</v>
      </c>
      <c r="EI111" s="5" t="e">
        <f t="shared" si="144"/>
        <v>#VALUE!</v>
      </c>
      <c r="EJ111" s="3">
        <f t="shared" si="145"/>
        <v>0</v>
      </c>
      <c r="EK111" s="3">
        <f t="shared" si="146"/>
        <v>0</v>
      </c>
      <c r="EL111" s="5" t="e">
        <f t="shared" si="147"/>
        <v>#VALUE!</v>
      </c>
      <c r="EM111" s="5" t="e">
        <f t="shared" si="148"/>
        <v>#VALUE!</v>
      </c>
    </row>
    <row r="112" spans="1:143" x14ac:dyDescent="0.3">
      <c r="A112" s="1">
        <v>96</v>
      </c>
      <c r="B112" s="23">
        <v>96</v>
      </c>
      <c r="C112" s="311"/>
      <c r="D112" s="311"/>
      <c r="E112" s="324"/>
      <c r="F112" s="331"/>
      <c r="G112" s="326"/>
      <c r="H112" s="448"/>
      <c r="I112" s="327"/>
      <c r="J112" s="324"/>
      <c r="K112" s="328"/>
      <c r="L112" s="329"/>
      <c r="M112" s="24">
        <f t="shared" si="130"/>
        <v>0</v>
      </c>
      <c r="N112" s="25">
        <f t="shared" si="149"/>
        <v>0</v>
      </c>
      <c r="O112" s="25">
        <f t="shared" si="150"/>
        <v>0</v>
      </c>
      <c r="P112" s="25">
        <f t="shared" si="153"/>
        <v>0</v>
      </c>
      <c r="Q112" s="25">
        <f t="shared" si="156"/>
        <v>0</v>
      </c>
      <c r="R112" s="25">
        <f t="shared" si="159"/>
        <v>0</v>
      </c>
      <c r="S112" s="25">
        <f t="shared" si="162"/>
        <v>0</v>
      </c>
      <c r="T112" s="25">
        <f t="shared" si="165"/>
        <v>0</v>
      </c>
      <c r="U112" s="25">
        <f t="shared" si="168"/>
        <v>0</v>
      </c>
      <c r="V112" s="25">
        <f t="shared" si="171"/>
        <v>0</v>
      </c>
      <c r="W112" s="25">
        <f t="shared" si="174"/>
        <v>0</v>
      </c>
      <c r="X112" s="25">
        <f t="shared" si="177"/>
        <v>0</v>
      </c>
      <c r="Y112" s="25">
        <f t="shared" si="180"/>
        <v>0</v>
      </c>
      <c r="Z112" s="25">
        <f t="shared" si="183"/>
        <v>0</v>
      </c>
      <c r="AA112" s="25">
        <f t="shared" si="186"/>
        <v>0</v>
      </c>
      <c r="AB112" s="25">
        <f t="shared" si="189"/>
        <v>0</v>
      </c>
      <c r="AC112" s="25">
        <f t="shared" si="192"/>
        <v>0</v>
      </c>
      <c r="AD112" s="25">
        <f t="shared" si="195"/>
        <v>0</v>
      </c>
      <c r="AE112" s="25">
        <f t="shared" si="198"/>
        <v>0</v>
      </c>
      <c r="AF112" s="25">
        <f t="shared" si="201"/>
        <v>0</v>
      </c>
      <c r="AG112" s="25">
        <f t="shared" si="204"/>
        <v>0</v>
      </c>
      <c r="AH112" s="25">
        <f t="shared" si="206"/>
        <v>0</v>
      </c>
      <c r="AI112" s="25">
        <f t="shared" si="208"/>
        <v>0</v>
      </c>
      <c r="AJ112" s="25">
        <f t="shared" si="210"/>
        <v>0</v>
      </c>
      <c r="AK112" s="25">
        <f t="shared" si="212"/>
        <v>0</v>
      </c>
      <c r="AL112" s="25">
        <f t="shared" si="214"/>
        <v>0</v>
      </c>
      <c r="AM112" s="25">
        <f t="shared" si="216"/>
        <v>0</v>
      </c>
      <c r="AN112" s="25">
        <f t="shared" si="218"/>
        <v>0</v>
      </c>
      <c r="AO112" s="25">
        <f t="shared" si="220"/>
        <v>0</v>
      </c>
      <c r="AP112" s="25">
        <f t="shared" si="222"/>
        <v>0</v>
      </c>
      <c r="AQ112" s="25">
        <f t="shared" si="224"/>
        <v>0</v>
      </c>
      <c r="AR112" s="25">
        <f t="shared" si="121"/>
        <v>0</v>
      </c>
      <c r="AS112" s="25">
        <f t="shared" si="123"/>
        <v>0</v>
      </c>
      <c r="AT112" s="25">
        <f t="shared" si="131"/>
        <v>0</v>
      </c>
      <c r="AU112" s="25">
        <f t="shared" si="151"/>
        <v>0</v>
      </c>
      <c r="AV112" s="25">
        <f t="shared" si="154"/>
        <v>0</v>
      </c>
      <c r="AW112" s="25">
        <f t="shared" si="157"/>
        <v>0</v>
      </c>
      <c r="AX112" s="25">
        <f t="shared" si="160"/>
        <v>0</v>
      </c>
      <c r="AY112" s="25">
        <f t="shared" si="163"/>
        <v>0</v>
      </c>
      <c r="AZ112" s="25">
        <f t="shared" si="166"/>
        <v>0</v>
      </c>
      <c r="BA112" s="25">
        <f t="shared" si="169"/>
        <v>0</v>
      </c>
      <c r="BB112" s="25">
        <f t="shared" si="172"/>
        <v>0</v>
      </c>
      <c r="BC112" s="25">
        <f t="shared" si="175"/>
        <v>0</v>
      </c>
      <c r="BD112" s="25">
        <f t="shared" si="178"/>
        <v>0</v>
      </c>
      <c r="BE112" s="25">
        <f t="shared" si="181"/>
        <v>0</v>
      </c>
      <c r="BF112" s="25">
        <f t="shared" si="184"/>
        <v>0</v>
      </c>
      <c r="BG112" s="25">
        <f t="shared" si="187"/>
        <v>0</v>
      </c>
      <c r="BH112" s="25">
        <f t="shared" si="190"/>
        <v>0</v>
      </c>
      <c r="BI112" s="25">
        <f t="shared" si="193"/>
        <v>0</v>
      </c>
      <c r="BJ112" s="25">
        <f t="shared" si="196"/>
        <v>0</v>
      </c>
      <c r="BK112" s="25">
        <f t="shared" si="199"/>
        <v>0</v>
      </c>
      <c r="BL112" s="25">
        <f t="shared" si="202"/>
        <v>0</v>
      </c>
      <c r="BM112" s="25">
        <f t="shared" si="100"/>
        <v>0</v>
      </c>
      <c r="BN112" s="25">
        <f t="shared" si="102"/>
        <v>0</v>
      </c>
      <c r="BO112" s="25">
        <f t="shared" si="104"/>
        <v>0</v>
      </c>
      <c r="BP112" s="25">
        <f t="shared" si="106"/>
        <v>0</v>
      </c>
      <c r="BQ112" s="25">
        <f t="shared" si="108"/>
        <v>0</v>
      </c>
      <c r="BR112" s="25">
        <f t="shared" si="110"/>
        <v>0</v>
      </c>
      <c r="BS112" s="25">
        <f t="shared" si="112"/>
        <v>0</v>
      </c>
      <c r="BT112" s="25">
        <f t="shared" si="114"/>
        <v>0</v>
      </c>
      <c r="BU112" s="25">
        <f t="shared" si="116"/>
        <v>0</v>
      </c>
      <c r="BV112" s="25">
        <f t="shared" si="118"/>
        <v>0</v>
      </c>
      <c r="BW112" s="25">
        <f t="shared" si="120"/>
        <v>0</v>
      </c>
      <c r="BX112" s="25">
        <f t="shared" si="122"/>
        <v>0</v>
      </c>
      <c r="BY112" s="25">
        <f t="shared" si="124"/>
        <v>0</v>
      </c>
      <c r="BZ112" s="25">
        <f t="shared" si="132"/>
        <v>0</v>
      </c>
      <c r="CA112" s="25">
        <f t="shared" si="152"/>
        <v>0</v>
      </c>
      <c r="CB112" s="25">
        <f t="shared" si="155"/>
        <v>0</v>
      </c>
      <c r="CC112" s="25">
        <f t="shared" si="158"/>
        <v>0</v>
      </c>
      <c r="CD112" s="25">
        <f t="shared" si="161"/>
        <v>0</v>
      </c>
      <c r="CE112" s="25">
        <f t="shared" si="164"/>
        <v>0</v>
      </c>
      <c r="CF112" s="25">
        <f t="shared" si="167"/>
        <v>0</v>
      </c>
      <c r="CG112" s="25">
        <f t="shared" si="170"/>
        <v>0</v>
      </c>
      <c r="CH112" s="25">
        <f t="shared" si="173"/>
        <v>0</v>
      </c>
      <c r="CI112" s="25">
        <f t="shared" si="176"/>
        <v>0</v>
      </c>
      <c r="CJ112" s="25">
        <f t="shared" si="179"/>
        <v>0</v>
      </c>
      <c r="CK112" s="25">
        <f t="shared" si="182"/>
        <v>0</v>
      </c>
      <c r="CL112" s="25">
        <f t="shared" si="185"/>
        <v>0</v>
      </c>
      <c r="CM112" s="25">
        <f t="shared" si="188"/>
        <v>0</v>
      </c>
      <c r="CN112" s="25">
        <f t="shared" si="191"/>
        <v>0</v>
      </c>
      <c r="CO112" s="25">
        <f t="shared" si="194"/>
        <v>0</v>
      </c>
      <c r="CP112" s="25">
        <f t="shared" si="197"/>
        <v>0</v>
      </c>
      <c r="CQ112" s="25">
        <f t="shared" si="200"/>
        <v>0</v>
      </c>
      <c r="CR112" s="25">
        <f t="shared" si="203"/>
        <v>0</v>
      </c>
      <c r="CS112" s="25">
        <f t="shared" si="205"/>
        <v>0</v>
      </c>
      <c r="CT112" s="25">
        <f t="shared" si="207"/>
        <v>0</v>
      </c>
      <c r="CU112" s="25">
        <f t="shared" si="209"/>
        <v>0</v>
      </c>
      <c r="CV112" s="25">
        <f t="shared" si="211"/>
        <v>0</v>
      </c>
      <c r="CW112" s="25">
        <f t="shared" si="213"/>
        <v>0</v>
      </c>
      <c r="CX112" s="25">
        <f t="shared" si="215"/>
        <v>0</v>
      </c>
      <c r="CY112" s="25">
        <f t="shared" si="217"/>
        <v>0</v>
      </c>
      <c r="CZ112" s="25">
        <f t="shared" si="219"/>
        <v>0</v>
      </c>
      <c r="DA112" s="25">
        <f t="shared" si="221"/>
        <v>0</v>
      </c>
      <c r="DB112" s="25">
        <f t="shared" si="223"/>
        <v>0</v>
      </c>
      <c r="DC112" s="25">
        <f t="shared" si="225"/>
        <v>0</v>
      </c>
      <c r="DD112" s="25">
        <f>IF($DD$111=0,0,IF(AND($A112=$A111,$A112&lt;&gt;0,DD111&lt;&gt;0),$M112,0))</f>
        <v>0</v>
      </c>
      <c r="DE112" s="25">
        <f>IF(DD112&lt;&gt;0,0,IF(OR($A112=0,$A112=$A111),0,$M112))</f>
        <v>0</v>
      </c>
      <c r="DF112" s="25"/>
      <c r="DG112" s="25"/>
      <c r="DH112" s="25"/>
      <c r="DI112" s="25"/>
      <c r="DJ112" s="25" t="str">
        <v/>
      </c>
      <c r="DK112" s="34" t="str">
        <f t="shared" si="133"/>
        <v/>
      </c>
      <c r="DL112" s="29" t="str">
        <f t="shared" si="125"/>
        <v/>
      </c>
      <c r="DM112" s="35" t="str">
        <f t="shared" si="126"/>
        <v/>
      </c>
      <c r="DN112" s="24">
        <f t="shared" si="134"/>
        <v>20</v>
      </c>
      <c r="DO112" s="24">
        <f t="shared" si="135"/>
        <v>0</v>
      </c>
      <c r="DP112" s="24">
        <f t="shared" si="136"/>
        <v>0</v>
      </c>
      <c r="DQ112" s="24">
        <f t="shared" si="137"/>
        <v>20</v>
      </c>
      <c r="DR112" s="24" t="str">
        <f t="shared" si="138"/>
        <v/>
      </c>
      <c r="DS112" s="26" t="str">
        <f>IF(ISERROR(CEILING(($DQ112*$DL112/60),Puertas!$S$4)),"",CEILING(($DQ112*$DL112/60),Puertas!$S$4))</f>
        <v/>
      </c>
      <c r="DT112" s="26" t="str">
        <f t="shared" si="127"/>
        <v/>
      </c>
      <c r="DU112" s="112" t="str">
        <f t="shared" si="128"/>
        <v/>
      </c>
      <c r="DV112" s="113" t="str">
        <f>IF(D112="","",SUMIF(Puertas!$K$15:$K$114,B112,Puertas!$U$15:$U$114)+SUMIF(Puertas!$O$15:$O$114,B112,Puertas!$W$15:$W$114))</f>
        <v/>
      </c>
      <c r="DW112" s="114" t="str">
        <f t="shared" si="129"/>
        <v/>
      </c>
      <c r="DX112" s="112" t="str">
        <f t="shared" si="139"/>
        <v/>
      </c>
      <c r="DY112" s="113" t="str">
        <f t="shared" si="140"/>
        <v/>
      </c>
      <c r="DZ112" s="115"/>
      <c r="EA112" s="115"/>
      <c r="EB112" s="113" t="e">
        <f>ABS(IF(D112="","",SUMIF(Puertas!$K$15:$K$114,B112,Puertas!$V$15:$V$114)+SUMIF(Puertas!$O$15:$O$114,B112,Puertas!$X$15:$X$114)))</f>
        <v>#VALUE!</v>
      </c>
      <c r="EC112" s="113" t="str">
        <f t="shared" si="141"/>
        <v/>
      </c>
      <c r="ED112" s="114" t="str">
        <f t="shared" si="142"/>
        <v/>
      </c>
      <c r="EE112" s="43"/>
      <c r="EF112" s="6" t="b">
        <v>0</v>
      </c>
      <c r="EG112" s="6" t="b">
        <v>0</v>
      </c>
      <c r="EH112" s="5" t="e">
        <f t="shared" si="143"/>
        <v>#VALUE!</v>
      </c>
      <c r="EI112" s="5" t="e">
        <f t="shared" si="144"/>
        <v>#VALUE!</v>
      </c>
      <c r="EJ112" s="3">
        <f t="shared" si="145"/>
        <v>0</v>
      </c>
      <c r="EK112" s="3">
        <f t="shared" si="146"/>
        <v>0</v>
      </c>
      <c r="EL112" s="5" t="e">
        <f t="shared" si="147"/>
        <v>#VALUE!</v>
      </c>
      <c r="EM112" s="5" t="e">
        <f t="shared" si="148"/>
        <v>#VALUE!</v>
      </c>
    </row>
    <row r="113" spans="1:143" x14ac:dyDescent="0.3">
      <c r="A113" s="1">
        <v>97</v>
      </c>
      <c r="B113" s="15">
        <v>97</v>
      </c>
      <c r="C113" s="309"/>
      <c r="D113" s="309"/>
      <c r="E113" s="312"/>
      <c r="F113" s="332"/>
      <c r="G113" s="314"/>
      <c r="H113" s="446"/>
      <c r="I113" s="315"/>
      <c r="J113" s="312"/>
      <c r="K113" s="316"/>
      <c r="L113" s="317"/>
      <c r="M113" s="16">
        <f t="shared" si="130"/>
        <v>0</v>
      </c>
      <c r="N113" s="17">
        <f t="shared" si="149"/>
        <v>0</v>
      </c>
      <c r="O113" s="17">
        <f t="shared" si="150"/>
        <v>0</v>
      </c>
      <c r="P113" s="17">
        <f t="shared" si="153"/>
        <v>0</v>
      </c>
      <c r="Q113" s="17">
        <f t="shared" si="156"/>
        <v>0</v>
      </c>
      <c r="R113" s="17">
        <f t="shared" si="159"/>
        <v>0</v>
      </c>
      <c r="S113" s="17">
        <f t="shared" si="162"/>
        <v>0</v>
      </c>
      <c r="T113" s="17">
        <f t="shared" si="165"/>
        <v>0</v>
      </c>
      <c r="U113" s="17">
        <f t="shared" si="168"/>
        <v>0</v>
      </c>
      <c r="V113" s="17">
        <f t="shared" si="171"/>
        <v>0</v>
      </c>
      <c r="W113" s="17">
        <f t="shared" si="174"/>
        <v>0</v>
      </c>
      <c r="X113" s="17">
        <f t="shared" si="177"/>
        <v>0</v>
      </c>
      <c r="Y113" s="17">
        <f t="shared" si="180"/>
        <v>0</v>
      </c>
      <c r="Z113" s="17">
        <f t="shared" si="183"/>
        <v>0</v>
      </c>
      <c r="AA113" s="17">
        <f t="shared" si="186"/>
        <v>0</v>
      </c>
      <c r="AB113" s="17">
        <f t="shared" si="189"/>
        <v>0</v>
      </c>
      <c r="AC113" s="17">
        <f t="shared" si="192"/>
        <v>0</v>
      </c>
      <c r="AD113" s="17">
        <f t="shared" si="195"/>
        <v>0</v>
      </c>
      <c r="AE113" s="17">
        <f t="shared" si="198"/>
        <v>0</v>
      </c>
      <c r="AF113" s="17">
        <f t="shared" si="201"/>
        <v>0</v>
      </c>
      <c r="AG113" s="17">
        <f t="shared" si="204"/>
        <v>0</v>
      </c>
      <c r="AH113" s="17">
        <f t="shared" si="206"/>
        <v>0</v>
      </c>
      <c r="AI113" s="17">
        <f t="shared" si="208"/>
        <v>0</v>
      </c>
      <c r="AJ113" s="17">
        <f t="shared" si="210"/>
        <v>0</v>
      </c>
      <c r="AK113" s="17">
        <f t="shared" si="212"/>
        <v>0</v>
      </c>
      <c r="AL113" s="17">
        <f t="shared" si="214"/>
        <v>0</v>
      </c>
      <c r="AM113" s="17">
        <f t="shared" si="216"/>
        <v>0</v>
      </c>
      <c r="AN113" s="17">
        <f t="shared" si="218"/>
        <v>0</v>
      </c>
      <c r="AO113" s="17">
        <f t="shared" si="220"/>
        <v>0</v>
      </c>
      <c r="AP113" s="17">
        <f t="shared" si="222"/>
        <v>0</v>
      </c>
      <c r="AQ113" s="17">
        <f t="shared" si="224"/>
        <v>0</v>
      </c>
      <c r="AR113" s="17">
        <f t="shared" si="121"/>
        <v>0</v>
      </c>
      <c r="AS113" s="17">
        <f t="shared" si="123"/>
        <v>0</v>
      </c>
      <c r="AT113" s="17">
        <f t="shared" si="131"/>
        <v>0</v>
      </c>
      <c r="AU113" s="17">
        <f t="shared" si="151"/>
        <v>0</v>
      </c>
      <c r="AV113" s="17">
        <f t="shared" si="154"/>
        <v>0</v>
      </c>
      <c r="AW113" s="17">
        <f t="shared" si="157"/>
        <v>0</v>
      </c>
      <c r="AX113" s="17">
        <f t="shared" si="160"/>
        <v>0</v>
      </c>
      <c r="AY113" s="17">
        <f t="shared" si="163"/>
        <v>0</v>
      </c>
      <c r="AZ113" s="17">
        <f t="shared" si="166"/>
        <v>0</v>
      </c>
      <c r="BA113" s="17">
        <f t="shared" si="169"/>
        <v>0</v>
      </c>
      <c r="BB113" s="17">
        <f t="shared" si="172"/>
        <v>0</v>
      </c>
      <c r="BC113" s="17">
        <f t="shared" si="175"/>
        <v>0</v>
      </c>
      <c r="BD113" s="17">
        <f t="shared" si="178"/>
        <v>0</v>
      </c>
      <c r="BE113" s="17">
        <f t="shared" si="181"/>
        <v>0</v>
      </c>
      <c r="BF113" s="17">
        <f t="shared" si="184"/>
        <v>0</v>
      </c>
      <c r="BG113" s="17">
        <f t="shared" si="187"/>
        <v>0</v>
      </c>
      <c r="BH113" s="17">
        <f t="shared" si="190"/>
        <v>0</v>
      </c>
      <c r="BI113" s="17">
        <f t="shared" si="193"/>
        <v>0</v>
      </c>
      <c r="BJ113" s="17">
        <f t="shared" si="196"/>
        <v>0</v>
      </c>
      <c r="BK113" s="17">
        <f t="shared" si="199"/>
        <v>0</v>
      </c>
      <c r="BL113" s="17">
        <f t="shared" si="202"/>
        <v>0</v>
      </c>
      <c r="BM113" s="17">
        <f t="shared" si="100"/>
        <v>0</v>
      </c>
      <c r="BN113" s="17">
        <f t="shared" si="102"/>
        <v>0</v>
      </c>
      <c r="BO113" s="17">
        <f t="shared" si="104"/>
        <v>0</v>
      </c>
      <c r="BP113" s="17">
        <f t="shared" si="106"/>
        <v>0</v>
      </c>
      <c r="BQ113" s="17">
        <f t="shared" si="108"/>
        <v>0</v>
      </c>
      <c r="BR113" s="17">
        <f t="shared" si="110"/>
        <v>0</v>
      </c>
      <c r="BS113" s="17">
        <f t="shared" si="112"/>
        <v>0</v>
      </c>
      <c r="BT113" s="17">
        <f t="shared" si="114"/>
        <v>0</v>
      </c>
      <c r="BU113" s="17">
        <f t="shared" si="116"/>
        <v>0</v>
      </c>
      <c r="BV113" s="17">
        <f t="shared" si="118"/>
        <v>0</v>
      </c>
      <c r="BW113" s="17">
        <f t="shared" si="120"/>
        <v>0</v>
      </c>
      <c r="BX113" s="17">
        <f t="shared" si="122"/>
        <v>0</v>
      </c>
      <c r="BY113" s="17">
        <f t="shared" si="124"/>
        <v>0</v>
      </c>
      <c r="BZ113" s="17">
        <f t="shared" si="132"/>
        <v>0</v>
      </c>
      <c r="CA113" s="17">
        <f t="shared" si="152"/>
        <v>0</v>
      </c>
      <c r="CB113" s="17">
        <f t="shared" si="155"/>
        <v>0</v>
      </c>
      <c r="CC113" s="17">
        <f t="shared" si="158"/>
        <v>0</v>
      </c>
      <c r="CD113" s="17">
        <f t="shared" si="161"/>
        <v>0</v>
      </c>
      <c r="CE113" s="17">
        <f t="shared" si="164"/>
        <v>0</v>
      </c>
      <c r="CF113" s="17">
        <f t="shared" si="167"/>
        <v>0</v>
      </c>
      <c r="CG113" s="17">
        <f t="shared" si="170"/>
        <v>0</v>
      </c>
      <c r="CH113" s="17">
        <f t="shared" si="173"/>
        <v>0</v>
      </c>
      <c r="CI113" s="17">
        <f t="shared" si="176"/>
        <v>0</v>
      </c>
      <c r="CJ113" s="17">
        <f t="shared" si="179"/>
        <v>0</v>
      </c>
      <c r="CK113" s="17">
        <f t="shared" si="182"/>
        <v>0</v>
      </c>
      <c r="CL113" s="17">
        <f t="shared" si="185"/>
        <v>0</v>
      </c>
      <c r="CM113" s="17">
        <f t="shared" si="188"/>
        <v>0</v>
      </c>
      <c r="CN113" s="17">
        <f t="shared" si="191"/>
        <v>0</v>
      </c>
      <c r="CO113" s="17">
        <f t="shared" si="194"/>
        <v>0</v>
      </c>
      <c r="CP113" s="17">
        <f t="shared" si="197"/>
        <v>0</v>
      </c>
      <c r="CQ113" s="17">
        <f t="shared" si="200"/>
        <v>0</v>
      </c>
      <c r="CR113" s="17">
        <f t="shared" si="203"/>
        <v>0</v>
      </c>
      <c r="CS113" s="17">
        <f t="shared" si="205"/>
        <v>0</v>
      </c>
      <c r="CT113" s="17">
        <f t="shared" si="207"/>
        <v>0</v>
      </c>
      <c r="CU113" s="17">
        <f t="shared" si="209"/>
        <v>0</v>
      </c>
      <c r="CV113" s="17">
        <f t="shared" si="211"/>
        <v>0</v>
      </c>
      <c r="CW113" s="17">
        <f t="shared" si="213"/>
        <v>0</v>
      </c>
      <c r="CX113" s="17">
        <f t="shared" si="215"/>
        <v>0</v>
      </c>
      <c r="CY113" s="17">
        <f t="shared" si="217"/>
        <v>0</v>
      </c>
      <c r="CZ113" s="17">
        <f t="shared" si="219"/>
        <v>0</v>
      </c>
      <c r="DA113" s="17">
        <f t="shared" si="221"/>
        <v>0</v>
      </c>
      <c r="DB113" s="17">
        <f t="shared" si="223"/>
        <v>0</v>
      </c>
      <c r="DC113" s="17">
        <f t="shared" si="225"/>
        <v>0</v>
      </c>
      <c r="DD113" s="17">
        <f>IF($DD$111=0,0,IF(AND($A113=$A112,$A113&lt;&gt;0,DD112&lt;&gt;0),$M113,0))</f>
        <v>0</v>
      </c>
      <c r="DE113" s="17">
        <f>IF($DE$112=0,0,IF(AND($A113=$A112,$A113&lt;&gt;0,DE112&lt;&gt;0),$M113,0))</f>
        <v>0</v>
      </c>
      <c r="DF113" s="17">
        <f>IF(DE113&lt;&gt;0,0,IF(OR($A113=0,$A113=$A112),0,$M113))</f>
        <v>0</v>
      </c>
      <c r="DG113" s="17"/>
      <c r="DH113" s="17"/>
      <c r="DI113" s="17"/>
      <c r="DJ113" s="17" t="str">
        <v/>
      </c>
      <c r="DK113" s="30" t="str">
        <f t="shared" si="133"/>
        <v/>
      </c>
      <c r="DL113" s="27" t="str">
        <f t="shared" ref="DL113:DL116" si="226">IF(DK113="","",DK113/(0.3048^3))</f>
        <v/>
      </c>
      <c r="DM113" s="31" t="str">
        <f t="shared" si="126"/>
        <v/>
      </c>
      <c r="DN113" s="16">
        <f t="shared" si="134"/>
        <v>20</v>
      </c>
      <c r="DO113" s="16">
        <f t="shared" si="135"/>
        <v>0</v>
      </c>
      <c r="DP113" s="16">
        <f t="shared" si="136"/>
        <v>0</v>
      </c>
      <c r="DQ113" s="16">
        <f t="shared" si="137"/>
        <v>20</v>
      </c>
      <c r="DR113" s="16" t="str">
        <f t="shared" si="138"/>
        <v/>
      </c>
      <c r="DS113" s="18" t="str">
        <f>IF(ISERROR(CEILING(($DQ113*$DL113/60),Puertas!$S$4)),"",CEILING(($DQ113*$DL113/60),Puertas!$S$4))</f>
        <v/>
      </c>
      <c r="DT113" s="18" t="str">
        <f t="shared" si="127"/>
        <v/>
      </c>
      <c r="DU113" s="104" t="str">
        <f t="shared" ref="DU113:DU116" si="227">IF(ISERROR(EC113-DV113),"",IF(EC113-DV113&gt;0,MAX(EC113-DV113,DS113),DS113))</f>
        <v/>
      </c>
      <c r="DV113" s="105" t="str">
        <f>IF(D113="","",SUMIF(Puertas!$K$15:$K$114,B113,Puertas!$U$15:$U$114)+SUMIF(Puertas!$O$15:$O$114,B113,Puertas!$W$15:$W$114))</f>
        <v/>
      </c>
      <c r="DW113" s="106" t="str">
        <f t="shared" ref="DW113:DW116" si="228">IF(AND(OR(DU113&lt;&gt;0,DV113&lt;&gt;0),DU113&lt;&gt;"",DV113&lt;&gt;""),SUM(DU113:DV113),"")</f>
        <v/>
      </c>
      <c r="DX113" s="104" t="str">
        <f t="shared" si="139"/>
        <v/>
      </c>
      <c r="DY113" s="105" t="str">
        <f t="shared" si="140"/>
        <v/>
      </c>
      <c r="DZ113" s="107"/>
      <c r="EA113" s="107"/>
      <c r="EB113" s="105" t="e">
        <f>ABS(IF(D113="","",SUMIF(Puertas!$K$15:$K$114,B113,Puertas!$V$15:$V$114)+SUMIF(Puertas!$O$15:$O$114,B113,Puertas!$X$15:$X$114)))</f>
        <v>#VALUE!</v>
      </c>
      <c r="EC113" s="105" t="str">
        <f t="shared" si="141"/>
        <v/>
      </c>
      <c r="ED113" s="106" t="str">
        <f t="shared" si="142"/>
        <v/>
      </c>
      <c r="EE113" s="41"/>
      <c r="EF113" s="6" t="b">
        <v>0</v>
      </c>
      <c r="EG113" s="6" t="b">
        <v>0</v>
      </c>
      <c r="EH113" s="5" t="e">
        <f t="shared" si="143"/>
        <v>#VALUE!</v>
      </c>
      <c r="EI113" s="5" t="e">
        <f t="shared" si="144"/>
        <v>#VALUE!</v>
      </c>
      <c r="EJ113" s="3">
        <f t="shared" si="145"/>
        <v>0</v>
      </c>
      <c r="EK113" s="3">
        <f t="shared" si="146"/>
        <v>0</v>
      </c>
      <c r="EL113" s="5" t="e">
        <f t="shared" si="147"/>
        <v>#VALUE!</v>
      </c>
      <c r="EM113" s="5" t="e">
        <f t="shared" si="148"/>
        <v>#VALUE!</v>
      </c>
    </row>
    <row r="114" spans="1:143" x14ac:dyDescent="0.3">
      <c r="A114" s="1">
        <v>98</v>
      </c>
      <c r="B114" s="19">
        <v>98</v>
      </c>
      <c r="C114" s="310"/>
      <c r="D114" s="310"/>
      <c r="E114" s="318"/>
      <c r="F114" s="330"/>
      <c r="G114" s="320"/>
      <c r="H114" s="447"/>
      <c r="I114" s="321"/>
      <c r="J114" s="318"/>
      <c r="K114" s="322"/>
      <c r="L114" s="323"/>
      <c r="M114" s="20">
        <f t="shared" si="130"/>
        <v>0</v>
      </c>
      <c r="N114" s="21">
        <f t="shared" si="149"/>
        <v>0</v>
      </c>
      <c r="O114" s="21">
        <f t="shared" si="150"/>
        <v>0</v>
      </c>
      <c r="P114" s="21">
        <f t="shared" si="153"/>
        <v>0</v>
      </c>
      <c r="Q114" s="21">
        <f t="shared" si="156"/>
        <v>0</v>
      </c>
      <c r="R114" s="21">
        <f t="shared" si="159"/>
        <v>0</v>
      </c>
      <c r="S114" s="21">
        <f t="shared" si="162"/>
        <v>0</v>
      </c>
      <c r="T114" s="21">
        <f t="shared" si="165"/>
        <v>0</v>
      </c>
      <c r="U114" s="21">
        <f t="shared" si="168"/>
        <v>0</v>
      </c>
      <c r="V114" s="21">
        <f t="shared" si="171"/>
        <v>0</v>
      </c>
      <c r="W114" s="21">
        <f t="shared" si="174"/>
        <v>0</v>
      </c>
      <c r="X114" s="21">
        <f t="shared" si="177"/>
        <v>0</v>
      </c>
      <c r="Y114" s="21">
        <f t="shared" si="180"/>
        <v>0</v>
      </c>
      <c r="Z114" s="21">
        <f t="shared" si="183"/>
        <v>0</v>
      </c>
      <c r="AA114" s="21">
        <f t="shared" si="186"/>
        <v>0</v>
      </c>
      <c r="AB114" s="21">
        <f t="shared" si="189"/>
        <v>0</v>
      </c>
      <c r="AC114" s="21">
        <f t="shared" si="192"/>
        <v>0</v>
      </c>
      <c r="AD114" s="21">
        <f t="shared" si="195"/>
        <v>0</v>
      </c>
      <c r="AE114" s="21">
        <f t="shared" si="198"/>
        <v>0</v>
      </c>
      <c r="AF114" s="21">
        <f t="shared" si="201"/>
        <v>0</v>
      </c>
      <c r="AG114" s="21">
        <f t="shared" si="204"/>
        <v>0</v>
      </c>
      <c r="AH114" s="21">
        <f t="shared" si="206"/>
        <v>0</v>
      </c>
      <c r="AI114" s="21">
        <f t="shared" si="208"/>
        <v>0</v>
      </c>
      <c r="AJ114" s="21">
        <f t="shared" si="210"/>
        <v>0</v>
      </c>
      <c r="AK114" s="21">
        <f t="shared" si="212"/>
        <v>0</v>
      </c>
      <c r="AL114" s="21">
        <f t="shared" si="214"/>
        <v>0</v>
      </c>
      <c r="AM114" s="21">
        <f t="shared" si="216"/>
        <v>0</v>
      </c>
      <c r="AN114" s="21">
        <f t="shared" si="218"/>
        <v>0</v>
      </c>
      <c r="AO114" s="21">
        <f t="shared" si="220"/>
        <v>0</v>
      </c>
      <c r="AP114" s="21">
        <f t="shared" si="222"/>
        <v>0</v>
      </c>
      <c r="AQ114" s="21">
        <f t="shared" si="224"/>
        <v>0</v>
      </c>
      <c r="AR114" s="21">
        <f t="shared" si="121"/>
        <v>0</v>
      </c>
      <c r="AS114" s="21">
        <f t="shared" si="123"/>
        <v>0</v>
      </c>
      <c r="AT114" s="21">
        <f t="shared" si="131"/>
        <v>0</v>
      </c>
      <c r="AU114" s="21">
        <f t="shared" si="151"/>
        <v>0</v>
      </c>
      <c r="AV114" s="21">
        <f t="shared" si="154"/>
        <v>0</v>
      </c>
      <c r="AW114" s="21">
        <f t="shared" si="157"/>
        <v>0</v>
      </c>
      <c r="AX114" s="21">
        <f t="shared" si="160"/>
        <v>0</v>
      </c>
      <c r="AY114" s="21">
        <f t="shared" si="163"/>
        <v>0</v>
      </c>
      <c r="AZ114" s="21">
        <f t="shared" si="166"/>
        <v>0</v>
      </c>
      <c r="BA114" s="21">
        <f t="shared" si="169"/>
        <v>0</v>
      </c>
      <c r="BB114" s="21">
        <f t="shared" si="172"/>
        <v>0</v>
      </c>
      <c r="BC114" s="21">
        <f t="shared" si="175"/>
        <v>0</v>
      </c>
      <c r="BD114" s="21">
        <f t="shared" si="178"/>
        <v>0</v>
      </c>
      <c r="BE114" s="21">
        <f t="shared" si="181"/>
        <v>0</v>
      </c>
      <c r="BF114" s="21">
        <f t="shared" si="184"/>
        <v>0</v>
      </c>
      <c r="BG114" s="21">
        <f t="shared" si="187"/>
        <v>0</v>
      </c>
      <c r="BH114" s="21">
        <f t="shared" si="190"/>
        <v>0</v>
      </c>
      <c r="BI114" s="21">
        <f t="shared" si="193"/>
        <v>0</v>
      </c>
      <c r="BJ114" s="21">
        <f t="shared" si="196"/>
        <v>0</v>
      </c>
      <c r="BK114" s="21">
        <f t="shared" si="199"/>
        <v>0</v>
      </c>
      <c r="BL114" s="21">
        <f t="shared" si="202"/>
        <v>0</v>
      </c>
      <c r="BM114" s="21">
        <f t="shared" si="100"/>
        <v>0</v>
      </c>
      <c r="BN114" s="21">
        <f t="shared" si="102"/>
        <v>0</v>
      </c>
      <c r="BO114" s="21">
        <f t="shared" si="104"/>
        <v>0</v>
      </c>
      <c r="BP114" s="21">
        <f t="shared" si="106"/>
        <v>0</v>
      </c>
      <c r="BQ114" s="21">
        <f t="shared" si="108"/>
        <v>0</v>
      </c>
      <c r="BR114" s="21">
        <f t="shared" si="110"/>
        <v>0</v>
      </c>
      <c r="BS114" s="21">
        <f t="shared" si="112"/>
        <v>0</v>
      </c>
      <c r="BT114" s="21">
        <f t="shared" si="114"/>
        <v>0</v>
      </c>
      <c r="BU114" s="21">
        <f t="shared" si="116"/>
        <v>0</v>
      </c>
      <c r="BV114" s="21">
        <f t="shared" si="118"/>
        <v>0</v>
      </c>
      <c r="BW114" s="21">
        <f t="shared" si="120"/>
        <v>0</v>
      </c>
      <c r="BX114" s="21">
        <f t="shared" si="122"/>
        <v>0</v>
      </c>
      <c r="BY114" s="21">
        <f t="shared" si="124"/>
        <v>0</v>
      </c>
      <c r="BZ114" s="21">
        <f t="shared" si="132"/>
        <v>0</v>
      </c>
      <c r="CA114" s="21">
        <f t="shared" si="152"/>
        <v>0</v>
      </c>
      <c r="CB114" s="21">
        <f t="shared" si="155"/>
        <v>0</v>
      </c>
      <c r="CC114" s="21">
        <f t="shared" si="158"/>
        <v>0</v>
      </c>
      <c r="CD114" s="21">
        <f t="shared" si="161"/>
        <v>0</v>
      </c>
      <c r="CE114" s="21">
        <f t="shared" si="164"/>
        <v>0</v>
      </c>
      <c r="CF114" s="21">
        <f t="shared" si="167"/>
        <v>0</v>
      </c>
      <c r="CG114" s="21">
        <f t="shared" si="170"/>
        <v>0</v>
      </c>
      <c r="CH114" s="21">
        <f t="shared" si="173"/>
        <v>0</v>
      </c>
      <c r="CI114" s="21">
        <f t="shared" si="176"/>
        <v>0</v>
      </c>
      <c r="CJ114" s="21">
        <f t="shared" si="179"/>
        <v>0</v>
      </c>
      <c r="CK114" s="21">
        <f t="shared" si="182"/>
        <v>0</v>
      </c>
      <c r="CL114" s="21">
        <f t="shared" si="185"/>
        <v>0</v>
      </c>
      <c r="CM114" s="21">
        <f t="shared" si="188"/>
        <v>0</v>
      </c>
      <c r="CN114" s="21">
        <f t="shared" si="191"/>
        <v>0</v>
      </c>
      <c r="CO114" s="21">
        <f t="shared" si="194"/>
        <v>0</v>
      </c>
      <c r="CP114" s="21">
        <f t="shared" si="197"/>
        <v>0</v>
      </c>
      <c r="CQ114" s="21">
        <f t="shared" si="200"/>
        <v>0</v>
      </c>
      <c r="CR114" s="21">
        <f t="shared" si="203"/>
        <v>0</v>
      </c>
      <c r="CS114" s="21">
        <f t="shared" si="205"/>
        <v>0</v>
      </c>
      <c r="CT114" s="21">
        <f t="shared" si="207"/>
        <v>0</v>
      </c>
      <c r="CU114" s="21">
        <f t="shared" si="209"/>
        <v>0</v>
      </c>
      <c r="CV114" s="21">
        <f t="shared" si="211"/>
        <v>0</v>
      </c>
      <c r="CW114" s="21">
        <f t="shared" si="213"/>
        <v>0</v>
      </c>
      <c r="CX114" s="21">
        <f t="shared" si="215"/>
        <v>0</v>
      </c>
      <c r="CY114" s="21">
        <f t="shared" si="217"/>
        <v>0</v>
      </c>
      <c r="CZ114" s="21">
        <f t="shared" si="219"/>
        <v>0</v>
      </c>
      <c r="DA114" s="21">
        <f t="shared" si="221"/>
        <v>0</v>
      </c>
      <c r="DB114" s="21">
        <f t="shared" si="223"/>
        <v>0</v>
      </c>
      <c r="DC114" s="21">
        <f t="shared" si="225"/>
        <v>0</v>
      </c>
      <c r="DD114" s="21">
        <f>IF($DD$111=0,0,IF(AND($A114=$A113,$A114&lt;&gt;0,DD113&lt;&gt;0),$M114,0))</f>
        <v>0</v>
      </c>
      <c r="DE114" s="21">
        <f>IF($DE$112=0,0,IF(AND($A114=$A113,$A114&lt;&gt;0,DE113&lt;&gt;0),$M114,0))</f>
        <v>0</v>
      </c>
      <c r="DF114" s="21">
        <f>IF($DF$113=0,0,IF(AND($A114=$A113,$A114&lt;&gt;0,DF113&lt;&gt;0),$M114,0))</f>
        <v>0</v>
      </c>
      <c r="DG114" s="21">
        <f>IF(DF114&lt;&gt;0,0,IF(OR($A114=0,$A114=$A113),0,$M114))</f>
        <v>0</v>
      </c>
      <c r="DH114" s="21"/>
      <c r="DI114" s="21"/>
      <c r="DJ114" s="21" t="str">
        <v/>
      </c>
      <c r="DK114" s="32" t="str">
        <f t="shared" si="133"/>
        <v/>
      </c>
      <c r="DL114" s="28" t="str">
        <f t="shared" si="226"/>
        <v/>
      </c>
      <c r="DM114" s="33" t="str">
        <f t="shared" si="126"/>
        <v/>
      </c>
      <c r="DN114" s="20">
        <f t="shared" si="134"/>
        <v>20</v>
      </c>
      <c r="DO114" s="20">
        <f t="shared" si="135"/>
        <v>0</v>
      </c>
      <c r="DP114" s="20">
        <f t="shared" si="136"/>
        <v>0</v>
      </c>
      <c r="DQ114" s="20">
        <f t="shared" si="137"/>
        <v>20</v>
      </c>
      <c r="DR114" s="20" t="str">
        <f t="shared" si="138"/>
        <v/>
      </c>
      <c r="DS114" s="22" t="str">
        <f>IF(ISERROR(CEILING(($DQ114*$DL114/60),Puertas!$S$4)),"",CEILING(($DQ114*$DL114/60),Puertas!$S$4))</f>
        <v/>
      </c>
      <c r="DT114" s="22" t="str">
        <f t="shared" si="127"/>
        <v/>
      </c>
      <c r="DU114" s="108" t="str">
        <f t="shared" si="227"/>
        <v/>
      </c>
      <c r="DV114" s="109" t="str">
        <f>IF(D114="","",SUMIF(Puertas!$K$15:$K$114,B114,Puertas!$U$15:$U$114)+SUMIF(Puertas!$O$15:$O$114,B114,Puertas!$W$15:$W$114))</f>
        <v/>
      </c>
      <c r="DW114" s="110" t="str">
        <f t="shared" si="228"/>
        <v/>
      </c>
      <c r="DX114" s="108" t="str">
        <f t="shared" si="139"/>
        <v/>
      </c>
      <c r="DY114" s="109" t="str">
        <f t="shared" si="140"/>
        <v/>
      </c>
      <c r="DZ114" s="111"/>
      <c r="EA114" s="111"/>
      <c r="EB114" s="109" t="e">
        <f>ABS(IF(D114="","",SUMIF(Puertas!$K$15:$K$114,B114,Puertas!$V$15:$V$114)+SUMIF(Puertas!$O$15:$O$114,B114,Puertas!$X$15:$X$114)))</f>
        <v>#VALUE!</v>
      </c>
      <c r="EC114" s="109" t="str">
        <f t="shared" si="141"/>
        <v/>
      </c>
      <c r="ED114" s="110" t="str">
        <f t="shared" si="142"/>
        <v/>
      </c>
      <c r="EE114" s="42"/>
      <c r="EF114" s="6" t="b">
        <v>0</v>
      </c>
      <c r="EG114" s="6" t="b">
        <v>0</v>
      </c>
      <c r="EH114" s="5" t="e">
        <f t="shared" si="143"/>
        <v>#VALUE!</v>
      </c>
      <c r="EI114" s="5" t="e">
        <f t="shared" si="144"/>
        <v>#VALUE!</v>
      </c>
      <c r="EJ114" s="3">
        <f t="shared" si="145"/>
        <v>0</v>
      </c>
      <c r="EK114" s="3">
        <f t="shared" si="146"/>
        <v>0</v>
      </c>
      <c r="EL114" s="5" t="e">
        <f t="shared" si="147"/>
        <v>#VALUE!</v>
      </c>
      <c r="EM114" s="5" t="e">
        <f t="shared" si="148"/>
        <v>#VALUE!</v>
      </c>
    </row>
    <row r="115" spans="1:143" x14ac:dyDescent="0.3">
      <c r="A115" s="1">
        <v>99</v>
      </c>
      <c r="B115" s="23">
        <v>99</v>
      </c>
      <c r="C115" s="311"/>
      <c r="D115" s="311"/>
      <c r="E115" s="324"/>
      <c r="F115" s="331"/>
      <c r="G115" s="326"/>
      <c r="H115" s="448"/>
      <c r="I115" s="327"/>
      <c r="J115" s="324"/>
      <c r="K115" s="328"/>
      <c r="L115" s="329"/>
      <c r="M115" s="24">
        <f t="shared" si="130"/>
        <v>0</v>
      </c>
      <c r="N115" s="25">
        <f t="shared" si="149"/>
        <v>0</v>
      </c>
      <c r="O115" s="25">
        <f t="shared" si="150"/>
        <v>0</v>
      </c>
      <c r="P115" s="25">
        <f t="shared" si="153"/>
        <v>0</v>
      </c>
      <c r="Q115" s="25">
        <f t="shared" si="156"/>
        <v>0</v>
      </c>
      <c r="R115" s="25">
        <f t="shared" si="159"/>
        <v>0</v>
      </c>
      <c r="S115" s="25">
        <f t="shared" si="162"/>
        <v>0</v>
      </c>
      <c r="T115" s="25">
        <f t="shared" si="165"/>
        <v>0</v>
      </c>
      <c r="U115" s="25">
        <f t="shared" si="168"/>
        <v>0</v>
      </c>
      <c r="V115" s="25">
        <f t="shared" si="171"/>
        <v>0</v>
      </c>
      <c r="W115" s="25">
        <f t="shared" si="174"/>
        <v>0</v>
      </c>
      <c r="X115" s="25">
        <f t="shared" si="177"/>
        <v>0</v>
      </c>
      <c r="Y115" s="25">
        <f t="shared" si="180"/>
        <v>0</v>
      </c>
      <c r="Z115" s="25">
        <f t="shared" si="183"/>
        <v>0</v>
      </c>
      <c r="AA115" s="25">
        <f t="shared" si="186"/>
        <v>0</v>
      </c>
      <c r="AB115" s="25">
        <f t="shared" si="189"/>
        <v>0</v>
      </c>
      <c r="AC115" s="25">
        <f t="shared" si="192"/>
        <v>0</v>
      </c>
      <c r="AD115" s="25">
        <f t="shared" si="195"/>
        <v>0</v>
      </c>
      <c r="AE115" s="25">
        <f t="shared" si="198"/>
        <v>0</v>
      </c>
      <c r="AF115" s="25">
        <f t="shared" si="201"/>
        <v>0</v>
      </c>
      <c r="AG115" s="25">
        <f t="shared" si="204"/>
        <v>0</v>
      </c>
      <c r="AH115" s="25">
        <f t="shared" si="206"/>
        <v>0</v>
      </c>
      <c r="AI115" s="25">
        <f t="shared" si="208"/>
        <v>0</v>
      </c>
      <c r="AJ115" s="25">
        <f t="shared" si="210"/>
        <v>0</v>
      </c>
      <c r="AK115" s="25">
        <f t="shared" si="212"/>
        <v>0</v>
      </c>
      <c r="AL115" s="25">
        <f t="shared" si="214"/>
        <v>0</v>
      </c>
      <c r="AM115" s="25">
        <f t="shared" si="216"/>
        <v>0</v>
      </c>
      <c r="AN115" s="25">
        <f t="shared" si="218"/>
        <v>0</v>
      </c>
      <c r="AO115" s="25">
        <f t="shared" si="220"/>
        <v>0</v>
      </c>
      <c r="AP115" s="25">
        <f t="shared" si="222"/>
        <v>0</v>
      </c>
      <c r="AQ115" s="25">
        <f t="shared" si="224"/>
        <v>0</v>
      </c>
      <c r="AR115" s="25">
        <f t="shared" si="121"/>
        <v>0</v>
      </c>
      <c r="AS115" s="25">
        <f t="shared" si="123"/>
        <v>0</v>
      </c>
      <c r="AT115" s="25">
        <f t="shared" si="131"/>
        <v>0</v>
      </c>
      <c r="AU115" s="25">
        <f t="shared" si="151"/>
        <v>0</v>
      </c>
      <c r="AV115" s="25">
        <f t="shared" si="154"/>
        <v>0</v>
      </c>
      <c r="AW115" s="25">
        <f t="shared" si="157"/>
        <v>0</v>
      </c>
      <c r="AX115" s="25">
        <f t="shared" si="160"/>
        <v>0</v>
      </c>
      <c r="AY115" s="25">
        <f t="shared" si="163"/>
        <v>0</v>
      </c>
      <c r="AZ115" s="25">
        <f t="shared" si="166"/>
        <v>0</v>
      </c>
      <c r="BA115" s="25">
        <f t="shared" si="169"/>
        <v>0</v>
      </c>
      <c r="BB115" s="25">
        <f t="shared" si="172"/>
        <v>0</v>
      </c>
      <c r="BC115" s="25">
        <f t="shared" si="175"/>
        <v>0</v>
      </c>
      <c r="BD115" s="25">
        <f t="shared" si="178"/>
        <v>0</v>
      </c>
      <c r="BE115" s="25">
        <f t="shared" si="181"/>
        <v>0</v>
      </c>
      <c r="BF115" s="25">
        <f t="shared" si="184"/>
        <v>0</v>
      </c>
      <c r="BG115" s="25">
        <f t="shared" si="187"/>
        <v>0</v>
      </c>
      <c r="BH115" s="25">
        <f t="shared" si="190"/>
        <v>0</v>
      </c>
      <c r="BI115" s="25">
        <f t="shared" si="193"/>
        <v>0</v>
      </c>
      <c r="BJ115" s="25">
        <f t="shared" si="196"/>
        <v>0</v>
      </c>
      <c r="BK115" s="25">
        <f t="shared" si="199"/>
        <v>0</v>
      </c>
      <c r="BL115" s="25">
        <f t="shared" si="202"/>
        <v>0</v>
      </c>
      <c r="BM115" s="25">
        <f t="shared" si="100"/>
        <v>0</v>
      </c>
      <c r="BN115" s="25">
        <f t="shared" si="102"/>
        <v>0</v>
      </c>
      <c r="BO115" s="25">
        <f t="shared" si="104"/>
        <v>0</v>
      </c>
      <c r="BP115" s="25">
        <f t="shared" si="106"/>
        <v>0</v>
      </c>
      <c r="BQ115" s="25">
        <f t="shared" si="108"/>
        <v>0</v>
      </c>
      <c r="BR115" s="25">
        <f t="shared" si="110"/>
        <v>0</v>
      </c>
      <c r="BS115" s="25">
        <f t="shared" si="112"/>
        <v>0</v>
      </c>
      <c r="BT115" s="25">
        <f t="shared" si="114"/>
        <v>0</v>
      </c>
      <c r="BU115" s="25">
        <f t="shared" si="116"/>
        <v>0</v>
      </c>
      <c r="BV115" s="25">
        <f t="shared" si="118"/>
        <v>0</v>
      </c>
      <c r="BW115" s="25">
        <f t="shared" si="120"/>
        <v>0</v>
      </c>
      <c r="BX115" s="25">
        <f t="shared" si="122"/>
        <v>0</v>
      </c>
      <c r="BY115" s="25">
        <f t="shared" si="124"/>
        <v>0</v>
      </c>
      <c r="BZ115" s="25">
        <f t="shared" si="132"/>
        <v>0</v>
      </c>
      <c r="CA115" s="25">
        <f t="shared" si="152"/>
        <v>0</v>
      </c>
      <c r="CB115" s="25">
        <f t="shared" si="155"/>
        <v>0</v>
      </c>
      <c r="CC115" s="25">
        <f t="shared" si="158"/>
        <v>0</v>
      </c>
      <c r="CD115" s="25">
        <f t="shared" si="161"/>
        <v>0</v>
      </c>
      <c r="CE115" s="25">
        <f t="shared" si="164"/>
        <v>0</v>
      </c>
      <c r="CF115" s="25">
        <f t="shared" si="167"/>
        <v>0</v>
      </c>
      <c r="CG115" s="25">
        <f t="shared" si="170"/>
        <v>0</v>
      </c>
      <c r="CH115" s="25">
        <f t="shared" si="173"/>
        <v>0</v>
      </c>
      <c r="CI115" s="25">
        <f t="shared" si="176"/>
        <v>0</v>
      </c>
      <c r="CJ115" s="25">
        <f t="shared" si="179"/>
        <v>0</v>
      </c>
      <c r="CK115" s="25">
        <f t="shared" si="182"/>
        <v>0</v>
      </c>
      <c r="CL115" s="25">
        <f t="shared" si="185"/>
        <v>0</v>
      </c>
      <c r="CM115" s="25">
        <f t="shared" si="188"/>
        <v>0</v>
      </c>
      <c r="CN115" s="25">
        <f t="shared" si="191"/>
        <v>0</v>
      </c>
      <c r="CO115" s="25">
        <f t="shared" si="194"/>
        <v>0</v>
      </c>
      <c r="CP115" s="25">
        <f t="shared" si="197"/>
        <v>0</v>
      </c>
      <c r="CQ115" s="25">
        <f t="shared" si="200"/>
        <v>0</v>
      </c>
      <c r="CR115" s="25">
        <f t="shared" si="203"/>
        <v>0</v>
      </c>
      <c r="CS115" s="25">
        <f t="shared" si="205"/>
        <v>0</v>
      </c>
      <c r="CT115" s="25">
        <f t="shared" si="207"/>
        <v>0</v>
      </c>
      <c r="CU115" s="25">
        <f t="shared" si="209"/>
        <v>0</v>
      </c>
      <c r="CV115" s="25">
        <f t="shared" si="211"/>
        <v>0</v>
      </c>
      <c r="CW115" s="25">
        <f t="shared" si="213"/>
        <v>0</v>
      </c>
      <c r="CX115" s="25">
        <f t="shared" si="215"/>
        <v>0</v>
      </c>
      <c r="CY115" s="25">
        <f t="shared" si="217"/>
        <v>0</v>
      </c>
      <c r="CZ115" s="25">
        <f t="shared" si="219"/>
        <v>0</v>
      </c>
      <c r="DA115" s="25">
        <f t="shared" si="221"/>
        <v>0</v>
      </c>
      <c r="DB115" s="25">
        <f t="shared" si="223"/>
        <v>0</v>
      </c>
      <c r="DC115" s="25">
        <f t="shared" si="225"/>
        <v>0</v>
      </c>
      <c r="DD115" s="25">
        <f>IF($DD$111=0,0,IF(AND($A115=$A114,$A115&lt;&gt;0,DD114&lt;&gt;0),$M115,0))</f>
        <v>0</v>
      </c>
      <c r="DE115" s="25">
        <f>IF($DE$112=0,0,IF(AND($A115=$A114,$A115&lt;&gt;0,DE114&lt;&gt;0),$M115,0))</f>
        <v>0</v>
      </c>
      <c r="DF115" s="25">
        <f>IF($DF$113=0,0,IF(AND($A115=$A114,$A115&lt;&gt;0,DF114&lt;&gt;0),$M115,0))</f>
        <v>0</v>
      </c>
      <c r="DG115" s="25">
        <f>IF($DG$114=0,0,IF(AND($A115=$A114,$A115&lt;&gt;0,DG114&lt;&gt;0),$M115,0))</f>
        <v>0</v>
      </c>
      <c r="DH115" s="25">
        <f>IF(DG115&lt;&gt;0,0,IF(OR($A115=0,$A115=$A114),0,$M115))</f>
        <v>0</v>
      </c>
      <c r="DI115" s="25"/>
      <c r="DJ115" s="25" t="str">
        <v/>
      </c>
      <c r="DK115" s="34" t="str">
        <f t="shared" si="133"/>
        <v/>
      </c>
      <c r="DL115" s="29" t="str">
        <f t="shared" si="226"/>
        <v/>
      </c>
      <c r="DM115" s="35" t="str">
        <f t="shared" si="126"/>
        <v/>
      </c>
      <c r="DN115" s="24">
        <f t="shared" si="134"/>
        <v>20</v>
      </c>
      <c r="DO115" s="24">
        <f t="shared" si="135"/>
        <v>0</v>
      </c>
      <c r="DP115" s="24">
        <f t="shared" si="136"/>
        <v>0</v>
      </c>
      <c r="DQ115" s="24">
        <f t="shared" si="137"/>
        <v>20</v>
      </c>
      <c r="DR115" s="24" t="str">
        <f t="shared" si="138"/>
        <v/>
      </c>
      <c r="DS115" s="26" t="str">
        <f>IF(ISERROR(CEILING(($DQ115*$DL115/60),Puertas!$S$4)),"",CEILING(($DQ115*$DL115/60),Puertas!$S$4))</f>
        <v/>
      </c>
      <c r="DT115" s="26" t="str">
        <f t="shared" si="127"/>
        <v/>
      </c>
      <c r="DU115" s="112" t="str">
        <f t="shared" si="227"/>
        <v/>
      </c>
      <c r="DV115" s="113" t="str">
        <f>IF(D115="","",SUMIF(Puertas!$K$15:$K$114,B115,Puertas!$U$15:$U$114)+SUMIF(Puertas!$O$15:$O$114,B115,Puertas!$W$15:$W$114))</f>
        <v/>
      </c>
      <c r="DW115" s="114" t="str">
        <f t="shared" si="228"/>
        <v/>
      </c>
      <c r="DX115" s="112" t="str">
        <f t="shared" si="139"/>
        <v/>
      </c>
      <c r="DY115" s="113" t="str">
        <f t="shared" si="140"/>
        <v/>
      </c>
      <c r="DZ115" s="115"/>
      <c r="EA115" s="115"/>
      <c r="EB115" s="113" t="e">
        <f>ABS(IF(D115="","",SUMIF(Puertas!$K$15:$K$114,B115,Puertas!$V$15:$V$114)+SUMIF(Puertas!$O$15:$O$114,B115,Puertas!$X$15:$X$114)))</f>
        <v>#VALUE!</v>
      </c>
      <c r="EC115" s="113" t="str">
        <f t="shared" si="141"/>
        <v/>
      </c>
      <c r="ED115" s="114" t="str">
        <f t="shared" si="142"/>
        <v/>
      </c>
      <c r="EE115" s="43"/>
      <c r="EF115" s="6" t="b">
        <v>0</v>
      </c>
      <c r="EG115" s="6" t="b">
        <v>0</v>
      </c>
      <c r="EH115" s="5" t="e">
        <f t="shared" si="143"/>
        <v>#VALUE!</v>
      </c>
      <c r="EI115" s="5" t="e">
        <f t="shared" si="144"/>
        <v>#VALUE!</v>
      </c>
      <c r="EJ115" s="3">
        <f t="shared" si="145"/>
        <v>0</v>
      </c>
      <c r="EK115" s="3">
        <f t="shared" si="146"/>
        <v>0</v>
      </c>
      <c r="EL115" s="5" t="e">
        <f t="shared" si="147"/>
        <v>#VALUE!</v>
      </c>
      <c r="EM115" s="5" t="e">
        <f t="shared" si="148"/>
        <v>#VALUE!</v>
      </c>
    </row>
    <row r="116" spans="1:143" x14ac:dyDescent="0.3">
      <c r="A116" s="1">
        <v>100</v>
      </c>
      <c r="B116" s="15">
        <v>100</v>
      </c>
      <c r="C116" s="309"/>
      <c r="D116" s="309"/>
      <c r="E116" s="312"/>
      <c r="F116" s="332"/>
      <c r="G116" s="314"/>
      <c r="H116" s="446"/>
      <c r="I116" s="315"/>
      <c r="J116" s="312"/>
      <c r="K116" s="316"/>
      <c r="L116" s="317"/>
      <c r="M116" s="16">
        <f t="shared" si="130"/>
        <v>0</v>
      </c>
      <c r="N116" s="17">
        <f t="shared" si="149"/>
        <v>0</v>
      </c>
      <c r="O116" s="17">
        <f t="shared" si="150"/>
        <v>0</v>
      </c>
      <c r="P116" s="17">
        <f t="shared" si="153"/>
        <v>0</v>
      </c>
      <c r="Q116" s="17">
        <f t="shared" si="156"/>
        <v>0</v>
      </c>
      <c r="R116" s="17">
        <f t="shared" si="159"/>
        <v>0</v>
      </c>
      <c r="S116" s="17">
        <f t="shared" si="162"/>
        <v>0</v>
      </c>
      <c r="T116" s="17">
        <f t="shared" si="165"/>
        <v>0</v>
      </c>
      <c r="U116" s="17">
        <f t="shared" si="168"/>
        <v>0</v>
      </c>
      <c r="V116" s="17">
        <f t="shared" si="171"/>
        <v>0</v>
      </c>
      <c r="W116" s="17">
        <f t="shared" si="174"/>
        <v>0</v>
      </c>
      <c r="X116" s="17">
        <f t="shared" si="177"/>
        <v>0</v>
      </c>
      <c r="Y116" s="17">
        <f t="shared" si="180"/>
        <v>0</v>
      </c>
      <c r="Z116" s="17">
        <f t="shared" si="183"/>
        <v>0</v>
      </c>
      <c r="AA116" s="17">
        <f t="shared" si="186"/>
        <v>0</v>
      </c>
      <c r="AB116" s="17">
        <f t="shared" si="189"/>
        <v>0</v>
      </c>
      <c r="AC116" s="17">
        <f t="shared" si="192"/>
        <v>0</v>
      </c>
      <c r="AD116" s="17">
        <f t="shared" si="195"/>
        <v>0</v>
      </c>
      <c r="AE116" s="17">
        <f t="shared" si="198"/>
        <v>0</v>
      </c>
      <c r="AF116" s="17">
        <f t="shared" si="201"/>
        <v>0</v>
      </c>
      <c r="AG116" s="17">
        <f t="shared" si="204"/>
        <v>0</v>
      </c>
      <c r="AH116" s="17">
        <f t="shared" si="206"/>
        <v>0</v>
      </c>
      <c r="AI116" s="17">
        <f t="shared" si="208"/>
        <v>0</v>
      </c>
      <c r="AJ116" s="17">
        <f t="shared" si="210"/>
        <v>0</v>
      </c>
      <c r="AK116" s="17">
        <f t="shared" si="212"/>
        <v>0</v>
      </c>
      <c r="AL116" s="17">
        <f t="shared" si="214"/>
        <v>0</v>
      </c>
      <c r="AM116" s="17">
        <f t="shared" si="216"/>
        <v>0</v>
      </c>
      <c r="AN116" s="17">
        <f t="shared" si="218"/>
        <v>0</v>
      </c>
      <c r="AO116" s="17">
        <f t="shared" si="220"/>
        <v>0</v>
      </c>
      <c r="AP116" s="17">
        <f t="shared" si="222"/>
        <v>0</v>
      </c>
      <c r="AQ116" s="17">
        <f t="shared" si="224"/>
        <v>0</v>
      </c>
      <c r="AR116" s="17">
        <f t="shared" si="121"/>
        <v>0</v>
      </c>
      <c r="AS116" s="17">
        <f t="shared" si="123"/>
        <v>0</v>
      </c>
      <c r="AT116" s="17">
        <f t="shared" si="131"/>
        <v>0</v>
      </c>
      <c r="AU116" s="17">
        <f t="shared" si="151"/>
        <v>0</v>
      </c>
      <c r="AV116" s="17">
        <f t="shared" si="154"/>
        <v>0</v>
      </c>
      <c r="AW116" s="17">
        <f t="shared" si="157"/>
        <v>0</v>
      </c>
      <c r="AX116" s="17">
        <f t="shared" si="160"/>
        <v>0</v>
      </c>
      <c r="AY116" s="17">
        <f t="shared" si="163"/>
        <v>0</v>
      </c>
      <c r="AZ116" s="17">
        <f t="shared" si="166"/>
        <v>0</v>
      </c>
      <c r="BA116" s="17">
        <f t="shared" si="169"/>
        <v>0</v>
      </c>
      <c r="BB116" s="17">
        <f t="shared" si="172"/>
        <v>0</v>
      </c>
      <c r="BC116" s="17">
        <f t="shared" si="175"/>
        <v>0</v>
      </c>
      <c r="BD116" s="17">
        <f t="shared" si="178"/>
        <v>0</v>
      </c>
      <c r="BE116" s="17">
        <f t="shared" si="181"/>
        <v>0</v>
      </c>
      <c r="BF116" s="17">
        <f t="shared" si="184"/>
        <v>0</v>
      </c>
      <c r="BG116" s="17">
        <f t="shared" si="187"/>
        <v>0</v>
      </c>
      <c r="BH116" s="17">
        <f t="shared" si="190"/>
        <v>0</v>
      </c>
      <c r="BI116" s="17">
        <f t="shared" si="193"/>
        <v>0</v>
      </c>
      <c r="BJ116" s="17">
        <f t="shared" si="196"/>
        <v>0</v>
      </c>
      <c r="BK116" s="17">
        <f t="shared" si="199"/>
        <v>0</v>
      </c>
      <c r="BL116" s="17">
        <f t="shared" si="202"/>
        <v>0</v>
      </c>
      <c r="BM116" s="17">
        <f t="shared" si="100"/>
        <v>0</v>
      </c>
      <c r="BN116" s="17">
        <f t="shared" si="102"/>
        <v>0</v>
      </c>
      <c r="BO116" s="17">
        <f t="shared" si="104"/>
        <v>0</v>
      </c>
      <c r="BP116" s="17">
        <f t="shared" si="106"/>
        <v>0</v>
      </c>
      <c r="BQ116" s="17">
        <f t="shared" si="108"/>
        <v>0</v>
      </c>
      <c r="BR116" s="17">
        <f t="shared" si="110"/>
        <v>0</v>
      </c>
      <c r="BS116" s="17">
        <f t="shared" si="112"/>
        <v>0</v>
      </c>
      <c r="BT116" s="17">
        <f t="shared" si="114"/>
        <v>0</v>
      </c>
      <c r="BU116" s="17">
        <f t="shared" si="116"/>
        <v>0</v>
      </c>
      <c r="BV116" s="17">
        <f t="shared" si="118"/>
        <v>0</v>
      </c>
      <c r="BW116" s="17">
        <f t="shared" si="120"/>
        <v>0</v>
      </c>
      <c r="BX116" s="17">
        <f t="shared" si="122"/>
        <v>0</v>
      </c>
      <c r="BY116" s="17">
        <f t="shared" si="124"/>
        <v>0</v>
      </c>
      <c r="BZ116" s="17">
        <f t="shared" si="132"/>
        <v>0</v>
      </c>
      <c r="CA116" s="17">
        <f t="shared" si="152"/>
        <v>0</v>
      </c>
      <c r="CB116" s="17">
        <f t="shared" si="155"/>
        <v>0</v>
      </c>
      <c r="CC116" s="17">
        <f t="shared" si="158"/>
        <v>0</v>
      </c>
      <c r="CD116" s="17">
        <f t="shared" si="161"/>
        <v>0</v>
      </c>
      <c r="CE116" s="17">
        <f t="shared" si="164"/>
        <v>0</v>
      </c>
      <c r="CF116" s="17">
        <f t="shared" si="167"/>
        <v>0</v>
      </c>
      <c r="CG116" s="17">
        <f t="shared" si="170"/>
        <v>0</v>
      </c>
      <c r="CH116" s="17">
        <f t="shared" si="173"/>
        <v>0</v>
      </c>
      <c r="CI116" s="17">
        <f t="shared" si="176"/>
        <v>0</v>
      </c>
      <c r="CJ116" s="17">
        <f t="shared" si="179"/>
        <v>0</v>
      </c>
      <c r="CK116" s="17">
        <f t="shared" si="182"/>
        <v>0</v>
      </c>
      <c r="CL116" s="17">
        <f t="shared" si="185"/>
        <v>0</v>
      </c>
      <c r="CM116" s="17">
        <f t="shared" si="188"/>
        <v>0</v>
      </c>
      <c r="CN116" s="17">
        <f t="shared" si="191"/>
        <v>0</v>
      </c>
      <c r="CO116" s="17">
        <f t="shared" si="194"/>
        <v>0</v>
      </c>
      <c r="CP116" s="17">
        <f t="shared" si="197"/>
        <v>0</v>
      </c>
      <c r="CQ116" s="17">
        <f t="shared" si="200"/>
        <v>0</v>
      </c>
      <c r="CR116" s="17">
        <f t="shared" si="203"/>
        <v>0</v>
      </c>
      <c r="CS116" s="17">
        <f t="shared" si="205"/>
        <v>0</v>
      </c>
      <c r="CT116" s="17">
        <f t="shared" si="207"/>
        <v>0</v>
      </c>
      <c r="CU116" s="17">
        <f t="shared" si="209"/>
        <v>0</v>
      </c>
      <c r="CV116" s="17">
        <f t="shared" si="211"/>
        <v>0</v>
      </c>
      <c r="CW116" s="17">
        <f t="shared" si="213"/>
        <v>0</v>
      </c>
      <c r="CX116" s="17">
        <f t="shared" si="215"/>
        <v>0</v>
      </c>
      <c r="CY116" s="17">
        <f t="shared" si="217"/>
        <v>0</v>
      </c>
      <c r="CZ116" s="17">
        <f t="shared" si="219"/>
        <v>0</v>
      </c>
      <c r="DA116" s="17">
        <f t="shared" si="221"/>
        <v>0</v>
      </c>
      <c r="DB116" s="17">
        <f t="shared" si="223"/>
        <v>0</v>
      </c>
      <c r="DC116" s="17">
        <f t="shared" si="225"/>
        <v>0</v>
      </c>
      <c r="DD116" s="17">
        <f>IF($DD$111=0,0,IF(AND($A116=$A115,$A116&lt;&gt;0,DD115&lt;&gt;0),$M116,0))</f>
        <v>0</v>
      </c>
      <c r="DE116" s="17">
        <f>IF($DE$112=0,0,IF(AND($A116=$A115,$A116&lt;&gt;0,DE115&lt;&gt;0),$M116,0))</f>
        <v>0</v>
      </c>
      <c r="DF116" s="17">
        <f>IF($DF$113=0,0,IF(AND($A116=$A115,$A116&lt;&gt;0,DF115&lt;&gt;0),$M116,0))</f>
        <v>0</v>
      </c>
      <c r="DG116" s="17">
        <f>IF($DG$114=0,0,IF(AND($A116=$A115,$A116&lt;&gt;0,DG115&lt;&gt;0),$M116,0))</f>
        <v>0</v>
      </c>
      <c r="DH116" s="17">
        <f>IF($DH$115=0,0,IF(AND($A116=$A115,$A116&lt;&gt;0,DH115&lt;&gt;0),$M116,0))</f>
        <v>0</v>
      </c>
      <c r="DI116" s="17">
        <f>IF(DH116&lt;&gt;0,0,IF(OR($A116=0,$A116=$A115),0,$M116))</f>
        <v>0</v>
      </c>
      <c r="DJ116" s="17" t="str">
        <v/>
      </c>
      <c r="DK116" s="30" t="str">
        <f t="shared" si="133"/>
        <v/>
      </c>
      <c r="DL116" s="27" t="str">
        <f t="shared" si="226"/>
        <v/>
      </c>
      <c r="DM116" s="31" t="str">
        <f t="shared" si="126"/>
        <v/>
      </c>
      <c r="DN116" s="16">
        <f t="shared" si="134"/>
        <v>20</v>
      </c>
      <c r="DO116" s="16">
        <f t="shared" si="135"/>
        <v>0</v>
      </c>
      <c r="DP116" s="16">
        <f t="shared" si="136"/>
        <v>0</v>
      </c>
      <c r="DQ116" s="16">
        <f t="shared" si="137"/>
        <v>20</v>
      </c>
      <c r="DR116" s="16" t="str">
        <f t="shared" si="138"/>
        <v/>
      </c>
      <c r="DS116" s="18" t="str">
        <f>IF(ISERROR(CEILING(($DQ116*$DL116/60),Puertas!$S$4)),"",CEILING(($DQ116*$DL116/60),Puertas!$S$4))</f>
        <v/>
      </c>
      <c r="DT116" s="18" t="str">
        <f t="shared" si="127"/>
        <v/>
      </c>
      <c r="DU116" s="104" t="str">
        <f t="shared" si="227"/>
        <v/>
      </c>
      <c r="DV116" s="105" t="str">
        <f>IF(D116="","",SUMIF(Puertas!$K$15:$K$114,B116,Puertas!$U$15:$U$114)+SUMIF(Puertas!$O$15:$O$114,B116,Puertas!$W$15:$W$114))</f>
        <v/>
      </c>
      <c r="DW116" s="106" t="str">
        <f t="shared" si="228"/>
        <v/>
      </c>
      <c r="DX116" s="104" t="str">
        <f t="shared" si="139"/>
        <v/>
      </c>
      <c r="DY116" s="105" t="str">
        <f t="shared" si="140"/>
        <v/>
      </c>
      <c r="DZ116" s="107"/>
      <c r="EA116" s="107"/>
      <c r="EB116" s="105" t="e">
        <f>ABS(IF(D116="","",SUMIF(Puertas!$K$15:$K$114,B116,Puertas!$V$15:$V$114)+SUMIF(Puertas!$O$15:$O$114,B116,Puertas!$X$15:$X$114)))</f>
        <v>#VALUE!</v>
      </c>
      <c r="EC116" s="105" t="str">
        <f t="shared" si="141"/>
        <v/>
      </c>
      <c r="ED116" s="106" t="str">
        <f t="shared" si="142"/>
        <v/>
      </c>
      <c r="EE116" s="41"/>
      <c r="EF116" s="6" t="b">
        <v>0</v>
      </c>
      <c r="EG116" s="6" t="b">
        <v>0</v>
      </c>
      <c r="EH116" s="5" t="e">
        <f t="shared" si="143"/>
        <v>#VALUE!</v>
      </c>
      <c r="EI116" s="5" t="e">
        <f t="shared" si="144"/>
        <v>#VALUE!</v>
      </c>
      <c r="EJ116" s="3">
        <f t="shared" si="145"/>
        <v>0</v>
      </c>
      <c r="EK116" s="3">
        <f t="shared" si="146"/>
        <v>0</v>
      </c>
      <c r="EL116" s="5" t="e">
        <f t="shared" si="147"/>
        <v>#VALUE!</v>
      </c>
      <c r="EM116" s="5" t="e">
        <f t="shared" si="148"/>
        <v>#VALUE!</v>
      </c>
    </row>
    <row r="117" spans="1:143" ht="13.8" hidden="1" customHeight="1" x14ac:dyDescent="0.3">
      <c r="N117" s="2" t="str">
        <f>IF(SUM(N$17:N$116)=0,"",SUM(N$17:N$116))</f>
        <v/>
      </c>
      <c r="O117" s="2" t="str">
        <f t="shared" ref="O117:BZ117" si="229">IF(SUM(O$17:O$116)=0,"",SUM(O$17:O$116))</f>
        <v/>
      </c>
      <c r="P117" s="2" t="str">
        <f t="shared" si="229"/>
        <v/>
      </c>
      <c r="Q117" s="2" t="str">
        <f t="shared" si="229"/>
        <v/>
      </c>
      <c r="R117" s="2" t="str">
        <f t="shared" si="229"/>
        <v/>
      </c>
      <c r="S117" s="2" t="str">
        <f t="shared" si="229"/>
        <v/>
      </c>
      <c r="T117" s="2" t="str">
        <f t="shared" si="229"/>
        <v/>
      </c>
      <c r="U117" s="2" t="str">
        <f t="shared" si="229"/>
        <v/>
      </c>
      <c r="V117" s="2" t="str">
        <f t="shared" si="229"/>
        <v/>
      </c>
      <c r="W117" s="2" t="str">
        <f t="shared" si="229"/>
        <v/>
      </c>
      <c r="X117" s="2" t="str">
        <f t="shared" si="229"/>
        <v/>
      </c>
      <c r="Y117" s="2" t="str">
        <f t="shared" si="229"/>
        <v/>
      </c>
      <c r="Z117" s="2" t="str">
        <f t="shared" si="229"/>
        <v/>
      </c>
      <c r="AA117" s="2" t="str">
        <f t="shared" si="229"/>
        <v/>
      </c>
      <c r="AB117" s="2" t="str">
        <f t="shared" si="229"/>
        <v/>
      </c>
      <c r="AC117" s="2" t="str">
        <f t="shared" si="229"/>
        <v/>
      </c>
      <c r="AD117" s="2" t="str">
        <f t="shared" si="229"/>
        <v/>
      </c>
      <c r="AE117" s="2" t="str">
        <f t="shared" si="229"/>
        <v/>
      </c>
      <c r="AF117" s="2" t="str">
        <f t="shared" si="229"/>
        <v/>
      </c>
      <c r="AG117" s="2" t="str">
        <f t="shared" si="229"/>
        <v/>
      </c>
      <c r="AH117" s="2" t="str">
        <f t="shared" si="229"/>
        <v/>
      </c>
      <c r="AI117" s="2" t="str">
        <f t="shared" si="229"/>
        <v/>
      </c>
      <c r="AJ117" s="2" t="str">
        <f t="shared" si="229"/>
        <v/>
      </c>
      <c r="AK117" s="2" t="str">
        <f t="shared" si="229"/>
        <v/>
      </c>
      <c r="AL117" s="2" t="str">
        <f t="shared" si="229"/>
        <v/>
      </c>
      <c r="AM117" s="2" t="str">
        <f t="shared" si="229"/>
        <v/>
      </c>
      <c r="AN117" s="2" t="str">
        <f t="shared" si="229"/>
        <v/>
      </c>
      <c r="AO117" s="2" t="str">
        <f t="shared" si="229"/>
        <v/>
      </c>
      <c r="AP117" s="2" t="str">
        <f t="shared" si="229"/>
        <v/>
      </c>
      <c r="AQ117" s="2" t="str">
        <f t="shared" si="229"/>
        <v/>
      </c>
      <c r="AR117" s="2" t="str">
        <f t="shared" si="229"/>
        <v/>
      </c>
      <c r="AS117" s="2" t="str">
        <f t="shared" si="229"/>
        <v/>
      </c>
      <c r="AT117" s="2" t="str">
        <f t="shared" si="229"/>
        <v/>
      </c>
      <c r="AU117" s="2" t="str">
        <f t="shared" si="229"/>
        <v/>
      </c>
      <c r="AV117" s="2" t="str">
        <f t="shared" si="229"/>
        <v/>
      </c>
      <c r="AW117" s="2" t="str">
        <f t="shared" si="229"/>
        <v/>
      </c>
      <c r="AX117" s="2" t="str">
        <f t="shared" si="229"/>
        <v/>
      </c>
      <c r="AY117" s="2" t="str">
        <f t="shared" si="229"/>
        <v/>
      </c>
      <c r="AZ117" s="2" t="str">
        <f t="shared" si="229"/>
        <v/>
      </c>
      <c r="BA117" s="2" t="str">
        <f t="shared" si="229"/>
        <v/>
      </c>
      <c r="BB117" s="2" t="str">
        <f t="shared" si="229"/>
        <v/>
      </c>
      <c r="BC117" s="2" t="str">
        <f t="shared" si="229"/>
        <v/>
      </c>
      <c r="BD117" s="2" t="str">
        <f t="shared" si="229"/>
        <v/>
      </c>
      <c r="BE117" s="2" t="str">
        <f t="shared" si="229"/>
        <v/>
      </c>
      <c r="BF117" s="2" t="str">
        <f t="shared" si="229"/>
        <v/>
      </c>
      <c r="BG117" s="2" t="str">
        <f t="shared" si="229"/>
        <v/>
      </c>
      <c r="BH117" s="2" t="str">
        <f t="shared" si="229"/>
        <v/>
      </c>
      <c r="BI117" s="2" t="str">
        <f t="shared" si="229"/>
        <v/>
      </c>
      <c r="BJ117" s="2" t="str">
        <f t="shared" si="229"/>
        <v/>
      </c>
      <c r="BK117" s="2" t="str">
        <f t="shared" si="229"/>
        <v/>
      </c>
      <c r="BL117" s="2" t="str">
        <f t="shared" si="229"/>
        <v/>
      </c>
      <c r="BM117" s="2" t="str">
        <f t="shared" si="229"/>
        <v/>
      </c>
      <c r="BN117" s="2" t="str">
        <f t="shared" si="229"/>
        <v/>
      </c>
      <c r="BO117" s="2" t="str">
        <f t="shared" si="229"/>
        <v/>
      </c>
      <c r="BP117" s="2" t="str">
        <f t="shared" si="229"/>
        <v/>
      </c>
      <c r="BQ117" s="2" t="str">
        <f t="shared" si="229"/>
        <v/>
      </c>
      <c r="BR117" s="2" t="str">
        <f t="shared" si="229"/>
        <v/>
      </c>
      <c r="BS117" s="2" t="str">
        <f t="shared" si="229"/>
        <v/>
      </c>
      <c r="BT117" s="2" t="str">
        <f t="shared" si="229"/>
        <v/>
      </c>
      <c r="BU117" s="2" t="str">
        <f t="shared" si="229"/>
        <v/>
      </c>
      <c r="BV117" s="2" t="str">
        <f t="shared" si="229"/>
        <v/>
      </c>
      <c r="BW117" s="2" t="str">
        <f t="shared" si="229"/>
        <v/>
      </c>
      <c r="BX117" s="2" t="str">
        <f t="shared" si="229"/>
        <v/>
      </c>
      <c r="BY117" s="2" t="str">
        <f t="shared" si="229"/>
        <v/>
      </c>
      <c r="BZ117" s="2" t="str">
        <f t="shared" si="229"/>
        <v/>
      </c>
      <c r="CA117" s="2" t="str">
        <f t="shared" ref="CA117:DI117" si="230">IF(SUM(CA$17:CA$116)=0,"",SUM(CA$17:CA$116))</f>
        <v/>
      </c>
      <c r="CB117" s="2" t="str">
        <f t="shared" si="230"/>
        <v/>
      </c>
      <c r="CC117" s="2" t="str">
        <f t="shared" si="230"/>
        <v/>
      </c>
      <c r="CD117" s="2" t="str">
        <f t="shared" si="230"/>
        <v/>
      </c>
      <c r="CE117" s="2" t="str">
        <f t="shared" si="230"/>
        <v/>
      </c>
      <c r="CF117" s="2" t="str">
        <f t="shared" si="230"/>
        <v/>
      </c>
      <c r="CG117" s="2" t="str">
        <f t="shared" si="230"/>
        <v/>
      </c>
      <c r="CH117" s="2" t="str">
        <f t="shared" si="230"/>
        <v/>
      </c>
      <c r="CI117" s="2" t="str">
        <f t="shared" si="230"/>
        <v/>
      </c>
      <c r="CJ117" s="2" t="str">
        <f t="shared" si="230"/>
        <v/>
      </c>
      <c r="CK117" s="2" t="str">
        <f t="shared" si="230"/>
        <v/>
      </c>
      <c r="CL117" s="2" t="str">
        <f t="shared" si="230"/>
        <v/>
      </c>
      <c r="CM117" s="2" t="str">
        <f t="shared" si="230"/>
        <v/>
      </c>
      <c r="CN117" s="2" t="str">
        <f t="shared" si="230"/>
        <v/>
      </c>
      <c r="CO117" s="2" t="str">
        <f t="shared" si="230"/>
        <v/>
      </c>
      <c r="CP117" s="2" t="str">
        <f t="shared" si="230"/>
        <v/>
      </c>
      <c r="CQ117" s="2" t="str">
        <f t="shared" si="230"/>
        <v/>
      </c>
      <c r="CR117" s="2" t="str">
        <f t="shared" si="230"/>
        <v/>
      </c>
      <c r="CS117" s="2" t="str">
        <f t="shared" si="230"/>
        <v/>
      </c>
      <c r="CT117" s="2" t="str">
        <f t="shared" si="230"/>
        <v/>
      </c>
      <c r="CU117" s="2" t="str">
        <f t="shared" si="230"/>
        <v/>
      </c>
      <c r="CV117" s="2" t="str">
        <f t="shared" si="230"/>
        <v/>
      </c>
      <c r="CW117" s="2" t="str">
        <f t="shared" si="230"/>
        <v/>
      </c>
      <c r="CX117" s="2" t="str">
        <f t="shared" si="230"/>
        <v/>
      </c>
      <c r="CY117" s="2" t="str">
        <f t="shared" si="230"/>
        <v/>
      </c>
      <c r="CZ117" s="2" t="str">
        <f t="shared" si="230"/>
        <v/>
      </c>
      <c r="DA117" s="2" t="str">
        <f t="shared" si="230"/>
        <v/>
      </c>
      <c r="DB117" s="2" t="str">
        <f t="shared" si="230"/>
        <v/>
      </c>
      <c r="DC117" s="2" t="str">
        <f t="shared" si="230"/>
        <v/>
      </c>
      <c r="DD117" s="2" t="str">
        <f t="shared" si="230"/>
        <v/>
      </c>
      <c r="DE117" s="2" t="str">
        <f t="shared" si="230"/>
        <v/>
      </c>
      <c r="DF117" s="2" t="str">
        <f t="shared" si="230"/>
        <v/>
      </c>
      <c r="DG117" s="2" t="str">
        <f t="shared" si="230"/>
        <v/>
      </c>
      <c r="DH117" s="2" t="str">
        <f t="shared" si="230"/>
        <v/>
      </c>
      <c r="DI117" s="2" t="str">
        <f t="shared" si="230"/>
        <v/>
      </c>
      <c r="DL117" s="591" t="s">
        <v>136</v>
      </c>
      <c r="DM117" s="591"/>
      <c r="DS117" s="5"/>
      <c r="DT117" s="5"/>
      <c r="DU117" s="13">
        <f t="shared" ref="DU117:DW117" si="231">IF(OR(ISERROR(SUM(DU17:DU116)),SUM(DU17:DU116)=0),0,SUM(DU17:DU116))</f>
        <v>0</v>
      </c>
      <c r="DV117" s="13">
        <f t="shared" si="231"/>
        <v>0</v>
      </c>
      <c r="DW117" s="116">
        <f t="shared" si="231"/>
        <v>0</v>
      </c>
      <c r="DX117" s="13">
        <f t="shared" ref="DX117:EA117" si="232">IF(OR(ISERROR(SUM(DX17:DX116)),SUM(DX17:DX116)=0),0,SUM(DX17:DX116))</f>
        <v>0</v>
      </c>
      <c r="DY117" s="13">
        <f t="shared" si="232"/>
        <v>0</v>
      </c>
      <c r="DZ117" s="13">
        <f t="shared" si="232"/>
        <v>0</v>
      </c>
      <c r="EA117" s="13">
        <f t="shared" si="232"/>
        <v>0</v>
      </c>
      <c r="EB117" s="13"/>
      <c r="EC117" s="13">
        <f t="shared" ref="EC117" si="233">IF(OR(ISERROR(SUM(EC17:EC116)),SUM(EC17:EC116)=0),0,SUM(EC17:EC116))</f>
        <v>0</v>
      </c>
      <c r="ED117" s="116">
        <f t="shared" ref="ED117" si="234">IF(OR(ISERROR(SUM(ED17:ED116)),SUM(ED17:ED116)=0),0,SUM(ED17:ED116))</f>
        <v>0</v>
      </c>
    </row>
  </sheetData>
  <sheetProtection selectLockedCells="1"/>
  <mergeCells count="17">
    <mergeCell ref="DL117:DM117"/>
    <mergeCell ref="EE2:EE3"/>
    <mergeCell ref="B1:B3"/>
    <mergeCell ref="D1:D3"/>
    <mergeCell ref="H1:H3"/>
    <mergeCell ref="G1:G2"/>
    <mergeCell ref="F1:F2"/>
    <mergeCell ref="E1:E2"/>
    <mergeCell ref="DL1:DL2"/>
    <mergeCell ref="DK1:DK2"/>
    <mergeCell ref="DU1:DW1"/>
    <mergeCell ref="DX1:ED1"/>
    <mergeCell ref="A1:A3"/>
    <mergeCell ref="L1:L2"/>
    <mergeCell ref="K1:K2"/>
    <mergeCell ref="J1:J2"/>
    <mergeCell ref="DM1:DM3"/>
  </mergeCells>
  <conditionalFormatting sqref="A18:A116">
    <cfRule type="cellIs" dxfId="167" priority="155" stopIfTrue="1" operator="equal">
      <formula>""</formula>
    </cfRule>
    <cfRule type="expression" dxfId="166" priority="156" stopIfTrue="1">
      <formula>EXACT($A17,$A18)</formula>
    </cfRule>
    <cfRule type="expression" dxfId="165" priority="157" stopIfTrue="1">
      <formula>NOT(EXACT($A17,$A18))</formula>
    </cfRule>
  </conditionalFormatting>
  <conditionalFormatting sqref="C17:ED17">
    <cfRule type="expression" dxfId="164" priority="152">
      <formula>EXACT($A$18,$A$17)</formula>
    </cfRule>
  </conditionalFormatting>
  <conditionalFormatting sqref="C18:ED116">
    <cfRule type="expression" dxfId="163" priority="140">
      <formula>EXACT($A18,$A17)</formula>
    </cfRule>
    <cfRule type="expression" dxfId="162" priority="141">
      <formula>EXACT($A19,$A18)</formula>
    </cfRule>
  </conditionalFormatting>
  <conditionalFormatting sqref="DZ17:EA17">
    <cfRule type="expression" dxfId="161" priority="137">
      <formula>AND(NOT(EXACT($D$17,"")),EXACT($DZ$17,""))</formula>
    </cfRule>
  </conditionalFormatting>
  <conditionalFormatting sqref="DZ18:EA116">
    <cfRule type="expression" dxfId="160" priority="164">
      <formula>AND(NOT(EXACT($D18,"")),EXACT($DZ18,""))</formula>
    </cfRule>
  </conditionalFormatting>
  <conditionalFormatting sqref="DX17:DY116">
    <cfRule type="cellIs" dxfId="159" priority="1" operator="lessThan">
      <formula>0</formula>
    </cfRule>
    <cfRule type="cellIs" dxfId="158" priority="2" operator="between">
      <formula>1</formula>
      <formula>99</formula>
    </cfRule>
  </conditionalFormatting>
  <dataValidations count="7">
    <dataValidation type="list" errorStyle="information" allowBlank="1" sqref="E17:E116" xr:uid="{00000000-0002-0000-0200-000000000000}">
      <formula1>$E$6:$E$13</formula1>
    </dataValidation>
    <dataValidation type="list" errorStyle="information" allowBlank="1" sqref="F17:F116" xr:uid="{00000000-0002-0000-0200-000001000000}">
      <formula1>$F$13:$F$15</formula1>
    </dataValidation>
    <dataValidation type="list" allowBlank="1" sqref="G17:G116" xr:uid="{00000000-0002-0000-0200-000002000000}">
      <formula1>$G$11:$G$15</formula1>
    </dataValidation>
    <dataValidation type="list" allowBlank="1" sqref="H17:H116" xr:uid="{00000000-0002-0000-0200-000003000000}">
      <formula1>$H$9:$H$15</formula1>
    </dataValidation>
    <dataValidation type="decimal" errorStyle="warning" allowBlank="1" showInputMessage="1" showErrorMessage="1" errorTitle="DIMENSIONES CUARTO" error="La dimensión del cuarto que desea ingresar es menor a 0.60 m o mayor a 20.00 m. Si es correcto, haga clic en 'Sí. De lo contrario, haga clic en 'No' y corrija la dimensión." sqref="J17:K116" xr:uid="{00000000-0002-0000-0200-000005000000}">
      <formula1>0.6</formula1>
      <formula2>20</formula2>
    </dataValidation>
    <dataValidation type="decimal" errorStyle="warning" operator="lessThanOrEqual" allowBlank="1" showInputMessage="1" showErrorMessage="1" errorTitle="CAMBIOS POR HORA" error="El número de cambios de aire por hora que desea ingresar es mayor a 50." sqref="I17:I116" xr:uid="{00000000-0002-0000-0200-000006000000}">
      <formula1>50</formula1>
    </dataValidation>
    <dataValidation type="decimal" errorStyle="warning" allowBlank="1" showInputMessage="1" showErrorMessage="1" errorTitle="ALTURA DEL CUARTO" error="La altura del cuarto que intenta ingresar es menor a 2.00 m, o es mayor a 4.00 m. Si es correcto, haga clic en 'Sí'. De lo contrario, haga clic en 'No' y corrija la altura del cuarto." sqref="L17:L116" xr:uid="{00000000-0002-0000-0200-000007000000}">
      <formula1>2</formula1>
      <formula2>4</formula2>
    </dataValidation>
  </dataValidations>
  <printOptions horizontalCentered="1"/>
  <pageMargins left="0.59055118110236227" right="0.59055118110236227" top="0.39370078740157483" bottom="0.39370078740157483" header="0.31496062992125984" footer="0.31496062992125984"/>
  <pageSetup fitToHeight="0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16</xdr:row>
                    <xdr:rowOff>121920</xdr:rowOff>
                  </from>
                  <to>
                    <xdr:col>134</xdr:col>
                    <xdr:colOff>693420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16</xdr:row>
                    <xdr:rowOff>121920</xdr:rowOff>
                  </from>
                  <to>
                    <xdr:col>134</xdr:col>
                    <xdr:colOff>312420</xdr:colOff>
                    <xdr:row>18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17</xdr:row>
                    <xdr:rowOff>121920</xdr:rowOff>
                  </from>
                  <to>
                    <xdr:col>134</xdr:col>
                    <xdr:colOff>693420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17</xdr:row>
                    <xdr:rowOff>121920</xdr:rowOff>
                  </from>
                  <to>
                    <xdr:col>134</xdr:col>
                    <xdr:colOff>312420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18</xdr:row>
                    <xdr:rowOff>121920</xdr:rowOff>
                  </from>
                  <to>
                    <xdr:col>134</xdr:col>
                    <xdr:colOff>693420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18</xdr:row>
                    <xdr:rowOff>121920</xdr:rowOff>
                  </from>
                  <to>
                    <xdr:col>134</xdr:col>
                    <xdr:colOff>312420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19</xdr:row>
                    <xdr:rowOff>121920</xdr:rowOff>
                  </from>
                  <to>
                    <xdr:col>134</xdr:col>
                    <xdr:colOff>693420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19</xdr:row>
                    <xdr:rowOff>121920</xdr:rowOff>
                  </from>
                  <to>
                    <xdr:col>134</xdr:col>
                    <xdr:colOff>312420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20</xdr:row>
                    <xdr:rowOff>121920</xdr:rowOff>
                  </from>
                  <to>
                    <xdr:col>134</xdr:col>
                    <xdr:colOff>693420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20</xdr:row>
                    <xdr:rowOff>121920</xdr:rowOff>
                  </from>
                  <to>
                    <xdr:col>134</xdr:col>
                    <xdr:colOff>312420</xdr:colOff>
                    <xdr:row>22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21</xdr:row>
                    <xdr:rowOff>121920</xdr:rowOff>
                  </from>
                  <to>
                    <xdr:col>134</xdr:col>
                    <xdr:colOff>693420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21</xdr:row>
                    <xdr:rowOff>121920</xdr:rowOff>
                  </from>
                  <to>
                    <xdr:col>134</xdr:col>
                    <xdr:colOff>312420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22</xdr:row>
                    <xdr:rowOff>121920</xdr:rowOff>
                  </from>
                  <to>
                    <xdr:col>134</xdr:col>
                    <xdr:colOff>693420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22</xdr:row>
                    <xdr:rowOff>121920</xdr:rowOff>
                  </from>
                  <to>
                    <xdr:col>134</xdr:col>
                    <xdr:colOff>312420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23</xdr:row>
                    <xdr:rowOff>121920</xdr:rowOff>
                  </from>
                  <to>
                    <xdr:col>134</xdr:col>
                    <xdr:colOff>693420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23</xdr:row>
                    <xdr:rowOff>121920</xdr:rowOff>
                  </from>
                  <to>
                    <xdr:col>134</xdr:col>
                    <xdr:colOff>312420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24</xdr:row>
                    <xdr:rowOff>121920</xdr:rowOff>
                  </from>
                  <to>
                    <xdr:col>134</xdr:col>
                    <xdr:colOff>693420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Check Box 1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24</xdr:row>
                    <xdr:rowOff>121920</xdr:rowOff>
                  </from>
                  <to>
                    <xdr:col>134</xdr:col>
                    <xdr:colOff>312420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25</xdr:row>
                    <xdr:rowOff>121920</xdr:rowOff>
                  </from>
                  <to>
                    <xdr:col>134</xdr:col>
                    <xdr:colOff>693420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25</xdr:row>
                    <xdr:rowOff>121920</xdr:rowOff>
                  </from>
                  <to>
                    <xdr:col>134</xdr:col>
                    <xdr:colOff>312420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Check Box 2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15</xdr:row>
                    <xdr:rowOff>121920</xdr:rowOff>
                  </from>
                  <to>
                    <xdr:col>134</xdr:col>
                    <xdr:colOff>693420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Check Box 2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15</xdr:row>
                    <xdr:rowOff>121920</xdr:rowOff>
                  </from>
                  <to>
                    <xdr:col>134</xdr:col>
                    <xdr:colOff>312420</xdr:colOff>
                    <xdr:row>17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Check Box 2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31</xdr:row>
                    <xdr:rowOff>121920</xdr:rowOff>
                  </from>
                  <to>
                    <xdr:col>134</xdr:col>
                    <xdr:colOff>693420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Check Box 2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31</xdr:row>
                    <xdr:rowOff>121920</xdr:rowOff>
                  </from>
                  <to>
                    <xdr:col>134</xdr:col>
                    <xdr:colOff>312420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Check Box 2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32</xdr:row>
                    <xdr:rowOff>121920</xdr:rowOff>
                  </from>
                  <to>
                    <xdr:col>134</xdr:col>
                    <xdr:colOff>693420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Check Box 2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32</xdr:row>
                    <xdr:rowOff>121920</xdr:rowOff>
                  </from>
                  <to>
                    <xdr:col>134</xdr:col>
                    <xdr:colOff>312420</xdr:colOff>
                    <xdr:row>34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Check Box 2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33</xdr:row>
                    <xdr:rowOff>121920</xdr:rowOff>
                  </from>
                  <to>
                    <xdr:col>134</xdr:col>
                    <xdr:colOff>693420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Check Box 2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33</xdr:row>
                    <xdr:rowOff>121920</xdr:rowOff>
                  </from>
                  <to>
                    <xdr:col>134</xdr:col>
                    <xdr:colOff>312420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Check Box 2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34</xdr:row>
                    <xdr:rowOff>121920</xdr:rowOff>
                  </from>
                  <to>
                    <xdr:col>134</xdr:col>
                    <xdr:colOff>693420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Check Box 3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34</xdr:row>
                    <xdr:rowOff>121920</xdr:rowOff>
                  </from>
                  <to>
                    <xdr:col>134</xdr:col>
                    <xdr:colOff>312420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Check Box 3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35</xdr:row>
                    <xdr:rowOff>121920</xdr:rowOff>
                  </from>
                  <to>
                    <xdr:col>134</xdr:col>
                    <xdr:colOff>693420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Check Box 3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35</xdr:row>
                    <xdr:rowOff>121920</xdr:rowOff>
                  </from>
                  <to>
                    <xdr:col>134</xdr:col>
                    <xdr:colOff>312420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Check Box 3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36</xdr:row>
                    <xdr:rowOff>121920</xdr:rowOff>
                  </from>
                  <to>
                    <xdr:col>134</xdr:col>
                    <xdr:colOff>693420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Check Box 3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36</xdr:row>
                    <xdr:rowOff>121920</xdr:rowOff>
                  </from>
                  <to>
                    <xdr:col>134</xdr:col>
                    <xdr:colOff>312420</xdr:colOff>
                    <xdr:row>38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Check Box 3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37</xdr:row>
                    <xdr:rowOff>121920</xdr:rowOff>
                  </from>
                  <to>
                    <xdr:col>134</xdr:col>
                    <xdr:colOff>693420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Check Box 3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37</xdr:row>
                    <xdr:rowOff>121920</xdr:rowOff>
                  </from>
                  <to>
                    <xdr:col>134</xdr:col>
                    <xdr:colOff>312420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Check Box 3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38</xdr:row>
                    <xdr:rowOff>121920</xdr:rowOff>
                  </from>
                  <to>
                    <xdr:col>134</xdr:col>
                    <xdr:colOff>693420</xdr:colOff>
                    <xdr:row>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Check Box 3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38</xdr:row>
                    <xdr:rowOff>121920</xdr:rowOff>
                  </from>
                  <to>
                    <xdr:col>134</xdr:col>
                    <xdr:colOff>312420</xdr:colOff>
                    <xdr:row>40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Check Box 3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39</xdr:row>
                    <xdr:rowOff>121920</xdr:rowOff>
                  </from>
                  <to>
                    <xdr:col>134</xdr:col>
                    <xdr:colOff>693420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Check Box 4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39</xdr:row>
                    <xdr:rowOff>121920</xdr:rowOff>
                  </from>
                  <to>
                    <xdr:col>134</xdr:col>
                    <xdr:colOff>312420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Check Box 4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40</xdr:row>
                    <xdr:rowOff>121920</xdr:rowOff>
                  </from>
                  <to>
                    <xdr:col>134</xdr:col>
                    <xdr:colOff>693420</xdr:colOff>
                    <xdr:row>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Check Box 4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40</xdr:row>
                    <xdr:rowOff>121920</xdr:rowOff>
                  </from>
                  <to>
                    <xdr:col>134</xdr:col>
                    <xdr:colOff>312420</xdr:colOff>
                    <xdr:row>42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Check Box 4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41</xdr:row>
                    <xdr:rowOff>121920</xdr:rowOff>
                  </from>
                  <to>
                    <xdr:col>134</xdr:col>
                    <xdr:colOff>693420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Check Box 4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41</xdr:row>
                    <xdr:rowOff>121920</xdr:rowOff>
                  </from>
                  <to>
                    <xdr:col>134</xdr:col>
                    <xdr:colOff>312420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Check Box 4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42</xdr:row>
                    <xdr:rowOff>121920</xdr:rowOff>
                  </from>
                  <to>
                    <xdr:col>134</xdr:col>
                    <xdr:colOff>693420</xdr:colOff>
                    <xdr:row>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Check Box 4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42</xdr:row>
                    <xdr:rowOff>121920</xdr:rowOff>
                  </from>
                  <to>
                    <xdr:col>134</xdr:col>
                    <xdr:colOff>312420</xdr:colOff>
                    <xdr:row>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Check Box 4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43</xdr:row>
                    <xdr:rowOff>121920</xdr:rowOff>
                  </from>
                  <to>
                    <xdr:col>134</xdr:col>
                    <xdr:colOff>693420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Check Box 4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43</xdr:row>
                    <xdr:rowOff>121920</xdr:rowOff>
                  </from>
                  <to>
                    <xdr:col>134</xdr:col>
                    <xdr:colOff>312420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Check Box 4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44</xdr:row>
                    <xdr:rowOff>121920</xdr:rowOff>
                  </from>
                  <to>
                    <xdr:col>134</xdr:col>
                    <xdr:colOff>693420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Check Box 5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44</xdr:row>
                    <xdr:rowOff>121920</xdr:rowOff>
                  </from>
                  <to>
                    <xdr:col>134</xdr:col>
                    <xdr:colOff>312420</xdr:colOff>
                    <xdr:row>46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Check Box 5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45</xdr:row>
                    <xdr:rowOff>121920</xdr:rowOff>
                  </from>
                  <to>
                    <xdr:col>134</xdr:col>
                    <xdr:colOff>693420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Check Box 5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45</xdr:row>
                    <xdr:rowOff>121920</xdr:rowOff>
                  </from>
                  <to>
                    <xdr:col>134</xdr:col>
                    <xdr:colOff>312420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Check Box 5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51</xdr:row>
                    <xdr:rowOff>121920</xdr:rowOff>
                  </from>
                  <to>
                    <xdr:col>134</xdr:col>
                    <xdr:colOff>693420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Check Box 5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51</xdr:row>
                    <xdr:rowOff>121920</xdr:rowOff>
                  </from>
                  <to>
                    <xdr:col>134</xdr:col>
                    <xdr:colOff>312420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Check Box 5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52</xdr:row>
                    <xdr:rowOff>121920</xdr:rowOff>
                  </from>
                  <to>
                    <xdr:col>134</xdr:col>
                    <xdr:colOff>693420</xdr:colOff>
                    <xdr:row>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Check Box 5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52</xdr:row>
                    <xdr:rowOff>121920</xdr:rowOff>
                  </from>
                  <to>
                    <xdr:col>134</xdr:col>
                    <xdr:colOff>312420</xdr:colOff>
                    <xdr:row>54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Check Box 5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53</xdr:row>
                    <xdr:rowOff>121920</xdr:rowOff>
                  </from>
                  <to>
                    <xdr:col>134</xdr:col>
                    <xdr:colOff>693420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Check Box 5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53</xdr:row>
                    <xdr:rowOff>121920</xdr:rowOff>
                  </from>
                  <to>
                    <xdr:col>134</xdr:col>
                    <xdr:colOff>312420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Check Box 5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54</xdr:row>
                    <xdr:rowOff>121920</xdr:rowOff>
                  </from>
                  <to>
                    <xdr:col>134</xdr:col>
                    <xdr:colOff>693420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Check Box 6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54</xdr:row>
                    <xdr:rowOff>121920</xdr:rowOff>
                  </from>
                  <to>
                    <xdr:col>134</xdr:col>
                    <xdr:colOff>312420</xdr:colOff>
                    <xdr:row>56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Check Box 6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55</xdr:row>
                    <xdr:rowOff>121920</xdr:rowOff>
                  </from>
                  <to>
                    <xdr:col>134</xdr:col>
                    <xdr:colOff>693420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Check Box 6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55</xdr:row>
                    <xdr:rowOff>121920</xdr:rowOff>
                  </from>
                  <to>
                    <xdr:col>134</xdr:col>
                    <xdr:colOff>312420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Check Box 6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56</xdr:row>
                    <xdr:rowOff>121920</xdr:rowOff>
                  </from>
                  <to>
                    <xdr:col>134</xdr:col>
                    <xdr:colOff>693420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Check Box 6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56</xdr:row>
                    <xdr:rowOff>121920</xdr:rowOff>
                  </from>
                  <to>
                    <xdr:col>134</xdr:col>
                    <xdr:colOff>312420</xdr:colOff>
                    <xdr:row>58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Check Box 6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57</xdr:row>
                    <xdr:rowOff>121920</xdr:rowOff>
                  </from>
                  <to>
                    <xdr:col>134</xdr:col>
                    <xdr:colOff>693420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Check Box 6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57</xdr:row>
                    <xdr:rowOff>121920</xdr:rowOff>
                  </from>
                  <to>
                    <xdr:col>134</xdr:col>
                    <xdr:colOff>312420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Check Box 6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58</xdr:row>
                    <xdr:rowOff>121920</xdr:rowOff>
                  </from>
                  <to>
                    <xdr:col>134</xdr:col>
                    <xdr:colOff>693420</xdr:colOff>
                    <xdr:row>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Check Box 6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58</xdr:row>
                    <xdr:rowOff>121920</xdr:rowOff>
                  </from>
                  <to>
                    <xdr:col>134</xdr:col>
                    <xdr:colOff>312420</xdr:colOff>
                    <xdr:row>60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Check Box 6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59</xdr:row>
                    <xdr:rowOff>121920</xdr:rowOff>
                  </from>
                  <to>
                    <xdr:col>134</xdr:col>
                    <xdr:colOff>693420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Check Box 7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59</xdr:row>
                    <xdr:rowOff>121920</xdr:rowOff>
                  </from>
                  <to>
                    <xdr:col>134</xdr:col>
                    <xdr:colOff>312420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Check Box 7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60</xdr:row>
                    <xdr:rowOff>121920</xdr:rowOff>
                  </from>
                  <to>
                    <xdr:col>134</xdr:col>
                    <xdr:colOff>693420</xdr:colOff>
                    <xdr:row>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Check Box 7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60</xdr:row>
                    <xdr:rowOff>121920</xdr:rowOff>
                  </from>
                  <to>
                    <xdr:col>134</xdr:col>
                    <xdr:colOff>312420</xdr:colOff>
                    <xdr:row>62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Check Box 7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61</xdr:row>
                    <xdr:rowOff>121920</xdr:rowOff>
                  </from>
                  <to>
                    <xdr:col>134</xdr:col>
                    <xdr:colOff>693420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Check Box 7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61</xdr:row>
                    <xdr:rowOff>121920</xdr:rowOff>
                  </from>
                  <to>
                    <xdr:col>134</xdr:col>
                    <xdr:colOff>312420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Check Box 7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62</xdr:row>
                    <xdr:rowOff>121920</xdr:rowOff>
                  </from>
                  <to>
                    <xdr:col>134</xdr:col>
                    <xdr:colOff>693420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Check Box 7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62</xdr:row>
                    <xdr:rowOff>121920</xdr:rowOff>
                  </from>
                  <to>
                    <xdr:col>134</xdr:col>
                    <xdr:colOff>312420</xdr:colOff>
                    <xdr:row>64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Check Box 7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63</xdr:row>
                    <xdr:rowOff>121920</xdr:rowOff>
                  </from>
                  <to>
                    <xdr:col>134</xdr:col>
                    <xdr:colOff>693420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Check Box 7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63</xdr:row>
                    <xdr:rowOff>121920</xdr:rowOff>
                  </from>
                  <to>
                    <xdr:col>134</xdr:col>
                    <xdr:colOff>312420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Check Box 7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64</xdr:row>
                    <xdr:rowOff>121920</xdr:rowOff>
                  </from>
                  <to>
                    <xdr:col>134</xdr:col>
                    <xdr:colOff>693420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Check Box 8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64</xdr:row>
                    <xdr:rowOff>121920</xdr:rowOff>
                  </from>
                  <to>
                    <xdr:col>134</xdr:col>
                    <xdr:colOff>312420</xdr:colOff>
                    <xdr:row>66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Check Box 8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65</xdr:row>
                    <xdr:rowOff>121920</xdr:rowOff>
                  </from>
                  <to>
                    <xdr:col>134</xdr:col>
                    <xdr:colOff>693420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Check Box 8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65</xdr:row>
                    <xdr:rowOff>121920</xdr:rowOff>
                  </from>
                  <to>
                    <xdr:col>134</xdr:col>
                    <xdr:colOff>312420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Check Box 8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66</xdr:row>
                    <xdr:rowOff>121920</xdr:rowOff>
                  </from>
                  <to>
                    <xdr:col>134</xdr:col>
                    <xdr:colOff>693420</xdr:colOff>
                    <xdr:row>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Check Box 8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66</xdr:row>
                    <xdr:rowOff>121920</xdr:rowOff>
                  </from>
                  <to>
                    <xdr:col>134</xdr:col>
                    <xdr:colOff>312420</xdr:colOff>
                    <xdr:row>68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Check Box 8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67</xdr:row>
                    <xdr:rowOff>121920</xdr:rowOff>
                  </from>
                  <to>
                    <xdr:col>134</xdr:col>
                    <xdr:colOff>693420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Check Box 8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67</xdr:row>
                    <xdr:rowOff>121920</xdr:rowOff>
                  </from>
                  <to>
                    <xdr:col>134</xdr:col>
                    <xdr:colOff>312420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Check Box 8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68</xdr:row>
                    <xdr:rowOff>121920</xdr:rowOff>
                  </from>
                  <to>
                    <xdr:col>134</xdr:col>
                    <xdr:colOff>693420</xdr:colOff>
                    <xdr:row>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Check Box 8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68</xdr:row>
                    <xdr:rowOff>121920</xdr:rowOff>
                  </from>
                  <to>
                    <xdr:col>134</xdr:col>
                    <xdr:colOff>312420</xdr:colOff>
                    <xdr:row>70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Check Box 8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69</xdr:row>
                    <xdr:rowOff>121920</xdr:rowOff>
                  </from>
                  <to>
                    <xdr:col>134</xdr:col>
                    <xdr:colOff>693420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Check Box 9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69</xdr:row>
                    <xdr:rowOff>121920</xdr:rowOff>
                  </from>
                  <to>
                    <xdr:col>134</xdr:col>
                    <xdr:colOff>312420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Check Box 9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70</xdr:row>
                    <xdr:rowOff>121920</xdr:rowOff>
                  </from>
                  <to>
                    <xdr:col>134</xdr:col>
                    <xdr:colOff>693420</xdr:colOff>
                    <xdr:row>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Check Box 9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70</xdr:row>
                    <xdr:rowOff>121920</xdr:rowOff>
                  </from>
                  <to>
                    <xdr:col>134</xdr:col>
                    <xdr:colOff>312420</xdr:colOff>
                    <xdr:row>72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Check Box 9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71</xdr:row>
                    <xdr:rowOff>121920</xdr:rowOff>
                  </from>
                  <to>
                    <xdr:col>134</xdr:col>
                    <xdr:colOff>693420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Check Box 9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71</xdr:row>
                    <xdr:rowOff>121920</xdr:rowOff>
                  </from>
                  <to>
                    <xdr:col>134</xdr:col>
                    <xdr:colOff>312420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Check Box 9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72</xdr:row>
                    <xdr:rowOff>121920</xdr:rowOff>
                  </from>
                  <to>
                    <xdr:col>134</xdr:col>
                    <xdr:colOff>693420</xdr:colOff>
                    <xdr:row>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Check Box 9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72</xdr:row>
                    <xdr:rowOff>121920</xdr:rowOff>
                  </from>
                  <to>
                    <xdr:col>134</xdr:col>
                    <xdr:colOff>312420</xdr:colOff>
                    <xdr:row>74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Check Box 9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73</xdr:row>
                    <xdr:rowOff>121920</xdr:rowOff>
                  </from>
                  <to>
                    <xdr:col>134</xdr:col>
                    <xdr:colOff>693420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Check Box 9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73</xdr:row>
                    <xdr:rowOff>121920</xdr:rowOff>
                  </from>
                  <to>
                    <xdr:col>134</xdr:col>
                    <xdr:colOff>312420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Check Box 9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74</xdr:row>
                    <xdr:rowOff>121920</xdr:rowOff>
                  </from>
                  <to>
                    <xdr:col>134</xdr:col>
                    <xdr:colOff>693420</xdr:colOff>
                    <xdr:row>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Check Box 10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74</xdr:row>
                    <xdr:rowOff>121920</xdr:rowOff>
                  </from>
                  <to>
                    <xdr:col>134</xdr:col>
                    <xdr:colOff>312420</xdr:colOff>
                    <xdr:row>76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Check Box 10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75</xdr:row>
                    <xdr:rowOff>121920</xdr:rowOff>
                  </from>
                  <to>
                    <xdr:col>134</xdr:col>
                    <xdr:colOff>693420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Check Box 10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75</xdr:row>
                    <xdr:rowOff>121920</xdr:rowOff>
                  </from>
                  <to>
                    <xdr:col>134</xdr:col>
                    <xdr:colOff>312420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Check Box 10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76</xdr:row>
                    <xdr:rowOff>121920</xdr:rowOff>
                  </from>
                  <to>
                    <xdr:col>134</xdr:col>
                    <xdr:colOff>693420</xdr:colOff>
                    <xdr:row>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Check Box 10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76</xdr:row>
                    <xdr:rowOff>121920</xdr:rowOff>
                  </from>
                  <to>
                    <xdr:col>134</xdr:col>
                    <xdr:colOff>312420</xdr:colOff>
                    <xdr:row>78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Check Box 10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77</xdr:row>
                    <xdr:rowOff>121920</xdr:rowOff>
                  </from>
                  <to>
                    <xdr:col>134</xdr:col>
                    <xdr:colOff>693420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Check Box 10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77</xdr:row>
                    <xdr:rowOff>121920</xdr:rowOff>
                  </from>
                  <to>
                    <xdr:col>134</xdr:col>
                    <xdr:colOff>312420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Check Box 10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78</xdr:row>
                    <xdr:rowOff>121920</xdr:rowOff>
                  </from>
                  <to>
                    <xdr:col>134</xdr:col>
                    <xdr:colOff>693420</xdr:colOff>
                    <xdr:row>80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Check Box 10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78</xdr:row>
                    <xdr:rowOff>121920</xdr:rowOff>
                  </from>
                  <to>
                    <xdr:col>134</xdr:col>
                    <xdr:colOff>312420</xdr:colOff>
                    <xdr:row>80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Check Box 10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79</xdr:row>
                    <xdr:rowOff>121920</xdr:rowOff>
                  </from>
                  <to>
                    <xdr:col>134</xdr:col>
                    <xdr:colOff>693420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Check Box 11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79</xdr:row>
                    <xdr:rowOff>121920</xdr:rowOff>
                  </from>
                  <to>
                    <xdr:col>134</xdr:col>
                    <xdr:colOff>312420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Check Box 11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80</xdr:row>
                    <xdr:rowOff>121920</xdr:rowOff>
                  </from>
                  <to>
                    <xdr:col>134</xdr:col>
                    <xdr:colOff>693420</xdr:colOff>
                    <xdr:row>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Check Box 11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80</xdr:row>
                    <xdr:rowOff>121920</xdr:rowOff>
                  </from>
                  <to>
                    <xdr:col>134</xdr:col>
                    <xdr:colOff>312420</xdr:colOff>
                    <xdr:row>82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Check Box 11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81</xdr:row>
                    <xdr:rowOff>121920</xdr:rowOff>
                  </from>
                  <to>
                    <xdr:col>134</xdr:col>
                    <xdr:colOff>693420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Check Box 11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81</xdr:row>
                    <xdr:rowOff>121920</xdr:rowOff>
                  </from>
                  <to>
                    <xdr:col>134</xdr:col>
                    <xdr:colOff>312420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Check Box 11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82</xdr:row>
                    <xdr:rowOff>121920</xdr:rowOff>
                  </from>
                  <to>
                    <xdr:col>134</xdr:col>
                    <xdr:colOff>693420</xdr:colOff>
                    <xdr:row>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Check Box 11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82</xdr:row>
                    <xdr:rowOff>121920</xdr:rowOff>
                  </from>
                  <to>
                    <xdr:col>134</xdr:col>
                    <xdr:colOff>312420</xdr:colOff>
                    <xdr:row>84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Check Box 11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83</xdr:row>
                    <xdr:rowOff>121920</xdr:rowOff>
                  </from>
                  <to>
                    <xdr:col>134</xdr:col>
                    <xdr:colOff>693420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Check Box 11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83</xdr:row>
                    <xdr:rowOff>121920</xdr:rowOff>
                  </from>
                  <to>
                    <xdr:col>134</xdr:col>
                    <xdr:colOff>312420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Check Box 11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84</xdr:row>
                    <xdr:rowOff>121920</xdr:rowOff>
                  </from>
                  <to>
                    <xdr:col>134</xdr:col>
                    <xdr:colOff>693420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Check Box 12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84</xdr:row>
                    <xdr:rowOff>121920</xdr:rowOff>
                  </from>
                  <to>
                    <xdr:col>134</xdr:col>
                    <xdr:colOff>312420</xdr:colOff>
                    <xdr:row>86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Check Box 12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85</xdr:row>
                    <xdr:rowOff>121920</xdr:rowOff>
                  </from>
                  <to>
                    <xdr:col>134</xdr:col>
                    <xdr:colOff>693420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Check Box 12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85</xdr:row>
                    <xdr:rowOff>121920</xdr:rowOff>
                  </from>
                  <to>
                    <xdr:col>134</xdr:col>
                    <xdr:colOff>312420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Check Box 12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86</xdr:row>
                    <xdr:rowOff>121920</xdr:rowOff>
                  </from>
                  <to>
                    <xdr:col>134</xdr:col>
                    <xdr:colOff>693420</xdr:colOff>
                    <xdr:row>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Check Box 12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86</xdr:row>
                    <xdr:rowOff>121920</xdr:rowOff>
                  </from>
                  <to>
                    <xdr:col>134</xdr:col>
                    <xdr:colOff>312420</xdr:colOff>
                    <xdr:row>88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Check Box 12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87</xdr:row>
                    <xdr:rowOff>121920</xdr:rowOff>
                  </from>
                  <to>
                    <xdr:col>134</xdr:col>
                    <xdr:colOff>693420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Check Box 12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87</xdr:row>
                    <xdr:rowOff>121920</xdr:rowOff>
                  </from>
                  <to>
                    <xdr:col>134</xdr:col>
                    <xdr:colOff>312420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Check Box 12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88</xdr:row>
                    <xdr:rowOff>121920</xdr:rowOff>
                  </from>
                  <to>
                    <xdr:col>134</xdr:col>
                    <xdr:colOff>693420</xdr:colOff>
                    <xdr:row>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Check Box 12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88</xdr:row>
                    <xdr:rowOff>121920</xdr:rowOff>
                  </from>
                  <to>
                    <xdr:col>134</xdr:col>
                    <xdr:colOff>312420</xdr:colOff>
                    <xdr:row>90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Check Box 12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89</xdr:row>
                    <xdr:rowOff>121920</xdr:rowOff>
                  </from>
                  <to>
                    <xdr:col>134</xdr:col>
                    <xdr:colOff>693420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Check Box 13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89</xdr:row>
                    <xdr:rowOff>121920</xdr:rowOff>
                  </from>
                  <to>
                    <xdr:col>134</xdr:col>
                    <xdr:colOff>312420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Check Box 13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90</xdr:row>
                    <xdr:rowOff>121920</xdr:rowOff>
                  </from>
                  <to>
                    <xdr:col>134</xdr:col>
                    <xdr:colOff>693420</xdr:colOff>
                    <xdr:row>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Check Box 13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90</xdr:row>
                    <xdr:rowOff>121920</xdr:rowOff>
                  </from>
                  <to>
                    <xdr:col>134</xdr:col>
                    <xdr:colOff>312420</xdr:colOff>
                    <xdr:row>92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Check Box 13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91</xdr:row>
                    <xdr:rowOff>121920</xdr:rowOff>
                  </from>
                  <to>
                    <xdr:col>134</xdr:col>
                    <xdr:colOff>693420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Check Box 13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91</xdr:row>
                    <xdr:rowOff>121920</xdr:rowOff>
                  </from>
                  <to>
                    <xdr:col>134</xdr:col>
                    <xdr:colOff>312420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Check Box 13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92</xdr:row>
                    <xdr:rowOff>121920</xdr:rowOff>
                  </from>
                  <to>
                    <xdr:col>134</xdr:col>
                    <xdr:colOff>693420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Check Box 13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92</xdr:row>
                    <xdr:rowOff>121920</xdr:rowOff>
                  </from>
                  <to>
                    <xdr:col>134</xdr:col>
                    <xdr:colOff>312420</xdr:colOff>
                    <xdr:row>94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Check Box 13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93</xdr:row>
                    <xdr:rowOff>121920</xdr:rowOff>
                  </from>
                  <to>
                    <xdr:col>134</xdr:col>
                    <xdr:colOff>693420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Check Box 13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93</xdr:row>
                    <xdr:rowOff>121920</xdr:rowOff>
                  </from>
                  <to>
                    <xdr:col>134</xdr:col>
                    <xdr:colOff>312420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Check Box 13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94</xdr:row>
                    <xdr:rowOff>121920</xdr:rowOff>
                  </from>
                  <to>
                    <xdr:col>134</xdr:col>
                    <xdr:colOff>693420</xdr:colOff>
                    <xdr:row>96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Check Box 14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94</xdr:row>
                    <xdr:rowOff>121920</xdr:rowOff>
                  </from>
                  <to>
                    <xdr:col>134</xdr:col>
                    <xdr:colOff>312420</xdr:colOff>
                    <xdr:row>96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Check Box 14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95</xdr:row>
                    <xdr:rowOff>121920</xdr:rowOff>
                  </from>
                  <to>
                    <xdr:col>134</xdr:col>
                    <xdr:colOff>693420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Check Box 14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95</xdr:row>
                    <xdr:rowOff>121920</xdr:rowOff>
                  </from>
                  <to>
                    <xdr:col>134</xdr:col>
                    <xdr:colOff>312420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Check Box 14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96</xdr:row>
                    <xdr:rowOff>121920</xdr:rowOff>
                  </from>
                  <to>
                    <xdr:col>134</xdr:col>
                    <xdr:colOff>693420</xdr:colOff>
                    <xdr:row>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Check Box 14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96</xdr:row>
                    <xdr:rowOff>121920</xdr:rowOff>
                  </from>
                  <to>
                    <xdr:col>134</xdr:col>
                    <xdr:colOff>312420</xdr:colOff>
                    <xdr:row>98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Check Box 14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97</xdr:row>
                    <xdr:rowOff>121920</xdr:rowOff>
                  </from>
                  <to>
                    <xdr:col>134</xdr:col>
                    <xdr:colOff>693420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Check Box 14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97</xdr:row>
                    <xdr:rowOff>121920</xdr:rowOff>
                  </from>
                  <to>
                    <xdr:col>134</xdr:col>
                    <xdr:colOff>312420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Check Box 14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98</xdr:row>
                    <xdr:rowOff>121920</xdr:rowOff>
                  </from>
                  <to>
                    <xdr:col>134</xdr:col>
                    <xdr:colOff>693420</xdr:colOff>
                    <xdr:row>100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Check Box 14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98</xdr:row>
                    <xdr:rowOff>121920</xdr:rowOff>
                  </from>
                  <to>
                    <xdr:col>134</xdr:col>
                    <xdr:colOff>312420</xdr:colOff>
                    <xdr:row>100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Check Box 14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99</xdr:row>
                    <xdr:rowOff>121920</xdr:rowOff>
                  </from>
                  <to>
                    <xdr:col>134</xdr:col>
                    <xdr:colOff>693420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Check Box 15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99</xdr:row>
                    <xdr:rowOff>121920</xdr:rowOff>
                  </from>
                  <to>
                    <xdr:col>134</xdr:col>
                    <xdr:colOff>312420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Check Box 15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100</xdr:row>
                    <xdr:rowOff>121920</xdr:rowOff>
                  </from>
                  <to>
                    <xdr:col>134</xdr:col>
                    <xdr:colOff>693420</xdr:colOff>
                    <xdr:row>102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Check Box 15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100</xdr:row>
                    <xdr:rowOff>121920</xdr:rowOff>
                  </from>
                  <to>
                    <xdr:col>134</xdr:col>
                    <xdr:colOff>312420</xdr:colOff>
                    <xdr:row>102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Check Box 15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101</xdr:row>
                    <xdr:rowOff>121920</xdr:rowOff>
                  </from>
                  <to>
                    <xdr:col>134</xdr:col>
                    <xdr:colOff>693420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Check Box 15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101</xdr:row>
                    <xdr:rowOff>121920</xdr:rowOff>
                  </from>
                  <to>
                    <xdr:col>134</xdr:col>
                    <xdr:colOff>312420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Check Box 15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102</xdr:row>
                    <xdr:rowOff>121920</xdr:rowOff>
                  </from>
                  <to>
                    <xdr:col>134</xdr:col>
                    <xdr:colOff>693420</xdr:colOff>
                    <xdr:row>104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Check Box 15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102</xdr:row>
                    <xdr:rowOff>121920</xdr:rowOff>
                  </from>
                  <to>
                    <xdr:col>134</xdr:col>
                    <xdr:colOff>312420</xdr:colOff>
                    <xdr:row>104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Check Box 15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103</xdr:row>
                    <xdr:rowOff>121920</xdr:rowOff>
                  </from>
                  <to>
                    <xdr:col>134</xdr:col>
                    <xdr:colOff>693420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Check Box 15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103</xdr:row>
                    <xdr:rowOff>121920</xdr:rowOff>
                  </from>
                  <to>
                    <xdr:col>134</xdr:col>
                    <xdr:colOff>312420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Check Box 15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104</xdr:row>
                    <xdr:rowOff>121920</xdr:rowOff>
                  </from>
                  <to>
                    <xdr:col>134</xdr:col>
                    <xdr:colOff>693420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Check Box 16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104</xdr:row>
                    <xdr:rowOff>121920</xdr:rowOff>
                  </from>
                  <to>
                    <xdr:col>134</xdr:col>
                    <xdr:colOff>312420</xdr:colOff>
                    <xdr:row>106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Check Box 16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105</xdr:row>
                    <xdr:rowOff>121920</xdr:rowOff>
                  </from>
                  <to>
                    <xdr:col>134</xdr:col>
                    <xdr:colOff>693420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Check Box 16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105</xdr:row>
                    <xdr:rowOff>121920</xdr:rowOff>
                  </from>
                  <to>
                    <xdr:col>134</xdr:col>
                    <xdr:colOff>312420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Check Box 16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106</xdr:row>
                    <xdr:rowOff>121920</xdr:rowOff>
                  </from>
                  <to>
                    <xdr:col>134</xdr:col>
                    <xdr:colOff>693420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Check Box 16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106</xdr:row>
                    <xdr:rowOff>121920</xdr:rowOff>
                  </from>
                  <to>
                    <xdr:col>134</xdr:col>
                    <xdr:colOff>312420</xdr:colOff>
                    <xdr:row>108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Check Box 16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107</xdr:row>
                    <xdr:rowOff>121920</xdr:rowOff>
                  </from>
                  <to>
                    <xdr:col>134</xdr:col>
                    <xdr:colOff>693420</xdr:colOff>
                    <xdr:row>109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Check Box 16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107</xdr:row>
                    <xdr:rowOff>121920</xdr:rowOff>
                  </from>
                  <to>
                    <xdr:col>134</xdr:col>
                    <xdr:colOff>312420</xdr:colOff>
                    <xdr:row>109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Check Box 16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108</xdr:row>
                    <xdr:rowOff>121920</xdr:rowOff>
                  </from>
                  <to>
                    <xdr:col>134</xdr:col>
                    <xdr:colOff>693420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Check Box 16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108</xdr:row>
                    <xdr:rowOff>121920</xdr:rowOff>
                  </from>
                  <to>
                    <xdr:col>134</xdr:col>
                    <xdr:colOff>312420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Check Box 16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109</xdr:row>
                    <xdr:rowOff>121920</xdr:rowOff>
                  </from>
                  <to>
                    <xdr:col>134</xdr:col>
                    <xdr:colOff>693420</xdr:colOff>
                    <xdr:row>111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Check Box 17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109</xdr:row>
                    <xdr:rowOff>121920</xdr:rowOff>
                  </from>
                  <to>
                    <xdr:col>134</xdr:col>
                    <xdr:colOff>312420</xdr:colOff>
                    <xdr:row>111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Check Box 17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110</xdr:row>
                    <xdr:rowOff>121920</xdr:rowOff>
                  </from>
                  <to>
                    <xdr:col>134</xdr:col>
                    <xdr:colOff>693420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Check Box 17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110</xdr:row>
                    <xdr:rowOff>121920</xdr:rowOff>
                  </from>
                  <to>
                    <xdr:col>134</xdr:col>
                    <xdr:colOff>312420</xdr:colOff>
                    <xdr:row>112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6" name="Check Box 18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26</xdr:row>
                    <xdr:rowOff>121920</xdr:rowOff>
                  </from>
                  <to>
                    <xdr:col>134</xdr:col>
                    <xdr:colOff>693420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7" name="Check Box 18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26</xdr:row>
                    <xdr:rowOff>121920</xdr:rowOff>
                  </from>
                  <to>
                    <xdr:col>134</xdr:col>
                    <xdr:colOff>312420</xdr:colOff>
                    <xdr:row>28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8" name="Check Box 18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27</xdr:row>
                    <xdr:rowOff>121920</xdr:rowOff>
                  </from>
                  <to>
                    <xdr:col>134</xdr:col>
                    <xdr:colOff>693420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9" name="Check Box 18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27</xdr:row>
                    <xdr:rowOff>121920</xdr:rowOff>
                  </from>
                  <to>
                    <xdr:col>134</xdr:col>
                    <xdr:colOff>312420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80" name="Check Box 18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28</xdr:row>
                    <xdr:rowOff>121920</xdr:rowOff>
                  </from>
                  <to>
                    <xdr:col>134</xdr:col>
                    <xdr:colOff>693420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81" name="Check Box 18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28</xdr:row>
                    <xdr:rowOff>121920</xdr:rowOff>
                  </from>
                  <to>
                    <xdr:col>134</xdr:col>
                    <xdr:colOff>312420</xdr:colOff>
                    <xdr:row>30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82" name="Check Box 18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29</xdr:row>
                    <xdr:rowOff>121920</xdr:rowOff>
                  </from>
                  <to>
                    <xdr:col>134</xdr:col>
                    <xdr:colOff>693420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83" name="Check Box 19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29</xdr:row>
                    <xdr:rowOff>121920</xdr:rowOff>
                  </from>
                  <to>
                    <xdr:col>134</xdr:col>
                    <xdr:colOff>312420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84" name="Check Box 19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30</xdr:row>
                    <xdr:rowOff>121920</xdr:rowOff>
                  </from>
                  <to>
                    <xdr:col>134</xdr:col>
                    <xdr:colOff>693420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85" name="Check Box 19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30</xdr:row>
                    <xdr:rowOff>121920</xdr:rowOff>
                  </from>
                  <to>
                    <xdr:col>134</xdr:col>
                    <xdr:colOff>312420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6" name="Check Box 19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46</xdr:row>
                    <xdr:rowOff>121920</xdr:rowOff>
                  </from>
                  <to>
                    <xdr:col>134</xdr:col>
                    <xdr:colOff>693420</xdr:colOff>
                    <xdr:row>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7" name="Check Box 19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46</xdr:row>
                    <xdr:rowOff>121920</xdr:rowOff>
                  </from>
                  <to>
                    <xdr:col>134</xdr:col>
                    <xdr:colOff>312420</xdr:colOff>
                    <xdr:row>48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8" name="Check Box 19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47</xdr:row>
                    <xdr:rowOff>121920</xdr:rowOff>
                  </from>
                  <to>
                    <xdr:col>134</xdr:col>
                    <xdr:colOff>693420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9" name="Check Box 19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47</xdr:row>
                    <xdr:rowOff>121920</xdr:rowOff>
                  </from>
                  <to>
                    <xdr:col>134</xdr:col>
                    <xdr:colOff>312420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90" name="Check Box 19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48</xdr:row>
                    <xdr:rowOff>121920</xdr:rowOff>
                  </from>
                  <to>
                    <xdr:col>134</xdr:col>
                    <xdr:colOff>693420</xdr:colOff>
                    <xdr:row>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91" name="Check Box 19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48</xdr:row>
                    <xdr:rowOff>121920</xdr:rowOff>
                  </from>
                  <to>
                    <xdr:col>134</xdr:col>
                    <xdr:colOff>312420</xdr:colOff>
                    <xdr:row>50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92" name="Check Box 19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49</xdr:row>
                    <xdr:rowOff>121920</xdr:rowOff>
                  </from>
                  <to>
                    <xdr:col>134</xdr:col>
                    <xdr:colOff>693420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93" name="Check Box 20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49</xdr:row>
                    <xdr:rowOff>121920</xdr:rowOff>
                  </from>
                  <to>
                    <xdr:col>134</xdr:col>
                    <xdr:colOff>312420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94" name="Check Box 201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50</xdr:row>
                    <xdr:rowOff>121920</xdr:rowOff>
                  </from>
                  <to>
                    <xdr:col>134</xdr:col>
                    <xdr:colOff>693420</xdr:colOff>
                    <xdr:row>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95" name="Check Box 202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50</xdr:row>
                    <xdr:rowOff>121920</xdr:rowOff>
                  </from>
                  <to>
                    <xdr:col>134</xdr:col>
                    <xdr:colOff>312420</xdr:colOff>
                    <xdr:row>52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6" name="Check Box 203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111</xdr:row>
                    <xdr:rowOff>121920</xdr:rowOff>
                  </from>
                  <to>
                    <xdr:col>134</xdr:col>
                    <xdr:colOff>693420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7" name="Check Box 204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111</xdr:row>
                    <xdr:rowOff>121920</xdr:rowOff>
                  </from>
                  <to>
                    <xdr:col>134</xdr:col>
                    <xdr:colOff>312420</xdr:colOff>
                    <xdr:row>113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8" name="Check Box 205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112</xdr:row>
                    <xdr:rowOff>121920</xdr:rowOff>
                  </from>
                  <to>
                    <xdr:col>134</xdr:col>
                    <xdr:colOff>693420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9" name="Check Box 206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112</xdr:row>
                    <xdr:rowOff>121920</xdr:rowOff>
                  </from>
                  <to>
                    <xdr:col>134</xdr:col>
                    <xdr:colOff>312420</xdr:colOff>
                    <xdr:row>114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00" name="Check Box 207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113</xdr:row>
                    <xdr:rowOff>121920</xdr:rowOff>
                  </from>
                  <to>
                    <xdr:col>134</xdr:col>
                    <xdr:colOff>693420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01" name="Check Box 208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113</xdr:row>
                    <xdr:rowOff>121920</xdr:rowOff>
                  </from>
                  <to>
                    <xdr:col>134</xdr:col>
                    <xdr:colOff>312420</xdr:colOff>
                    <xdr:row>115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02" name="Check Box 209">
              <controlPr locked="0" defaultSize="0" print="0" autoFill="0" autoLine="0" autoPict="0">
                <anchor moveWithCells="1">
                  <from>
                    <xdr:col>134</xdr:col>
                    <xdr:colOff>388620</xdr:colOff>
                    <xdr:row>114</xdr:row>
                    <xdr:rowOff>121920</xdr:rowOff>
                  </from>
                  <to>
                    <xdr:col>134</xdr:col>
                    <xdr:colOff>693420</xdr:colOff>
                    <xdr:row>119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03" name="Check Box 210">
              <controlPr locked="0" defaultSize="0" print="0" autoFill="0" autoLine="0" autoPict="0">
                <anchor moveWithCells="1">
                  <from>
                    <xdr:col>134</xdr:col>
                    <xdr:colOff>7620</xdr:colOff>
                    <xdr:row>114</xdr:row>
                    <xdr:rowOff>121920</xdr:rowOff>
                  </from>
                  <to>
                    <xdr:col>134</xdr:col>
                    <xdr:colOff>312420</xdr:colOff>
                    <xdr:row>119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04" name="Check Box 211">
              <controlPr locked="0" defaultSize="0" print="0" autoFill="0" autoLine="0" autoPict="0">
                <anchor moveWithCells="1">
                  <from>
                    <xdr:col>8</xdr:col>
                    <xdr:colOff>403860</xdr:colOff>
                    <xdr:row>1</xdr:row>
                    <xdr:rowOff>297180</xdr:rowOff>
                  </from>
                  <to>
                    <xdr:col>8</xdr:col>
                    <xdr:colOff>708660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05" name="Check Box 212">
              <controlPr locked="0" defaultSize="0" print="0" autoFill="0" autoLine="0" autoPict="0">
                <anchor moveWithCells="1">
                  <from>
                    <xdr:col>8</xdr:col>
                    <xdr:colOff>22860</xdr:colOff>
                    <xdr:row>1</xdr:row>
                    <xdr:rowOff>297180</xdr:rowOff>
                  </from>
                  <to>
                    <xdr:col>8</xdr:col>
                    <xdr:colOff>365760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06" name="Check Box 215">
              <controlPr defaultSize="0" autoFill="0" autoLine="0" autoPict="0">
                <anchor moveWithCells="1">
                  <from>
                    <xdr:col>134</xdr:col>
                    <xdr:colOff>0</xdr:colOff>
                    <xdr:row>0</xdr:row>
                    <xdr:rowOff>121920</xdr:rowOff>
                  </from>
                  <to>
                    <xdr:col>134</xdr:col>
                    <xdr:colOff>807720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07" name="Check Box 216">
              <controlPr defaultSize="0" autoFill="0" autoLine="0" autoPict="0">
                <anchor moveWithCells="1">
                  <from>
                    <xdr:col>134</xdr:col>
                    <xdr:colOff>0</xdr:colOff>
                    <xdr:row>1</xdr:row>
                    <xdr:rowOff>259080</xdr:rowOff>
                  </from>
                  <to>
                    <xdr:col>134</xdr:col>
                    <xdr:colOff>807720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3" r:id="rId208" name="Button 225">
              <controlPr locked="0" defaultSize="0" autoFill="0" autoPict="0" macro="[0]!Exportar_tabla_BALANCE">
                <anchor moveWithCells="1">
                  <from>
                    <xdr:col>0</xdr:col>
                    <xdr:colOff>205740</xdr:colOff>
                    <xdr:row>0</xdr:row>
                    <xdr:rowOff>38100</xdr:rowOff>
                  </from>
                  <to>
                    <xdr:col>2</xdr:col>
                    <xdr:colOff>579120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09" name="Button 233">
              <controlPr locked="0" defaultSize="0" autoFill="0" autoPict="0" macro="[0]!Exportar_tabla_BALANCE1">
                <anchor moveWithCells="1">
                  <from>
                    <xdr:col>2</xdr:col>
                    <xdr:colOff>624840</xdr:colOff>
                    <xdr:row>0</xdr:row>
                    <xdr:rowOff>38100</xdr:rowOff>
                  </from>
                  <to>
                    <xdr:col>3</xdr:col>
                    <xdr:colOff>358140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0" name="Button 235">
              <controlPr locked="0" defaultSize="0" autoFill="0" autoPict="0" macro="[0]!Exportar_tabla_BALANCE2">
                <anchor moveWithCells="1">
                  <from>
                    <xdr:col>3</xdr:col>
                    <xdr:colOff>403860</xdr:colOff>
                    <xdr:row>0</xdr:row>
                    <xdr:rowOff>38100</xdr:rowOff>
                  </from>
                  <to>
                    <xdr:col>3</xdr:col>
                    <xdr:colOff>800100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11" name="Button 236">
              <controlPr locked="0" defaultSize="0" autoFill="0" autoPict="0" macro="[0]!Exportar_tabla_BALANCE3">
                <anchor moveWithCells="1">
                  <from>
                    <xdr:col>3</xdr:col>
                    <xdr:colOff>853440</xdr:colOff>
                    <xdr:row>0</xdr:row>
                    <xdr:rowOff>38100</xdr:rowOff>
                  </from>
                  <to>
                    <xdr:col>3</xdr:col>
                    <xdr:colOff>1249680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12" name="Button 237">
              <controlPr locked="0" defaultSize="0" autoFill="0" autoPict="0" macro="[0]!Exportar_tabla_BALANCE4">
                <anchor moveWithCells="1">
                  <from>
                    <xdr:col>3</xdr:col>
                    <xdr:colOff>1295400</xdr:colOff>
                    <xdr:row>0</xdr:row>
                    <xdr:rowOff>38100</xdr:rowOff>
                  </from>
                  <to>
                    <xdr:col>3</xdr:col>
                    <xdr:colOff>1691640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13" name="Button 238">
              <controlPr locked="0" defaultSize="0" autoFill="0" autoPict="0" macro="[0]!Exportar_tabla_TOTALES">
                <anchor moveWithCells="1">
                  <from>
                    <xdr:col>3</xdr:col>
                    <xdr:colOff>815340</xdr:colOff>
                    <xdr:row>1</xdr:row>
                    <xdr:rowOff>190500</xdr:rowOff>
                  </from>
                  <to>
                    <xdr:col>3</xdr:col>
                    <xdr:colOff>1691640</xdr:colOff>
                    <xdr:row>1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14" name="Button 239">
              <controlPr defaultSize="0" print="0" autoFill="0" autoPict="0" macro="[0]!Datos">
                <anchor moveWithCells="1">
                  <from>
                    <xdr:col>1</xdr:col>
                    <xdr:colOff>15240</xdr:colOff>
                    <xdr:row>1</xdr:row>
                    <xdr:rowOff>449580</xdr:rowOff>
                  </from>
                  <to>
                    <xdr:col>2</xdr:col>
                    <xdr:colOff>449580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5" name="Button 240">
              <controlPr defaultSize="0" print="0" autoFill="0" autoPict="0" macro="[0]!Puertas">
                <anchor moveWithCells="1">
                  <from>
                    <xdr:col>2</xdr:col>
                    <xdr:colOff>533400</xdr:colOff>
                    <xdr:row>1</xdr:row>
                    <xdr:rowOff>449580</xdr:rowOff>
                  </from>
                  <to>
                    <xdr:col>3</xdr:col>
                    <xdr:colOff>556260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16" name="Button 243">
              <controlPr defaultSize="0" print="0" autoFill="0" autoPict="0" macro="[0]!PRINT_HOJBAL">
                <anchor moveWithCells="1" sizeWithCells="1">
                  <from>
                    <xdr:col>3</xdr:col>
                    <xdr:colOff>830580</xdr:colOff>
                    <xdr:row>2</xdr:row>
                    <xdr:rowOff>22860</xdr:rowOff>
                  </from>
                  <to>
                    <xdr:col>3</xdr:col>
                    <xdr:colOff>1691640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AC145"/>
  <sheetViews>
    <sheetView showGridLines="0" showRowColHeaders="0" topLeftCell="E1" workbookViewId="0">
      <pane ySplit="14" topLeftCell="A15" activePane="bottomLeft" state="frozen"/>
      <selection activeCell="E1" sqref="E1"/>
      <selection pane="bottomLeft" activeCell="L32" sqref="L32"/>
    </sheetView>
  </sheetViews>
  <sheetFormatPr defaultColWidth="12" defaultRowHeight="13.8" x14ac:dyDescent="0.3"/>
  <cols>
    <col min="1" max="4" width="12" style="3" hidden="1" customWidth="1"/>
    <col min="5" max="5" width="4.125" style="2" bestFit="1" customWidth="1"/>
    <col min="6" max="6" width="1.875" style="2" customWidth="1"/>
    <col min="7" max="9" width="8.875" style="3" customWidth="1"/>
    <col min="10" max="10" width="1.875" style="3" customWidth="1"/>
    <col min="11" max="11" width="8.625" style="3" bestFit="1" customWidth="1"/>
    <col min="12" max="12" width="25.875" style="3" customWidth="1"/>
    <col min="13" max="13" width="7.125" style="3" bestFit="1" customWidth="1"/>
    <col min="14" max="14" width="1.875" style="3" customWidth="1"/>
    <col min="15" max="15" width="8.625" style="3" bestFit="1" customWidth="1"/>
    <col min="16" max="16" width="25.875" style="3" customWidth="1"/>
    <col min="17" max="17" width="7.125" style="3" customWidth="1"/>
    <col min="18" max="18" width="1.875" style="3" customWidth="1"/>
    <col min="19" max="20" width="12" style="3" customWidth="1"/>
    <col min="21" max="21" width="13" style="3" hidden="1" customWidth="1"/>
    <col min="22" max="22" width="12.625" style="3" hidden="1" customWidth="1"/>
    <col min="23" max="23" width="13" style="3" hidden="1" customWidth="1"/>
    <col min="24" max="24" width="12.625" style="3" hidden="1" customWidth="1"/>
    <col min="25" max="25" width="1.875" style="3" customWidth="1"/>
    <col min="26" max="26" width="11" style="3" bestFit="1" customWidth="1"/>
    <col min="27" max="28" width="12" style="3" hidden="1" customWidth="1"/>
    <col min="29" max="29" width="12.5" style="3" hidden="1" customWidth="1"/>
    <col min="30" max="16384" width="12" style="3"/>
  </cols>
  <sheetData>
    <row r="2" spans="1:29" x14ac:dyDescent="0.3">
      <c r="U2" s="3" t="s">
        <v>17</v>
      </c>
      <c r="V2" s="3">
        <f>((BS-273.15)*1.8)+32+459.666666666</f>
        <v>-18.003333333999933</v>
      </c>
    </row>
    <row r="3" spans="1:29" x14ac:dyDescent="0.3">
      <c r="U3" s="3" t="s">
        <v>16</v>
      </c>
      <c r="V3" s="3">
        <f>Datos!C54</f>
        <v>29.921259842519685</v>
      </c>
    </row>
    <row r="4" spans="1:29" ht="12.75" customHeight="1" thickBot="1" x14ac:dyDescent="0.35">
      <c r="E4" s="83"/>
      <c r="F4" s="83"/>
      <c r="N4" s="95"/>
      <c r="O4" s="95"/>
      <c r="P4" s="604" t="s">
        <v>159</v>
      </c>
      <c r="Q4" s="604"/>
      <c r="R4" s="604"/>
      <c r="S4" s="600">
        <v>5</v>
      </c>
      <c r="U4" s="3" t="s">
        <v>165</v>
      </c>
      <c r="V4" s="3">
        <f>Datos!$C$45</f>
        <v>8.3768775640118559E-2</v>
      </c>
    </row>
    <row r="5" spans="1:29" ht="12.75" customHeight="1" thickTop="1" thickBot="1" x14ac:dyDescent="0.35">
      <c r="E5" s="83"/>
      <c r="F5" s="83"/>
      <c r="N5" s="95"/>
      <c r="O5" s="95"/>
      <c r="P5" s="605"/>
      <c r="Q5" s="605"/>
      <c r="R5" s="605"/>
      <c r="S5" s="600"/>
      <c r="U5" s="3" t="s">
        <v>164</v>
      </c>
      <c r="V5" s="3">
        <f>1096.7*SQRT(1/$V$4)</f>
        <v>3789.1932896831258</v>
      </c>
    </row>
    <row r="6" spans="1:29" ht="17.25" customHeight="1" thickTop="1" thickBot="1" x14ac:dyDescent="0.35">
      <c r="E6" s="83"/>
      <c r="F6" s="83"/>
      <c r="N6" s="95"/>
      <c r="O6" s="95"/>
      <c r="P6" s="605"/>
      <c r="Q6" s="605"/>
      <c r="R6" s="605"/>
      <c r="S6" s="601"/>
      <c r="U6" s="3" t="s">
        <v>18</v>
      </c>
      <c r="V6" s="3">
        <f>S8*V5</f>
        <v>2273.5159738098755</v>
      </c>
    </row>
    <row r="7" spans="1:29" ht="16.8" thickTop="1" thickBot="1" x14ac:dyDescent="0.35">
      <c r="E7" s="83"/>
      <c r="F7" s="83"/>
      <c r="N7" s="94"/>
      <c r="O7" s="94"/>
      <c r="P7" s="606" t="s">
        <v>158</v>
      </c>
      <c r="Q7" s="606"/>
      <c r="R7" s="606"/>
      <c r="S7" s="257">
        <v>5</v>
      </c>
      <c r="T7" s="97" t="s">
        <v>10</v>
      </c>
    </row>
    <row r="8" spans="1:29" ht="16.2" thickTop="1" x14ac:dyDescent="0.3">
      <c r="E8" s="83"/>
      <c r="F8" s="83"/>
      <c r="N8" s="94"/>
      <c r="O8" s="94"/>
      <c r="P8" s="608" t="s">
        <v>157</v>
      </c>
      <c r="Q8" s="608"/>
      <c r="R8" s="608"/>
      <c r="S8" s="256">
        <v>0.6</v>
      </c>
    </row>
    <row r="9" spans="1:29" x14ac:dyDescent="0.3">
      <c r="E9" s="83"/>
      <c r="F9" s="83"/>
    </row>
    <row r="10" spans="1:29" x14ac:dyDescent="0.3">
      <c r="E10" s="83"/>
      <c r="F10" s="3"/>
      <c r="H10" s="609" t="s">
        <v>155</v>
      </c>
      <c r="I10" s="609"/>
      <c r="J10" s="96"/>
      <c r="K10" s="607" t="s">
        <v>156</v>
      </c>
      <c r="L10" s="607"/>
    </row>
    <row r="11" spans="1:29" ht="6" customHeight="1" x14ac:dyDescent="0.3"/>
    <row r="12" spans="1:29" ht="16.2" thickBot="1" x14ac:dyDescent="0.35">
      <c r="E12" s="14"/>
      <c r="F12" s="83"/>
      <c r="G12" s="602" t="s">
        <v>160</v>
      </c>
      <c r="H12" s="602"/>
      <c r="I12" s="602"/>
      <c r="K12" s="603" t="s">
        <v>161</v>
      </c>
      <c r="L12" s="603"/>
      <c r="M12" s="603"/>
      <c r="N12" s="603"/>
      <c r="O12" s="603"/>
      <c r="P12" s="603"/>
      <c r="Q12" s="603"/>
      <c r="R12" s="83"/>
      <c r="S12" s="599" t="s">
        <v>162</v>
      </c>
      <c r="T12" s="599"/>
      <c r="Y12" s="83"/>
      <c r="Z12" s="99" t="s">
        <v>163</v>
      </c>
    </row>
    <row r="13" spans="1:29" x14ac:dyDescent="0.3">
      <c r="A13" s="3" t="str">
        <f>Cuartos!B1</f>
        <v>N</v>
      </c>
      <c r="B13" s="3" t="str">
        <f>Cuartos!D1</f>
        <v>Cuarto</v>
      </c>
      <c r="C13" s="3" t="str">
        <f>Cuartos!E3</f>
        <v>inCA</v>
      </c>
      <c r="D13" s="3" t="str">
        <f>Cuartos!H1</f>
        <v>Clasificación</v>
      </c>
      <c r="E13" s="14" t="s">
        <v>0</v>
      </c>
      <c r="G13" s="334" t="s">
        <v>4</v>
      </c>
      <c r="H13" s="335" t="s">
        <v>5</v>
      </c>
      <c r="I13" s="336" t="s">
        <v>6</v>
      </c>
      <c r="K13" s="597" t="s">
        <v>1</v>
      </c>
      <c r="L13" s="595" t="s">
        <v>3</v>
      </c>
      <c r="M13" s="349" t="s">
        <v>7</v>
      </c>
      <c r="N13" s="2"/>
      <c r="O13" s="597" t="s">
        <v>2</v>
      </c>
      <c r="P13" s="595" t="s">
        <v>3</v>
      </c>
      <c r="Q13" s="349" t="s">
        <v>7</v>
      </c>
      <c r="R13" s="2"/>
      <c r="S13" s="357" t="s">
        <v>1</v>
      </c>
      <c r="T13" s="358" t="s">
        <v>2</v>
      </c>
      <c r="U13" s="3" t="str">
        <f>"+ASP Cuarto 1"</f>
        <v>+ASP Cuarto 1</v>
      </c>
      <c r="V13" s="3" t="str">
        <f>"-ASP Cuarto 1"</f>
        <v>-ASP Cuarto 1</v>
      </c>
      <c r="W13" s="3" t="str">
        <f>"+ASP Cuarto 2"</f>
        <v>+ASP Cuarto 2</v>
      </c>
      <c r="X13" s="3" t="str">
        <f>"-ASP Cuarto 2"</f>
        <v>-ASP Cuarto 2</v>
      </c>
      <c r="Y13" s="2"/>
      <c r="Z13" s="98" t="s">
        <v>9</v>
      </c>
    </row>
    <row r="14" spans="1:29" s="2" customFormat="1" x14ac:dyDescent="0.3">
      <c r="E14" s="14"/>
      <c r="G14" s="337" t="s">
        <v>37</v>
      </c>
      <c r="H14" s="338" t="s">
        <v>27</v>
      </c>
      <c r="I14" s="339" t="s">
        <v>27</v>
      </c>
      <c r="K14" s="598"/>
      <c r="L14" s="596"/>
      <c r="M14" s="350" t="s">
        <v>15</v>
      </c>
      <c r="O14" s="598"/>
      <c r="P14" s="596"/>
      <c r="Q14" s="350" t="s">
        <v>15</v>
      </c>
      <c r="S14" s="359" t="s">
        <v>42</v>
      </c>
      <c r="T14" s="360" t="s">
        <v>42</v>
      </c>
      <c r="U14" s="2" t="s">
        <v>42</v>
      </c>
      <c r="V14" s="2" t="s">
        <v>42</v>
      </c>
      <c r="W14" s="2" t="s">
        <v>42</v>
      </c>
      <c r="X14" s="2" t="s">
        <v>42</v>
      </c>
      <c r="Z14" s="98" t="s">
        <v>15</v>
      </c>
    </row>
    <row r="15" spans="1:29" x14ac:dyDescent="0.3">
      <c r="A15" s="3">
        <v>-30</v>
      </c>
      <c r="B15" s="3" t="s">
        <v>36</v>
      </c>
      <c r="C15" s="4">
        <v>0.3</v>
      </c>
      <c r="D15" s="5">
        <v>0</v>
      </c>
      <c r="E15" s="14">
        <v>1</v>
      </c>
      <c r="G15" s="340"/>
      <c r="H15" s="341"/>
      <c r="I15" s="342"/>
      <c r="J15" s="7"/>
      <c r="K15" s="351" t="str">
        <f>""</f>
        <v/>
      </c>
      <c r="L15" s="261" t="str">
        <f t="shared" ref="L15:L46" si="0">IF(ISERROR(VLOOKUP(K15,PRESIONES,2,FALSE)),"",VLOOKUP(K15,PRESIONES,2,FALSE))</f>
        <v/>
      </c>
      <c r="M15" s="352" t="str">
        <f t="shared" ref="M15:M46" si="1">IF(ISERROR(VLOOKUP(K15,PRESIONES,3,FALSE)),"",VLOOKUP(K15,PRESIONES,3,FALSE))</f>
        <v/>
      </c>
      <c r="N15" s="8"/>
      <c r="O15" s="351" t="str">
        <f t="shared" ref="O15:O30" si="2">" "</f>
        <v xml:space="preserve"> </v>
      </c>
      <c r="P15" s="261" t="str">
        <f t="shared" ref="P15:P46" si="3">IF(ISERROR(VLOOKUP(O15,PRESIONES,2,FALSE)),"",VLOOKUP(O15,PRESIONES,2,FALSE))</f>
        <v/>
      </c>
      <c r="Q15" s="352" t="str">
        <f t="shared" ref="Q15:Q46" si="4">IF(ISERROR(VLOOKUP(O15,PRESIONES,3,FALSE)),"",VLOOKUP(O15,PRESIONES,3,FALSE))</f>
        <v/>
      </c>
      <c r="R15" s="8"/>
      <c r="S15" s="361" t="str">
        <f t="shared" ref="S15:S46" si="5">IFERROR(SIGN(Q15-M15)*CEILING(ABS((((H15*2)+(I15*(G15+1)))/1000)*$S$7*10.76*$V$6*SQRT(MAX(M15,Q15))),$S$4),"")</f>
        <v/>
      </c>
      <c r="T15" s="362" t="str">
        <f>IFERROR(SIGN(M15-Q15)*CEILING(ABS((((H15*2)+(I15*(G15+1)))/1000)*$S$7*10.76*$V$6*SQRT(MAX(M15,Q15))),$S$4),"")</f>
        <v/>
      </c>
      <c r="U15" s="3">
        <f>IFERROR(IF(SIGN(S15)=1,S15,0),0)</f>
        <v>0</v>
      </c>
      <c r="V15" s="3">
        <f>IFERROR(IF(SIGN(S15)=-1,S15,0),0)</f>
        <v>0</v>
      </c>
      <c r="W15" s="3">
        <f>IFERROR(IF(SIGN(T15)=1,T15,0),0)</f>
        <v>0</v>
      </c>
      <c r="X15" s="3">
        <f>IFERROR(IF(SIGN(T15)=-1,T15,0),0)</f>
        <v>0</v>
      </c>
      <c r="Y15" s="8"/>
      <c r="Z15" s="100" t="str">
        <f t="shared" ref="Z15:Z46" si="6">IFERROR(ABS(M15-Q15),"")</f>
        <v/>
      </c>
      <c r="AA15" s="3">
        <f t="shared" ref="AA15:AA46" si="7">IF(ISERROR(VLOOKUP(K15,PRESIONES,4,FALSE)),0,VLOOKUP(K15,PRESIONES,4,FALSE))</f>
        <v>0</v>
      </c>
      <c r="AB15" s="3">
        <f t="shared" ref="AB15:AB46" si="8">IF(ISERROR(VLOOKUP(O15,PRESIONES,4,FALSE)),0,VLOOKUP(O15,PRESIONES,4,FALSE))</f>
        <v>0</v>
      </c>
      <c r="AC15" s="3">
        <f>IF(AND(EXACT(AA15,AB15),NOT(EXACT(AA15,0)),NOT(EXACT(AB15,0))),0.02,IF(AND(NOT(EXACT(AA15,AB15)),NOT(EXACT(AA15,0)),NOT(EXACT(AB15,0))),0.05,0.02))</f>
        <v>0.02</v>
      </c>
    </row>
    <row r="16" spans="1:29" x14ac:dyDescent="0.3">
      <c r="A16" s="3">
        <v>-29</v>
      </c>
      <c r="B16" s="3" t="s">
        <v>36</v>
      </c>
      <c r="C16" s="4">
        <v>0.28999999999999998</v>
      </c>
      <c r="D16" s="5">
        <v>0</v>
      </c>
      <c r="E16" s="14">
        <v>2</v>
      </c>
      <c r="G16" s="343"/>
      <c r="H16" s="344"/>
      <c r="I16" s="345"/>
      <c r="J16" s="7"/>
      <c r="K16" s="353" t="str">
        <f>""</f>
        <v/>
      </c>
      <c r="L16" s="273" t="str">
        <f t="shared" si="0"/>
        <v/>
      </c>
      <c r="M16" s="354" t="str">
        <f t="shared" si="1"/>
        <v/>
      </c>
      <c r="N16" s="8"/>
      <c r="O16" s="353" t="str">
        <f t="shared" si="2"/>
        <v xml:space="preserve"> </v>
      </c>
      <c r="P16" s="273" t="str">
        <f t="shared" si="3"/>
        <v/>
      </c>
      <c r="Q16" s="354" t="str">
        <f t="shared" si="4"/>
        <v/>
      </c>
      <c r="R16" s="8"/>
      <c r="S16" s="363" t="str">
        <f t="shared" si="5"/>
        <v/>
      </c>
      <c r="T16" s="364" t="str">
        <f t="shared" ref="T16:T46" si="9">IFERROR(SIGN(M16-Q16)*CEILING(ABS((((H16*2)+(I16*(G16+1)))/1000)*$S$7*10.76*$V$6*SQRT(MAX(M16,Q16))),$S$4),"")</f>
        <v/>
      </c>
      <c r="U16" s="3">
        <f t="shared" ref="U16:U79" si="10">IFERROR(IF(SIGN(S16)=1,S16,0),0)</f>
        <v>0</v>
      </c>
      <c r="V16" s="3">
        <f t="shared" ref="V16:V79" si="11">IFERROR(IF(SIGN(S16)=-1,S16,0),0)</f>
        <v>0</v>
      </c>
      <c r="W16" s="3">
        <f t="shared" ref="W16:W79" si="12">IFERROR(IF(SIGN(T16)=1,T16,0),0)</f>
        <v>0</v>
      </c>
      <c r="X16" s="3">
        <f t="shared" ref="X16:X79" si="13">IFERROR(IF(SIGN(T16)=-1,T16,0),0)</f>
        <v>0</v>
      </c>
      <c r="Y16" s="8"/>
      <c r="Z16" s="101" t="str">
        <f t="shared" si="6"/>
        <v/>
      </c>
      <c r="AA16" s="3">
        <f t="shared" si="7"/>
        <v>0</v>
      </c>
      <c r="AB16" s="3">
        <f t="shared" si="8"/>
        <v>0</v>
      </c>
      <c r="AC16" s="3">
        <f t="shared" ref="AC16:AC79" si="14">IF(AND(EXACT(AA16,AB16),NOT(EXACT(AA16,0)),NOT(EXACT(AB16,0))),0.02,IF(AND(NOT(EXACT(AA16,AB16)),NOT(EXACT(AA16,0)),NOT(EXACT(AB16,0))),0.05,0.02))</f>
        <v>0.02</v>
      </c>
    </row>
    <row r="17" spans="1:29" x14ac:dyDescent="0.3">
      <c r="A17" s="3">
        <v>-28</v>
      </c>
      <c r="B17" s="3" t="s">
        <v>36</v>
      </c>
      <c r="C17" s="4">
        <v>0.28000000000000003</v>
      </c>
      <c r="D17" s="5">
        <v>0</v>
      </c>
      <c r="E17" s="14">
        <v>3</v>
      </c>
      <c r="G17" s="346"/>
      <c r="H17" s="347"/>
      <c r="I17" s="348"/>
      <c r="J17" s="7"/>
      <c r="K17" s="355" t="str">
        <f>""</f>
        <v/>
      </c>
      <c r="L17" s="285" t="str">
        <f t="shared" si="0"/>
        <v/>
      </c>
      <c r="M17" s="356" t="str">
        <f t="shared" si="1"/>
        <v/>
      </c>
      <c r="N17" s="8"/>
      <c r="O17" s="355" t="str">
        <f t="shared" si="2"/>
        <v xml:space="preserve"> </v>
      </c>
      <c r="P17" s="285" t="str">
        <f t="shared" si="3"/>
        <v/>
      </c>
      <c r="Q17" s="356" t="str">
        <f t="shared" si="4"/>
        <v/>
      </c>
      <c r="R17" s="8"/>
      <c r="S17" s="365" t="str">
        <f t="shared" si="5"/>
        <v/>
      </c>
      <c r="T17" s="366" t="str">
        <f t="shared" si="9"/>
        <v/>
      </c>
      <c r="U17" s="3">
        <f t="shared" si="10"/>
        <v>0</v>
      </c>
      <c r="V17" s="3">
        <f t="shared" si="11"/>
        <v>0</v>
      </c>
      <c r="W17" s="3">
        <f t="shared" si="12"/>
        <v>0</v>
      </c>
      <c r="X17" s="3">
        <f t="shared" si="13"/>
        <v>0</v>
      </c>
      <c r="Y17" s="8"/>
      <c r="Z17" s="102" t="str">
        <f t="shared" si="6"/>
        <v/>
      </c>
      <c r="AA17" s="3">
        <f t="shared" si="7"/>
        <v>0</v>
      </c>
      <c r="AB17" s="3">
        <f t="shared" si="8"/>
        <v>0</v>
      </c>
      <c r="AC17" s="3">
        <f t="shared" si="14"/>
        <v>0.02</v>
      </c>
    </row>
    <row r="18" spans="1:29" x14ac:dyDescent="0.3">
      <c r="A18" s="3">
        <v>-27</v>
      </c>
      <c r="B18" s="3" t="s">
        <v>36</v>
      </c>
      <c r="C18" s="4">
        <v>0.27</v>
      </c>
      <c r="D18" s="5">
        <v>0</v>
      </c>
      <c r="E18" s="14">
        <v>4</v>
      </c>
      <c r="G18" s="340"/>
      <c r="H18" s="341"/>
      <c r="I18" s="342"/>
      <c r="J18" s="7"/>
      <c r="K18" s="351" t="str">
        <f>""</f>
        <v/>
      </c>
      <c r="L18" s="261" t="str">
        <f t="shared" si="0"/>
        <v/>
      </c>
      <c r="M18" s="352" t="str">
        <f t="shared" si="1"/>
        <v/>
      </c>
      <c r="N18" s="8"/>
      <c r="O18" s="351" t="str">
        <f t="shared" si="2"/>
        <v xml:space="preserve"> </v>
      </c>
      <c r="P18" s="261" t="str">
        <f t="shared" si="3"/>
        <v/>
      </c>
      <c r="Q18" s="352" t="str">
        <f t="shared" si="4"/>
        <v/>
      </c>
      <c r="R18" s="8"/>
      <c r="S18" s="361" t="str">
        <f t="shared" si="5"/>
        <v/>
      </c>
      <c r="T18" s="362" t="str">
        <f t="shared" si="9"/>
        <v/>
      </c>
      <c r="U18" s="3">
        <f t="shared" si="10"/>
        <v>0</v>
      </c>
      <c r="V18" s="3">
        <f t="shared" si="11"/>
        <v>0</v>
      </c>
      <c r="W18" s="3">
        <f t="shared" si="12"/>
        <v>0</v>
      </c>
      <c r="X18" s="3">
        <f t="shared" si="13"/>
        <v>0</v>
      </c>
      <c r="Y18" s="8"/>
      <c r="Z18" s="100" t="str">
        <f t="shared" si="6"/>
        <v/>
      </c>
      <c r="AA18" s="3">
        <f t="shared" si="7"/>
        <v>0</v>
      </c>
      <c r="AB18" s="3">
        <f t="shared" si="8"/>
        <v>0</v>
      </c>
      <c r="AC18" s="3">
        <f t="shared" si="14"/>
        <v>0.02</v>
      </c>
    </row>
    <row r="19" spans="1:29" x14ac:dyDescent="0.3">
      <c r="A19" s="3">
        <v>-26</v>
      </c>
      <c r="B19" s="3" t="s">
        <v>36</v>
      </c>
      <c r="C19" s="4">
        <v>0.26</v>
      </c>
      <c r="D19" s="5">
        <v>0</v>
      </c>
      <c r="E19" s="14">
        <v>5</v>
      </c>
      <c r="G19" s="343"/>
      <c r="H19" s="344"/>
      <c r="I19" s="345"/>
      <c r="J19" s="7"/>
      <c r="K19" s="353" t="str">
        <f>""</f>
        <v/>
      </c>
      <c r="L19" s="273" t="str">
        <f t="shared" si="0"/>
        <v/>
      </c>
      <c r="M19" s="354" t="str">
        <f t="shared" si="1"/>
        <v/>
      </c>
      <c r="N19" s="8"/>
      <c r="O19" s="353" t="str">
        <f t="shared" si="2"/>
        <v xml:space="preserve"> </v>
      </c>
      <c r="P19" s="273" t="str">
        <f t="shared" si="3"/>
        <v/>
      </c>
      <c r="Q19" s="354" t="str">
        <f t="shared" si="4"/>
        <v/>
      </c>
      <c r="R19" s="8"/>
      <c r="S19" s="363" t="str">
        <f t="shared" si="5"/>
        <v/>
      </c>
      <c r="T19" s="364" t="str">
        <f t="shared" si="9"/>
        <v/>
      </c>
      <c r="U19" s="3">
        <f t="shared" si="10"/>
        <v>0</v>
      </c>
      <c r="V19" s="3">
        <f t="shared" si="11"/>
        <v>0</v>
      </c>
      <c r="W19" s="3">
        <f t="shared" si="12"/>
        <v>0</v>
      </c>
      <c r="X19" s="3">
        <f t="shared" si="13"/>
        <v>0</v>
      </c>
      <c r="Y19" s="8"/>
      <c r="Z19" s="101" t="str">
        <f t="shared" si="6"/>
        <v/>
      </c>
      <c r="AA19" s="3">
        <f t="shared" si="7"/>
        <v>0</v>
      </c>
      <c r="AB19" s="3">
        <f t="shared" si="8"/>
        <v>0</v>
      </c>
      <c r="AC19" s="3">
        <f t="shared" si="14"/>
        <v>0.02</v>
      </c>
    </row>
    <row r="20" spans="1:29" x14ac:dyDescent="0.3">
      <c r="A20" s="3">
        <v>-25</v>
      </c>
      <c r="B20" s="3" t="s">
        <v>36</v>
      </c>
      <c r="C20" s="4">
        <v>0.25</v>
      </c>
      <c r="D20" s="5">
        <v>0</v>
      </c>
      <c r="E20" s="14">
        <v>6</v>
      </c>
      <c r="G20" s="346"/>
      <c r="H20" s="347"/>
      <c r="I20" s="348"/>
      <c r="J20" s="7"/>
      <c r="K20" s="355" t="str">
        <f>""</f>
        <v/>
      </c>
      <c r="L20" s="285" t="str">
        <f t="shared" si="0"/>
        <v/>
      </c>
      <c r="M20" s="356" t="str">
        <f t="shared" si="1"/>
        <v/>
      </c>
      <c r="N20" s="8"/>
      <c r="O20" s="355" t="str">
        <f t="shared" si="2"/>
        <v xml:space="preserve"> </v>
      </c>
      <c r="P20" s="285" t="str">
        <f t="shared" si="3"/>
        <v/>
      </c>
      <c r="Q20" s="356" t="str">
        <f t="shared" si="4"/>
        <v/>
      </c>
      <c r="R20" s="8"/>
      <c r="S20" s="365" t="str">
        <f t="shared" si="5"/>
        <v/>
      </c>
      <c r="T20" s="366" t="str">
        <f t="shared" si="9"/>
        <v/>
      </c>
      <c r="U20" s="3">
        <f t="shared" si="10"/>
        <v>0</v>
      </c>
      <c r="V20" s="3">
        <f t="shared" si="11"/>
        <v>0</v>
      </c>
      <c r="W20" s="3">
        <f t="shared" si="12"/>
        <v>0</v>
      </c>
      <c r="X20" s="3">
        <f t="shared" si="13"/>
        <v>0</v>
      </c>
      <c r="Y20" s="8"/>
      <c r="Z20" s="102" t="str">
        <f t="shared" si="6"/>
        <v/>
      </c>
      <c r="AA20" s="3">
        <f t="shared" si="7"/>
        <v>0</v>
      </c>
      <c r="AB20" s="3">
        <f t="shared" si="8"/>
        <v>0</v>
      </c>
      <c r="AC20" s="3">
        <f t="shared" si="14"/>
        <v>0.02</v>
      </c>
    </row>
    <row r="21" spans="1:29" x14ac:dyDescent="0.3">
      <c r="A21" s="3">
        <v>-24</v>
      </c>
      <c r="B21" s="3" t="s">
        <v>36</v>
      </c>
      <c r="C21" s="4">
        <v>0.24</v>
      </c>
      <c r="D21" s="5">
        <v>0</v>
      </c>
      <c r="E21" s="14">
        <v>7</v>
      </c>
      <c r="G21" s="340"/>
      <c r="H21" s="341"/>
      <c r="I21" s="342"/>
      <c r="J21" s="7"/>
      <c r="K21" s="351" t="str">
        <f>""</f>
        <v/>
      </c>
      <c r="L21" s="261" t="str">
        <f t="shared" si="0"/>
        <v/>
      </c>
      <c r="M21" s="352" t="str">
        <f t="shared" si="1"/>
        <v/>
      </c>
      <c r="N21" s="8"/>
      <c r="O21" s="351" t="str">
        <f t="shared" si="2"/>
        <v xml:space="preserve"> </v>
      </c>
      <c r="P21" s="261" t="str">
        <f t="shared" si="3"/>
        <v/>
      </c>
      <c r="Q21" s="352" t="str">
        <f t="shared" si="4"/>
        <v/>
      </c>
      <c r="R21" s="8"/>
      <c r="S21" s="361" t="str">
        <f t="shared" si="5"/>
        <v/>
      </c>
      <c r="T21" s="362" t="str">
        <f t="shared" si="9"/>
        <v/>
      </c>
      <c r="U21" s="3">
        <f t="shared" si="10"/>
        <v>0</v>
      </c>
      <c r="V21" s="3">
        <f t="shared" si="11"/>
        <v>0</v>
      </c>
      <c r="W21" s="3">
        <f t="shared" si="12"/>
        <v>0</v>
      </c>
      <c r="X21" s="3">
        <f t="shared" si="13"/>
        <v>0</v>
      </c>
      <c r="Y21" s="8"/>
      <c r="Z21" s="100" t="str">
        <f t="shared" si="6"/>
        <v/>
      </c>
      <c r="AA21" s="3">
        <f t="shared" si="7"/>
        <v>0</v>
      </c>
      <c r="AB21" s="3">
        <f t="shared" si="8"/>
        <v>0</v>
      </c>
      <c r="AC21" s="3">
        <f t="shared" si="14"/>
        <v>0.02</v>
      </c>
    </row>
    <row r="22" spans="1:29" x14ac:dyDescent="0.3">
      <c r="A22" s="3">
        <v>-23</v>
      </c>
      <c r="B22" s="3" t="s">
        <v>36</v>
      </c>
      <c r="C22" s="4">
        <v>0.23</v>
      </c>
      <c r="D22" s="5">
        <v>0</v>
      </c>
      <c r="E22" s="14">
        <v>8</v>
      </c>
      <c r="G22" s="343"/>
      <c r="H22" s="344"/>
      <c r="I22" s="345"/>
      <c r="J22" s="7"/>
      <c r="K22" s="353" t="str">
        <f>""</f>
        <v/>
      </c>
      <c r="L22" s="273" t="str">
        <f t="shared" si="0"/>
        <v/>
      </c>
      <c r="M22" s="354" t="str">
        <f t="shared" si="1"/>
        <v/>
      </c>
      <c r="N22" s="8"/>
      <c r="O22" s="353" t="str">
        <f t="shared" si="2"/>
        <v xml:space="preserve"> </v>
      </c>
      <c r="P22" s="273" t="str">
        <f t="shared" si="3"/>
        <v/>
      </c>
      <c r="Q22" s="354" t="str">
        <f t="shared" si="4"/>
        <v/>
      </c>
      <c r="R22" s="8"/>
      <c r="S22" s="363" t="str">
        <f t="shared" si="5"/>
        <v/>
      </c>
      <c r="T22" s="364" t="str">
        <f t="shared" si="9"/>
        <v/>
      </c>
      <c r="U22" s="3">
        <f t="shared" si="10"/>
        <v>0</v>
      </c>
      <c r="V22" s="3">
        <f t="shared" si="11"/>
        <v>0</v>
      </c>
      <c r="W22" s="3">
        <f t="shared" si="12"/>
        <v>0</v>
      </c>
      <c r="X22" s="3">
        <f t="shared" si="13"/>
        <v>0</v>
      </c>
      <c r="Y22" s="8"/>
      <c r="Z22" s="101" t="str">
        <f t="shared" si="6"/>
        <v/>
      </c>
      <c r="AA22" s="3">
        <f t="shared" si="7"/>
        <v>0</v>
      </c>
      <c r="AB22" s="3">
        <f t="shared" si="8"/>
        <v>0</v>
      </c>
      <c r="AC22" s="3">
        <f t="shared" si="14"/>
        <v>0.02</v>
      </c>
    </row>
    <row r="23" spans="1:29" x14ac:dyDescent="0.3">
      <c r="A23" s="3">
        <v>-22</v>
      </c>
      <c r="B23" s="3" t="s">
        <v>36</v>
      </c>
      <c r="C23" s="4">
        <v>0.22</v>
      </c>
      <c r="D23" s="5">
        <v>0</v>
      </c>
      <c r="E23" s="14">
        <v>9</v>
      </c>
      <c r="G23" s="346"/>
      <c r="H23" s="347"/>
      <c r="I23" s="348"/>
      <c r="J23" s="7"/>
      <c r="K23" s="355" t="str">
        <f>""</f>
        <v/>
      </c>
      <c r="L23" s="285" t="str">
        <f t="shared" si="0"/>
        <v/>
      </c>
      <c r="M23" s="356" t="str">
        <f t="shared" si="1"/>
        <v/>
      </c>
      <c r="N23" s="8"/>
      <c r="O23" s="355" t="str">
        <f t="shared" si="2"/>
        <v xml:space="preserve"> </v>
      </c>
      <c r="P23" s="285" t="str">
        <f t="shared" si="3"/>
        <v/>
      </c>
      <c r="Q23" s="356" t="str">
        <f t="shared" si="4"/>
        <v/>
      </c>
      <c r="R23" s="8"/>
      <c r="S23" s="365" t="str">
        <f t="shared" si="5"/>
        <v/>
      </c>
      <c r="T23" s="366" t="str">
        <f t="shared" si="9"/>
        <v/>
      </c>
      <c r="U23" s="3">
        <f t="shared" si="10"/>
        <v>0</v>
      </c>
      <c r="V23" s="3">
        <f t="shared" si="11"/>
        <v>0</v>
      </c>
      <c r="W23" s="3">
        <f t="shared" si="12"/>
        <v>0</v>
      </c>
      <c r="X23" s="3">
        <f t="shared" si="13"/>
        <v>0</v>
      </c>
      <c r="Y23" s="8"/>
      <c r="Z23" s="102" t="str">
        <f t="shared" si="6"/>
        <v/>
      </c>
      <c r="AA23" s="3">
        <f t="shared" si="7"/>
        <v>0</v>
      </c>
      <c r="AB23" s="3">
        <f t="shared" si="8"/>
        <v>0</v>
      </c>
      <c r="AC23" s="3">
        <f t="shared" si="14"/>
        <v>0.02</v>
      </c>
    </row>
    <row r="24" spans="1:29" x14ac:dyDescent="0.3">
      <c r="A24" s="3">
        <v>-21</v>
      </c>
      <c r="B24" s="3" t="s">
        <v>36</v>
      </c>
      <c r="C24" s="4">
        <v>0.21</v>
      </c>
      <c r="D24" s="5">
        <v>0</v>
      </c>
      <c r="E24" s="14">
        <v>10</v>
      </c>
      <c r="G24" s="340"/>
      <c r="H24" s="341"/>
      <c r="I24" s="342"/>
      <c r="J24" s="7"/>
      <c r="K24" s="351" t="str">
        <f>""</f>
        <v/>
      </c>
      <c r="L24" s="261" t="str">
        <f t="shared" si="0"/>
        <v/>
      </c>
      <c r="M24" s="352" t="str">
        <f t="shared" si="1"/>
        <v/>
      </c>
      <c r="N24" s="8"/>
      <c r="O24" s="351" t="str">
        <f t="shared" si="2"/>
        <v xml:space="preserve"> </v>
      </c>
      <c r="P24" s="261" t="str">
        <f t="shared" si="3"/>
        <v/>
      </c>
      <c r="Q24" s="352" t="str">
        <f t="shared" si="4"/>
        <v/>
      </c>
      <c r="R24" s="8"/>
      <c r="S24" s="361" t="str">
        <f t="shared" si="5"/>
        <v/>
      </c>
      <c r="T24" s="362" t="str">
        <f t="shared" si="9"/>
        <v/>
      </c>
      <c r="U24" s="3">
        <f t="shared" si="10"/>
        <v>0</v>
      </c>
      <c r="V24" s="3">
        <f t="shared" si="11"/>
        <v>0</v>
      </c>
      <c r="W24" s="3">
        <f t="shared" si="12"/>
        <v>0</v>
      </c>
      <c r="X24" s="3">
        <f t="shared" si="13"/>
        <v>0</v>
      </c>
      <c r="Y24" s="8"/>
      <c r="Z24" s="100" t="str">
        <f t="shared" si="6"/>
        <v/>
      </c>
      <c r="AA24" s="3">
        <f t="shared" si="7"/>
        <v>0</v>
      </c>
      <c r="AB24" s="3">
        <f t="shared" si="8"/>
        <v>0</v>
      </c>
      <c r="AC24" s="3">
        <f t="shared" si="14"/>
        <v>0.02</v>
      </c>
    </row>
    <row r="25" spans="1:29" x14ac:dyDescent="0.3">
      <c r="A25" s="3">
        <v>-20</v>
      </c>
      <c r="B25" s="3" t="s">
        <v>36</v>
      </c>
      <c r="C25" s="4">
        <v>0.2</v>
      </c>
      <c r="D25" s="5">
        <v>0</v>
      </c>
      <c r="E25" s="14">
        <v>11</v>
      </c>
      <c r="G25" s="343"/>
      <c r="H25" s="344"/>
      <c r="I25" s="345"/>
      <c r="J25" s="7"/>
      <c r="K25" s="353" t="str">
        <f>""</f>
        <v/>
      </c>
      <c r="L25" s="273" t="str">
        <f t="shared" si="0"/>
        <v/>
      </c>
      <c r="M25" s="354" t="str">
        <f t="shared" si="1"/>
        <v/>
      </c>
      <c r="N25" s="8"/>
      <c r="O25" s="353" t="str">
        <f t="shared" si="2"/>
        <v xml:space="preserve"> </v>
      </c>
      <c r="P25" s="273" t="str">
        <f t="shared" si="3"/>
        <v/>
      </c>
      <c r="Q25" s="354" t="str">
        <f t="shared" si="4"/>
        <v/>
      </c>
      <c r="R25" s="8"/>
      <c r="S25" s="363" t="str">
        <f t="shared" si="5"/>
        <v/>
      </c>
      <c r="T25" s="364" t="str">
        <f t="shared" si="9"/>
        <v/>
      </c>
      <c r="U25" s="3">
        <f t="shared" si="10"/>
        <v>0</v>
      </c>
      <c r="V25" s="3">
        <f t="shared" si="11"/>
        <v>0</v>
      </c>
      <c r="W25" s="3">
        <f t="shared" si="12"/>
        <v>0</v>
      </c>
      <c r="X25" s="3">
        <f t="shared" si="13"/>
        <v>0</v>
      </c>
      <c r="Y25" s="8"/>
      <c r="Z25" s="101" t="str">
        <f t="shared" si="6"/>
        <v/>
      </c>
      <c r="AA25" s="3">
        <f t="shared" si="7"/>
        <v>0</v>
      </c>
      <c r="AB25" s="3">
        <f t="shared" si="8"/>
        <v>0</v>
      </c>
      <c r="AC25" s="3">
        <f t="shared" si="14"/>
        <v>0.02</v>
      </c>
    </row>
    <row r="26" spans="1:29" x14ac:dyDescent="0.3">
      <c r="A26" s="3">
        <v>-19</v>
      </c>
      <c r="B26" s="3" t="s">
        <v>36</v>
      </c>
      <c r="C26" s="4">
        <v>0.19</v>
      </c>
      <c r="D26" s="5">
        <v>0</v>
      </c>
      <c r="E26" s="14">
        <v>12</v>
      </c>
      <c r="G26" s="346"/>
      <c r="H26" s="347"/>
      <c r="I26" s="348"/>
      <c r="J26" s="7"/>
      <c r="K26" s="355" t="str">
        <f>""</f>
        <v/>
      </c>
      <c r="L26" s="285" t="str">
        <f t="shared" si="0"/>
        <v/>
      </c>
      <c r="M26" s="356" t="str">
        <f t="shared" si="1"/>
        <v/>
      </c>
      <c r="N26" s="8"/>
      <c r="O26" s="355" t="str">
        <f t="shared" si="2"/>
        <v xml:space="preserve"> </v>
      </c>
      <c r="P26" s="285" t="str">
        <f t="shared" si="3"/>
        <v/>
      </c>
      <c r="Q26" s="356" t="str">
        <f t="shared" si="4"/>
        <v/>
      </c>
      <c r="R26" s="8"/>
      <c r="S26" s="365" t="str">
        <f t="shared" si="5"/>
        <v/>
      </c>
      <c r="T26" s="366" t="str">
        <f t="shared" si="9"/>
        <v/>
      </c>
      <c r="U26" s="3">
        <f t="shared" si="10"/>
        <v>0</v>
      </c>
      <c r="V26" s="3">
        <f t="shared" si="11"/>
        <v>0</v>
      </c>
      <c r="W26" s="3">
        <f t="shared" si="12"/>
        <v>0</v>
      </c>
      <c r="X26" s="3">
        <f t="shared" si="13"/>
        <v>0</v>
      </c>
      <c r="Y26" s="8"/>
      <c r="Z26" s="102" t="str">
        <f t="shared" si="6"/>
        <v/>
      </c>
      <c r="AA26" s="3">
        <f t="shared" si="7"/>
        <v>0</v>
      </c>
      <c r="AB26" s="3">
        <f t="shared" si="8"/>
        <v>0</v>
      </c>
      <c r="AC26" s="3">
        <f t="shared" si="14"/>
        <v>0.02</v>
      </c>
    </row>
    <row r="27" spans="1:29" x14ac:dyDescent="0.3">
      <c r="A27" s="3">
        <v>-18</v>
      </c>
      <c r="B27" s="3" t="s">
        <v>36</v>
      </c>
      <c r="C27" s="4">
        <v>0.18</v>
      </c>
      <c r="D27" s="5">
        <v>0</v>
      </c>
      <c r="E27" s="14">
        <v>13</v>
      </c>
      <c r="G27" s="340"/>
      <c r="H27" s="341"/>
      <c r="I27" s="342"/>
      <c r="J27" s="7"/>
      <c r="K27" s="351" t="str">
        <f>""</f>
        <v/>
      </c>
      <c r="L27" s="261" t="str">
        <f t="shared" si="0"/>
        <v/>
      </c>
      <c r="M27" s="352" t="str">
        <f t="shared" si="1"/>
        <v/>
      </c>
      <c r="N27" s="8"/>
      <c r="O27" s="351" t="str">
        <f t="shared" si="2"/>
        <v xml:space="preserve"> </v>
      </c>
      <c r="P27" s="261" t="str">
        <f t="shared" si="3"/>
        <v/>
      </c>
      <c r="Q27" s="352" t="str">
        <f t="shared" si="4"/>
        <v/>
      </c>
      <c r="R27" s="8"/>
      <c r="S27" s="361" t="str">
        <f t="shared" si="5"/>
        <v/>
      </c>
      <c r="T27" s="362" t="str">
        <f t="shared" si="9"/>
        <v/>
      </c>
      <c r="U27" s="3">
        <f t="shared" si="10"/>
        <v>0</v>
      </c>
      <c r="V27" s="3">
        <f t="shared" si="11"/>
        <v>0</v>
      </c>
      <c r="W27" s="3">
        <f t="shared" si="12"/>
        <v>0</v>
      </c>
      <c r="X27" s="3">
        <f t="shared" si="13"/>
        <v>0</v>
      </c>
      <c r="Y27" s="8"/>
      <c r="Z27" s="100" t="str">
        <f t="shared" si="6"/>
        <v/>
      </c>
      <c r="AA27" s="3">
        <f t="shared" si="7"/>
        <v>0</v>
      </c>
      <c r="AB27" s="3">
        <f t="shared" si="8"/>
        <v>0</v>
      </c>
      <c r="AC27" s="3">
        <f t="shared" si="14"/>
        <v>0.02</v>
      </c>
    </row>
    <row r="28" spans="1:29" x14ac:dyDescent="0.3">
      <c r="A28" s="3">
        <v>-17</v>
      </c>
      <c r="B28" s="3" t="s">
        <v>36</v>
      </c>
      <c r="C28" s="4">
        <v>0.17</v>
      </c>
      <c r="D28" s="5">
        <v>0</v>
      </c>
      <c r="E28" s="14">
        <v>14</v>
      </c>
      <c r="G28" s="343"/>
      <c r="H28" s="344"/>
      <c r="I28" s="345"/>
      <c r="J28" s="7"/>
      <c r="K28" s="353" t="str">
        <f>""</f>
        <v/>
      </c>
      <c r="L28" s="273" t="str">
        <f t="shared" si="0"/>
        <v/>
      </c>
      <c r="M28" s="354" t="str">
        <f t="shared" si="1"/>
        <v/>
      </c>
      <c r="N28" s="8"/>
      <c r="O28" s="353" t="str">
        <f t="shared" si="2"/>
        <v xml:space="preserve"> </v>
      </c>
      <c r="P28" s="273" t="str">
        <f t="shared" si="3"/>
        <v/>
      </c>
      <c r="Q28" s="354" t="str">
        <f t="shared" si="4"/>
        <v/>
      </c>
      <c r="R28" s="8"/>
      <c r="S28" s="363" t="str">
        <f t="shared" si="5"/>
        <v/>
      </c>
      <c r="T28" s="364" t="str">
        <f t="shared" si="9"/>
        <v/>
      </c>
      <c r="U28" s="3">
        <f t="shared" si="10"/>
        <v>0</v>
      </c>
      <c r="V28" s="3">
        <f t="shared" si="11"/>
        <v>0</v>
      </c>
      <c r="W28" s="3">
        <f t="shared" si="12"/>
        <v>0</v>
      </c>
      <c r="X28" s="3">
        <f t="shared" si="13"/>
        <v>0</v>
      </c>
      <c r="Y28" s="8"/>
      <c r="Z28" s="101" t="str">
        <f t="shared" si="6"/>
        <v/>
      </c>
      <c r="AA28" s="3">
        <f t="shared" si="7"/>
        <v>0</v>
      </c>
      <c r="AB28" s="3">
        <f t="shared" si="8"/>
        <v>0</v>
      </c>
      <c r="AC28" s="3">
        <f t="shared" si="14"/>
        <v>0.02</v>
      </c>
    </row>
    <row r="29" spans="1:29" x14ac:dyDescent="0.3">
      <c r="A29" s="3">
        <v>-16</v>
      </c>
      <c r="B29" s="3" t="s">
        <v>36</v>
      </c>
      <c r="C29" s="4">
        <v>0.16</v>
      </c>
      <c r="D29" s="5">
        <v>0</v>
      </c>
      <c r="E29" s="14">
        <v>15</v>
      </c>
      <c r="G29" s="346"/>
      <c r="H29" s="347"/>
      <c r="I29" s="348"/>
      <c r="J29" s="7"/>
      <c r="K29" s="355" t="str">
        <f>""</f>
        <v/>
      </c>
      <c r="L29" s="285" t="str">
        <f t="shared" si="0"/>
        <v/>
      </c>
      <c r="M29" s="356" t="str">
        <f t="shared" si="1"/>
        <v/>
      </c>
      <c r="N29" s="8"/>
      <c r="O29" s="355" t="str">
        <f t="shared" si="2"/>
        <v xml:space="preserve"> </v>
      </c>
      <c r="P29" s="285" t="str">
        <f t="shared" si="3"/>
        <v/>
      </c>
      <c r="Q29" s="356" t="str">
        <f t="shared" si="4"/>
        <v/>
      </c>
      <c r="R29" s="8"/>
      <c r="S29" s="365" t="str">
        <f t="shared" si="5"/>
        <v/>
      </c>
      <c r="T29" s="366" t="str">
        <f t="shared" si="9"/>
        <v/>
      </c>
      <c r="U29" s="3">
        <f t="shared" si="10"/>
        <v>0</v>
      </c>
      <c r="V29" s="3">
        <f t="shared" si="11"/>
        <v>0</v>
      </c>
      <c r="W29" s="3">
        <f t="shared" si="12"/>
        <v>0</v>
      </c>
      <c r="X29" s="3">
        <f t="shared" si="13"/>
        <v>0</v>
      </c>
      <c r="Y29" s="8"/>
      <c r="Z29" s="102" t="str">
        <f t="shared" si="6"/>
        <v/>
      </c>
      <c r="AA29" s="3">
        <f t="shared" si="7"/>
        <v>0</v>
      </c>
      <c r="AB29" s="3">
        <f t="shared" si="8"/>
        <v>0</v>
      </c>
      <c r="AC29" s="3">
        <f t="shared" si="14"/>
        <v>0.02</v>
      </c>
    </row>
    <row r="30" spans="1:29" x14ac:dyDescent="0.3">
      <c r="A30" s="3">
        <v>-15</v>
      </c>
      <c r="B30" s="3" t="s">
        <v>36</v>
      </c>
      <c r="C30" s="4">
        <v>0.15</v>
      </c>
      <c r="D30" s="5">
        <v>0</v>
      </c>
      <c r="E30" s="14">
        <v>16</v>
      </c>
      <c r="G30" s="340"/>
      <c r="H30" s="341"/>
      <c r="I30" s="342"/>
      <c r="J30" s="7"/>
      <c r="K30" s="351" t="str">
        <f>""</f>
        <v/>
      </c>
      <c r="L30" s="261" t="str">
        <f t="shared" si="0"/>
        <v/>
      </c>
      <c r="M30" s="352" t="str">
        <f t="shared" si="1"/>
        <v/>
      </c>
      <c r="N30" s="8"/>
      <c r="O30" s="351" t="str">
        <f t="shared" si="2"/>
        <v xml:space="preserve"> </v>
      </c>
      <c r="P30" s="261" t="str">
        <f t="shared" si="3"/>
        <v/>
      </c>
      <c r="Q30" s="352" t="str">
        <f t="shared" si="4"/>
        <v/>
      </c>
      <c r="R30" s="8"/>
      <c r="S30" s="361" t="str">
        <f t="shared" si="5"/>
        <v/>
      </c>
      <c r="T30" s="362" t="str">
        <f t="shared" si="9"/>
        <v/>
      </c>
      <c r="U30" s="3">
        <f t="shared" si="10"/>
        <v>0</v>
      </c>
      <c r="V30" s="3">
        <f t="shared" si="11"/>
        <v>0</v>
      </c>
      <c r="W30" s="3">
        <f t="shared" si="12"/>
        <v>0</v>
      </c>
      <c r="X30" s="3">
        <f t="shared" si="13"/>
        <v>0</v>
      </c>
      <c r="Y30" s="8"/>
      <c r="Z30" s="100" t="str">
        <f t="shared" si="6"/>
        <v/>
      </c>
      <c r="AA30" s="3">
        <f t="shared" si="7"/>
        <v>0</v>
      </c>
      <c r="AB30" s="3">
        <f t="shared" si="8"/>
        <v>0</v>
      </c>
      <c r="AC30" s="3">
        <f t="shared" si="14"/>
        <v>0.02</v>
      </c>
    </row>
    <row r="31" spans="1:29" x14ac:dyDescent="0.3">
      <c r="A31" s="3">
        <v>-14</v>
      </c>
      <c r="B31" s="3" t="s">
        <v>36</v>
      </c>
      <c r="C31" s="4">
        <v>0.14000000000000001</v>
      </c>
      <c r="D31" s="5">
        <v>0</v>
      </c>
      <c r="E31" s="14">
        <v>17</v>
      </c>
      <c r="G31" s="343"/>
      <c r="H31" s="344"/>
      <c r="I31" s="345"/>
      <c r="J31" s="7"/>
      <c r="K31" s="353" t="str">
        <f>""</f>
        <v/>
      </c>
      <c r="L31" s="273" t="str">
        <f t="shared" si="0"/>
        <v/>
      </c>
      <c r="M31" s="354" t="str">
        <f t="shared" si="1"/>
        <v/>
      </c>
      <c r="N31" s="8"/>
      <c r="O31" s="353" t="str">
        <f t="shared" ref="O31:O33" si="15">" "</f>
        <v xml:space="preserve"> </v>
      </c>
      <c r="P31" s="273" t="str">
        <f t="shared" si="3"/>
        <v/>
      </c>
      <c r="Q31" s="354" t="str">
        <f t="shared" si="4"/>
        <v/>
      </c>
      <c r="R31" s="8"/>
      <c r="S31" s="363" t="str">
        <f t="shared" si="5"/>
        <v/>
      </c>
      <c r="T31" s="364" t="str">
        <f t="shared" si="9"/>
        <v/>
      </c>
      <c r="U31" s="3">
        <f t="shared" si="10"/>
        <v>0</v>
      </c>
      <c r="V31" s="3">
        <f t="shared" si="11"/>
        <v>0</v>
      </c>
      <c r="W31" s="3">
        <f t="shared" si="12"/>
        <v>0</v>
      </c>
      <c r="X31" s="3">
        <f t="shared" si="13"/>
        <v>0</v>
      </c>
      <c r="Y31" s="8"/>
      <c r="Z31" s="101" t="str">
        <f t="shared" si="6"/>
        <v/>
      </c>
      <c r="AA31" s="3">
        <f t="shared" si="7"/>
        <v>0</v>
      </c>
      <c r="AB31" s="3">
        <f t="shared" si="8"/>
        <v>0</v>
      </c>
      <c r="AC31" s="3">
        <f t="shared" si="14"/>
        <v>0.02</v>
      </c>
    </row>
    <row r="32" spans="1:29" x14ac:dyDescent="0.3">
      <c r="A32" s="3">
        <v>-13</v>
      </c>
      <c r="B32" s="3" t="s">
        <v>36</v>
      </c>
      <c r="C32" s="4">
        <v>0.13</v>
      </c>
      <c r="D32" s="5">
        <v>0</v>
      </c>
      <c r="E32" s="14">
        <v>18</v>
      </c>
      <c r="G32" s="346"/>
      <c r="H32" s="347"/>
      <c r="I32" s="348"/>
      <c r="J32" s="7"/>
      <c r="K32" s="355" t="str">
        <f>""</f>
        <v/>
      </c>
      <c r="L32" s="285" t="str">
        <f t="shared" si="0"/>
        <v/>
      </c>
      <c r="M32" s="356" t="str">
        <f t="shared" si="1"/>
        <v/>
      </c>
      <c r="N32" s="8"/>
      <c r="O32" s="355" t="str">
        <f t="shared" si="15"/>
        <v xml:space="preserve"> </v>
      </c>
      <c r="P32" s="285" t="str">
        <f t="shared" si="3"/>
        <v/>
      </c>
      <c r="Q32" s="356" t="str">
        <f t="shared" si="4"/>
        <v/>
      </c>
      <c r="R32" s="8"/>
      <c r="S32" s="365" t="str">
        <f t="shared" si="5"/>
        <v/>
      </c>
      <c r="T32" s="366" t="str">
        <f t="shared" si="9"/>
        <v/>
      </c>
      <c r="U32" s="3">
        <f t="shared" si="10"/>
        <v>0</v>
      </c>
      <c r="V32" s="3">
        <f t="shared" si="11"/>
        <v>0</v>
      </c>
      <c r="W32" s="3">
        <f t="shared" si="12"/>
        <v>0</v>
      </c>
      <c r="X32" s="3">
        <f t="shared" si="13"/>
        <v>0</v>
      </c>
      <c r="Y32" s="8"/>
      <c r="Z32" s="102" t="str">
        <f t="shared" si="6"/>
        <v/>
      </c>
      <c r="AA32" s="3">
        <f t="shared" si="7"/>
        <v>0</v>
      </c>
      <c r="AB32" s="3">
        <f t="shared" si="8"/>
        <v>0</v>
      </c>
      <c r="AC32" s="3">
        <f t="shared" si="14"/>
        <v>0.02</v>
      </c>
    </row>
    <row r="33" spans="1:29" x14ac:dyDescent="0.3">
      <c r="A33" s="3">
        <v>-12</v>
      </c>
      <c r="B33" s="3" t="s">
        <v>36</v>
      </c>
      <c r="C33" s="4">
        <v>0.12</v>
      </c>
      <c r="D33" s="5">
        <v>0</v>
      </c>
      <c r="E33" s="14">
        <v>19</v>
      </c>
      <c r="G33" s="340"/>
      <c r="H33" s="341"/>
      <c r="I33" s="342"/>
      <c r="J33" s="7"/>
      <c r="K33" s="351" t="str">
        <f>""</f>
        <v/>
      </c>
      <c r="L33" s="261" t="str">
        <f t="shared" si="0"/>
        <v/>
      </c>
      <c r="M33" s="352" t="str">
        <f t="shared" si="1"/>
        <v/>
      </c>
      <c r="N33" s="8"/>
      <c r="O33" s="351" t="str">
        <f t="shared" si="15"/>
        <v xml:space="preserve"> </v>
      </c>
      <c r="P33" s="261" t="str">
        <f t="shared" si="3"/>
        <v/>
      </c>
      <c r="Q33" s="352" t="str">
        <f t="shared" si="4"/>
        <v/>
      </c>
      <c r="R33" s="8"/>
      <c r="S33" s="361" t="str">
        <f t="shared" si="5"/>
        <v/>
      </c>
      <c r="T33" s="362" t="str">
        <f t="shared" si="9"/>
        <v/>
      </c>
      <c r="U33" s="3">
        <f t="shared" si="10"/>
        <v>0</v>
      </c>
      <c r="V33" s="3">
        <f t="shared" si="11"/>
        <v>0</v>
      </c>
      <c r="W33" s="3">
        <f t="shared" si="12"/>
        <v>0</v>
      </c>
      <c r="X33" s="3">
        <f t="shared" si="13"/>
        <v>0</v>
      </c>
      <c r="Y33" s="8"/>
      <c r="Z33" s="100" t="str">
        <f t="shared" si="6"/>
        <v/>
      </c>
      <c r="AA33" s="3">
        <f t="shared" si="7"/>
        <v>0</v>
      </c>
      <c r="AB33" s="3">
        <f t="shared" si="8"/>
        <v>0</v>
      </c>
      <c r="AC33" s="3">
        <f t="shared" si="14"/>
        <v>0.02</v>
      </c>
    </row>
    <row r="34" spans="1:29" x14ac:dyDescent="0.3">
      <c r="A34" s="3">
        <v>-11</v>
      </c>
      <c r="B34" s="3" t="s">
        <v>36</v>
      </c>
      <c r="C34" s="4">
        <v>0.11</v>
      </c>
      <c r="D34" s="5">
        <v>0</v>
      </c>
      <c r="E34" s="14">
        <v>20</v>
      </c>
      <c r="G34" s="343"/>
      <c r="H34" s="344"/>
      <c r="I34" s="345"/>
      <c r="J34" s="7"/>
      <c r="K34" s="353" t="str">
        <f>""</f>
        <v/>
      </c>
      <c r="L34" s="273" t="str">
        <f t="shared" si="0"/>
        <v/>
      </c>
      <c r="M34" s="354" t="str">
        <f t="shared" si="1"/>
        <v/>
      </c>
      <c r="N34" s="8"/>
      <c r="O34" s="353" t="str">
        <f t="shared" ref="O34:O46" si="16">" "</f>
        <v xml:space="preserve"> </v>
      </c>
      <c r="P34" s="273" t="str">
        <f t="shared" si="3"/>
        <v/>
      </c>
      <c r="Q34" s="354" t="str">
        <f t="shared" si="4"/>
        <v/>
      </c>
      <c r="R34" s="8"/>
      <c r="S34" s="363" t="str">
        <f t="shared" si="5"/>
        <v/>
      </c>
      <c r="T34" s="364" t="str">
        <f t="shared" si="9"/>
        <v/>
      </c>
      <c r="U34" s="3">
        <f t="shared" si="10"/>
        <v>0</v>
      </c>
      <c r="V34" s="3">
        <f t="shared" si="11"/>
        <v>0</v>
      </c>
      <c r="W34" s="3">
        <f t="shared" si="12"/>
        <v>0</v>
      </c>
      <c r="X34" s="3">
        <f t="shared" si="13"/>
        <v>0</v>
      </c>
      <c r="Y34" s="8"/>
      <c r="Z34" s="101" t="str">
        <f t="shared" si="6"/>
        <v/>
      </c>
      <c r="AA34" s="3">
        <f t="shared" si="7"/>
        <v>0</v>
      </c>
      <c r="AB34" s="3">
        <f t="shared" si="8"/>
        <v>0</v>
      </c>
      <c r="AC34" s="3">
        <f t="shared" si="14"/>
        <v>0.02</v>
      </c>
    </row>
    <row r="35" spans="1:29" x14ac:dyDescent="0.3">
      <c r="A35" s="3">
        <v>-10</v>
      </c>
      <c r="B35" s="3" t="s">
        <v>36</v>
      </c>
      <c r="C35" s="4">
        <v>0.1</v>
      </c>
      <c r="D35" s="5">
        <v>0</v>
      </c>
      <c r="E35" s="14">
        <v>21</v>
      </c>
      <c r="G35" s="346"/>
      <c r="H35" s="347"/>
      <c r="I35" s="348"/>
      <c r="J35" s="7"/>
      <c r="K35" s="355" t="str">
        <f>""</f>
        <v/>
      </c>
      <c r="L35" s="285" t="str">
        <f t="shared" si="0"/>
        <v/>
      </c>
      <c r="M35" s="356" t="str">
        <f t="shared" si="1"/>
        <v/>
      </c>
      <c r="N35" s="8"/>
      <c r="O35" s="355" t="str">
        <f t="shared" si="16"/>
        <v xml:space="preserve"> </v>
      </c>
      <c r="P35" s="285" t="str">
        <f t="shared" si="3"/>
        <v/>
      </c>
      <c r="Q35" s="356" t="str">
        <f t="shared" si="4"/>
        <v/>
      </c>
      <c r="R35" s="8"/>
      <c r="S35" s="365" t="str">
        <f t="shared" si="5"/>
        <v/>
      </c>
      <c r="T35" s="366" t="str">
        <f t="shared" si="9"/>
        <v/>
      </c>
      <c r="U35" s="3">
        <f t="shared" si="10"/>
        <v>0</v>
      </c>
      <c r="V35" s="3">
        <f t="shared" si="11"/>
        <v>0</v>
      </c>
      <c r="W35" s="3">
        <f t="shared" si="12"/>
        <v>0</v>
      </c>
      <c r="X35" s="3">
        <f t="shared" si="13"/>
        <v>0</v>
      </c>
      <c r="Y35" s="8"/>
      <c r="Z35" s="102" t="str">
        <f t="shared" si="6"/>
        <v/>
      </c>
      <c r="AA35" s="3">
        <f t="shared" si="7"/>
        <v>0</v>
      </c>
      <c r="AB35" s="3">
        <f t="shared" si="8"/>
        <v>0</v>
      </c>
      <c r="AC35" s="3">
        <f t="shared" si="14"/>
        <v>0.02</v>
      </c>
    </row>
    <row r="36" spans="1:29" x14ac:dyDescent="0.3">
      <c r="A36" s="3">
        <v>-9</v>
      </c>
      <c r="B36" s="3" t="s">
        <v>36</v>
      </c>
      <c r="C36" s="4">
        <v>0.09</v>
      </c>
      <c r="D36" s="5">
        <v>0</v>
      </c>
      <c r="E36" s="14">
        <v>22</v>
      </c>
      <c r="G36" s="340"/>
      <c r="H36" s="341"/>
      <c r="I36" s="342"/>
      <c r="J36" s="7"/>
      <c r="K36" s="351" t="str">
        <f>""</f>
        <v/>
      </c>
      <c r="L36" s="261" t="str">
        <f t="shared" si="0"/>
        <v/>
      </c>
      <c r="M36" s="352" t="str">
        <f t="shared" si="1"/>
        <v/>
      </c>
      <c r="N36" s="8"/>
      <c r="O36" s="351" t="str">
        <f t="shared" si="16"/>
        <v xml:space="preserve"> </v>
      </c>
      <c r="P36" s="261" t="str">
        <f t="shared" si="3"/>
        <v/>
      </c>
      <c r="Q36" s="352" t="str">
        <f t="shared" si="4"/>
        <v/>
      </c>
      <c r="R36" s="8"/>
      <c r="S36" s="361" t="str">
        <f t="shared" si="5"/>
        <v/>
      </c>
      <c r="T36" s="362" t="str">
        <f t="shared" si="9"/>
        <v/>
      </c>
      <c r="U36" s="3">
        <f t="shared" si="10"/>
        <v>0</v>
      </c>
      <c r="V36" s="3">
        <f t="shared" si="11"/>
        <v>0</v>
      </c>
      <c r="W36" s="3">
        <f t="shared" si="12"/>
        <v>0</v>
      </c>
      <c r="X36" s="3">
        <f t="shared" si="13"/>
        <v>0</v>
      </c>
      <c r="Y36" s="8"/>
      <c r="Z36" s="100" t="str">
        <f t="shared" si="6"/>
        <v/>
      </c>
      <c r="AA36" s="3">
        <f t="shared" si="7"/>
        <v>0</v>
      </c>
      <c r="AB36" s="3">
        <f t="shared" si="8"/>
        <v>0</v>
      </c>
      <c r="AC36" s="3">
        <f t="shared" si="14"/>
        <v>0.02</v>
      </c>
    </row>
    <row r="37" spans="1:29" x14ac:dyDescent="0.3">
      <c r="A37" s="3">
        <v>-8</v>
      </c>
      <c r="B37" s="3" t="s">
        <v>36</v>
      </c>
      <c r="C37" s="4">
        <v>0.08</v>
      </c>
      <c r="D37" s="5">
        <v>0</v>
      </c>
      <c r="E37" s="14">
        <v>23</v>
      </c>
      <c r="G37" s="343"/>
      <c r="H37" s="344"/>
      <c r="I37" s="345"/>
      <c r="J37" s="7"/>
      <c r="K37" s="353" t="str">
        <f>""</f>
        <v/>
      </c>
      <c r="L37" s="273" t="str">
        <f t="shared" si="0"/>
        <v/>
      </c>
      <c r="M37" s="354" t="str">
        <f t="shared" si="1"/>
        <v/>
      </c>
      <c r="N37" s="8"/>
      <c r="O37" s="353" t="str">
        <f t="shared" si="16"/>
        <v xml:space="preserve"> </v>
      </c>
      <c r="P37" s="273" t="str">
        <f t="shared" si="3"/>
        <v/>
      </c>
      <c r="Q37" s="354" t="str">
        <f t="shared" si="4"/>
        <v/>
      </c>
      <c r="R37" s="8"/>
      <c r="S37" s="363" t="str">
        <f t="shared" si="5"/>
        <v/>
      </c>
      <c r="T37" s="364" t="str">
        <f t="shared" si="9"/>
        <v/>
      </c>
      <c r="U37" s="3">
        <f t="shared" si="10"/>
        <v>0</v>
      </c>
      <c r="V37" s="3">
        <f t="shared" si="11"/>
        <v>0</v>
      </c>
      <c r="W37" s="3">
        <f t="shared" si="12"/>
        <v>0</v>
      </c>
      <c r="X37" s="3">
        <f t="shared" si="13"/>
        <v>0</v>
      </c>
      <c r="Y37" s="8"/>
      <c r="Z37" s="101" t="str">
        <f t="shared" si="6"/>
        <v/>
      </c>
      <c r="AA37" s="3">
        <f t="shared" si="7"/>
        <v>0</v>
      </c>
      <c r="AB37" s="3">
        <f t="shared" si="8"/>
        <v>0</v>
      </c>
      <c r="AC37" s="3">
        <f t="shared" si="14"/>
        <v>0.02</v>
      </c>
    </row>
    <row r="38" spans="1:29" x14ac:dyDescent="0.3">
      <c r="A38" s="3">
        <v>-7</v>
      </c>
      <c r="B38" s="3" t="s">
        <v>36</v>
      </c>
      <c r="C38" s="4">
        <v>7.0000000000000007E-2</v>
      </c>
      <c r="D38" s="5">
        <v>0</v>
      </c>
      <c r="E38" s="14">
        <v>24</v>
      </c>
      <c r="G38" s="346"/>
      <c r="H38" s="347"/>
      <c r="I38" s="348"/>
      <c r="J38" s="7"/>
      <c r="K38" s="355" t="str">
        <f>""</f>
        <v/>
      </c>
      <c r="L38" s="285" t="str">
        <f t="shared" si="0"/>
        <v/>
      </c>
      <c r="M38" s="356" t="str">
        <f t="shared" si="1"/>
        <v/>
      </c>
      <c r="N38" s="8"/>
      <c r="O38" s="355" t="str">
        <f t="shared" si="16"/>
        <v xml:space="preserve"> </v>
      </c>
      <c r="P38" s="285" t="str">
        <f t="shared" si="3"/>
        <v/>
      </c>
      <c r="Q38" s="356" t="str">
        <f t="shared" si="4"/>
        <v/>
      </c>
      <c r="R38" s="8"/>
      <c r="S38" s="365" t="str">
        <f t="shared" si="5"/>
        <v/>
      </c>
      <c r="T38" s="366" t="str">
        <f t="shared" si="9"/>
        <v/>
      </c>
      <c r="U38" s="3">
        <f t="shared" si="10"/>
        <v>0</v>
      </c>
      <c r="V38" s="3">
        <f t="shared" si="11"/>
        <v>0</v>
      </c>
      <c r="W38" s="3">
        <f t="shared" si="12"/>
        <v>0</v>
      </c>
      <c r="X38" s="3">
        <f t="shared" si="13"/>
        <v>0</v>
      </c>
      <c r="Y38" s="8"/>
      <c r="Z38" s="102" t="str">
        <f t="shared" si="6"/>
        <v/>
      </c>
      <c r="AA38" s="3">
        <f t="shared" si="7"/>
        <v>0</v>
      </c>
      <c r="AB38" s="3">
        <f t="shared" si="8"/>
        <v>0</v>
      </c>
      <c r="AC38" s="3">
        <f t="shared" si="14"/>
        <v>0.02</v>
      </c>
    </row>
    <row r="39" spans="1:29" x14ac:dyDescent="0.3">
      <c r="A39" s="3">
        <v>-6</v>
      </c>
      <c r="B39" s="3" t="s">
        <v>36</v>
      </c>
      <c r="C39" s="4">
        <v>0.06</v>
      </c>
      <c r="D39" s="5">
        <v>0</v>
      </c>
      <c r="E39" s="14">
        <v>25</v>
      </c>
      <c r="G39" s="340"/>
      <c r="H39" s="341"/>
      <c r="I39" s="342"/>
      <c r="J39" s="7"/>
      <c r="K39" s="351" t="str">
        <f>""</f>
        <v/>
      </c>
      <c r="L39" s="261" t="str">
        <f t="shared" si="0"/>
        <v/>
      </c>
      <c r="M39" s="352" t="str">
        <f t="shared" si="1"/>
        <v/>
      </c>
      <c r="N39" s="8"/>
      <c r="O39" s="351" t="str">
        <f t="shared" si="16"/>
        <v xml:space="preserve"> </v>
      </c>
      <c r="P39" s="261" t="str">
        <f t="shared" si="3"/>
        <v/>
      </c>
      <c r="Q39" s="352" t="str">
        <f t="shared" si="4"/>
        <v/>
      </c>
      <c r="R39" s="8"/>
      <c r="S39" s="361" t="str">
        <f t="shared" si="5"/>
        <v/>
      </c>
      <c r="T39" s="362" t="str">
        <f t="shared" si="9"/>
        <v/>
      </c>
      <c r="U39" s="3">
        <f t="shared" si="10"/>
        <v>0</v>
      </c>
      <c r="V39" s="3">
        <f t="shared" si="11"/>
        <v>0</v>
      </c>
      <c r="W39" s="3">
        <f t="shared" si="12"/>
        <v>0</v>
      </c>
      <c r="X39" s="3">
        <f t="shared" si="13"/>
        <v>0</v>
      </c>
      <c r="Y39" s="8"/>
      <c r="Z39" s="100" t="str">
        <f t="shared" si="6"/>
        <v/>
      </c>
      <c r="AA39" s="3">
        <f t="shared" si="7"/>
        <v>0</v>
      </c>
      <c r="AB39" s="3">
        <f t="shared" si="8"/>
        <v>0</v>
      </c>
      <c r="AC39" s="3">
        <f t="shared" si="14"/>
        <v>0.02</v>
      </c>
    </row>
    <row r="40" spans="1:29" x14ac:dyDescent="0.3">
      <c r="A40" s="3">
        <v>-5</v>
      </c>
      <c r="B40" s="3" t="s">
        <v>36</v>
      </c>
      <c r="C40" s="4">
        <v>0.05</v>
      </c>
      <c r="D40" s="5">
        <v>0</v>
      </c>
      <c r="E40" s="14">
        <v>26</v>
      </c>
      <c r="G40" s="343"/>
      <c r="H40" s="344"/>
      <c r="I40" s="345"/>
      <c r="J40" s="7"/>
      <c r="K40" s="353" t="str">
        <f>""</f>
        <v/>
      </c>
      <c r="L40" s="273" t="str">
        <f t="shared" si="0"/>
        <v/>
      </c>
      <c r="M40" s="354" t="str">
        <f t="shared" si="1"/>
        <v/>
      </c>
      <c r="N40" s="8"/>
      <c r="O40" s="353" t="str">
        <f t="shared" si="16"/>
        <v xml:space="preserve"> </v>
      </c>
      <c r="P40" s="273" t="str">
        <f t="shared" si="3"/>
        <v/>
      </c>
      <c r="Q40" s="354" t="str">
        <f t="shared" si="4"/>
        <v/>
      </c>
      <c r="R40" s="8"/>
      <c r="S40" s="363" t="str">
        <f t="shared" si="5"/>
        <v/>
      </c>
      <c r="T40" s="364" t="str">
        <f t="shared" si="9"/>
        <v/>
      </c>
      <c r="U40" s="3">
        <f t="shared" si="10"/>
        <v>0</v>
      </c>
      <c r="V40" s="3">
        <f t="shared" si="11"/>
        <v>0</v>
      </c>
      <c r="W40" s="3">
        <f t="shared" si="12"/>
        <v>0</v>
      </c>
      <c r="X40" s="3">
        <f t="shared" si="13"/>
        <v>0</v>
      </c>
      <c r="Y40" s="8"/>
      <c r="Z40" s="101" t="str">
        <f t="shared" si="6"/>
        <v/>
      </c>
      <c r="AA40" s="3">
        <f t="shared" si="7"/>
        <v>0</v>
      </c>
      <c r="AB40" s="3">
        <f t="shared" si="8"/>
        <v>0</v>
      </c>
      <c r="AC40" s="3">
        <f t="shared" si="14"/>
        <v>0.02</v>
      </c>
    </row>
    <row r="41" spans="1:29" x14ac:dyDescent="0.3">
      <c r="A41" s="3">
        <v>-4</v>
      </c>
      <c r="B41" s="3" t="s">
        <v>36</v>
      </c>
      <c r="C41" s="4">
        <v>0.04</v>
      </c>
      <c r="D41" s="5">
        <v>0</v>
      </c>
      <c r="E41" s="14">
        <v>27</v>
      </c>
      <c r="G41" s="346"/>
      <c r="H41" s="347"/>
      <c r="I41" s="348"/>
      <c r="J41" s="7"/>
      <c r="K41" s="355" t="str">
        <f>""</f>
        <v/>
      </c>
      <c r="L41" s="285" t="str">
        <f t="shared" si="0"/>
        <v/>
      </c>
      <c r="M41" s="356" t="str">
        <f t="shared" si="1"/>
        <v/>
      </c>
      <c r="N41" s="8"/>
      <c r="O41" s="355" t="str">
        <f t="shared" si="16"/>
        <v xml:space="preserve"> </v>
      </c>
      <c r="P41" s="285" t="str">
        <f t="shared" si="3"/>
        <v/>
      </c>
      <c r="Q41" s="356" t="str">
        <f t="shared" si="4"/>
        <v/>
      </c>
      <c r="R41" s="8"/>
      <c r="S41" s="365" t="str">
        <f t="shared" si="5"/>
        <v/>
      </c>
      <c r="T41" s="366" t="str">
        <f t="shared" si="9"/>
        <v/>
      </c>
      <c r="U41" s="3">
        <f t="shared" si="10"/>
        <v>0</v>
      </c>
      <c r="V41" s="3">
        <f t="shared" si="11"/>
        <v>0</v>
      </c>
      <c r="W41" s="3">
        <f t="shared" si="12"/>
        <v>0</v>
      </c>
      <c r="X41" s="3">
        <f t="shared" si="13"/>
        <v>0</v>
      </c>
      <c r="Y41" s="8"/>
      <c r="Z41" s="102" t="str">
        <f t="shared" si="6"/>
        <v/>
      </c>
      <c r="AA41" s="3">
        <f t="shared" si="7"/>
        <v>0</v>
      </c>
      <c r="AB41" s="3">
        <f t="shared" si="8"/>
        <v>0</v>
      </c>
      <c r="AC41" s="3">
        <f t="shared" si="14"/>
        <v>0.02</v>
      </c>
    </row>
    <row r="42" spans="1:29" x14ac:dyDescent="0.3">
      <c r="A42" s="3">
        <v>-3</v>
      </c>
      <c r="B42" s="3" t="s">
        <v>36</v>
      </c>
      <c r="C42" s="4">
        <v>0.03</v>
      </c>
      <c r="D42" s="5">
        <v>0</v>
      </c>
      <c r="E42" s="14">
        <v>28</v>
      </c>
      <c r="G42" s="340"/>
      <c r="H42" s="341"/>
      <c r="I42" s="342"/>
      <c r="J42" s="7"/>
      <c r="K42" s="351" t="str">
        <f>""</f>
        <v/>
      </c>
      <c r="L42" s="261" t="str">
        <f t="shared" si="0"/>
        <v/>
      </c>
      <c r="M42" s="352" t="str">
        <f t="shared" si="1"/>
        <v/>
      </c>
      <c r="N42" s="8"/>
      <c r="O42" s="351" t="str">
        <f t="shared" si="16"/>
        <v xml:space="preserve"> </v>
      </c>
      <c r="P42" s="261" t="str">
        <f t="shared" si="3"/>
        <v/>
      </c>
      <c r="Q42" s="352" t="str">
        <f t="shared" si="4"/>
        <v/>
      </c>
      <c r="R42" s="8"/>
      <c r="S42" s="361" t="str">
        <f t="shared" si="5"/>
        <v/>
      </c>
      <c r="T42" s="362" t="str">
        <f t="shared" si="9"/>
        <v/>
      </c>
      <c r="U42" s="3">
        <f t="shared" si="10"/>
        <v>0</v>
      </c>
      <c r="V42" s="3">
        <f t="shared" si="11"/>
        <v>0</v>
      </c>
      <c r="W42" s="3">
        <f t="shared" si="12"/>
        <v>0</v>
      </c>
      <c r="X42" s="3">
        <f t="shared" si="13"/>
        <v>0</v>
      </c>
      <c r="Y42" s="8"/>
      <c r="Z42" s="100" t="str">
        <f t="shared" si="6"/>
        <v/>
      </c>
      <c r="AA42" s="3">
        <f t="shared" si="7"/>
        <v>0</v>
      </c>
      <c r="AB42" s="3">
        <f t="shared" si="8"/>
        <v>0</v>
      </c>
      <c r="AC42" s="3">
        <f t="shared" si="14"/>
        <v>0.02</v>
      </c>
    </row>
    <row r="43" spans="1:29" x14ac:dyDescent="0.3">
      <c r="A43" s="3">
        <v>-2</v>
      </c>
      <c r="B43" s="3" t="s">
        <v>36</v>
      </c>
      <c r="C43" s="4">
        <v>0.02</v>
      </c>
      <c r="D43" s="5">
        <v>0</v>
      </c>
      <c r="E43" s="14">
        <v>29</v>
      </c>
      <c r="G43" s="343"/>
      <c r="H43" s="344"/>
      <c r="I43" s="345"/>
      <c r="J43" s="7"/>
      <c r="K43" s="353" t="str">
        <f>""</f>
        <v/>
      </c>
      <c r="L43" s="273" t="str">
        <f t="shared" si="0"/>
        <v/>
      </c>
      <c r="M43" s="354" t="str">
        <f t="shared" si="1"/>
        <v/>
      </c>
      <c r="N43" s="8"/>
      <c r="O43" s="353" t="str">
        <f t="shared" si="16"/>
        <v xml:space="preserve"> </v>
      </c>
      <c r="P43" s="273" t="str">
        <f t="shared" si="3"/>
        <v/>
      </c>
      <c r="Q43" s="354" t="str">
        <f t="shared" si="4"/>
        <v/>
      </c>
      <c r="R43" s="8"/>
      <c r="S43" s="363" t="str">
        <f t="shared" si="5"/>
        <v/>
      </c>
      <c r="T43" s="364" t="str">
        <f t="shared" si="9"/>
        <v/>
      </c>
      <c r="U43" s="3">
        <f t="shared" si="10"/>
        <v>0</v>
      </c>
      <c r="V43" s="3">
        <f t="shared" si="11"/>
        <v>0</v>
      </c>
      <c r="W43" s="3">
        <f t="shared" si="12"/>
        <v>0</v>
      </c>
      <c r="X43" s="3">
        <f t="shared" si="13"/>
        <v>0</v>
      </c>
      <c r="Y43" s="8"/>
      <c r="Z43" s="101" t="str">
        <f t="shared" si="6"/>
        <v/>
      </c>
      <c r="AA43" s="3">
        <f t="shared" si="7"/>
        <v>0</v>
      </c>
      <c r="AB43" s="3">
        <f t="shared" si="8"/>
        <v>0</v>
      </c>
      <c r="AC43" s="3">
        <f t="shared" si="14"/>
        <v>0.02</v>
      </c>
    </row>
    <row r="44" spans="1:29" x14ac:dyDescent="0.3">
      <c r="A44" s="3">
        <v>-1</v>
      </c>
      <c r="B44" s="3" t="s">
        <v>36</v>
      </c>
      <c r="C44" s="4">
        <v>0.01</v>
      </c>
      <c r="D44" s="5">
        <v>0</v>
      </c>
      <c r="E44" s="14">
        <v>30</v>
      </c>
      <c r="G44" s="346"/>
      <c r="H44" s="347"/>
      <c r="I44" s="348"/>
      <c r="J44" s="7"/>
      <c r="K44" s="355" t="str">
        <f>""</f>
        <v/>
      </c>
      <c r="L44" s="285" t="str">
        <f t="shared" si="0"/>
        <v/>
      </c>
      <c r="M44" s="356" t="str">
        <f t="shared" si="1"/>
        <v/>
      </c>
      <c r="N44" s="8"/>
      <c r="O44" s="355" t="str">
        <f t="shared" si="16"/>
        <v xml:space="preserve"> </v>
      </c>
      <c r="P44" s="285" t="str">
        <f t="shared" si="3"/>
        <v/>
      </c>
      <c r="Q44" s="356" t="str">
        <f t="shared" si="4"/>
        <v/>
      </c>
      <c r="R44" s="8"/>
      <c r="S44" s="365" t="str">
        <f t="shared" si="5"/>
        <v/>
      </c>
      <c r="T44" s="366" t="str">
        <f t="shared" si="9"/>
        <v/>
      </c>
      <c r="U44" s="3">
        <f t="shared" si="10"/>
        <v>0</v>
      </c>
      <c r="V44" s="3">
        <f t="shared" si="11"/>
        <v>0</v>
      </c>
      <c r="W44" s="3">
        <f t="shared" si="12"/>
        <v>0</v>
      </c>
      <c r="X44" s="3">
        <f t="shared" si="13"/>
        <v>0</v>
      </c>
      <c r="Y44" s="8"/>
      <c r="Z44" s="102" t="str">
        <f t="shared" si="6"/>
        <v/>
      </c>
      <c r="AA44" s="3">
        <f t="shared" si="7"/>
        <v>0</v>
      </c>
      <c r="AB44" s="3">
        <f t="shared" si="8"/>
        <v>0</v>
      </c>
      <c r="AC44" s="3">
        <f t="shared" si="14"/>
        <v>0.02</v>
      </c>
    </row>
    <row r="45" spans="1:29" x14ac:dyDescent="0.3">
      <c r="A45" s="3">
        <v>0</v>
      </c>
      <c r="B45" s="3" t="s">
        <v>35</v>
      </c>
      <c r="C45" s="4">
        <v>0</v>
      </c>
      <c r="D45" s="5">
        <v>0</v>
      </c>
      <c r="E45" s="14">
        <v>31</v>
      </c>
      <c r="G45" s="340"/>
      <c r="H45" s="341"/>
      <c r="I45" s="342"/>
      <c r="J45" s="7"/>
      <c r="K45" s="351" t="str">
        <f>""</f>
        <v/>
      </c>
      <c r="L45" s="261" t="str">
        <f t="shared" si="0"/>
        <v/>
      </c>
      <c r="M45" s="352" t="str">
        <f t="shared" si="1"/>
        <v/>
      </c>
      <c r="N45" s="8"/>
      <c r="O45" s="351" t="str">
        <f t="shared" si="16"/>
        <v xml:space="preserve"> </v>
      </c>
      <c r="P45" s="261" t="str">
        <f t="shared" si="3"/>
        <v/>
      </c>
      <c r="Q45" s="352" t="str">
        <f t="shared" si="4"/>
        <v/>
      </c>
      <c r="R45" s="8"/>
      <c r="S45" s="361" t="str">
        <f t="shared" si="5"/>
        <v/>
      </c>
      <c r="T45" s="362" t="str">
        <f t="shared" si="9"/>
        <v/>
      </c>
      <c r="U45" s="3">
        <f t="shared" si="10"/>
        <v>0</v>
      </c>
      <c r="V45" s="3">
        <f t="shared" si="11"/>
        <v>0</v>
      </c>
      <c r="W45" s="3">
        <f t="shared" si="12"/>
        <v>0</v>
      </c>
      <c r="X45" s="3">
        <f t="shared" si="13"/>
        <v>0</v>
      </c>
      <c r="Y45" s="8"/>
      <c r="Z45" s="100" t="str">
        <f t="shared" si="6"/>
        <v/>
      </c>
      <c r="AA45" s="3">
        <f t="shared" si="7"/>
        <v>0</v>
      </c>
      <c r="AB45" s="3">
        <f t="shared" si="8"/>
        <v>0</v>
      </c>
      <c r="AC45" s="3">
        <f t="shared" si="14"/>
        <v>0.02</v>
      </c>
    </row>
    <row r="46" spans="1:29" x14ac:dyDescent="0.3">
      <c r="A46" s="3">
        <f>Cuartos!B17</f>
        <v>1</v>
      </c>
      <c r="B46" s="3">
        <f>Cuartos!D17</f>
        <v>0</v>
      </c>
      <c r="C46" s="4">
        <f>Cuartos!E17</f>
        <v>0</v>
      </c>
      <c r="D46" s="5">
        <f>Cuartos!H17</f>
        <v>0</v>
      </c>
      <c r="E46" s="14">
        <v>32</v>
      </c>
      <c r="G46" s="343"/>
      <c r="H46" s="344"/>
      <c r="I46" s="345"/>
      <c r="J46" s="7"/>
      <c r="K46" s="353" t="str">
        <f>""</f>
        <v/>
      </c>
      <c r="L46" s="273" t="str">
        <f t="shared" si="0"/>
        <v/>
      </c>
      <c r="M46" s="354" t="str">
        <f t="shared" si="1"/>
        <v/>
      </c>
      <c r="N46" s="8"/>
      <c r="O46" s="353" t="str">
        <f t="shared" si="16"/>
        <v xml:space="preserve"> </v>
      </c>
      <c r="P46" s="273" t="str">
        <f t="shared" si="3"/>
        <v/>
      </c>
      <c r="Q46" s="354" t="str">
        <f t="shared" si="4"/>
        <v/>
      </c>
      <c r="R46" s="8"/>
      <c r="S46" s="363" t="str">
        <f t="shared" si="5"/>
        <v/>
      </c>
      <c r="T46" s="364" t="str">
        <f t="shared" si="9"/>
        <v/>
      </c>
      <c r="U46" s="3">
        <f t="shared" si="10"/>
        <v>0</v>
      </c>
      <c r="V46" s="3">
        <f t="shared" si="11"/>
        <v>0</v>
      </c>
      <c r="W46" s="3">
        <f t="shared" si="12"/>
        <v>0</v>
      </c>
      <c r="X46" s="3">
        <f t="shared" si="13"/>
        <v>0</v>
      </c>
      <c r="Y46" s="8"/>
      <c r="Z46" s="101" t="str">
        <f t="shared" si="6"/>
        <v/>
      </c>
      <c r="AA46" s="3">
        <f t="shared" si="7"/>
        <v>0</v>
      </c>
      <c r="AB46" s="3">
        <f t="shared" si="8"/>
        <v>0</v>
      </c>
      <c r="AC46" s="3">
        <f t="shared" si="14"/>
        <v>0.02</v>
      </c>
    </row>
    <row r="47" spans="1:29" x14ac:dyDescent="0.3">
      <c r="A47" s="3">
        <f>Cuartos!B18</f>
        <v>2</v>
      </c>
      <c r="B47" s="3">
        <f>Cuartos!D18</f>
        <v>0</v>
      </c>
      <c r="C47" s="4">
        <f>Cuartos!E18</f>
        <v>0</v>
      </c>
      <c r="D47" s="5">
        <f>Cuartos!H18</f>
        <v>0</v>
      </c>
      <c r="E47" s="14">
        <v>33</v>
      </c>
      <c r="G47" s="346"/>
      <c r="H47" s="347"/>
      <c r="I47" s="348"/>
      <c r="J47" s="7"/>
      <c r="K47" s="355" t="str">
        <f>""</f>
        <v/>
      </c>
      <c r="L47" s="285" t="str">
        <f t="shared" ref="L47:L78" si="17">IF(ISERROR(VLOOKUP(K47,PRESIONES,2,FALSE)),"",VLOOKUP(K47,PRESIONES,2,FALSE))</f>
        <v/>
      </c>
      <c r="M47" s="356" t="str">
        <f t="shared" ref="M47:M78" si="18">IF(ISERROR(VLOOKUP(K47,PRESIONES,3,FALSE)),"",VLOOKUP(K47,PRESIONES,3,FALSE))</f>
        <v/>
      </c>
      <c r="N47" s="8"/>
      <c r="O47" s="355" t="str">
        <f t="shared" ref="O47:O78" si="19">" "</f>
        <v xml:space="preserve"> </v>
      </c>
      <c r="P47" s="285" t="str">
        <f t="shared" ref="P47:P78" si="20">IF(ISERROR(VLOOKUP(O47,PRESIONES,2,FALSE)),"",VLOOKUP(O47,PRESIONES,2,FALSE))</f>
        <v/>
      </c>
      <c r="Q47" s="356" t="str">
        <f t="shared" ref="Q47:Q78" si="21">IF(ISERROR(VLOOKUP(O47,PRESIONES,3,FALSE)),"",VLOOKUP(O47,PRESIONES,3,FALSE))</f>
        <v/>
      </c>
      <c r="R47" s="8"/>
      <c r="S47" s="365" t="str">
        <f t="shared" ref="S47:S78" si="22">IFERROR(SIGN(Q47-M47)*CEILING(ABS((((H47*2)+(I47*(G47+1)))/1000)*$S$7*10.76*$V$6*SQRT(MAX(M47,Q47))),$S$4),"")</f>
        <v/>
      </c>
      <c r="T47" s="366" t="str">
        <f t="shared" ref="T47:T78" si="23">IFERROR(SIGN(M47-Q47)*CEILING(ABS((((H47*2)+(I47*(G47+1)))/1000)*$S$7*10.76*$V$6*SQRT(MAX(M47,Q47))),$S$4),"")</f>
        <v/>
      </c>
      <c r="U47" s="3">
        <f t="shared" si="10"/>
        <v>0</v>
      </c>
      <c r="V47" s="3">
        <f t="shared" si="11"/>
        <v>0</v>
      </c>
      <c r="W47" s="3">
        <f t="shared" si="12"/>
        <v>0</v>
      </c>
      <c r="X47" s="3">
        <f t="shared" si="13"/>
        <v>0</v>
      </c>
      <c r="Y47" s="8"/>
      <c r="Z47" s="102" t="str">
        <f t="shared" ref="Z47:Z78" si="24">IFERROR(ABS(M47-Q47),"")</f>
        <v/>
      </c>
      <c r="AA47" s="3">
        <f t="shared" ref="AA47:AA78" si="25">IF(ISERROR(VLOOKUP(K47,PRESIONES,4,FALSE)),0,VLOOKUP(K47,PRESIONES,4,FALSE))</f>
        <v>0</v>
      </c>
      <c r="AB47" s="3">
        <f t="shared" ref="AB47:AB78" si="26">IF(ISERROR(VLOOKUP(O47,PRESIONES,4,FALSE)),0,VLOOKUP(O47,PRESIONES,4,FALSE))</f>
        <v>0</v>
      </c>
      <c r="AC47" s="3">
        <f t="shared" si="14"/>
        <v>0.02</v>
      </c>
    </row>
    <row r="48" spans="1:29" x14ac:dyDescent="0.3">
      <c r="A48" s="3">
        <f>Cuartos!B19</f>
        <v>3</v>
      </c>
      <c r="B48" s="3">
        <f>Cuartos!D19</f>
        <v>0</v>
      </c>
      <c r="C48" s="4">
        <f>Cuartos!E19</f>
        <v>0</v>
      </c>
      <c r="D48" s="5">
        <f>Cuartos!H19</f>
        <v>0</v>
      </c>
      <c r="E48" s="14">
        <v>34</v>
      </c>
      <c r="G48" s="340"/>
      <c r="H48" s="341"/>
      <c r="I48" s="342"/>
      <c r="J48" s="7"/>
      <c r="K48" s="351" t="str">
        <f>""</f>
        <v/>
      </c>
      <c r="L48" s="261" t="str">
        <f t="shared" si="17"/>
        <v/>
      </c>
      <c r="M48" s="352" t="str">
        <f t="shared" si="18"/>
        <v/>
      </c>
      <c r="N48" s="8"/>
      <c r="O48" s="351" t="str">
        <f t="shared" si="19"/>
        <v xml:space="preserve"> </v>
      </c>
      <c r="P48" s="261" t="str">
        <f t="shared" si="20"/>
        <v/>
      </c>
      <c r="Q48" s="352" t="str">
        <f t="shared" si="21"/>
        <v/>
      </c>
      <c r="R48" s="8"/>
      <c r="S48" s="361" t="str">
        <f t="shared" si="22"/>
        <v/>
      </c>
      <c r="T48" s="362" t="str">
        <f t="shared" si="23"/>
        <v/>
      </c>
      <c r="U48" s="3">
        <f t="shared" si="10"/>
        <v>0</v>
      </c>
      <c r="V48" s="3">
        <f t="shared" si="11"/>
        <v>0</v>
      </c>
      <c r="W48" s="3">
        <f t="shared" si="12"/>
        <v>0</v>
      </c>
      <c r="X48" s="3">
        <f t="shared" si="13"/>
        <v>0</v>
      </c>
      <c r="Y48" s="8"/>
      <c r="Z48" s="100" t="str">
        <f t="shared" si="24"/>
        <v/>
      </c>
      <c r="AA48" s="3">
        <f t="shared" si="25"/>
        <v>0</v>
      </c>
      <c r="AB48" s="3">
        <f t="shared" si="26"/>
        <v>0</v>
      </c>
      <c r="AC48" s="3">
        <f t="shared" si="14"/>
        <v>0.02</v>
      </c>
    </row>
    <row r="49" spans="1:29" x14ac:dyDescent="0.3">
      <c r="A49" s="3">
        <f>Cuartos!B20</f>
        <v>4</v>
      </c>
      <c r="B49" s="3">
        <f>Cuartos!D20</f>
        <v>0</v>
      </c>
      <c r="C49" s="4">
        <f>Cuartos!E20</f>
        <v>0</v>
      </c>
      <c r="D49" s="5">
        <f>Cuartos!H20</f>
        <v>0</v>
      </c>
      <c r="E49" s="14">
        <v>35</v>
      </c>
      <c r="G49" s="343"/>
      <c r="H49" s="344"/>
      <c r="I49" s="345"/>
      <c r="J49" s="7"/>
      <c r="K49" s="353" t="str">
        <f>""</f>
        <v/>
      </c>
      <c r="L49" s="273" t="str">
        <f t="shared" si="17"/>
        <v/>
      </c>
      <c r="M49" s="354" t="str">
        <f t="shared" si="18"/>
        <v/>
      </c>
      <c r="N49" s="8"/>
      <c r="O49" s="353" t="str">
        <f t="shared" si="19"/>
        <v xml:space="preserve"> </v>
      </c>
      <c r="P49" s="273" t="str">
        <f t="shared" si="20"/>
        <v/>
      </c>
      <c r="Q49" s="354" t="str">
        <f t="shared" si="21"/>
        <v/>
      </c>
      <c r="R49" s="8"/>
      <c r="S49" s="363" t="str">
        <f t="shared" si="22"/>
        <v/>
      </c>
      <c r="T49" s="364" t="str">
        <f t="shared" si="23"/>
        <v/>
      </c>
      <c r="U49" s="3">
        <f t="shared" si="10"/>
        <v>0</v>
      </c>
      <c r="V49" s="3">
        <f t="shared" si="11"/>
        <v>0</v>
      </c>
      <c r="W49" s="3">
        <f t="shared" si="12"/>
        <v>0</v>
      </c>
      <c r="X49" s="3">
        <f t="shared" si="13"/>
        <v>0</v>
      </c>
      <c r="Y49" s="8"/>
      <c r="Z49" s="101" t="str">
        <f t="shared" si="24"/>
        <v/>
      </c>
      <c r="AA49" s="3">
        <f t="shared" si="25"/>
        <v>0</v>
      </c>
      <c r="AB49" s="3">
        <f t="shared" si="26"/>
        <v>0</v>
      </c>
      <c r="AC49" s="3">
        <f t="shared" si="14"/>
        <v>0.02</v>
      </c>
    </row>
    <row r="50" spans="1:29" x14ac:dyDescent="0.3">
      <c r="A50" s="3">
        <f>Cuartos!B21</f>
        <v>5</v>
      </c>
      <c r="B50" s="3">
        <f>Cuartos!D21</f>
        <v>0</v>
      </c>
      <c r="C50" s="4">
        <f>Cuartos!E21</f>
        <v>0</v>
      </c>
      <c r="D50" s="5">
        <f>Cuartos!H21</f>
        <v>0</v>
      </c>
      <c r="E50" s="14">
        <v>36</v>
      </c>
      <c r="G50" s="346"/>
      <c r="H50" s="347"/>
      <c r="I50" s="348"/>
      <c r="J50" s="7"/>
      <c r="K50" s="355" t="str">
        <f>""</f>
        <v/>
      </c>
      <c r="L50" s="285" t="str">
        <f t="shared" si="17"/>
        <v/>
      </c>
      <c r="M50" s="356" t="str">
        <f t="shared" si="18"/>
        <v/>
      </c>
      <c r="N50" s="8"/>
      <c r="O50" s="355" t="str">
        <f t="shared" si="19"/>
        <v xml:space="preserve"> </v>
      </c>
      <c r="P50" s="285" t="str">
        <f t="shared" si="20"/>
        <v/>
      </c>
      <c r="Q50" s="356" t="str">
        <f t="shared" si="21"/>
        <v/>
      </c>
      <c r="R50" s="8"/>
      <c r="S50" s="365" t="str">
        <f t="shared" si="22"/>
        <v/>
      </c>
      <c r="T50" s="366" t="str">
        <f t="shared" si="23"/>
        <v/>
      </c>
      <c r="U50" s="3">
        <f t="shared" si="10"/>
        <v>0</v>
      </c>
      <c r="V50" s="3">
        <f t="shared" si="11"/>
        <v>0</v>
      </c>
      <c r="W50" s="3">
        <f t="shared" si="12"/>
        <v>0</v>
      </c>
      <c r="X50" s="3">
        <f t="shared" si="13"/>
        <v>0</v>
      </c>
      <c r="Y50" s="8"/>
      <c r="Z50" s="102" t="str">
        <f t="shared" si="24"/>
        <v/>
      </c>
      <c r="AA50" s="3">
        <f t="shared" si="25"/>
        <v>0</v>
      </c>
      <c r="AB50" s="3">
        <f t="shared" si="26"/>
        <v>0</v>
      </c>
      <c r="AC50" s="3">
        <f t="shared" si="14"/>
        <v>0.02</v>
      </c>
    </row>
    <row r="51" spans="1:29" x14ac:dyDescent="0.3">
      <c r="A51" s="3">
        <f>Cuartos!B22</f>
        <v>6</v>
      </c>
      <c r="B51" s="3">
        <f>Cuartos!D22</f>
        <v>0</v>
      </c>
      <c r="C51" s="4">
        <f>Cuartos!E22</f>
        <v>0</v>
      </c>
      <c r="D51" s="5">
        <f>Cuartos!H22</f>
        <v>0</v>
      </c>
      <c r="E51" s="14">
        <v>37</v>
      </c>
      <c r="G51" s="340"/>
      <c r="H51" s="341"/>
      <c r="I51" s="342"/>
      <c r="J51" s="7"/>
      <c r="K51" s="351" t="str">
        <f>""</f>
        <v/>
      </c>
      <c r="L51" s="261" t="str">
        <f t="shared" si="17"/>
        <v/>
      </c>
      <c r="M51" s="352" t="str">
        <f t="shared" si="18"/>
        <v/>
      </c>
      <c r="N51" s="8"/>
      <c r="O51" s="351" t="str">
        <f t="shared" si="19"/>
        <v xml:space="preserve"> </v>
      </c>
      <c r="P51" s="261" t="str">
        <f t="shared" si="20"/>
        <v/>
      </c>
      <c r="Q51" s="352" t="str">
        <f t="shared" si="21"/>
        <v/>
      </c>
      <c r="R51" s="8"/>
      <c r="S51" s="361" t="str">
        <f t="shared" si="22"/>
        <v/>
      </c>
      <c r="T51" s="362" t="str">
        <f t="shared" si="23"/>
        <v/>
      </c>
      <c r="U51" s="3">
        <f t="shared" si="10"/>
        <v>0</v>
      </c>
      <c r="V51" s="3">
        <f t="shared" si="11"/>
        <v>0</v>
      </c>
      <c r="W51" s="3">
        <f t="shared" si="12"/>
        <v>0</v>
      </c>
      <c r="X51" s="3">
        <f t="shared" si="13"/>
        <v>0</v>
      </c>
      <c r="Y51" s="8"/>
      <c r="Z51" s="100" t="str">
        <f t="shared" si="24"/>
        <v/>
      </c>
      <c r="AA51" s="3">
        <f t="shared" si="25"/>
        <v>0</v>
      </c>
      <c r="AB51" s="3">
        <f t="shared" si="26"/>
        <v>0</v>
      </c>
      <c r="AC51" s="3">
        <f t="shared" si="14"/>
        <v>0.02</v>
      </c>
    </row>
    <row r="52" spans="1:29" x14ac:dyDescent="0.3">
      <c r="A52" s="3">
        <f>Cuartos!B23</f>
        <v>7</v>
      </c>
      <c r="B52" s="3">
        <f>Cuartos!D23</f>
        <v>0</v>
      </c>
      <c r="C52" s="4">
        <f>Cuartos!E23</f>
        <v>0</v>
      </c>
      <c r="D52" s="5">
        <f>Cuartos!H23</f>
        <v>0</v>
      </c>
      <c r="E52" s="14">
        <v>38</v>
      </c>
      <c r="G52" s="343"/>
      <c r="H52" s="344"/>
      <c r="I52" s="345"/>
      <c r="J52" s="7"/>
      <c r="K52" s="353" t="str">
        <f>""</f>
        <v/>
      </c>
      <c r="L52" s="273" t="str">
        <f t="shared" si="17"/>
        <v/>
      </c>
      <c r="M52" s="354" t="str">
        <f t="shared" si="18"/>
        <v/>
      </c>
      <c r="N52" s="8"/>
      <c r="O52" s="353" t="str">
        <f t="shared" si="19"/>
        <v xml:space="preserve"> </v>
      </c>
      <c r="P52" s="273" t="str">
        <f t="shared" si="20"/>
        <v/>
      </c>
      <c r="Q52" s="354" t="str">
        <f t="shared" si="21"/>
        <v/>
      </c>
      <c r="R52" s="8"/>
      <c r="S52" s="363" t="str">
        <f t="shared" si="22"/>
        <v/>
      </c>
      <c r="T52" s="364" t="str">
        <f t="shared" si="23"/>
        <v/>
      </c>
      <c r="U52" s="3">
        <f t="shared" si="10"/>
        <v>0</v>
      </c>
      <c r="V52" s="3">
        <f t="shared" si="11"/>
        <v>0</v>
      </c>
      <c r="W52" s="3">
        <f t="shared" si="12"/>
        <v>0</v>
      </c>
      <c r="X52" s="3">
        <f t="shared" si="13"/>
        <v>0</v>
      </c>
      <c r="Y52" s="8"/>
      <c r="Z52" s="101" t="str">
        <f t="shared" si="24"/>
        <v/>
      </c>
      <c r="AA52" s="3">
        <f t="shared" si="25"/>
        <v>0</v>
      </c>
      <c r="AB52" s="3">
        <f t="shared" si="26"/>
        <v>0</v>
      </c>
      <c r="AC52" s="3">
        <f t="shared" si="14"/>
        <v>0.02</v>
      </c>
    </row>
    <row r="53" spans="1:29" x14ac:dyDescent="0.3">
      <c r="A53" s="3">
        <f>Cuartos!B24</f>
        <v>8</v>
      </c>
      <c r="B53" s="3">
        <f>Cuartos!D24</f>
        <v>0</v>
      </c>
      <c r="C53" s="4">
        <f>Cuartos!E24</f>
        <v>0</v>
      </c>
      <c r="D53" s="5">
        <f>Cuartos!H24</f>
        <v>0</v>
      </c>
      <c r="E53" s="14">
        <v>39</v>
      </c>
      <c r="G53" s="346"/>
      <c r="H53" s="347"/>
      <c r="I53" s="348"/>
      <c r="J53" s="7"/>
      <c r="K53" s="355" t="str">
        <f>""</f>
        <v/>
      </c>
      <c r="L53" s="285" t="str">
        <f t="shared" si="17"/>
        <v/>
      </c>
      <c r="M53" s="356" t="str">
        <f t="shared" si="18"/>
        <v/>
      </c>
      <c r="N53" s="8"/>
      <c r="O53" s="355" t="str">
        <f t="shared" si="19"/>
        <v xml:space="preserve"> </v>
      </c>
      <c r="P53" s="285" t="str">
        <f t="shared" si="20"/>
        <v/>
      </c>
      <c r="Q53" s="356" t="str">
        <f t="shared" si="21"/>
        <v/>
      </c>
      <c r="R53" s="8"/>
      <c r="S53" s="365" t="str">
        <f t="shared" si="22"/>
        <v/>
      </c>
      <c r="T53" s="366" t="str">
        <f t="shared" si="23"/>
        <v/>
      </c>
      <c r="U53" s="3">
        <f t="shared" si="10"/>
        <v>0</v>
      </c>
      <c r="V53" s="3">
        <f t="shared" si="11"/>
        <v>0</v>
      </c>
      <c r="W53" s="3">
        <f t="shared" si="12"/>
        <v>0</v>
      </c>
      <c r="X53" s="3">
        <f t="shared" si="13"/>
        <v>0</v>
      </c>
      <c r="Y53" s="8"/>
      <c r="Z53" s="102" t="str">
        <f t="shared" si="24"/>
        <v/>
      </c>
      <c r="AA53" s="3">
        <f t="shared" si="25"/>
        <v>0</v>
      </c>
      <c r="AB53" s="3">
        <f t="shared" si="26"/>
        <v>0</v>
      </c>
      <c r="AC53" s="3">
        <f t="shared" si="14"/>
        <v>0.02</v>
      </c>
    </row>
    <row r="54" spans="1:29" x14ac:dyDescent="0.3">
      <c r="A54" s="3">
        <f>Cuartos!B25</f>
        <v>9</v>
      </c>
      <c r="B54" s="3">
        <f>Cuartos!D25</f>
        <v>0</v>
      </c>
      <c r="C54" s="4">
        <f>Cuartos!E25</f>
        <v>0</v>
      </c>
      <c r="D54" s="5">
        <f>Cuartos!H25</f>
        <v>0</v>
      </c>
      <c r="E54" s="14">
        <v>40</v>
      </c>
      <c r="G54" s="340"/>
      <c r="H54" s="341"/>
      <c r="I54" s="342"/>
      <c r="J54" s="7"/>
      <c r="K54" s="351" t="str">
        <f>""</f>
        <v/>
      </c>
      <c r="L54" s="261" t="str">
        <f t="shared" si="17"/>
        <v/>
      </c>
      <c r="M54" s="352" t="str">
        <f t="shared" si="18"/>
        <v/>
      </c>
      <c r="N54" s="8"/>
      <c r="O54" s="351" t="str">
        <f t="shared" si="19"/>
        <v xml:space="preserve"> </v>
      </c>
      <c r="P54" s="261" t="str">
        <f t="shared" si="20"/>
        <v/>
      </c>
      <c r="Q54" s="352" t="str">
        <f t="shared" si="21"/>
        <v/>
      </c>
      <c r="R54" s="8"/>
      <c r="S54" s="361" t="str">
        <f t="shared" si="22"/>
        <v/>
      </c>
      <c r="T54" s="362" t="str">
        <f t="shared" si="23"/>
        <v/>
      </c>
      <c r="U54" s="3">
        <f t="shared" si="10"/>
        <v>0</v>
      </c>
      <c r="V54" s="3">
        <f t="shared" si="11"/>
        <v>0</v>
      </c>
      <c r="W54" s="3">
        <f t="shared" si="12"/>
        <v>0</v>
      </c>
      <c r="X54" s="3">
        <f t="shared" si="13"/>
        <v>0</v>
      </c>
      <c r="Y54" s="8"/>
      <c r="Z54" s="100" t="str">
        <f t="shared" si="24"/>
        <v/>
      </c>
      <c r="AA54" s="3">
        <f t="shared" si="25"/>
        <v>0</v>
      </c>
      <c r="AB54" s="3">
        <f t="shared" si="26"/>
        <v>0</v>
      </c>
      <c r="AC54" s="3">
        <f t="shared" si="14"/>
        <v>0.02</v>
      </c>
    </row>
    <row r="55" spans="1:29" x14ac:dyDescent="0.3">
      <c r="A55" s="3">
        <f>Cuartos!B26</f>
        <v>10</v>
      </c>
      <c r="B55" s="3">
        <f>Cuartos!D26</f>
        <v>0</v>
      </c>
      <c r="C55" s="4">
        <f>Cuartos!E26</f>
        <v>0</v>
      </c>
      <c r="D55" s="5">
        <f>Cuartos!H26</f>
        <v>0</v>
      </c>
      <c r="E55" s="14">
        <v>41</v>
      </c>
      <c r="G55" s="343"/>
      <c r="H55" s="344"/>
      <c r="I55" s="345"/>
      <c r="J55" s="7"/>
      <c r="K55" s="353" t="str">
        <f>""</f>
        <v/>
      </c>
      <c r="L55" s="273" t="str">
        <f t="shared" si="17"/>
        <v/>
      </c>
      <c r="M55" s="354" t="str">
        <f t="shared" si="18"/>
        <v/>
      </c>
      <c r="N55" s="8"/>
      <c r="O55" s="353" t="str">
        <f t="shared" si="19"/>
        <v xml:space="preserve"> </v>
      </c>
      <c r="P55" s="273" t="str">
        <f t="shared" si="20"/>
        <v/>
      </c>
      <c r="Q55" s="354" t="str">
        <f t="shared" si="21"/>
        <v/>
      </c>
      <c r="R55" s="8"/>
      <c r="S55" s="363" t="str">
        <f t="shared" si="22"/>
        <v/>
      </c>
      <c r="T55" s="364" t="str">
        <f t="shared" si="23"/>
        <v/>
      </c>
      <c r="U55" s="3">
        <f t="shared" si="10"/>
        <v>0</v>
      </c>
      <c r="V55" s="3">
        <f t="shared" si="11"/>
        <v>0</v>
      </c>
      <c r="W55" s="3">
        <f t="shared" si="12"/>
        <v>0</v>
      </c>
      <c r="X55" s="3">
        <f t="shared" si="13"/>
        <v>0</v>
      </c>
      <c r="Y55" s="8"/>
      <c r="Z55" s="101" t="str">
        <f t="shared" si="24"/>
        <v/>
      </c>
      <c r="AA55" s="3">
        <f t="shared" si="25"/>
        <v>0</v>
      </c>
      <c r="AB55" s="3">
        <f t="shared" si="26"/>
        <v>0</v>
      </c>
      <c r="AC55" s="3">
        <f t="shared" si="14"/>
        <v>0.02</v>
      </c>
    </row>
    <row r="56" spans="1:29" x14ac:dyDescent="0.3">
      <c r="A56" s="3">
        <f>Cuartos!B27</f>
        <v>11</v>
      </c>
      <c r="B56" s="3">
        <f>Cuartos!D27</f>
        <v>0</v>
      </c>
      <c r="C56" s="4">
        <f>Cuartos!E27</f>
        <v>0</v>
      </c>
      <c r="D56" s="5">
        <f>Cuartos!H27</f>
        <v>0</v>
      </c>
      <c r="E56" s="14">
        <v>42</v>
      </c>
      <c r="G56" s="346"/>
      <c r="H56" s="347"/>
      <c r="I56" s="348"/>
      <c r="J56" s="7"/>
      <c r="K56" s="355" t="str">
        <f>""</f>
        <v/>
      </c>
      <c r="L56" s="285" t="str">
        <f t="shared" si="17"/>
        <v/>
      </c>
      <c r="M56" s="356" t="str">
        <f t="shared" si="18"/>
        <v/>
      </c>
      <c r="N56" s="8"/>
      <c r="O56" s="355" t="str">
        <f t="shared" si="19"/>
        <v xml:space="preserve"> </v>
      </c>
      <c r="P56" s="285" t="str">
        <f t="shared" si="20"/>
        <v/>
      </c>
      <c r="Q56" s="356" t="str">
        <f t="shared" si="21"/>
        <v/>
      </c>
      <c r="R56" s="8"/>
      <c r="S56" s="365" t="str">
        <f t="shared" si="22"/>
        <v/>
      </c>
      <c r="T56" s="366" t="str">
        <f t="shared" si="23"/>
        <v/>
      </c>
      <c r="U56" s="3">
        <f t="shared" si="10"/>
        <v>0</v>
      </c>
      <c r="V56" s="3">
        <f t="shared" si="11"/>
        <v>0</v>
      </c>
      <c r="W56" s="3">
        <f t="shared" si="12"/>
        <v>0</v>
      </c>
      <c r="X56" s="3">
        <f t="shared" si="13"/>
        <v>0</v>
      </c>
      <c r="Y56" s="8"/>
      <c r="Z56" s="102" t="str">
        <f t="shared" si="24"/>
        <v/>
      </c>
      <c r="AA56" s="3">
        <f t="shared" si="25"/>
        <v>0</v>
      </c>
      <c r="AB56" s="3">
        <f t="shared" si="26"/>
        <v>0</v>
      </c>
      <c r="AC56" s="3">
        <f t="shared" si="14"/>
        <v>0.02</v>
      </c>
    </row>
    <row r="57" spans="1:29" x14ac:dyDescent="0.3">
      <c r="A57" s="3">
        <f>Cuartos!B28</f>
        <v>12</v>
      </c>
      <c r="B57" s="3">
        <f>Cuartos!D28</f>
        <v>0</v>
      </c>
      <c r="C57" s="4">
        <f>Cuartos!E28</f>
        <v>0</v>
      </c>
      <c r="D57" s="5">
        <f>Cuartos!H28</f>
        <v>0</v>
      </c>
      <c r="E57" s="14">
        <v>43</v>
      </c>
      <c r="G57" s="340"/>
      <c r="H57" s="341"/>
      <c r="I57" s="342"/>
      <c r="J57" s="7"/>
      <c r="K57" s="351" t="str">
        <f>""</f>
        <v/>
      </c>
      <c r="L57" s="261" t="str">
        <f t="shared" si="17"/>
        <v/>
      </c>
      <c r="M57" s="352" t="str">
        <f t="shared" si="18"/>
        <v/>
      </c>
      <c r="N57" s="8"/>
      <c r="O57" s="351" t="str">
        <f t="shared" si="19"/>
        <v xml:space="preserve"> </v>
      </c>
      <c r="P57" s="261" t="str">
        <f t="shared" si="20"/>
        <v/>
      </c>
      <c r="Q57" s="352" t="str">
        <f t="shared" si="21"/>
        <v/>
      </c>
      <c r="R57" s="8"/>
      <c r="S57" s="361" t="str">
        <f t="shared" si="22"/>
        <v/>
      </c>
      <c r="T57" s="362" t="str">
        <f t="shared" si="23"/>
        <v/>
      </c>
      <c r="U57" s="3">
        <f t="shared" si="10"/>
        <v>0</v>
      </c>
      <c r="V57" s="3">
        <f t="shared" si="11"/>
        <v>0</v>
      </c>
      <c r="W57" s="3">
        <f t="shared" si="12"/>
        <v>0</v>
      </c>
      <c r="X57" s="3">
        <f t="shared" si="13"/>
        <v>0</v>
      </c>
      <c r="Y57" s="8"/>
      <c r="Z57" s="100" t="str">
        <f t="shared" si="24"/>
        <v/>
      </c>
      <c r="AA57" s="3">
        <f t="shared" si="25"/>
        <v>0</v>
      </c>
      <c r="AB57" s="3">
        <f t="shared" si="26"/>
        <v>0</v>
      </c>
      <c r="AC57" s="3">
        <f t="shared" si="14"/>
        <v>0.02</v>
      </c>
    </row>
    <row r="58" spans="1:29" x14ac:dyDescent="0.3">
      <c r="A58" s="3">
        <f>Cuartos!B29</f>
        <v>13</v>
      </c>
      <c r="B58" s="3">
        <f>Cuartos!D29</f>
        <v>0</v>
      </c>
      <c r="C58" s="4">
        <f>Cuartos!E29</f>
        <v>0</v>
      </c>
      <c r="D58" s="5">
        <f>Cuartos!H29</f>
        <v>0</v>
      </c>
      <c r="E58" s="14">
        <v>44</v>
      </c>
      <c r="G58" s="343"/>
      <c r="H58" s="344"/>
      <c r="I58" s="345"/>
      <c r="J58" s="7"/>
      <c r="K58" s="353" t="str">
        <f>""</f>
        <v/>
      </c>
      <c r="L58" s="273" t="str">
        <f t="shared" si="17"/>
        <v/>
      </c>
      <c r="M58" s="354" t="str">
        <f t="shared" si="18"/>
        <v/>
      </c>
      <c r="N58" s="8"/>
      <c r="O58" s="353" t="str">
        <f t="shared" si="19"/>
        <v xml:space="preserve"> </v>
      </c>
      <c r="P58" s="273" t="str">
        <f t="shared" si="20"/>
        <v/>
      </c>
      <c r="Q58" s="354" t="str">
        <f t="shared" si="21"/>
        <v/>
      </c>
      <c r="R58" s="8"/>
      <c r="S58" s="363" t="str">
        <f t="shared" si="22"/>
        <v/>
      </c>
      <c r="T58" s="364" t="str">
        <f t="shared" si="23"/>
        <v/>
      </c>
      <c r="U58" s="3">
        <f t="shared" si="10"/>
        <v>0</v>
      </c>
      <c r="V58" s="3">
        <f t="shared" si="11"/>
        <v>0</v>
      </c>
      <c r="W58" s="3">
        <f t="shared" si="12"/>
        <v>0</v>
      </c>
      <c r="X58" s="3">
        <f t="shared" si="13"/>
        <v>0</v>
      </c>
      <c r="Y58" s="8"/>
      <c r="Z58" s="101" t="str">
        <f t="shared" si="24"/>
        <v/>
      </c>
      <c r="AA58" s="3">
        <f t="shared" si="25"/>
        <v>0</v>
      </c>
      <c r="AB58" s="3">
        <f t="shared" si="26"/>
        <v>0</v>
      </c>
      <c r="AC58" s="3">
        <f t="shared" si="14"/>
        <v>0.02</v>
      </c>
    </row>
    <row r="59" spans="1:29" x14ac:dyDescent="0.3">
      <c r="A59" s="3">
        <f>Cuartos!B30</f>
        <v>14</v>
      </c>
      <c r="B59" s="3">
        <f>Cuartos!D30</f>
        <v>0</v>
      </c>
      <c r="C59" s="4">
        <f>Cuartos!E30</f>
        <v>0</v>
      </c>
      <c r="D59" s="5">
        <f>Cuartos!H30</f>
        <v>0</v>
      </c>
      <c r="E59" s="14">
        <v>45</v>
      </c>
      <c r="G59" s="346"/>
      <c r="H59" s="347"/>
      <c r="I59" s="348"/>
      <c r="J59" s="7"/>
      <c r="K59" s="355" t="str">
        <f>""</f>
        <v/>
      </c>
      <c r="L59" s="285" t="str">
        <f t="shared" si="17"/>
        <v/>
      </c>
      <c r="M59" s="356" t="str">
        <f t="shared" si="18"/>
        <v/>
      </c>
      <c r="N59" s="8"/>
      <c r="O59" s="355" t="str">
        <f t="shared" si="19"/>
        <v xml:space="preserve"> </v>
      </c>
      <c r="P59" s="285" t="str">
        <f t="shared" si="20"/>
        <v/>
      </c>
      <c r="Q59" s="356" t="str">
        <f t="shared" si="21"/>
        <v/>
      </c>
      <c r="R59" s="8"/>
      <c r="S59" s="365" t="str">
        <f t="shared" si="22"/>
        <v/>
      </c>
      <c r="T59" s="366" t="str">
        <f t="shared" si="23"/>
        <v/>
      </c>
      <c r="U59" s="3">
        <f t="shared" si="10"/>
        <v>0</v>
      </c>
      <c r="V59" s="3">
        <f t="shared" si="11"/>
        <v>0</v>
      </c>
      <c r="W59" s="3">
        <f t="shared" si="12"/>
        <v>0</v>
      </c>
      <c r="X59" s="3">
        <f t="shared" si="13"/>
        <v>0</v>
      </c>
      <c r="Y59" s="8"/>
      <c r="Z59" s="102" t="str">
        <f t="shared" si="24"/>
        <v/>
      </c>
      <c r="AA59" s="3">
        <f t="shared" si="25"/>
        <v>0</v>
      </c>
      <c r="AB59" s="3">
        <f t="shared" si="26"/>
        <v>0</v>
      </c>
      <c r="AC59" s="3">
        <f t="shared" si="14"/>
        <v>0.02</v>
      </c>
    </row>
    <row r="60" spans="1:29" x14ac:dyDescent="0.3">
      <c r="A60" s="3">
        <f>Cuartos!B31</f>
        <v>15</v>
      </c>
      <c r="B60" s="3">
        <f>Cuartos!D31</f>
        <v>0</v>
      </c>
      <c r="C60" s="4">
        <f>Cuartos!E31</f>
        <v>0</v>
      </c>
      <c r="D60" s="5">
        <f>Cuartos!H31</f>
        <v>0</v>
      </c>
      <c r="E60" s="14">
        <v>46</v>
      </c>
      <c r="G60" s="340"/>
      <c r="H60" s="341"/>
      <c r="I60" s="342"/>
      <c r="J60" s="7"/>
      <c r="K60" s="351" t="str">
        <f>""</f>
        <v/>
      </c>
      <c r="L60" s="261" t="str">
        <f t="shared" si="17"/>
        <v/>
      </c>
      <c r="M60" s="352" t="str">
        <f t="shared" si="18"/>
        <v/>
      </c>
      <c r="N60" s="8"/>
      <c r="O60" s="351" t="str">
        <f t="shared" si="19"/>
        <v xml:space="preserve"> </v>
      </c>
      <c r="P60" s="261" t="str">
        <f t="shared" si="20"/>
        <v/>
      </c>
      <c r="Q60" s="352" t="str">
        <f t="shared" si="21"/>
        <v/>
      </c>
      <c r="R60" s="8"/>
      <c r="S60" s="361" t="str">
        <f t="shared" si="22"/>
        <v/>
      </c>
      <c r="T60" s="362" t="str">
        <f t="shared" si="23"/>
        <v/>
      </c>
      <c r="U60" s="3">
        <f t="shared" si="10"/>
        <v>0</v>
      </c>
      <c r="V60" s="3">
        <f t="shared" si="11"/>
        <v>0</v>
      </c>
      <c r="W60" s="3">
        <f t="shared" si="12"/>
        <v>0</v>
      </c>
      <c r="X60" s="3">
        <f t="shared" si="13"/>
        <v>0</v>
      </c>
      <c r="Y60" s="8"/>
      <c r="Z60" s="100" t="str">
        <f t="shared" si="24"/>
        <v/>
      </c>
      <c r="AA60" s="3">
        <f t="shared" si="25"/>
        <v>0</v>
      </c>
      <c r="AB60" s="3">
        <f t="shared" si="26"/>
        <v>0</v>
      </c>
      <c r="AC60" s="3">
        <f t="shared" si="14"/>
        <v>0.02</v>
      </c>
    </row>
    <row r="61" spans="1:29" x14ac:dyDescent="0.3">
      <c r="A61" s="3">
        <f>Cuartos!B32</f>
        <v>16</v>
      </c>
      <c r="B61" s="3">
        <f>Cuartos!D32</f>
        <v>0</v>
      </c>
      <c r="C61" s="4">
        <f>Cuartos!E32</f>
        <v>0</v>
      </c>
      <c r="D61" s="5">
        <f>Cuartos!H32</f>
        <v>0</v>
      </c>
      <c r="E61" s="14">
        <v>47</v>
      </c>
      <c r="G61" s="343"/>
      <c r="H61" s="344"/>
      <c r="I61" s="345"/>
      <c r="J61" s="7"/>
      <c r="K61" s="353" t="str">
        <f>""</f>
        <v/>
      </c>
      <c r="L61" s="273" t="str">
        <f t="shared" si="17"/>
        <v/>
      </c>
      <c r="M61" s="354" t="str">
        <f t="shared" si="18"/>
        <v/>
      </c>
      <c r="N61" s="8"/>
      <c r="O61" s="353" t="str">
        <f t="shared" si="19"/>
        <v xml:space="preserve"> </v>
      </c>
      <c r="P61" s="273" t="str">
        <f t="shared" si="20"/>
        <v/>
      </c>
      <c r="Q61" s="354" t="str">
        <f t="shared" si="21"/>
        <v/>
      </c>
      <c r="R61" s="8"/>
      <c r="S61" s="363" t="str">
        <f t="shared" si="22"/>
        <v/>
      </c>
      <c r="T61" s="364" t="str">
        <f t="shared" si="23"/>
        <v/>
      </c>
      <c r="U61" s="3">
        <f t="shared" si="10"/>
        <v>0</v>
      </c>
      <c r="V61" s="3">
        <f t="shared" si="11"/>
        <v>0</v>
      </c>
      <c r="W61" s="3">
        <f t="shared" si="12"/>
        <v>0</v>
      </c>
      <c r="X61" s="3">
        <f t="shared" si="13"/>
        <v>0</v>
      </c>
      <c r="Y61" s="8"/>
      <c r="Z61" s="101" t="str">
        <f t="shared" si="24"/>
        <v/>
      </c>
      <c r="AA61" s="3">
        <f t="shared" si="25"/>
        <v>0</v>
      </c>
      <c r="AB61" s="3">
        <f t="shared" si="26"/>
        <v>0</v>
      </c>
      <c r="AC61" s="3">
        <f t="shared" si="14"/>
        <v>0.02</v>
      </c>
    </row>
    <row r="62" spans="1:29" x14ac:dyDescent="0.3">
      <c r="A62" s="3">
        <f>Cuartos!B33</f>
        <v>17</v>
      </c>
      <c r="B62" s="3">
        <f>Cuartos!D33</f>
        <v>0</v>
      </c>
      <c r="C62" s="4">
        <f>Cuartos!E33</f>
        <v>0</v>
      </c>
      <c r="D62" s="5">
        <f>Cuartos!H33</f>
        <v>0</v>
      </c>
      <c r="E62" s="14">
        <v>48</v>
      </c>
      <c r="G62" s="346"/>
      <c r="H62" s="347"/>
      <c r="I62" s="348"/>
      <c r="J62" s="7"/>
      <c r="K62" s="355" t="str">
        <f>""</f>
        <v/>
      </c>
      <c r="L62" s="285" t="str">
        <f t="shared" si="17"/>
        <v/>
      </c>
      <c r="M62" s="356" t="str">
        <f t="shared" si="18"/>
        <v/>
      </c>
      <c r="N62" s="8"/>
      <c r="O62" s="355" t="str">
        <f t="shared" si="19"/>
        <v xml:space="preserve"> </v>
      </c>
      <c r="P62" s="285" t="str">
        <f t="shared" si="20"/>
        <v/>
      </c>
      <c r="Q62" s="356" t="str">
        <f t="shared" si="21"/>
        <v/>
      </c>
      <c r="R62" s="8"/>
      <c r="S62" s="365" t="str">
        <f t="shared" si="22"/>
        <v/>
      </c>
      <c r="T62" s="366" t="str">
        <f t="shared" si="23"/>
        <v/>
      </c>
      <c r="U62" s="3">
        <f t="shared" si="10"/>
        <v>0</v>
      </c>
      <c r="V62" s="3">
        <f t="shared" si="11"/>
        <v>0</v>
      </c>
      <c r="W62" s="3">
        <f t="shared" si="12"/>
        <v>0</v>
      </c>
      <c r="X62" s="3">
        <f t="shared" si="13"/>
        <v>0</v>
      </c>
      <c r="Y62" s="8"/>
      <c r="Z62" s="102" t="str">
        <f t="shared" si="24"/>
        <v/>
      </c>
      <c r="AA62" s="3">
        <f t="shared" si="25"/>
        <v>0</v>
      </c>
      <c r="AB62" s="3">
        <f t="shared" si="26"/>
        <v>0</v>
      </c>
      <c r="AC62" s="3">
        <f t="shared" si="14"/>
        <v>0.02</v>
      </c>
    </row>
    <row r="63" spans="1:29" x14ac:dyDescent="0.3">
      <c r="A63" s="3">
        <f>Cuartos!B34</f>
        <v>18</v>
      </c>
      <c r="B63" s="3">
        <f>Cuartos!D34</f>
        <v>0</v>
      </c>
      <c r="C63" s="4">
        <f>Cuartos!E34</f>
        <v>0</v>
      </c>
      <c r="D63" s="5">
        <f>Cuartos!H34</f>
        <v>0</v>
      </c>
      <c r="E63" s="14">
        <v>49</v>
      </c>
      <c r="G63" s="340"/>
      <c r="H63" s="341"/>
      <c r="I63" s="342"/>
      <c r="J63" s="7"/>
      <c r="K63" s="351" t="str">
        <f>""</f>
        <v/>
      </c>
      <c r="L63" s="261" t="str">
        <f t="shared" si="17"/>
        <v/>
      </c>
      <c r="M63" s="352" t="str">
        <f t="shared" si="18"/>
        <v/>
      </c>
      <c r="N63" s="8"/>
      <c r="O63" s="351" t="str">
        <f t="shared" si="19"/>
        <v xml:space="preserve"> </v>
      </c>
      <c r="P63" s="261" t="str">
        <f t="shared" si="20"/>
        <v/>
      </c>
      <c r="Q63" s="352" t="str">
        <f t="shared" si="21"/>
        <v/>
      </c>
      <c r="R63" s="8"/>
      <c r="S63" s="361" t="str">
        <f t="shared" si="22"/>
        <v/>
      </c>
      <c r="T63" s="362" t="str">
        <f t="shared" si="23"/>
        <v/>
      </c>
      <c r="U63" s="3">
        <f t="shared" si="10"/>
        <v>0</v>
      </c>
      <c r="V63" s="3">
        <f t="shared" si="11"/>
        <v>0</v>
      </c>
      <c r="W63" s="3">
        <f t="shared" si="12"/>
        <v>0</v>
      </c>
      <c r="X63" s="3">
        <f t="shared" si="13"/>
        <v>0</v>
      </c>
      <c r="Y63" s="8"/>
      <c r="Z63" s="100" t="str">
        <f t="shared" si="24"/>
        <v/>
      </c>
      <c r="AA63" s="3">
        <f t="shared" si="25"/>
        <v>0</v>
      </c>
      <c r="AB63" s="3">
        <f t="shared" si="26"/>
        <v>0</v>
      </c>
      <c r="AC63" s="3">
        <f t="shared" si="14"/>
        <v>0.02</v>
      </c>
    </row>
    <row r="64" spans="1:29" x14ac:dyDescent="0.3">
      <c r="A64" s="3">
        <f>Cuartos!B35</f>
        <v>19</v>
      </c>
      <c r="B64" s="3">
        <f>Cuartos!D35</f>
        <v>0</v>
      </c>
      <c r="C64" s="4">
        <f>Cuartos!E35</f>
        <v>0</v>
      </c>
      <c r="D64" s="5">
        <f>Cuartos!H35</f>
        <v>0</v>
      </c>
      <c r="E64" s="14">
        <v>50</v>
      </c>
      <c r="G64" s="343"/>
      <c r="H64" s="344"/>
      <c r="I64" s="345"/>
      <c r="J64" s="7"/>
      <c r="K64" s="353" t="str">
        <f>""</f>
        <v/>
      </c>
      <c r="L64" s="273" t="str">
        <f t="shared" si="17"/>
        <v/>
      </c>
      <c r="M64" s="354" t="str">
        <f t="shared" si="18"/>
        <v/>
      </c>
      <c r="N64" s="8"/>
      <c r="O64" s="353" t="str">
        <f t="shared" si="19"/>
        <v xml:space="preserve"> </v>
      </c>
      <c r="P64" s="273" t="str">
        <f t="shared" si="20"/>
        <v/>
      </c>
      <c r="Q64" s="354" t="str">
        <f t="shared" si="21"/>
        <v/>
      </c>
      <c r="R64" s="8"/>
      <c r="S64" s="363" t="str">
        <f t="shared" si="22"/>
        <v/>
      </c>
      <c r="T64" s="364" t="str">
        <f t="shared" si="23"/>
        <v/>
      </c>
      <c r="U64" s="3">
        <f t="shared" si="10"/>
        <v>0</v>
      </c>
      <c r="V64" s="3">
        <f t="shared" si="11"/>
        <v>0</v>
      </c>
      <c r="W64" s="3">
        <f t="shared" si="12"/>
        <v>0</v>
      </c>
      <c r="X64" s="3">
        <f t="shared" si="13"/>
        <v>0</v>
      </c>
      <c r="Y64" s="8"/>
      <c r="Z64" s="101" t="str">
        <f t="shared" si="24"/>
        <v/>
      </c>
      <c r="AA64" s="3">
        <f t="shared" si="25"/>
        <v>0</v>
      </c>
      <c r="AB64" s="3">
        <f t="shared" si="26"/>
        <v>0</v>
      </c>
      <c r="AC64" s="3">
        <f t="shared" si="14"/>
        <v>0.02</v>
      </c>
    </row>
    <row r="65" spans="1:29" x14ac:dyDescent="0.3">
      <c r="A65" s="3">
        <f>Cuartos!B36</f>
        <v>20</v>
      </c>
      <c r="B65" s="3">
        <f>Cuartos!D36</f>
        <v>0</v>
      </c>
      <c r="C65" s="4">
        <f>Cuartos!E36</f>
        <v>0</v>
      </c>
      <c r="D65" s="5">
        <f>Cuartos!H36</f>
        <v>0</v>
      </c>
      <c r="E65" s="14">
        <v>51</v>
      </c>
      <c r="G65" s="346"/>
      <c r="H65" s="347"/>
      <c r="I65" s="348"/>
      <c r="J65" s="7"/>
      <c r="K65" s="355" t="str">
        <f>""</f>
        <v/>
      </c>
      <c r="L65" s="285" t="str">
        <f t="shared" si="17"/>
        <v/>
      </c>
      <c r="M65" s="356" t="str">
        <f t="shared" si="18"/>
        <v/>
      </c>
      <c r="N65" s="8"/>
      <c r="O65" s="355" t="str">
        <f t="shared" si="19"/>
        <v xml:space="preserve"> </v>
      </c>
      <c r="P65" s="285" t="str">
        <f t="shared" si="20"/>
        <v/>
      </c>
      <c r="Q65" s="356" t="str">
        <f t="shared" si="21"/>
        <v/>
      </c>
      <c r="R65" s="8"/>
      <c r="S65" s="365" t="str">
        <f t="shared" si="22"/>
        <v/>
      </c>
      <c r="T65" s="366" t="str">
        <f t="shared" si="23"/>
        <v/>
      </c>
      <c r="U65" s="3">
        <f t="shared" si="10"/>
        <v>0</v>
      </c>
      <c r="V65" s="3">
        <f t="shared" si="11"/>
        <v>0</v>
      </c>
      <c r="W65" s="3">
        <f t="shared" si="12"/>
        <v>0</v>
      </c>
      <c r="X65" s="3">
        <f t="shared" si="13"/>
        <v>0</v>
      </c>
      <c r="Y65" s="8"/>
      <c r="Z65" s="102" t="str">
        <f t="shared" si="24"/>
        <v/>
      </c>
      <c r="AA65" s="3">
        <f t="shared" si="25"/>
        <v>0</v>
      </c>
      <c r="AB65" s="3">
        <f t="shared" si="26"/>
        <v>0</v>
      </c>
      <c r="AC65" s="3">
        <f t="shared" si="14"/>
        <v>0.02</v>
      </c>
    </row>
    <row r="66" spans="1:29" x14ac:dyDescent="0.3">
      <c r="A66" s="3">
        <f>Cuartos!B37</f>
        <v>21</v>
      </c>
      <c r="B66" s="3">
        <f>Cuartos!D37</f>
        <v>0</v>
      </c>
      <c r="C66" s="4">
        <f>Cuartos!E37</f>
        <v>0</v>
      </c>
      <c r="D66" s="5">
        <f>Cuartos!H37</f>
        <v>0</v>
      </c>
      <c r="E66" s="14">
        <v>52</v>
      </c>
      <c r="G66" s="340"/>
      <c r="H66" s="341"/>
      <c r="I66" s="342"/>
      <c r="J66" s="7"/>
      <c r="K66" s="351" t="str">
        <f>""</f>
        <v/>
      </c>
      <c r="L66" s="261" t="str">
        <f t="shared" si="17"/>
        <v/>
      </c>
      <c r="M66" s="352" t="str">
        <f t="shared" si="18"/>
        <v/>
      </c>
      <c r="N66" s="8"/>
      <c r="O66" s="351" t="str">
        <f t="shared" si="19"/>
        <v xml:space="preserve"> </v>
      </c>
      <c r="P66" s="261" t="str">
        <f t="shared" si="20"/>
        <v/>
      </c>
      <c r="Q66" s="352" t="str">
        <f t="shared" si="21"/>
        <v/>
      </c>
      <c r="R66" s="8"/>
      <c r="S66" s="361" t="str">
        <f t="shared" si="22"/>
        <v/>
      </c>
      <c r="T66" s="362" t="str">
        <f t="shared" si="23"/>
        <v/>
      </c>
      <c r="U66" s="3">
        <f t="shared" si="10"/>
        <v>0</v>
      </c>
      <c r="V66" s="3">
        <f t="shared" si="11"/>
        <v>0</v>
      </c>
      <c r="W66" s="3">
        <f t="shared" si="12"/>
        <v>0</v>
      </c>
      <c r="X66" s="3">
        <f t="shared" si="13"/>
        <v>0</v>
      </c>
      <c r="Y66" s="8"/>
      <c r="Z66" s="100" t="str">
        <f t="shared" si="24"/>
        <v/>
      </c>
      <c r="AA66" s="3">
        <f t="shared" si="25"/>
        <v>0</v>
      </c>
      <c r="AB66" s="3">
        <f t="shared" si="26"/>
        <v>0</v>
      </c>
      <c r="AC66" s="3">
        <f t="shared" si="14"/>
        <v>0.02</v>
      </c>
    </row>
    <row r="67" spans="1:29" x14ac:dyDescent="0.3">
      <c r="A67" s="3">
        <f>Cuartos!B38</f>
        <v>22</v>
      </c>
      <c r="B67" s="3">
        <f>Cuartos!D38</f>
        <v>0</v>
      </c>
      <c r="C67" s="4">
        <f>Cuartos!E38</f>
        <v>0</v>
      </c>
      <c r="D67" s="5">
        <f>Cuartos!H38</f>
        <v>0</v>
      </c>
      <c r="E67" s="14">
        <v>53</v>
      </c>
      <c r="G67" s="343"/>
      <c r="H67" s="344"/>
      <c r="I67" s="345"/>
      <c r="J67" s="7"/>
      <c r="K67" s="353" t="str">
        <f>""</f>
        <v/>
      </c>
      <c r="L67" s="273" t="str">
        <f t="shared" si="17"/>
        <v/>
      </c>
      <c r="M67" s="354" t="str">
        <f t="shared" si="18"/>
        <v/>
      </c>
      <c r="N67" s="8"/>
      <c r="O67" s="353" t="str">
        <f t="shared" si="19"/>
        <v xml:space="preserve"> </v>
      </c>
      <c r="P67" s="273" t="str">
        <f t="shared" si="20"/>
        <v/>
      </c>
      <c r="Q67" s="354" t="str">
        <f t="shared" si="21"/>
        <v/>
      </c>
      <c r="R67" s="8"/>
      <c r="S67" s="363" t="str">
        <f t="shared" si="22"/>
        <v/>
      </c>
      <c r="T67" s="364" t="str">
        <f t="shared" si="23"/>
        <v/>
      </c>
      <c r="U67" s="3">
        <f t="shared" si="10"/>
        <v>0</v>
      </c>
      <c r="V67" s="3">
        <f t="shared" si="11"/>
        <v>0</v>
      </c>
      <c r="W67" s="3">
        <f t="shared" si="12"/>
        <v>0</v>
      </c>
      <c r="X67" s="3">
        <f t="shared" si="13"/>
        <v>0</v>
      </c>
      <c r="Y67" s="8"/>
      <c r="Z67" s="101" t="str">
        <f t="shared" si="24"/>
        <v/>
      </c>
      <c r="AA67" s="3">
        <f t="shared" si="25"/>
        <v>0</v>
      </c>
      <c r="AB67" s="3">
        <f t="shared" si="26"/>
        <v>0</v>
      </c>
      <c r="AC67" s="3">
        <f t="shared" si="14"/>
        <v>0.02</v>
      </c>
    </row>
    <row r="68" spans="1:29" x14ac:dyDescent="0.3">
      <c r="A68" s="3">
        <f>Cuartos!B39</f>
        <v>23</v>
      </c>
      <c r="B68" s="3">
        <f>Cuartos!D39</f>
        <v>0</v>
      </c>
      <c r="C68" s="4">
        <f>Cuartos!E39</f>
        <v>0</v>
      </c>
      <c r="D68" s="5">
        <f>Cuartos!H39</f>
        <v>0</v>
      </c>
      <c r="E68" s="14">
        <v>54</v>
      </c>
      <c r="G68" s="346"/>
      <c r="H68" s="347"/>
      <c r="I68" s="348"/>
      <c r="J68" s="7"/>
      <c r="K68" s="355" t="str">
        <f>""</f>
        <v/>
      </c>
      <c r="L68" s="285" t="str">
        <f t="shared" si="17"/>
        <v/>
      </c>
      <c r="M68" s="356" t="str">
        <f t="shared" si="18"/>
        <v/>
      </c>
      <c r="N68" s="8"/>
      <c r="O68" s="355" t="str">
        <f t="shared" si="19"/>
        <v xml:space="preserve"> </v>
      </c>
      <c r="P68" s="285" t="str">
        <f t="shared" si="20"/>
        <v/>
      </c>
      <c r="Q68" s="356" t="str">
        <f t="shared" si="21"/>
        <v/>
      </c>
      <c r="R68" s="8"/>
      <c r="S68" s="365" t="str">
        <f t="shared" si="22"/>
        <v/>
      </c>
      <c r="T68" s="366" t="str">
        <f t="shared" si="23"/>
        <v/>
      </c>
      <c r="U68" s="3">
        <f t="shared" si="10"/>
        <v>0</v>
      </c>
      <c r="V68" s="3">
        <f t="shared" si="11"/>
        <v>0</v>
      </c>
      <c r="W68" s="3">
        <f t="shared" si="12"/>
        <v>0</v>
      </c>
      <c r="X68" s="3">
        <f t="shared" si="13"/>
        <v>0</v>
      </c>
      <c r="Y68" s="8"/>
      <c r="Z68" s="102" t="str">
        <f t="shared" si="24"/>
        <v/>
      </c>
      <c r="AA68" s="3">
        <f t="shared" si="25"/>
        <v>0</v>
      </c>
      <c r="AB68" s="3">
        <f t="shared" si="26"/>
        <v>0</v>
      </c>
      <c r="AC68" s="3">
        <f t="shared" si="14"/>
        <v>0.02</v>
      </c>
    </row>
    <row r="69" spans="1:29" x14ac:dyDescent="0.3">
      <c r="A69" s="3">
        <f>Cuartos!B40</f>
        <v>24</v>
      </c>
      <c r="B69" s="3">
        <f>Cuartos!D40</f>
        <v>0</v>
      </c>
      <c r="C69" s="4">
        <f>Cuartos!E40</f>
        <v>0</v>
      </c>
      <c r="D69" s="5">
        <f>Cuartos!H40</f>
        <v>0</v>
      </c>
      <c r="E69" s="14">
        <v>55</v>
      </c>
      <c r="G69" s="340"/>
      <c r="H69" s="341"/>
      <c r="I69" s="342"/>
      <c r="J69" s="7"/>
      <c r="K69" s="351" t="str">
        <f>""</f>
        <v/>
      </c>
      <c r="L69" s="261" t="str">
        <f t="shared" si="17"/>
        <v/>
      </c>
      <c r="M69" s="352" t="str">
        <f t="shared" si="18"/>
        <v/>
      </c>
      <c r="N69" s="8"/>
      <c r="O69" s="351" t="str">
        <f t="shared" si="19"/>
        <v xml:space="preserve"> </v>
      </c>
      <c r="P69" s="261" t="str">
        <f t="shared" si="20"/>
        <v/>
      </c>
      <c r="Q69" s="352" t="str">
        <f t="shared" si="21"/>
        <v/>
      </c>
      <c r="R69" s="8"/>
      <c r="S69" s="361" t="str">
        <f t="shared" si="22"/>
        <v/>
      </c>
      <c r="T69" s="362" t="str">
        <f t="shared" si="23"/>
        <v/>
      </c>
      <c r="U69" s="3">
        <f t="shared" si="10"/>
        <v>0</v>
      </c>
      <c r="V69" s="3">
        <f t="shared" si="11"/>
        <v>0</v>
      </c>
      <c r="W69" s="3">
        <f t="shared" si="12"/>
        <v>0</v>
      </c>
      <c r="X69" s="3">
        <f t="shared" si="13"/>
        <v>0</v>
      </c>
      <c r="Y69" s="8"/>
      <c r="Z69" s="100" t="str">
        <f t="shared" si="24"/>
        <v/>
      </c>
      <c r="AA69" s="3">
        <f t="shared" si="25"/>
        <v>0</v>
      </c>
      <c r="AB69" s="3">
        <f t="shared" si="26"/>
        <v>0</v>
      </c>
      <c r="AC69" s="3">
        <f t="shared" si="14"/>
        <v>0.02</v>
      </c>
    </row>
    <row r="70" spans="1:29" x14ac:dyDescent="0.3">
      <c r="A70" s="3">
        <f>Cuartos!B41</f>
        <v>25</v>
      </c>
      <c r="B70" s="3">
        <f>Cuartos!D41</f>
        <v>0</v>
      </c>
      <c r="C70" s="4">
        <f>Cuartos!E41</f>
        <v>0</v>
      </c>
      <c r="D70" s="5">
        <f>Cuartos!H41</f>
        <v>0</v>
      </c>
      <c r="E70" s="14">
        <v>56</v>
      </c>
      <c r="G70" s="343"/>
      <c r="H70" s="344"/>
      <c r="I70" s="345"/>
      <c r="J70" s="7"/>
      <c r="K70" s="353" t="str">
        <f>""</f>
        <v/>
      </c>
      <c r="L70" s="273" t="str">
        <f t="shared" si="17"/>
        <v/>
      </c>
      <c r="M70" s="354" t="str">
        <f t="shared" si="18"/>
        <v/>
      </c>
      <c r="N70" s="8"/>
      <c r="O70" s="353" t="str">
        <f t="shared" si="19"/>
        <v xml:space="preserve"> </v>
      </c>
      <c r="P70" s="273" t="str">
        <f t="shared" si="20"/>
        <v/>
      </c>
      <c r="Q70" s="354" t="str">
        <f t="shared" si="21"/>
        <v/>
      </c>
      <c r="R70" s="8"/>
      <c r="S70" s="363" t="str">
        <f t="shared" si="22"/>
        <v/>
      </c>
      <c r="T70" s="364" t="str">
        <f t="shared" si="23"/>
        <v/>
      </c>
      <c r="U70" s="3">
        <f t="shared" si="10"/>
        <v>0</v>
      </c>
      <c r="V70" s="3">
        <f t="shared" si="11"/>
        <v>0</v>
      </c>
      <c r="W70" s="3">
        <f t="shared" si="12"/>
        <v>0</v>
      </c>
      <c r="X70" s="3">
        <f t="shared" si="13"/>
        <v>0</v>
      </c>
      <c r="Y70" s="8"/>
      <c r="Z70" s="101" t="str">
        <f t="shared" si="24"/>
        <v/>
      </c>
      <c r="AA70" s="3">
        <f t="shared" si="25"/>
        <v>0</v>
      </c>
      <c r="AB70" s="3">
        <f t="shared" si="26"/>
        <v>0</v>
      </c>
      <c r="AC70" s="3">
        <f t="shared" si="14"/>
        <v>0.02</v>
      </c>
    </row>
    <row r="71" spans="1:29" x14ac:dyDescent="0.3">
      <c r="A71" s="3">
        <f>Cuartos!B42</f>
        <v>26</v>
      </c>
      <c r="B71" s="3">
        <f>Cuartos!D42</f>
        <v>0</v>
      </c>
      <c r="C71" s="4">
        <f>Cuartos!E42</f>
        <v>0</v>
      </c>
      <c r="D71" s="5">
        <f>Cuartos!H42</f>
        <v>0</v>
      </c>
      <c r="E71" s="14">
        <v>57</v>
      </c>
      <c r="G71" s="346"/>
      <c r="H71" s="347"/>
      <c r="I71" s="348"/>
      <c r="J71" s="7"/>
      <c r="K71" s="355" t="str">
        <f>""</f>
        <v/>
      </c>
      <c r="L71" s="285" t="str">
        <f t="shared" si="17"/>
        <v/>
      </c>
      <c r="M71" s="356" t="str">
        <f t="shared" si="18"/>
        <v/>
      </c>
      <c r="N71" s="8"/>
      <c r="O71" s="355" t="str">
        <f t="shared" si="19"/>
        <v xml:space="preserve"> </v>
      </c>
      <c r="P71" s="285" t="str">
        <f t="shared" si="20"/>
        <v/>
      </c>
      <c r="Q71" s="356" t="str">
        <f t="shared" si="21"/>
        <v/>
      </c>
      <c r="R71" s="8"/>
      <c r="S71" s="365" t="str">
        <f t="shared" si="22"/>
        <v/>
      </c>
      <c r="T71" s="366" t="str">
        <f t="shared" si="23"/>
        <v/>
      </c>
      <c r="U71" s="3">
        <f t="shared" si="10"/>
        <v>0</v>
      </c>
      <c r="V71" s="3">
        <f t="shared" si="11"/>
        <v>0</v>
      </c>
      <c r="W71" s="3">
        <f t="shared" si="12"/>
        <v>0</v>
      </c>
      <c r="X71" s="3">
        <f t="shared" si="13"/>
        <v>0</v>
      </c>
      <c r="Y71" s="8"/>
      <c r="Z71" s="102" t="str">
        <f t="shared" si="24"/>
        <v/>
      </c>
      <c r="AA71" s="3">
        <f t="shared" si="25"/>
        <v>0</v>
      </c>
      <c r="AB71" s="3">
        <f t="shared" si="26"/>
        <v>0</v>
      </c>
      <c r="AC71" s="3">
        <f t="shared" si="14"/>
        <v>0.02</v>
      </c>
    </row>
    <row r="72" spans="1:29" x14ac:dyDescent="0.3">
      <c r="A72" s="3">
        <f>Cuartos!B43</f>
        <v>27</v>
      </c>
      <c r="B72" s="3">
        <f>Cuartos!D43</f>
        <v>0</v>
      </c>
      <c r="C72" s="4">
        <f>Cuartos!E43</f>
        <v>0</v>
      </c>
      <c r="D72" s="5">
        <f>Cuartos!H43</f>
        <v>0</v>
      </c>
      <c r="E72" s="14">
        <v>58</v>
      </c>
      <c r="G72" s="340"/>
      <c r="H72" s="341"/>
      <c r="I72" s="342"/>
      <c r="J72" s="7"/>
      <c r="K72" s="351" t="str">
        <f>""</f>
        <v/>
      </c>
      <c r="L72" s="261" t="str">
        <f t="shared" si="17"/>
        <v/>
      </c>
      <c r="M72" s="352" t="str">
        <f t="shared" si="18"/>
        <v/>
      </c>
      <c r="N72" s="8"/>
      <c r="O72" s="351" t="str">
        <f t="shared" si="19"/>
        <v xml:space="preserve"> </v>
      </c>
      <c r="P72" s="261" t="str">
        <f t="shared" si="20"/>
        <v/>
      </c>
      <c r="Q72" s="352" t="str">
        <f t="shared" si="21"/>
        <v/>
      </c>
      <c r="R72" s="8"/>
      <c r="S72" s="361" t="str">
        <f t="shared" si="22"/>
        <v/>
      </c>
      <c r="T72" s="362" t="str">
        <f t="shared" si="23"/>
        <v/>
      </c>
      <c r="U72" s="3">
        <f t="shared" si="10"/>
        <v>0</v>
      </c>
      <c r="V72" s="3">
        <f t="shared" si="11"/>
        <v>0</v>
      </c>
      <c r="W72" s="3">
        <f t="shared" si="12"/>
        <v>0</v>
      </c>
      <c r="X72" s="3">
        <f t="shared" si="13"/>
        <v>0</v>
      </c>
      <c r="Y72" s="8"/>
      <c r="Z72" s="100" t="str">
        <f t="shared" si="24"/>
        <v/>
      </c>
      <c r="AA72" s="3">
        <f t="shared" si="25"/>
        <v>0</v>
      </c>
      <c r="AB72" s="3">
        <f t="shared" si="26"/>
        <v>0</v>
      </c>
      <c r="AC72" s="3">
        <f t="shared" si="14"/>
        <v>0.02</v>
      </c>
    </row>
    <row r="73" spans="1:29" x14ac:dyDescent="0.3">
      <c r="A73" s="3">
        <f>Cuartos!B44</f>
        <v>28</v>
      </c>
      <c r="B73" s="3">
        <f>Cuartos!D44</f>
        <v>0</v>
      </c>
      <c r="C73" s="4">
        <f>Cuartos!E44</f>
        <v>0</v>
      </c>
      <c r="D73" s="5">
        <f>Cuartos!H44</f>
        <v>0</v>
      </c>
      <c r="E73" s="14">
        <v>59</v>
      </c>
      <c r="G73" s="343"/>
      <c r="H73" s="344"/>
      <c r="I73" s="345"/>
      <c r="J73" s="7"/>
      <c r="K73" s="353" t="str">
        <f>""</f>
        <v/>
      </c>
      <c r="L73" s="273" t="str">
        <f t="shared" si="17"/>
        <v/>
      </c>
      <c r="M73" s="354" t="str">
        <f t="shared" si="18"/>
        <v/>
      </c>
      <c r="N73" s="8"/>
      <c r="O73" s="353" t="str">
        <f t="shared" si="19"/>
        <v xml:space="preserve"> </v>
      </c>
      <c r="P73" s="273" t="str">
        <f t="shared" si="20"/>
        <v/>
      </c>
      <c r="Q73" s="354" t="str">
        <f t="shared" si="21"/>
        <v/>
      </c>
      <c r="R73" s="8"/>
      <c r="S73" s="363" t="str">
        <f t="shared" si="22"/>
        <v/>
      </c>
      <c r="T73" s="364" t="str">
        <f t="shared" si="23"/>
        <v/>
      </c>
      <c r="U73" s="3">
        <f t="shared" si="10"/>
        <v>0</v>
      </c>
      <c r="V73" s="3">
        <f t="shared" si="11"/>
        <v>0</v>
      </c>
      <c r="W73" s="3">
        <f t="shared" si="12"/>
        <v>0</v>
      </c>
      <c r="X73" s="3">
        <f t="shared" si="13"/>
        <v>0</v>
      </c>
      <c r="Y73" s="8"/>
      <c r="Z73" s="101" t="str">
        <f t="shared" si="24"/>
        <v/>
      </c>
      <c r="AA73" s="3">
        <f t="shared" si="25"/>
        <v>0</v>
      </c>
      <c r="AB73" s="3">
        <f t="shared" si="26"/>
        <v>0</v>
      </c>
      <c r="AC73" s="3">
        <f t="shared" si="14"/>
        <v>0.02</v>
      </c>
    </row>
    <row r="74" spans="1:29" x14ac:dyDescent="0.3">
      <c r="A74" s="3">
        <f>Cuartos!B45</f>
        <v>29</v>
      </c>
      <c r="B74" s="3">
        <f>Cuartos!D45</f>
        <v>0</v>
      </c>
      <c r="C74" s="4">
        <f>Cuartos!E45</f>
        <v>0</v>
      </c>
      <c r="D74" s="5">
        <f>Cuartos!H45</f>
        <v>0</v>
      </c>
      <c r="E74" s="14">
        <v>60</v>
      </c>
      <c r="G74" s="346"/>
      <c r="H74" s="347"/>
      <c r="I74" s="348"/>
      <c r="J74" s="7"/>
      <c r="K74" s="355" t="str">
        <f>""</f>
        <v/>
      </c>
      <c r="L74" s="285" t="str">
        <f t="shared" si="17"/>
        <v/>
      </c>
      <c r="M74" s="356" t="str">
        <f t="shared" si="18"/>
        <v/>
      </c>
      <c r="N74" s="8"/>
      <c r="O74" s="355" t="str">
        <f t="shared" si="19"/>
        <v xml:space="preserve"> </v>
      </c>
      <c r="P74" s="285" t="str">
        <f t="shared" si="20"/>
        <v/>
      </c>
      <c r="Q74" s="356" t="str">
        <f t="shared" si="21"/>
        <v/>
      </c>
      <c r="R74" s="8"/>
      <c r="S74" s="365" t="str">
        <f t="shared" si="22"/>
        <v/>
      </c>
      <c r="T74" s="366" t="str">
        <f t="shared" si="23"/>
        <v/>
      </c>
      <c r="U74" s="3">
        <f t="shared" si="10"/>
        <v>0</v>
      </c>
      <c r="V74" s="3">
        <f t="shared" si="11"/>
        <v>0</v>
      </c>
      <c r="W74" s="3">
        <f t="shared" si="12"/>
        <v>0</v>
      </c>
      <c r="X74" s="3">
        <f t="shared" si="13"/>
        <v>0</v>
      </c>
      <c r="Y74" s="8"/>
      <c r="Z74" s="102" t="str">
        <f t="shared" si="24"/>
        <v/>
      </c>
      <c r="AA74" s="3">
        <f t="shared" si="25"/>
        <v>0</v>
      </c>
      <c r="AB74" s="3">
        <f t="shared" si="26"/>
        <v>0</v>
      </c>
      <c r="AC74" s="3">
        <f t="shared" si="14"/>
        <v>0.02</v>
      </c>
    </row>
    <row r="75" spans="1:29" x14ac:dyDescent="0.3">
      <c r="A75" s="3">
        <f>Cuartos!B46</f>
        <v>30</v>
      </c>
      <c r="B75" s="3">
        <f>Cuartos!D46</f>
        <v>0</v>
      </c>
      <c r="C75" s="4">
        <f>Cuartos!E46</f>
        <v>0</v>
      </c>
      <c r="D75" s="5">
        <f>Cuartos!H46</f>
        <v>0</v>
      </c>
      <c r="E75" s="14">
        <v>61</v>
      </c>
      <c r="G75" s="340"/>
      <c r="H75" s="341"/>
      <c r="I75" s="342"/>
      <c r="J75" s="7"/>
      <c r="K75" s="351" t="str">
        <f>""</f>
        <v/>
      </c>
      <c r="L75" s="261" t="str">
        <f t="shared" si="17"/>
        <v/>
      </c>
      <c r="M75" s="352" t="str">
        <f t="shared" si="18"/>
        <v/>
      </c>
      <c r="N75" s="8"/>
      <c r="O75" s="351" t="str">
        <f t="shared" si="19"/>
        <v xml:space="preserve"> </v>
      </c>
      <c r="P75" s="261" t="str">
        <f t="shared" si="20"/>
        <v/>
      </c>
      <c r="Q75" s="352" t="str">
        <f t="shared" si="21"/>
        <v/>
      </c>
      <c r="R75" s="8"/>
      <c r="S75" s="361" t="str">
        <f t="shared" si="22"/>
        <v/>
      </c>
      <c r="T75" s="362" t="str">
        <f t="shared" si="23"/>
        <v/>
      </c>
      <c r="U75" s="3">
        <f t="shared" si="10"/>
        <v>0</v>
      </c>
      <c r="V75" s="3">
        <f t="shared" si="11"/>
        <v>0</v>
      </c>
      <c r="W75" s="3">
        <f t="shared" si="12"/>
        <v>0</v>
      </c>
      <c r="X75" s="3">
        <f t="shared" si="13"/>
        <v>0</v>
      </c>
      <c r="Y75" s="8"/>
      <c r="Z75" s="100" t="str">
        <f t="shared" si="24"/>
        <v/>
      </c>
      <c r="AA75" s="3">
        <f t="shared" si="25"/>
        <v>0</v>
      </c>
      <c r="AB75" s="3">
        <f t="shared" si="26"/>
        <v>0</v>
      </c>
      <c r="AC75" s="3">
        <f t="shared" si="14"/>
        <v>0.02</v>
      </c>
    </row>
    <row r="76" spans="1:29" x14ac:dyDescent="0.3">
      <c r="A76" s="3">
        <f>Cuartos!B47</f>
        <v>31</v>
      </c>
      <c r="B76" s="3">
        <f>Cuartos!D47</f>
        <v>0</v>
      </c>
      <c r="C76" s="4">
        <f>Cuartos!E47</f>
        <v>0</v>
      </c>
      <c r="D76" s="5">
        <f>Cuartos!H47</f>
        <v>0</v>
      </c>
      <c r="E76" s="14">
        <v>62</v>
      </c>
      <c r="G76" s="343"/>
      <c r="H76" s="344"/>
      <c r="I76" s="345"/>
      <c r="J76" s="7"/>
      <c r="K76" s="353" t="str">
        <f>""</f>
        <v/>
      </c>
      <c r="L76" s="273" t="str">
        <f t="shared" si="17"/>
        <v/>
      </c>
      <c r="M76" s="354" t="str">
        <f t="shared" si="18"/>
        <v/>
      </c>
      <c r="N76" s="8"/>
      <c r="O76" s="353" t="str">
        <f t="shared" si="19"/>
        <v xml:space="preserve"> </v>
      </c>
      <c r="P76" s="273" t="str">
        <f t="shared" si="20"/>
        <v/>
      </c>
      <c r="Q76" s="354" t="str">
        <f t="shared" si="21"/>
        <v/>
      </c>
      <c r="R76" s="8"/>
      <c r="S76" s="363" t="str">
        <f t="shared" si="22"/>
        <v/>
      </c>
      <c r="T76" s="364" t="str">
        <f t="shared" si="23"/>
        <v/>
      </c>
      <c r="U76" s="3">
        <f t="shared" si="10"/>
        <v>0</v>
      </c>
      <c r="V76" s="3">
        <f t="shared" si="11"/>
        <v>0</v>
      </c>
      <c r="W76" s="3">
        <f t="shared" si="12"/>
        <v>0</v>
      </c>
      <c r="X76" s="3">
        <f t="shared" si="13"/>
        <v>0</v>
      </c>
      <c r="Y76" s="8"/>
      <c r="Z76" s="101" t="str">
        <f t="shared" si="24"/>
        <v/>
      </c>
      <c r="AA76" s="3">
        <f t="shared" si="25"/>
        <v>0</v>
      </c>
      <c r="AB76" s="3">
        <f t="shared" si="26"/>
        <v>0</v>
      </c>
      <c r="AC76" s="3">
        <f t="shared" si="14"/>
        <v>0.02</v>
      </c>
    </row>
    <row r="77" spans="1:29" x14ac:dyDescent="0.3">
      <c r="A77" s="3">
        <f>Cuartos!B48</f>
        <v>32</v>
      </c>
      <c r="B77" s="3">
        <f>Cuartos!D48</f>
        <v>0</v>
      </c>
      <c r="C77" s="4">
        <f>Cuartos!E48</f>
        <v>0</v>
      </c>
      <c r="D77" s="5">
        <f>Cuartos!H48</f>
        <v>0</v>
      </c>
      <c r="E77" s="14">
        <v>63</v>
      </c>
      <c r="G77" s="346"/>
      <c r="H77" s="347"/>
      <c r="I77" s="348"/>
      <c r="J77" s="7"/>
      <c r="K77" s="355" t="str">
        <f>""</f>
        <v/>
      </c>
      <c r="L77" s="285" t="str">
        <f t="shared" si="17"/>
        <v/>
      </c>
      <c r="M77" s="356" t="str">
        <f t="shared" si="18"/>
        <v/>
      </c>
      <c r="N77" s="8"/>
      <c r="O77" s="355" t="str">
        <f t="shared" si="19"/>
        <v xml:space="preserve"> </v>
      </c>
      <c r="P77" s="285" t="str">
        <f t="shared" si="20"/>
        <v/>
      </c>
      <c r="Q77" s="356" t="str">
        <f t="shared" si="21"/>
        <v/>
      </c>
      <c r="R77" s="8"/>
      <c r="S77" s="365" t="str">
        <f t="shared" si="22"/>
        <v/>
      </c>
      <c r="T77" s="366" t="str">
        <f t="shared" si="23"/>
        <v/>
      </c>
      <c r="U77" s="3">
        <f t="shared" si="10"/>
        <v>0</v>
      </c>
      <c r="V77" s="3">
        <f t="shared" si="11"/>
        <v>0</v>
      </c>
      <c r="W77" s="3">
        <f t="shared" si="12"/>
        <v>0</v>
      </c>
      <c r="X77" s="3">
        <f t="shared" si="13"/>
        <v>0</v>
      </c>
      <c r="Y77" s="8"/>
      <c r="Z77" s="102" t="str">
        <f t="shared" si="24"/>
        <v/>
      </c>
      <c r="AA77" s="3">
        <f t="shared" si="25"/>
        <v>0</v>
      </c>
      <c r="AB77" s="3">
        <f t="shared" si="26"/>
        <v>0</v>
      </c>
      <c r="AC77" s="3">
        <f t="shared" si="14"/>
        <v>0.02</v>
      </c>
    </row>
    <row r="78" spans="1:29" x14ac:dyDescent="0.3">
      <c r="A78" s="3">
        <f>Cuartos!B49</f>
        <v>33</v>
      </c>
      <c r="B78" s="3">
        <f>Cuartos!D49</f>
        <v>0</v>
      </c>
      <c r="C78" s="4">
        <f>Cuartos!E49</f>
        <v>0</v>
      </c>
      <c r="D78" s="5">
        <f>Cuartos!H49</f>
        <v>0</v>
      </c>
      <c r="E78" s="14">
        <v>64</v>
      </c>
      <c r="G78" s="340"/>
      <c r="H78" s="341"/>
      <c r="I78" s="342"/>
      <c r="J78" s="7"/>
      <c r="K78" s="351" t="str">
        <f>""</f>
        <v/>
      </c>
      <c r="L78" s="261" t="str">
        <f t="shared" si="17"/>
        <v/>
      </c>
      <c r="M78" s="352" t="str">
        <f t="shared" si="18"/>
        <v/>
      </c>
      <c r="N78" s="8"/>
      <c r="O78" s="351" t="str">
        <f t="shared" si="19"/>
        <v xml:space="preserve"> </v>
      </c>
      <c r="P78" s="261" t="str">
        <f t="shared" si="20"/>
        <v/>
      </c>
      <c r="Q78" s="352" t="str">
        <f t="shared" si="21"/>
        <v/>
      </c>
      <c r="R78" s="8"/>
      <c r="S78" s="361" t="str">
        <f t="shared" si="22"/>
        <v/>
      </c>
      <c r="T78" s="362" t="str">
        <f t="shared" si="23"/>
        <v/>
      </c>
      <c r="U78" s="3">
        <f t="shared" si="10"/>
        <v>0</v>
      </c>
      <c r="V78" s="3">
        <f t="shared" si="11"/>
        <v>0</v>
      </c>
      <c r="W78" s="3">
        <f t="shared" si="12"/>
        <v>0</v>
      </c>
      <c r="X78" s="3">
        <f t="shared" si="13"/>
        <v>0</v>
      </c>
      <c r="Y78" s="8"/>
      <c r="Z78" s="100" t="str">
        <f t="shared" si="24"/>
        <v/>
      </c>
      <c r="AA78" s="3">
        <f t="shared" si="25"/>
        <v>0</v>
      </c>
      <c r="AB78" s="3">
        <f t="shared" si="26"/>
        <v>0</v>
      </c>
      <c r="AC78" s="3">
        <f t="shared" si="14"/>
        <v>0.02</v>
      </c>
    </row>
    <row r="79" spans="1:29" x14ac:dyDescent="0.3">
      <c r="A79" s="3">
        <f>Cuartos!B50</f>
        <v>34</v>
      </c>
      <c r="B79" s="3">
        <f>Cuartos!D50</f>
        <v>0</v>
      </c>
      <c r="C79" s="4">
        <f>Cuartos!E50</f>
        <v>0</v>
      </c>
      <c r="D79" s="5">
        <f>Cuartos!H50</f>
        <v>0</v>
      </c>
      <c r="E79" s="14">
        <v>65</v>
      </c>
      <c r="G79" s="343"/>
      <c r="H79" s="344"/>
      <c r="I79" s="345"/>
      <c r="J79" s="7"/>
      <c r="K79" s="353" t="str">
        <f>""</f>
        <v/>
      </c>
      <c r="L79" s="273" t="str">
        <f t="shared" ref="L79:L110" si="27">IF(ISERROR(VLOOKUP(K79,PRESIONES,2,FALSE)),"",VLOOKUP(K79,PRESIONES,2,FALSE))</f>
        <v/>
      </c>
      <c r="M79" s="354" t="str">
        <f t="shared" ref="M79:M114" si="28">IF(ISERROR(VLOOKUP(K79,PRESIONES,3,FALSE)),"",VLOOKUP(K79,PRESIONES,3,FALSE))</f>
        <v/>
      </c>
      <c r="N79" s="8"/>
      <c r="O79" s="353" t="str">
        <f t="shared" ref="O79:O114" si="29">" "</f>
        <v xml:space="preserve"> </v>
      </c>
      <c r="P79" s="273" t="str">
        <f t="shared" ref="P79:P110" si="30">IF(ISERROR(VLOOKUP(O79,PRESIONES,2,FALSE)),"",VLOOKUP(O79,PRESIONES,2,FALSE))</f>
        <v/>
      </c>
      <c r="Q79" s="354" t="str">
        <f t="shared" ref="Q79:Q114" si="31">IF(ISERROR(VLOOKUP(O79,PRESIONES,3,FALSE)),"",VLOOKUP(O79,PRESIONES,3,FALSE))</f>
        <v/>
      </c>
      <c r="R79" s="8"/>
      <c r="S79" s="363" t="str">
        <f t="shared" ref="S79:S114" si="32">IFERROR(SIGN(Q79-M79)*CEILING(ABS((((H79*2)+(I79*(G79+1)))/1000)*$S$7*10.76*$V$6*SQRT(MAX(M79,Q79))),$S$4),"")</f>
        <v/>
      </c>
      <c r="T79" s="364" t="str">
        <f t="shared" ref="T79:T114" si="33">IFERROR(SIGN(M79-Q79)*CEILING(ABS((((H79*2)+(I79*(G79+1)))/1000)*$S$7*10.76*$V$6*SQRT(MAX(M79,Q79))),$S$4),"")</f>
        <v/>
      </c>
      <c r="U79" s="3">
        <f t="shared" si="10"/>
        <v>0</v>
      </c>
      <c r="V79" s="3">
        <f t="shared" si="11"/>
        <v>0</v>
      </c>
      <c r="W79" s="3">
        <f t="shared" si="12"/>
        <v>0</v>
      </c>
      <c r="X79" s="3">
        <f t="shared" si="13"/>
        <v>0</v>
      </c>
      <c r="Y79" s="8"/>
      <c r="Z79" s="101" t="str">
        <f t="shared" ref="Z79:Z114" si="34">IFERROR(ABS(M79-Q79),"")</f>
        <v/>
      </c>
      <c r="AA79" s="3">
        <f t="shared" ref="AA79:AA114" si="35">IF(ISERROR(VLOOKUP(K79,PRESIONES,4,FALSE)),0,VLOOKUP(K79,PRESIONES,4,FALSE))</f>
        <v>0</v>
      </c>
      <c r="AB79" s="3">
        <f t="shared" ref="AB79:AB114" si="36">IF(ISERROR(VLOOKUP(O79,PRESIONES,4,FALSE)),0,VLOOKUP(O79,PRESIONES,4,FALSE))</f>
        <v>0</v>
      </c>
      <c r="AC79" s="3">
        <f t="shared" si="14"/>
        <v>0.02</v>
      </c>
    </row>
    <row r="80" spans="1:29" x14ac:dyDescent="0.3">
      <c r="A80" s="3">
        <f>Cuartos!B51</f>
        <v>35</v>
      </c>
      <c r="B80" s="3">
        <f>Cuartos!D51</f>
        <v>0</v>
      </c>
      <c r="C80" s="4">
        <f>Cuartos!E51</f>
        <v>0</v>
      </c>
      <c r="D80" s="5">
        <f>Cuartos!H51</f>
        <v>0</v>
      </c>
      <c r="E80" s="14">
        <v>66</v>
      </c>
      <c r="G80" s="346"/>
      <c r="H80" s="347"/>
      <c r="I80" s="348"/>
      <c r="J80" s="7"/>
      <c r="K80" s="355" t="str">
        <f>""</f>
        <v/>
      </c>
      <c r="L80" s="285" t="str">
        <f t="shared" si="27"/>
        <v/>
      </c>
      <c r="M80" s="356" t="str">
        <f t="shared" si="28"/>
        <v/>
      </c>
      <c r="N80" s="8"/>
      <c r="O80" s="355" t="str">
        <f t="shared" si="29"/>
        <v xml:space="preserve"> </v>
      </c>
      <c r="P80" s="285" t="str">
        <f t="shared" si="30"/>
        <v/>
      </c>
      <c r="Q80" s="356" t="str">
        <f t="shared" si="31"/>
        <v/>
      </c>
      <c r="R80" s="8"/>
      <c r="S80" s="365" t="str">
        <f t="shared" si="32"/>
        <v/>
      </c>
      <c r="T80" s="366" t="str">
        <f t="shared" si="33"/>
        <v/>
      </c>
      <c r="U80" s="3">
        <f t="shared" ref="U80:U114" si="37">IFERROR(IF(SIGN(S80)=1,S80,0),0)</f>
        <v>0</v>
      </c>
      <c r="V80" s="3">
        <f t="shared" ref="V80:V114" si="38">IFERROR(IF(SIGN(S80)=-1,S80,0),0)</f>
        <v>0</v>
      </c>
      <c r="W80" s="3">
        <f t="shared" ref="W80:W114" si="39">IFERROR(IF(SIGN(T80)=1,T80,0),0)</f>
        <v>0</v>
      </c>
      <c r="X80" s="3">
        <f t="shared" ref="X80:X114" si="40">IFERROR(IF(SIGN(T80)=-1,T80,0),0)</f>
        <v>0</v>
      </c>
      <c r="Y80" s="8"/>
      <c r="Z80" s="102" t="str">
        <f t="shared" si="34"/>
        <v/>
      </c>
      <c r="AA80" s="3">
        <f t="shared" si="35"/>
        <v>0</v>
      </c>
      <c r="AB80" s="3">
        <f t="shared" si="36"/>
        <v>0</v>
      </c>
      <c r="AC80" s="3">
        <f t="shared" ref="AC80:AC114" si="41">IF(AND(EXACT(AA80,AB80),NOT(EXACT(AA80,0)),NOT(EXACT(AB80,0))),0.02,IF(AND(NOT(EXACT(AA80,AB80)),NOT(EXACT(AA80,0)),NOT(EXACT(AB80,0))),0.05,0.02))</f>
        <v>0.02</v>
      </c>
    </row>
    <row r="81" spans="1:29" x14ac:dyDescent="0.3">
      <c r="A81" s="3">
        <f>Cuartos!B52</f>
        <v>36</v>
      </c>
      <c r="B81" s="3">
        <f>Cuartos!D52</f>
        <v>0</v>
      </c>
      <c r="C81" s="4">
        <f>Cuartos!E52</f>
        <v>0</v>
      </c>
      <c r="D81" s="5">
        <f>Cuartos!H52</f>
        <v>0</v>
      </c>
      <c r="E81" s="14">
        <v>67</v>
      </c>
      <c r="G81" s="340"/>
      <c r="H81" s="341"/>
      <c r="I81" s="342"/>
      <c r="J81" s="7"/>
      <c r="K81" s="351" t="str">
        <f>""</f>
        <v/>
      </c>
      <c r="L81" s="261" t="str">
        <f t="shared" si="27"/>
        <v/>
      </c>
      <c r="M81" s="352" t="str">
        <f t="shared" si="28"/>
        <v/>
      </c>
      <c r="N81" s="8"/>
      <c r="O81" s="351" t="str">
        <f t="shared" si="29"/>
        <v xml:space="preserve"> </v>
      </c>
      <c r="P81" s="261" t="str">
        <f t="shared" si="30"/>
        <v/>
      </c>
      <c r="Q81" s="352" t="str">
        <f t="shared" si="31"/>
        <v/>
      </c>
      <c r="R81" s="8"/>
      <c r="S81" s="361" t="str">
        <f t="shared" si="32"/>
        <v/>
      </c>
      <c r="T81" s="362" t="str">
        <f t="shared" si="33"/>
        <v/>
      </c>
      <c r="U81" s="3">
        <f t="shared" si="37"/>
        <v>0</v>
      </c>
      <c r="V81" s="3">
        <f t="shared" si="38"/>
        <v>0</v>
      </c>
      <c r="W81" s="3">
        <f t="shared" si="39"/>
        <v>0</v>
      </c>
      <c r="X81" s="3">
        <f t="shared" si="40"/>
        <v>0</v>
      </c>
      <c r="Y81" s="8"/>
      <c r="Z81" s="100" t="str">
        <f t="shared" si="34"/>
        <v/>
      </c>
      <c r="AA81" s="3">
        <f t="shared" si="35"/>
        <v>0</v>
      </c>
      <c r="AB81" s="3">
        <f t="shared" si="36"/>
        <v>0</v>
      </c>
      <c r="AC81" s="3">
        <f t="shared" si="41"/>
        <v>0.02</v>
      </c>
    </row>
    <row r="82" spans="1:29" x14ac:dyDescent="0.3">
      <c r="A82" s="3">
        <f>Cuartos!B53</f>
        <v>37</v>
      </c>
      <c r="B82" s="3">
        <f>Cuartos!D53</f>
        <v>0</v>
      </c>
      <c r="C82" s="4">
        <f>Cuartos!E53</f>
        <v>0</v>
      </c>
      <c r="D82" s="5">
        <f>Cuartos!H53</f>
        <v>0</v>
      </c>
      <c r="E82" s="14">
        <v>68</v>
      </c>
      <c r="G82" s="343"/>
      <c r="H82" s="344"/>
      <c r="I82" s="345"/>
      <c r="J82" s="7"/>
      <c r="K82" s="353" t="str">
        <f>""</f>
        <v/>
      </c>
      <c r="L82" s="273" t="str">
        <f t="shared" si="27"/>
        <v/>
      </c>
      <c r="M82" s="354" t="str">
        <f t="shared" si="28"/>
        <v/>
      </c>
      <c r="N82" s="8"/>
      <c r="O82" s="353" t="str">
        <f t="shared" si="29"/>
        <v xml:space="preserve"> </v>
      </c>
      <c r="P82" s="273" t="str">
        <f t="shared" si="30"/>
        <v/>
      </c>
      <c r="Q82" s="354" t="str">
        <f t="shared" si="31"/>
        <v/>
      </c>
      <c r="R82" s="8"/>
      <c r="S82" s="363" t="str">
        <f t="shared" si="32"/>
        <v/>
      </c>
      <c r="T82" s="364" t="str">
        <f t="shared" si="33"/>
        <v/>
      </c>
      <c r="U82" s="3">
        <f t="shared" si="37"/>
        <v>0</v>
      </c>
      <c r="V82" s="3">
        <f t="shared" si="38"/>
        <v>0</v>
      </c>
      <c r="W82" s="3">
        <f t="shared" si="39"/>
        <v>0</v>
      </c>
      <c r="X82" s="3">
        <f t="shared" si="40"/>
        <v>0</v>
      </c>
      <c r="Y82" s="8"/>
      <c r="Z82" s="101" t="str">
        <f t="shared" si="34"/>
        <v/>
      </c>
      <c r="AA82" s="3">
        <f t="shared" si="35"/>
        <v>0</v>
      </c>
      <c r="AB82" s="3">
        <f t="shared" si="36"/>
        <v>0</v>
      </c>
      <c r="AC82" s="3">
        <f t="shared" si="41"/>
        <v>0.02</v>
      </c>
    </row>
    <row r="83" spans="1:29" x14ac:dyDescent="0.3">
      <c r="A83" s="3">
        <f>Cuartos!B54</f>
        <v>38</v>
      </c>
      <c r="B83" s="3">
        <f>Cuartos!D54</f>
        <v>0</v>
      </c>
      <c r="C83" s="4">
        <f>Cuartos!E54</f>
        <v>0</v>
      </c>
      <c r="D83" s="5">
        <f>Cuartos!H54</f>
        <v>0</v>
      </c>
      <c r="E83" s="14">
        <v>69</v>
      </c>
      <c r="G83" s="346"/>
      <c r="H83" s="347"/>
      <c r="I83" s="348"/>
      <c r="J83" s="7"/>
      <c r="K83" s="355" t="str">
        <f>""</f>
        <v/>
      </c>
      <c r="L83" s="285" t="str">
        <f t="shared" si="27"/>
        <v/>
      </c>
      <c r="M83" s="356" t="str">
        <f t="shared" si="28"/>
        <v/>
      </c>
      <c r="N83" s="8"/>
      <c r="O83" s="355" t="str">
        <f t="shared" si="29"/>
        <v xml:space="preserve"> </v>
      </c>
      <c r="P83" s="285" t="str">
        <f t="shared" si="30"/>
        <v/>
      </c>
      <c r="Q83" s="356" t="str">
        <f t="shared" si="31"/>
        <v/>
      </c>
      <c r="R83" s="8"/>
      <c r="S83" s="365" t="str">
        <f t="shared" si="32"/>
        <v/>
      </c>
      <c r="T83" s="366" t="str">
        <f t="shared" si="33"/>
        <v/>
      </c>
      <c r="U83" s="3">
        <f t="shared" si="37"/>
        <v>0</v>
      </c>
      <c r="V83" s="3">
        <f t="shared" si="38"/>
        <v>0</v>
      </c>
      <c r="W83" s="3">
        <f t="shared" si="39"/>
        <v>0</v>
      </c>
      <c r="X83" s="3">
        <f t="shared" si="40"/>
        <v>0</v>
      </c>
      <c r="Y83" s="8"/>
      <c r="Z83" s="102" t="str">
        <f t="shared" si="34"/>
        <v/>
      </c>
      <c r="AA83" s="3">
        <f t="shared" si="35"/>
        <v>0</v>
      </c>
      <c r="AB83" s="3">
        <f t="shared" si="36"/>
        <v>0</v>
      </c>
      <c r="AC83" s="3">
        <f t="shared" si="41"/>
        <v>0.02</v>
      </c>
    </row>
    <row r="84" spans="1:29" x14ac:dyDescent="0.3">
      <c r="A84" s="3">
        <f>Cuartos!B55</f>
        <v>39</v>
      </c>
      <c r="B84" s="3">
        <f>Cuartos!D55</f>
        <v>0</v>
      </c>
      <c r="C84" s="4">
        <f>Cuartos!E55</f>
        <v>0</v>
      </c>
      <c r="D84" s="5">
        <f>Cuartos!H55</f>
        <v>0</v>
      </c>
      <c r="E84" s="14">
        <v>70</v>
      </c>
      <c r="G84" s="340"/>
      <c r="H84" s="341"/>
      <c r="I84" s="342"/>
      <c r="J84" s="7"/>
      <c r="K84" s="351" t="str">
        <f>""</f>
        <v/>
      </c>
      <c r="L84" s="261" t="str">
        <f t="shared" si="27"/>
        <v/>
      </c>
      <c r="M84" s="352" t="str">
        <f t="shared" si="28"/>
        <v/>
      </c>
      <c r="N84" s="8"/>
      <c r="O84" s="351" t="str">
        <f t="shared" si="29"/>
        <v xml:space="preserve"> </v>
      </c>
      <c r="P84" s="261" t="str">
        <f t="shared" si="30"/>
        <v/>
      </c>
      <c r="Q84" s="352" t="str">
        <f t="shared" si="31"/>
        <v/>
      </c>
      <c r="R84" s="8"/>
      <c r="S84" s="361" t="str">
        <f t="shared" si="32"/>
        <v/>
      </c>
      <c r="T84" s="362" t="str">
        <f t="shared" si="33"/>
        <v/>
      </c>
      <c r="U84" s="3">
        <f t="shared" si="37"/>
        <v>0</v>
      </c>
      <c r="V84" s="3">
        <f t="shared" si="38"/>
        <v>0</v>
      </c>
      <c r="W84" s="3">
        <f t="shared" si="39"/>
        <v>0</v>
      </c>
      <c r="X84" s="3">
        <f t="shared" si="40"/>
        <v>0</v>
      </c>
      <c r="Y84" s="8"/>
      <c r="Z84" s="100" t="str">
        <f t="shared" si="34"/>
        <v/>
      </c>
      <c r="AA84" s="3">
        <f t="shared" si="35"/>
        <v>0</v>
      </c>
      <c r="AB84" s="3">
        <f t="shared" si="36"/>
        <v>0</v>
      </c>
      <c r="AC84" s="3">
        <f t="shared" si="41"/>
        <v>0.02</v>
      </c>
    </row>
    <row r="85" spans="1:29" x14ac:dyDescent="0.3">
      <c r="A85" s="3">
        <f>Cuartos!B56</f>
        <v>40</v>
      </c>
      <c r="B85" s="3">
        <f>Cuartos!D56</f>
        <v>0</v>
      </c>
      <c r="C85" s="4">
        <f>Cuartos!E56</f>
        <v>0</v>
      </c>
      <c r="D85" s="5">
        <f>Cuartos!H56</f>
        <v>0</v>
      </c>
      <c r="E85" s="14">
        <v>71</v>
      </c>
      <c r="G85" s="343"/>
      <c r="H85" s="344"/>
      <c r="I85" s="345"/>
      <c r="J85" s="7"/>
      <c r="K85" s="353" t="str">
        <f>""</f>
        <v/>
      </c>
      <c r="L85" s="273" t="str">
        <f t="shared" si="27"/>
        <v/>
      </c>
      <c r="M85" s="354" t="str">
        <f t="shared" si="28"/>
        <v/>
      </c>
      <c r="N85" s="8"/>
      <c r="O85" s="353" t="str">
        <f t="shared" si="29"/>
        <v xml:space="preserve"> </v>
      </c>
      <c r="P85" s="273" t="str">
        <f t="shared" si="30"/>
        <v/>
      </c>
      <c r="Q85" s="354" t="str">
        <f t="shared" si="31"/>
        <v/>
      </c>
      <c r="R85" s="8"/>
      <c r="S85" s="363" t="str">
        <f t="shared" si="32"/>
        <v/>
      </c>
      <c r="T85" s="364" t="str">
        <f t="shared" si="33"/>
        <v/>
      </c>
      <c r="U85" s="3">
        <f t="shared" si="37"/>
        <v>0</v>
      </c>
      <c r="V85" s="3">
        <f t="shared" si="38"/>
        <v>0</v>
      </c>
      <c r="W85" s="3">
        <f t="shared" si="39"/>
        <v>0</v>
      </c>
      <c r="X85" s="3">
        <f t="shared" si="40"/>
        <v>0</v>
      </c>
      <c r="Y85" s="8"/>
      <c r="Z85" s="101" t="str">
        <f t="shared" si="34"/>
        <v/>
      </c>
      <c r="AA85" s="3">
        <f t="shared" si="35"/>
        <v>0</v>
      </c>
      <c r="AB85" s="3">
        <f t="shared" si="36"/>
        <v>0</v>
      </c>
      <c r="AC85" s="3">
        <f t="shared" si="41"/>
        <v>0.02</v>
      </c>
    </row>
    <row r="86" spans="1:29" x14ac:dyDescent="0.3">
      <c r="A86" s="3">
        <f>Cuartos!B57</f>
        <v>41</v>
      </c>
      <c r="B86" s="3">
        <f>Cuartos!D57</f>
        <v>0</v>
      </c>
      <c r="C86" s="4">
        <f>Cuartos!E57</f>
        <v>0</v>
      </c>
      <c r="D86" s="5">
        <f>Cuartos!H57</f>
        <v>0</v>
      </c>
      <c r="E86" s="14">
        <v>72</v>
      </c>
      <c r="G86" s="346"/>
      <c r="H86" s="347"/>
      <c r="I86" s="348"/>
      <c r="J86" s="7"/>
      <c r="K86" s="355" t="str">
        <f>""</f>
        <v/>
      </c>
      <c r="L86" s="285" t="str">
        <f t="shared" si="27"/>
        <v/>
      </c>
      <c r="M86" s="356" t="str">
        <f t="shared" si="28"/>
        <v/>
      </c>
      <c r="N86" s="8"/>
      <c r="O86" s="355" t="str">
        <f t="shared" si="29"/>
        <v xml:space="preserve"> </v>
      </c>
      <c r="P86" s="285" t="str">
        <f t="shared" si="30"/>
        <v/>
      </c>
      <c r="Q86" s="356" t="str">
        <f t="shared" si="31"/>
        <v/>
      </c>
      <c r="R86" s="8"/>
      <c r="S86" s="365" t="str">
        <f t="shared" si="32"/>
        <v/>
      </c>
      <c r="T86" s="366" t="str">
        <f t="shared" si="33"/>
        <v/>
      </c>
      <c r="U86" s="3">
        <f t="shared" si="37"/>
        <v>0</v>
      </c>
      <c r="V86" s="3">
        <f t="shared" si="38"/>
        <v>0</v>
      </c>
      <c r="W86" s="3">
        <f t="shared" si="39"/>
        <v>0</v>
      </c>
      <c r="X86" s="3">
        <f t="shared" si="40"/>
        <v>0</v>
      </c>
      <c r="Y86" s="8"/>
      <c r="Z86" s="102" t="str">
        <f t="shared" si="34"/>
        <v/>
      </c>
      <c r="AA86" s="3">
        <f t="shared" si="35"/>
        <v>0</v>
      </c>
      <c r="AB86" s="3">
        <f t="shared" si="36"/>
        <v>0</v>
      </c>
      <c r="AC86" s="3">
        <f t="shared" si="41"/>
        <v>0.02</v>
      </c>
    </row>
    <row r="87" spans="1:29" x14ac:dyDescent="0.3">
      <c r="A87" s="3">
        <f>Cuartos!B58</f>
        <v>42</v>
      </c>
      <c r="B87" s="3">
        <f>Cuartos!D58</f>
        <v>0</v>
      </c>
      <c r="C87" s="4">
        <f>Cuartos!E58</f>
        <v>0</v>
      </c>
      <c r="D87" s="5">
        <f>Cuartos!H58</f>
        <v>0</v>
      </c>
      <c r="E87" s="14">
        <v>73</v>
      </c>
      <c r="G87" s="340"/>
      <c r="H87" s="341"/>
      <c r="I87" s="342"/>
      <c r="J87" s="7"/>
      <c r="K87" s="351" t="str">
        <f>""</f>
        <v/>
      </c>
      <c r="L87" s="261" t="str">
        <f t="shared" si="27"/>
        <v/>
      </c>
      <c r="M87" s="352" t="str">
        <f t="shared" si="28"/>
        <v/>
      </c>
      <c r="N87" s="8"/>
      <c r="O87" s="351" t="str">
        <f t="shared" si="29"/>
        <v xml:space="preserve"> </v>
      </c>
      <c r="P87" s="261" t="str">
        <f t="shared" si="30"/>
        <v/>
      </c>
      <c r="Q87" s="352" t="str">
        <f t="shared" si="31"/>
        <v/>
      </c>
      <c r="R87" s="8"/>
      <c r="S87" s="361" t="str">
        <f t="shared" si="32"/>
        <v/>
      </c>
      <c r="T87" s="362" t="str">
        <f t="shared" si="33"/>
        <v/>
      </c>
      <c r="U87" s="3">
        <f t="shared" si="37"/>
        <v>0</v>
      </c>
      <c r="V87" s="3">
        <f t="shared" si="38"/>
        <v>0</v>
      </c>
      <c r="W87" s="3">
        <f t="shared" si="39"/>
        <v>0</v>
      </c>
      <c r="X87" s="3">
        <f t="shared" si="40"/>
        <v>0</v>
      </c>
      <c r="Y87" s="8"/>
      <c r="Z87" s="100" t="str">
        <f t="shared" si="34"/>
        <v/>
      </c>
      <c r="AA87" s="3">
        <f t="shared" si="35"/>
        <v>0</v>
      </c>
      <c r="AB87" s="3">
        <f t="shared" si="36"/>
        <v>0</v>
      </c>
      <c r="AC87" s="3">
        <f t="shared" si="41"/>
        <v>0.02</v>
      </c>
    </row>
    <row r="88" spans="1:29" x14ac:dyDescent="0.3">
      <c r="A88" s="3">
        <f>Cuartos!B59</f>
        <v>43</v>
      </c>
      <c r="B88" s="3">
        <f>Cuartos!D59</f>
        <v>0</v>
      </c>
      <c r="C88" s="4">
        <f>Cuartos!E59</f>
        <v>0</v>
      </c>
      <c r="D88" s="5">
        <f>Cuartos!H59</f>
        <v>0</v>
      </c>
      <c r="E88" s="14">
        <v>74</v>
      </c>
      <c r="G88" s="343"/>
      <c r="H88" s="344"/>
      <c r="I88" s="345"/>
      <c r="J88" s="7"/>
      <c r="K88" s="353" t="str">
        <f>""</f>
        <v/>
      </c>
      <c r="L88" s="273" t="str">
        <f t="shared" si="27"/>
        <v/>
      </c>
      <c r="M88" s="354" t="str">
        <f t="shared" si="28"/>
        <v/>
      </c>
      <c r="N88" s="8"/>
      <c r="O88" s="353" t="str">
        <f t="shared" si="29"/>
        <v xml:space="preserve"> </v>
      </c>
      <c r="P88" s="273" t="str">
        <f t="shared" si="30"/>
        <v/>
      </c>
      <c r="Q88" s="354" t="str">
        <f t="shared" si="31"/>
        <v/>
      </c>
      <c r="R88" s="8"/>
      <c r="S88" s="363" t="str">
        <f t="shared" si="32"/>
        <v/>
      </c>
      <c r="T88" s="364" t="str">
        <f t="shared" si="33"/>
        <v/>
      </c>
      <c r="U88" s="3">
        <f t="shared" si="37"/>
        <v>0</v>
      </c>
      <c r="V88" s="3">
        <f t="shared" si="38"/>
        <v>0</v>
      </c>
      <c r="W88" s="3">
        <f t="shared" si="39"/>
        <v>0</v>
      </c>
      <c r="X88" s="3">
        <f t="shared" si="40"/>
        <v>0</v>
      </c>
      <c r="Y88" s="8"/>
      <c r="Z88" s="101" t="str">
        <f t="shared" si="34"/>
        <v/>
      </c>
      <c r="AA88" s="3">
        <f t="shared" si="35"/>
        <v>0</v>
      </c>
      <c r="AB88" s="3">
        <f t="shared" si="36"/>
        <v>0</v>
      </c>
      <c r="AC88" s="3">
        <f t="shared" si="41"/>
        <v>0.02</v>
      </c>
    </row>
    <row r="89" spans="1:29" x14ac:dyDescent="0.3">
      <c r="A89" s="3">
        <f>Cuartos!B60</f>
        <v>44</v>
      </c>
      <c r="B89" s="3">
        <f>Cuartos!D60</f>
        <v>0</v>
      </c>
      <c r="C89" s="4">
        <f>Cuartos!E60</f>
        <v>0</v>
      </c>
      <c r="D89" s="5">
        <f>Cuartos!H60</f>
        <v>0</v>
      </c>
      <c r="E89" s="14">
        <v>75</v>
      </c>
      <c r="G89" s="346"/>
      <c r="H89" s="347"/>
      <c r="I89" s="348"/>
      <c r="J89" s="7"/>
      <c r="K89" s="355" t="str">
        <f>""</f>
        <v/>
      </c>
      <c r="L89" s="285" t="str">
        <f t="shared" si="27"/>
        <v/>
      </c>
      <c r="M89" s="356" t="str">
        <f t="shared" si="28"/>
        <v/>
      </c>
      <c r="N89" s="8"/>
      <c r="O89" s="355" t="str">
        <f t="shared" si="29"/>
        <v xml:space="preserve"> </v>
      </c>
      <c r="P89" s="285" t="str">
        <f t="shared" si="30"/>
        <v/>
      </c>
      <c r="Q89" s="356" t="str">
        <f t="shared" si="31"/>
        <v/>
      </c>
      <c r="R89" s="8"/>
      <c r="S89" s="365" t="str">
        <f t="shared" si="32"/>
        <v/>
      </c>
      <c r="T89" s="366" t="str">
        <f t="shared" si="33"/>
        <v/>
      </c>
      <c r="U89" s="3">
        <f t="shared" si="37"/>
        <v>0</v>
      </c>
      <c r="V89" s="3">
        <f t="shared" si="38"/>
        <v>0</v>
      </c>
      <c r="W89" s="3">
        <f t="shared" si="39"/>
        <v>0</v>
      </c>
      <c r="X89" s="3">
        <f t="shared" si="40"/>
        <v>0</v>
      </c>
      <c r="Y89" s="8"/>
      <c r="Z89" s="102" t="str">
        <f t="shared" si="34"/>
        <v/>
      </c>
      <c r="AA89" s="3">
        <f t="shared" si="35"/>
        <v>0</v>
      </c>
      <c r="AB89" s="3">
        <f t="shared" si="36"/>
        <v>0</v>
      </c>
      <c r="AC89" s="3">
        <f t="shared" si="41"/>
        <v>0.02</v>
      </c>
    </row>
    <row r="90" spans="1:29" x14ac:dyDescent="0.3">
      <c r="A90" s="3">
        <f>Cuartos!B61</f>
        <v>45</v>
      </c>
      <c r="B90" s="3">
        <f>Cuartos!D61</f>
        <v>0</v>
      </c>
      <c r="C90" s="4">
        <f>Cuartos!E61</f>
        <v>0</v>
      </c>
      <c r="D90" s="5">
        <f>Cuartos!H61</f>
        <v>0</v>
      </c>
      <c r="E90" s="14">
        <v>76</v>
      </c>
      <c r="G90" s="340"/>
      <c r="H90" s="341"/>
      <c r="I90" s="342"/>
      <c r="J90" s="7"/>
      <c r="K90" s="351" t="str">
        <f>""</f>
        <v/>
      </c>
      <c r="L90" s="261" t="str">
        <f t="shared" si="27"/>
        <v/>
      </c>
      <c r="M90" s="352" t="str">
        <f t="shared" si="28"/>
        <v/>
      </c>
      <c r="N90" s="8"/>
      <c r="O90" s="351" t="str">
        <f t="shared" si="29"/>
        <v xml:space="preserve"> </v>
      </c>
      <c r="P90" s="261" t="str">
        <f t="shared" si="30"/>
        <v/>
      </c>
      <c r="Q90" s="352" t="str">
        <f t="shared" si="31"/>
        <v/>
      </c>
      <c r="R90" s="8"/>
      <c r="S90" s="361" t="str">
        <f t="shared" si="32"/>
        <v/>
      </c>
      <c r="T90" s="362" t="str">
        <f t="shared" si="33"/>
        <v/>
      </c>
      <c r="U90" s="3">
        <f t="shared" si="37"/>
        <v>0</v>
      </c>
      <c r="V90" s="3">
        <f t="shared" si="38"/>
        <v>0</v>
      </c>
      <c r="W90" s="3">
        <f t="shared" si="39"/>
        <v>0</v>
      </c>
      <c r="X90" s="3">
        <f t="shared" si="40"/>
        <v>0</v>
      </c>
      <c r="Y90" s="8"/>
      <c r="Z90" s="100" t="str">
        <f t="shared" si="34"/>
        <v/>
      </c>
      <c r="AA90" s="3">
        <f t="shared" si="35"/>
        <v>0</v>
      </c>
      <c r="AB90" s="3">
        <f t="shared" si="36"/>
        <v>0</v>
      </c>
      <c r="AC90" s="3">
        <f t="shared" si="41"/>
        <v>0.02</v>
      </c>
    </row>
    <row r="91" spans="1:29" x14ac:dyDescent="0.3">
      <c r="A91" s="3">
        <f>Cuartos!B62</f>
        <v>46</v>
      </c>
      <c r="B91" s="3">
        <f>Cuartos!D62</f>
        <v>0</v>
      </c>
      <c r="C91" s="4">
        <f>Cuartos!E62</f>
        <v>0</v>
      </c>
      <c r="D91" s="5">
        <f>Cuartos!H62</f>
        <v>0</v>
      </c>
      <c r="E91" s="14">
        <v>77</v>
      </c>
      <c r="G91" s="343"/>
      <c r="H91" s="344"/>
      <c r="I91" s="345"/>
      <c r="J91" s="7"/>
      <c r="K91" s="353" t="str">
        <f>""</f>
        <v/>
      </c>
      <c r="L91" s="273" t="str">
        <f t="shared" si="27"/>
        <v/>
      </c>
      <c r="M91" s="354" t="str">
        <f t="shared" si="28"/>
        <v/>
      </c>
      <c r="N91" s="8"/>
      <c r="O91" s="353" t="str">
        <f t="shared" si="29"/>
        <v xml:space="preserve"> </v>
      </c>
      <c r="P91" s="273" t="str">
        <f t="shared" si="30"/>
        <v/>
      </c>
      <c r="Q91" s="354" t="str">
        <f t="shared" si="31"/>
        <v/>
      </c>
      <c r="R91" s="8"/>
      <c r="S91" s="363" t="str">
        <f t="shared" si="32"/>
        <v/>
      </c>
      <c r="T91" s="364" t="str">
        <f t="shared" si="33"/>
        <v/>
      </c>
      <c r="U91" s="3">
        <f t="shared" si="37"/>
        <v>0</v>
      </c>
      <c r="V91" s="3">
        <f t="shared" si="38"/>
        <v>0</v>
      </c>
      <c r="W91" s="3">
        <f t="shared" si="39"/>
        <v>0</v>
      </c>
      <c r="X91" s="3">
        <f t="shared" si="40"/>
        <v>0</v>
      </c>
      <c r="Y91" s="8"/>
      <c r="Z91" s="101" t="str">
        <f t="shared" si="34"/>
        <v/>
      </c>
      <c r="AA91" s="3">
        <f t="shared" si="35"/>
        <v>0</v>
      </c>
      <c r="AB91" s="3">
        <f t="shared" si="36"/>
        <v>0</v>
      </c>
      <c r="AC91" s="3">
        <f t="shared" si="41"/>
        <v>0.02</v>
      </c>
    </row>
    <row r="92" spans="1:29" x14ac:dyDescent="0.3">
      <c r="A92" s="3">
        <f>Cuartos!B63</f>
        <v>47</v>
      </c>
      <c r="B92" s="3">
        <f>Cuartos!D63</f>
        <v>0</v>
      </c>
      <c r="C92" s="4">
        <f>Cuartos!E63</f>
        <v>0</v>
      </c>
      <c r="D92" s="5">
        <f>Cuartos!H63</f>
        <v>0</v>
      </c>
      <c r="E92" s="14">
        <v>78</v>
      </c>
      <c r="G92" s="346"/>
      <c r="H92" s="347"/>
      <c r="I92" s="348"/>
      <c r="J92" s="7"/>
      <c r="K92" s="355" t="str">
        <f>""</f>
        <v/>
      </c>
      <c r="L92" s="285" t="str">
        <f t="shared" si="27"/>
        <v/>
      </c>
      <c r="M92" s="356" t="str">
        <f t="shared" si="28"/>
        <v/>
      </c>
      <c r="N92" s="8"/>
      <c r="O92" s="355" t="str">
        <f t="shared" si="29"/>
        <v xml:space="preserve"> </v>
      </c>
      <c r="P92" s="285" t="str">
        <f t="shared" si="30"/>
        <v/>
      </c>
      <c r="Q92" s="356" t="str">
        <f t="shared" si="31"/>
        <v/>
      </c>
      <c r="R92" s="8"/>
      <c r="S92" s="365" t="str">
        <f t="shared" si="32"/>
        <v/>
      </c>
      <c r="T92" s="366" t="str">
        <f t="shared" si="33"/>
        <v/>
      </c>
      <c r="U92" s="3">
        <f t="shared" si="37"/>
        <v>0</v>
      </c>
      <c r="V92" s="3">
        <f t="shared" si="38"/>
        <v>0</v>
      </c>
      <c r="W92" s="3">
        <f t="shared" si="39"/>
        <v>0</v>
      </c>
      <c r="X92" s="3">
        <f t="shared" si="40"/>
        <v>0</v>
      </c>
      <c r="Y92" s="8"/>
      <c r="Z92" s="102" t="str">
        <f t="shared" si="34"/>
        <v/>
      </c>
      <c r="AA92" s="3">
        <f t="shared" si="35"/>
        <v>0</v>
      </c>
      <c r="AB92" s="3">
        <f t="shared" si="36"/>
        <v>0</v>
      </c>
      <c r="AC92" s="3">
        <f t="shared" si="41"/>
        <v>0.02</v>
      </c>
    </row>
    <row r="93" spans="1:29" x14ac:dyDescent="0.3">
      <c r="A93" s="3">
        <f>Cuartos!B64</f>
        <v>48</v>
      </c>
      <c r="B93" s="3">
        <f>Cuartos!D64</f>
        <v>0</v>
      </c>
      <c r="C93" s="4">
        <f>Cuartos!E64</f>
        <v>0</v>
      </c>
      <c r="D93" s="5">
        <f>Cuartos!H64</f>
        <v>0</v>
      </c>
      <c r="E93" s="14">
        <v>79</v>
      </c>
      <c r="G93" s="340"/>
      <c r="H93" s="341"/>
      <c r="I93" s="342"/>
      <c r="J93" s="7"/>
      <c r="K93" s="351" t="str">
        <f>""</f>
        <v/>
      </c>
      <c r="L93" s="261" t="str">
        <f t="shared" si="27"/>
        <v/>
      </c>
      <c r="M93" s="352" t="str">
        <f t="shared" si="28"/>
        <v/>
      </c>
      <c r="N93" s="8"/>
      <c r="O93" s="351" t="str">
        <f t="shared" si="29"/>
        <v xml:space="preserve"> </v>
      </c>
      <c r="P93" s="261" t="str">
        <f t="shared" si="30"/>
        <v/>
      </c>
      <c r="Q93" s="352" t="str">
        <f t="shared" si="31"/>
        <v/>
      </c>
      <c r="R93" s="8"/>
      <c r="S93" s="361" t="str">
        <f t="shared" si="32"/>
        <v/>
      </c>
      <c r="T93" s="362" t="str">
        <f t="shared" si="33"/>
        <v/>
      </c>
      <c r="U93" s="3">
        <f t="shared" si="37"/>
        <v>0</v>
      </c>
      <c r="V93" s="3">
        <f t="shared" si="38"/>
        <v>0</v>
      </c>
      <c r="W93" s="3">
        <f t="shared" si="39"/>
        <v>0</v>
      </c>
      <c r="X93" s="3">
        <f t="shared" si="40"/>
        <v>0</v>
      </c>
      <c r="Y93" s="8"/>
      <c r="Z93" s="100" t="str">
        <f t="shared" si="34"/>
        <v/>
      </c>
      <c r="AA93" s="3">
        <f t="shared" si="35"/>
        <v>0</v>
      </c>
      <c r="AB93" s="3">
        <f t="shared" si="36"/>
        <v>0</v>
      </c>
      <c r="AC93" s="3">
        <f t="shared" si="41"/>
        <v>0.02</v>
      </c>
    </row>
    <row r="94" spans="1:29" x14ac:dyDescent="0.3">
      <c r="A94" s="3">
        <f>Cuartos!B65</f>
        <v>49</v>
      </c>
      <c r="B94" s="3">
        <f>Cuartos!D65</f>
        <v>0</v>
      </c>
      <c r="C94" s="4">
        <f>Cuartos!E65</f>
        <v>0</v>
      </c>
      <c r="D94" s="5">
        <f>Cuartos!H65</f>
        <v>0</v>
      </c>
      <c r="E94" s="14">
        <v>80</v>
      </c>
      <c r="G94" s="343"/>
      <c r="H94" s="344"/>
      <c r="I94" s="345"/>
      <c r="J94" s="7"/>
      <c r="K94" s="353" t="str">
        <f>""</f>
        <v/>
      </c>
      <c r="L94" s="273" t="str">
        <f t="shared" si="27"/>
        <v/>
      </c>
      <c r="M94" s="354" t="str">
        <f t="shared" si="28"/>
        <v/>
      </c>
      <c r="N94" s="8"/>
      <c r="O94" s="353" t="str">
        <f t="shared" si="29"/>
        <v xml:space="preserve"> </v>
      </c>
      <c r="P94" s="273" t="str">
        <f t="shared" si="30"/>
        <v/>
      </c>
      <c r="Q94" s="354" t="str">
        <f t="shared" si="31"/>
        <v/>
      </c>
      <c r="R94" s="8"/>
      <c r="S94" s="363" t="str">
        <f t="shared" si="32"/>
        <v/>
      </c>
      <c r="T94" s="364" t="str">
        <f t="shared" si="33"/>
        <v/>
      </c>
      <c r="U94" s="3">
        <f t="shared" si="37"/>
        <v>0</v>
      </c>
      <c r="V94" s="3">
        <f t="shared" si="38"/>
        <v>0</v>
      </c>
      <c r="W94" s="3">
        <f t="shared" si="39"/>
        <v>0</v>
      </c>
      <c r="X94" s="3">
        <f t="shared" si="40"/>
        <v>0</v>
      </c>
      <c r="Y94" s="8"/>
      <c r="Z94" s="101" t="str">
        <f t="shared" si="34"/>
        <v/>
      </c>
      <c r="AA94" s="3">
        <f t="shared" si="35"/>
        <v>0</v>
      </c>
      <c r="AB94" s="3">
        <f t="shared" si="36"/>
        <v>0</v>
      </c>
      <c r="AC94" s="3">
        <f t="shared" si="41"/>
        <v>0.02</v>
      </c>
    </row>
    <row r="95" spans="1:29" x14ac:dyDescent="0.3">
      <c r="A95" s="3">
        <f>Cuartos!B66</f>
        <v>50</v>
      </c>
      <c r="B95" s="3">
        <f>Cuartos!D66</f>
        <v>0</v>
      </c>
      <c r="C95" s="4">
        <f>Cuartos!E66</f>
        <v>0</v>
      </c>
      <c r="D95" s="5">
        <f>Cuartos!H66</f>
        <v>0</v>
      </c>
      <c r="E95" s="14">
        <v>81</v>
      </c>
      <c r="G95" s="346"/>
      <c r="H95" s="347"/>
      <c r="I95" s="348"/>
      <c r="J95" s="7"/>
      <c r="K95" s="355" t="str">
        <f>""</f>
        <v/>
      </c>
      <c r="L95" s="285" t="str">
        <f t="shared" si="27"/>
        <v/>
      </c>
      <c r="M95" s="356" t="str">
        <f t="shared" si="28"/>
        <v/>
      </c>
      <c r="N95" s="8"/>
      <c r="O95" s="355" t="str">
        <f t="shared" si="29"/>
        <v xml:space="preserve"> </v>
      </c>
      <c r="P95" s="285" t="str">
        <f t="shared" si="30"/>
        <v/>
      </c>
      <c r="Q95" s="356" t="str">
        <f t="shared" si="31"/>
        <v/>
      </c>
      <c r="R95" s="8"/>
      <c r="S95" s="365" t="str">
        <f t="shared" si="32"/>
        <v/>
      </c>
      <c r="T95" s="366" t="str">
        <f t="shared" si="33"/>
        <v/>
      </c>
      <c r="U95" s="3">
        <f t="shared" si="37"/>
        <v>0</v>
      </c>
      <c r="V95" s="3">
        <f t="shared" si="38"/>
        <v>0</v>
      </c>
      <c r="W95" s="3">
        <f t="shared" si="39"/>
        <v>0</v>
      </c>
      <c r="X95" s="3">
        <f t="shared" si="40"/>
        <v>0</v>
      </c>
      <c r="Y95" s="8"/>
      <c r="Z95" s="102" t="str">
        <f t="shared" si="34"/>
        <v/>
      </c>
      <c r="AA95" s="3">
        <f t="shared" si="35"/>
        <v>0</v>
      </c>
      <c r="AB95" s="3">
        <f t="shared" si="36"/>
        <v>0</v>
      </c>
      <c r="AC95" s="3">
        <f t="shared" si="41"/>
        <v>0.02</v>
      </c>
    </row>
    <row r="96" spans="1:29" x14ac:dyDescent="0.3">
      <c r="A96" s="3">
        <f>Cuartos!B67</f>
        <v>51</v>
      </c>
      <c r="B96" s="3">
        <f>Cuartos!D67</f>
        <v>0</v>
      </c>
      <c r="C96" s="4">
        <f>Cuartos!E67</f>
        <v>0</v>
      </c>
      <c r="D96" s="5">
        <f>Cuartos!H67</f>
        <v>0</v>
      </c>
      <c r="E96" s="14">
        <v>82</v>
      </c>
      <c r="G96" s="340"/>
      <c r="H96" s="341"/>
      <c r="I96" s="342"/>
      <c r="J96" s="7"/>
      <c r="K96" s="351" t="str">
        <f>""</f>
        <v/>
      </c>
      <c r="L96" s="261" t="str">
        <f t="shared" si="27"/>
        <v/>
      </c>
      <c r="M96" s="352" t="str">
        <f t="shared" si="28"/>
        <v/>
      </c>
      <c r="N96" s="8"/>
      <c r="O96" s="351" t="str">
        <f t="shared" si="29"/>
        <v xml:space="preserve"> </v>
      </c>
      <c r="P96" s="261" t="str">
        <f t="shared" si="30"/>
        <v/>
      </c>
      <c r="Q96" s="352" t="str">
        <f t="shared" si="31"/>
        <v/>
      </c>
      <c r="R96" s="8"/>
      <c r="S96" s="361" t="str">
        <f t="shared" si="32"/>
        <v/>
      </c>
      <c r="T96" s="362" t="str">
        <f t="shared" si="33"/>
        <v/>
      </c>
      <c r="U96" s="3">
        <f t="shared" si="37"/>
        <v>0</v>
      </c>
      <c r="V96" s="3">
        <f t="shared" si="38"/>
        <v>0</v>
      </c>
      <c r="W96" s="3">
        <f t="shared" si="39"/>
        <v>0</v>
      </c>
      <c r="X96" s="3">
        <f t="shared" si="40"/>
        <v>0</v>
      </c>
      <c r="Y96" s="8"/>
      <c r="Z96" s="100" t="str">
        <f t="shared" si="34"/>
        <v/>
      </c>
      <c r="AA96" s="3">
        <f t="shared" si="35"/>
        <v>0</v>
      </c>
      <c r="AB96" s="3">
        <f t="shared" si="36"/>
        <v>0</v>
      </c>
      <c r="AC96" s="3">
        <f t="shared" si="41"/>
        <v>0.02</v>
      </c>
    </row>
    <row r="97" spans="1:29" x14ac:dyDescent="0.3">
      <c r="A97" s="3">
        <f>Cuartos!B68</f>
        <v>52</v>
      </c>
      <c r="B97" s="3">
        <f>Cuartos!D68</f>
        <v>0</v>
      </c>
      <c r="C97" s="4">
        <f>Cuartos!E68</f>
        <v>0</v>
      </c>
      <c r="D97" s="5">
        <f>Cuartos!H68</f>
        <v>0</v>
      </c>
      <c r="E97" s="14">
        <v>83</v>
      </c>
      <c r="G97" s="343"/>
      <c r="H97" s="344"/>
      <c r="I97" s="345"/>
      <c r="J97" s="7"/>
      <c r="K97" s="353" t="str">
        <f>""</f>
        <v/>
      </c>
      <c r="L97" s="273" t="str">
        <f t="shared" si="27"/>
        <v/>
      </c>
      <c r="M97" s="354" t="str">
        <f t="shared" si="28"/>
        <v/>
      </c>
      <c r="N97" s="8"/>
      <c r="O97" s="353" t="str">
        <f t="shared" si="29"/>
        <v xml:space="preserve"> </v>
      </c>
      <c r="P97" s="273" t="str">
        <f t="shared" si="30"/>
        <v/>
      </c>
      <c r="Q97" s="354" t="str">
        <f t="shared" si="31"/>
        <v/>
      </c>
      <c r="R97" s="8"/>
      <c r="S97" s="363" t="str">
        <f t="shared" si="32"/>
        <v/>
      </c>
      <c r="T97" s="364" t="str">
        <f t="shared" si="33"/>
        <v/>
      </c>
      <c r="U97" s="3">
        <f t="shared" si="37"/>
        <v>0</v>
      </c>
      <c r="V97" s="3">
        <f t="shared" si="38"/>
        <v>0</v>
      </c>
      <c r="W97" s="3">
        <f t="shared" si="39"/>
        <v>0</v>
      </c>
      <c r="X97" s="3">
        <f t="shared" si="40"/>
        <v>0</v>
      </c>
      <c r="Y97" s="8"/>
      <c r="Z97" s="101" t="str">
        <f t="shared" si="34"/>
        <v/>
      </c>
      <c r="AA97" s="3">
        <f t="shared" si="35"/>
        <v>0</v>
      </c>
      <c r="AB97" s="3">
        <f t="shared" si="36"/>
        <v>0</v>
      </c>
      <c r="AC97" s="3">
        <f t="shared" si="41"/>
        <v>0.02</v>
      </c>
    </row>
    <row r="98" spans="1:29" x14ac:dyDescent="0.3">
      <c r="A98" s="3">
        <f>Cuartos!B69</f>
        <v>53</v>
      </c>
      <c r="B98" s="3">
        <f>Cuartos!D69</f>
        <v>0</v>
      </c>
      <c r="C98" s="4">
        <f>Cuartos!E69</f>
        <v>0</v>
      </c>
      <c r="D98" s="5">
        <f>Cuartos!H69</f>
        <v>0</v>
      </c>
      <c r="E98" s="14">
        <v>84</v>
      </c>
      <c r="G98" s="346"/>
      <c r="H98" s="347"/>
      <c r="I98" s="348"/>
      <c r="J98" s="7"/>
      <c r="K98" s="355" t="str">
        <f>""</f>
        <v/>
      </c>
      <c r="L98" s="285" t="str">
        <f t="shared" si="27"/>
        <v/>
      </c>
      <c r="M98" s="356" t="str">
        <f t="shared" si="28"/>
        <v/>
      </c>
      <c r="N98" s="8"/>
      <c r="O98" s="355" t="str">
        <f t="shared" si="29"/>
        <v xml:space="preserve"> </v>
      </c>
      <c r="P98" s="285" t="str">
        <f t="shared" si="30"/>
        <v/>
      </c>
      <c r="Q98" s="356" t="str">
        <f t="shared" si="31"/>
        <v/>
      </c>
      <c r="R98" s="8"/>
      <c r="S98" s="365" t="str">
        <f t="shared" si="32"/>
        <v/>
      </c>
      <c r="T98" s="366" t="str">
        <f t="shared" si="33"/>
        <v/>
      </c>
      <c r="U98" s="3">
        <f t="shared" si="37"/>
        <v>0</v>
      </c>
      <c r="V98" s="3">
        <f t="shared" si="38"/>
        <v>0</v>
      </c>
      <c r="W98" s="3">
        <f t="shared" si="39"/>
        <v>0</v>
      </c>
      <c r="X98" s="3">
        <f t="shared" si="40"/>
        <v>0</v>
      </c>
      <c r="Y98" s="8"/>
      <c r="Z98" s="102" t="str">
        <f t="shared" si="34"/>
        <v/>
      </c>
      <c r="AA98" s="3">
        <f t="shared" si="35"/>
        <v>0</v>
      </c>
      <c r="AB98" s="3">
        <f t="shared" si="36"/>
        <v>0</v>
      </c>
      <c r="AC98" s="3">
        <f t="shared" si="41"/>
        <v>0.02</v>
      </c>
    </row>
    <row r="99" spans="1:29" x14ac:dyDescent="0.3">
      <c r="A99" s="3">
        <f>Cuartos!B70</f>
        <v>54</v>
      </c>
      <c r="B99" s="3">
        <f>Cuartos!D70</f>
        <v>0</v>
      </c>
      <c r="C99" s="4">
        <f>Cuartos!E70</f>
        <v>0</v>
      </c>
      <c r="D99" s="5">
        <f>Cuartos!H70</f>
        <v>0</v>
      </c>
      <c r="E99" s="14">
        <v>85</v>
      </c>
      <c r="G99" s="340"/>
      <c r="H99" s="341"/>
      <c r="I99" s="342"/>
      <c r="J99" s="7"/>
      <c r="K99" s="351" t="str">
        <f>""</f>
        <v/>
      </c>
      <c r="L99" s="261" t="str">
        <f t="shared" si="27"/>
        <v/>
      </c>
      <c r="M99" s="352" t="str">
        <f t="shared" si="28"/>
        <v/>
      </c>
      <c r="N99" s="8"/>
      <c r="O99" s="351" t="str">
        <f t="shared" si="29"/>
        <v xml:space="preserve"> </v>
      </c>
      <c r="P99" s="261" t="str">
        <f t="shared" si="30"/>
        <v/>
      </c>
      <c r="Q99" s="352" t="str">
        <f t="shared" si="31"/>
        <v/>
      </c>
      <c r="R99" s="8"/>
      <c r="S99" s="361" t="str">
        <f t="shared" si="32"/>
        <v/>
      </c>
      <c r="T99" s="362" t="str">
        <f t="shared" si="33"/>
        <v/>
      </c>
      <c r="U99" s="3">
        <f t="shared" si="37"/>
        <v>0</v>
      </c>
      <c r="V99" s="3">
        <f t="shared" si="38"/>
        <v>0</v>
      </c>
      <c r="W99" s="3">
        <f t="shared" si="39"/>
        <v>0</v>
      </c>
      <c r="X99" s="3">
        <f t="shared" si="40"/>
        <v>0</v>
      </c>
      <c r="Y99" s="8"/>
      <c r="Z99" s="100" t="str">
        <f t="shared" si="34"/>
        <v/>
      </c>
      <c r="AA99" s="3">
        <f t="shared" si="35"/>
        <v>0</v>
      </c>
      <c r="AB99" s="3">
        <f t="shared" si="36"/>
        <v>0</v>
      </c>
      <c r="AC99" s="3">
        <f t="shared" si="41"/>
        <v>0.02</v>
      </c>
    </row>
    <row r="100" spans="1:29" x14ac:dyDescent="0.3">
      <c r="A100" s="3">
        <f>Cuartos!B71</f>
        <v>55</v>
      </c>
      <c r="B100" s="3">
        <f>Cuartos!D71</f>
        <v>0</v>
      </c>
      <c r="C100" s="4">
        <f>Cuartos!E71</f>
        <v>0</v>
      </c>
      <c r="D100" s="5">
        <f>Cuartos!H71</f>
        <v>0</v>
      </c>
      <c r="E100" s="14">
        <v>86</v>
      </c>
      <c r="G100" s="343"/>
      <c r="H100" s="344"/>
      <c r="I100" s="345"/>
      <c r="J100" s="7"/>
      <c r="K100" s="353" t="str">
        <f>""</f>
        <v/>
      </c>
      <c r="L100" s="273" t="str">
        <f t="shared" si="27"/>
        <v/>
      </c>
      <c r="M100" s="354" t="str">
        <f t="shared" si="28"/>
        <v/>
      </c>
      <c r="N100" s="8"/>
      <c r="O100" s="353" t="str">
        <f t="shared" si="29"/>
        <v xml:space="preserve"> </v>
      </c>
      <c r="P100" s="273" t="str">
        <f t="shared" si="30"/>
        <v/>
      </c>
      <c r="Q100" s="354" t="str">
        <f t="shared" si="31"/>
        <v/>
      </c>
      <c r="R100" s="8"/>
      <c r="S100" s="363" t="str">
        <f t="shared" si="32"/>
        <v/>
      </c>
      <c r="T100" s="364" t="str">
        <f t="shared" si="33"/>
        <v/>
      </c>
      <c r="U100" s="3">
        <f t="shared" si="37"/>
        <v>0</v>
      </c>
      <c r="V100" s="3">
        <f t="shared" si="38"/>
        <v>0</v>
      </c>
      <c r="W100" s="3">
        <f t="shared" si="39"/>
        <v>0</v>
      </c>
      <c r="X100" s="3">
        <f t="shared" si="40"/>
        <v>0</v>
      </c>
      <c r="Y100" s="8"/>
      <c r="Z100" s="101" t="str">
        <f t="shared" si="34"/>
        <v/>
      </c>
      <c r="AA100" s="3">
        <f t="shared" si="35"/>
        <v>0</v>
      </c>
      <c r="AB100" s="3">
        <f t="shared" si="36"/>
        <v>0</v>
      </c>
      <c r="AC100" s="3">
        <f t="shared" si="41"/>
        <v>0.02</v>
      </c>
    </row>
    <row r="101" spans="1:29" x14ac:dyDescent="0.3">
      <c r="A101" s="3">
        <f>Cuartos!B72</f>
        <v>56</v>
      </c>
      <c r="B101" s="3">
        <f>Cuartos!D72</f>
        <v>0</v>
      </c>
      <c r="C101" s="4">
        <f>Cuartos!E72</f>
        <v>0</v>
      </c>
      <c r="D101" s="5">
        <f>Cuartos!H72</f>
        <v>0</v>
      </c>
      <c r="E101" s="14">
        <v>87</v>
      </c>
      <c r="G101" s="346"/>
      <c r="H101" s="347"/>
      <c r="I101" s="348"/>
      <c r="J101" s="7"/>
      <c r="K101" s="355" t="str">
        <f>""</f>
        <v/>
      </c>
      <c r="L101" s="285" t="str">
        <f t="shared" si="27"/>
        <v/>
      </c>
      <c r="M101" s="356" t="str">
        <f t="shared" si="28"/>
        <v/>
      </c>
      <c r="N101" s="8"/>
      <c r="O101" s="355" t="str">
        <f t="shared" si="29"/>
        <v xml:space="preserve"> </v>
      </c>
      <c r="P101" s="285" t="str">
        <f t="shared" si="30"/>
        <v/>
      </c>
      <c r="Q101" s="356" t="str">
        <f t="shared" si="31"/>
        <v/>
      </c>
      <c r="R101" s="8"/>
      <c r="S101" s="365" t="str">
        <f t="shared" si="32"/>
        <v/>
      </c>
      <c r="T101" s="366" t="str">
        <f t="shared" si="33"/>
        <v/>
      </c>
      <c r="U101" s="3">
        <f t="shared" si="37"/>
        <v>0</v>
      </c>
      <c r="V101" s="3">
        <f t="shared" si="38"/>
        <v>0</v>
      </c>
      <c r="W101" s="3">
        <f t="shared" si="39"/>
        <v>0</v>
      </c>
      <c r="X101" s="3">
        <f t="shared" si="40"/>
        <v>0</v>
      </c>
      <c r="Y101" s="8"/>
      <c r="Z101" s="102" t="str">
        <f t="shared" si="34"/>
        <v/>
      </c>
      <c r="AA101" s="3">
        <f t="shared" si="35"/>
        <v>0</v>
      </c>
      <c r="AB101" s="3">
        <f t="shared" si="36"/>
        <v>0</v>
      </c>
      <c r="AC101" s="3">
        <f t="shared" si="41"/>
        <v>0.02</v>
      </c>
    </row>
    <row r="102" spans="1:29" x14ac:dyDescent="0.3">
      <c r="A102" s="3">
        <f>Cuartos!B73</f>
        <v>57</v>
      </c>
      <c r="B102" s="3">
        <f>Cuartos!D73</f>
        <v>0</v>
      </c>
      <c r="C102" s="4">
        <f>Cuartos!E73</f>
        <v>0</v>
      </c>
      <c r="D102" s="5">
        <f>Cuartos!H73</f>
        <v>0</v>
      </c>
      <c r="E102" s="14">
        <v>88</v>
      </c>
      <c r="G102" s="340"/>
      <c r="H102" s="341"/>
      <c r="I102" s="342"/>
      <c r="J102" s="7"/>
      <c r="K102" s="351" t="str">
        <f>""</f>
        <v/>
      </c>
      <c r="L102" s="261" t="str">
        <f t="shared" si="27"/>
        <v/>
      </c>
      <c r="M102" s="352" t="str">
        <f t="shared" si="28"/>
        <v/>
      </c>
      <c r="N102" s="8"/>
      <c r="O102" s="351" t="str">
        <f t="shared" si="29"/>
        <v xml:space="preserve"> </v>
      </c>
      <c r="P102" s="261" t="str">
        <f t="shared" si="30"/>
        <v/>
      </c>
      <c r="Q102" s="352" t="str">
        <f t="shared" si="31"/>
        <v/>
      </c>
      <c r="R102" s="8"/>
      <c r="S102" s="361" t="str">
        <f t="shared" si="32"/>
        <v/>
      </c>
      <c r="T102" s="362" t="str">
        <f t="shared" si="33"/>
        <v/>
      </c>
      <c r="U102" s="3">
        <f t="shared" si="37"/>
        <v>0</v>
      </c>
      <c r="V102" s="3">
        <f t="shared" si="38"/>
        <v>0</v>
      </c>
      <c r="W102" s="3">
        <f t="shared" si="39"/>
        <v>0</v>
      </c>
      <c r="X102" s="3">
        <f t="shared" si="40"/>
        <v>0</v>
      </c>
      <c r="Y102" s="8"/>
      <c r="Z102" s="100" t="str">
        <f t="shared" si="34"/>
        <v/>
      </c>
      <c r="AA102" s="3">
        <f t="shared" si="35"/>
        <v>0</v>
      </c>
      <c r="AB102" s="3">
        <f t="shared" si="36"/>
        <v>0</v>
      </c>
      <c r="AC102" s="3">
        <f t="shared" si="41"/>
        <v>0.02</v>
      </c>
    </row>
    <row r="103" spans="1:29" x14ac:dyDescent="0.3">
      <c r="A103" s="3">
        <f>Cuartos!B74</f>
        <v>58</v>
      </c>
      <c r="B103" s="3">
        <f>Cuartos!D74</f>
        <v>0</v>
      </c>
      <c r="C103" s="4">
        <f>Cuartos!E74</f>
        <v>0</v>
      </c>
      <c r="D103" s="5">
        <f>Cuartos!H74</f>
        <v>0</v>
      </c>
      <c r="E103" s="14">
        <v>89</v>
      </c>
      <c r="G103" s="343"/>
      <c r="H103" s="344"/>
      <c r="I103" s="345"/>
      <c r="J103" s="7"/>
      <c r="K103" s="353" t="str">
        <f>""</f>
        <v/>
      </c>
      <c r="L103" s="273" t="str">
        <f t="shared" si="27"/>
        <v/>
      </c>
      <c r="M103" s="354" t="str">
        <f t="shared" si="28"/>
        <v/>
      </c>
      <c r="N103" s="8"/>
      <c r="O103" s="353" t="str">
        <f t="shared" si="29"/>
        <v xml:space="preserve"> </v>
      </c>
      <c r="P103" s="273" t="str">
        <f t="shared" si="30"/>
        <v/>
      </c>
      <c r="Q103" s="354" t="str">
        <f t="shared" si="31"/>
        <v/>
      </c>
      <c r="R103" s="8"/>
      <c r="S103" s="363" t="str">
        <f t="shared" si="32"/>
        <v/>
      </c>
      <c r="T103" s="364" t="str">
        <f t="shared" si="33"/>
        <v/>
      </c>
      <c r="U103" s="3">
        <f t="shared" si="37"/>
        <v>0</v>
      </c>
      <c r="V103" s="3">
        <f t="shared" si="38"/>
        <v>0</v>
      </c>
      <c r="W103" s="3">
        <f t="shared" si="39"/>
        <v>0</v>
      </c>
      <c r="X103" s="3">
        <f t="shared" si="40"/>
        <v>0</v>
      </c>
      <c r="Y103" s="8"/>
      <c r="Z103" s="101" t="str">
        <f t="shared" si="34"/>
        <v/>
      </c>
      <c r="AA103" s="3">
        <f t="shared" si="35"/>
        <v>0</v>
      </c>
      <c r="AB103" s="3">
        <f t="shared" si="36"/>
        <v>0</v>
      </c>
      <c r="AC103" s="3">
        <f t="shared" si="41"/>
        <v>0.02</v>
      </c>
    </row>
    <row r="104" spans="1:29" x14ac:dyDescent="0.3">
      <c r="A104" s="3">
        <f>Cuartos!B75</f>
        <v>59</v>
      </c>
      <c r="B104" s="3">
        <f>Cuartos!D75</f>
        <v>0</v>
      </c>
      <c r="C104" s="4">
        <f>Cuartos!E75</f>
        <v>0</v>
      </c>
      <c r="D104" s="5">
        <f>Cuartos!H75</f>
        <v>0</v>
      </c>
      <c r="E104" s="14">
        <v>90</v>
      </c>
      <c r="G104" s="346"/>
      <c r="H104" s="347"/>
      <c r="I104" s="348"/>
      <c r="J104" s="7"/>
      <c r="K104" s="355" t="str">
        <f>""</f>
        <v/>
      </c>
      <c r="L104" s="285" t="str">
        <f t="shared" si="27"/>
        <v/>
      </c>
      <c r="M104" s="356" t="str">
        <f t="shared" si="28"/>
        <v/>
      </c>
      <c r="N104" s="8"/>
      <c r="O104" s="355" t="str">
        <f t="shared" si="29"/>
        <v xml:space="preserve"> </v>
      </c>
      <c r="P104" s="285" t="str">
        <f t="shared" si="30"/>
        <v/>
      </c>
      <c r="Q104" s="356" t="str">
        <f t="shared" si="31"/>
        <v/>
      </c>
      <c r="R104" s="8"/>
      <c r="S104" s="365" t="str">
        <f t="shared" si="32"/>
        <v/>
      </c>
      <c r="T104" s="366" t="str">
        <f t="shared" si="33"/>
        <v/>
      </c>
      <c r="U104" s="3">
        <f t="shared" si="37"/>
        <v>0</v>
      </c>
      <c r="V104" s="3">
        <f t="shared" si="38"/>
        <v>0</v>
      </c>
      <c r="W104" s="3">
        <f t="shared" si="39"/>
        <v>0</v>
      </c>
      <c r="X104" s="3">
        <f t="shared" si="40"/>
        <v>0</v>
      </c>
      <c r="Y104" s="8"/>
      <c r="Z104" s="102" t="str">
        <f t="shared" si="34"/>
        <v/>
      </c>
      <c r="AA104" s="3">
        <f t="shared" si="35"/>
        <v>0</v>
      </c>
      <c r="AB104" s="3">
        <f t="shared" si="36"/>
        <v>0</v>
      </c>
      <c r="AC104" s="3">
        <f t="shared" si="41"/>
        <v>0.02</v>
      </c>
    </row>
    <row r="105" spans="1:29" x14ac:dyDescent="0.3">
      <c r="A105" s="3">
        <f>Cuartos!B76</f>
        <v>60</v>
      </c>
      <c r="B105" s="3">
        <f>Cuartos!D76</f>
        <v>0</v>
      </c>
      <c r="C105" s="4">
        <f>Cuartos!E76</f>
        <v>0</v>
      </c>
      <c r="D105" s="5">
        <f>Cuartos!H76</f>
        <v>0</v>
      </c>
      <c r="E105" s="14">
        <v>91</v>
      </c>
      <c r="G105" s="340"/>
      <c r="H105" s="341"/>
      <c r="I105" s="342"/>
      <c r="J105" s="7"/>
      <c r="K105" s="351" t="str">
        <f>""</f>
        <v/>
      </c>
      <c r="L105" s="261" t="str">
        <f t="shared" si="27"/>
        <v/>
      </c>
      <c r="M105" s="352" t="str">
        <f t="shared" si="28"/>
        <v/>
      </c>
      <c r="N105" s="8"/>
      <c r="O105" s="351" t="str">
        <f t="shared" si="29"/>
        <v xml:space="preserve"> </v>
      </c>
      <c r="P105" s="261" t="str">
        <f t="shared" si="30"/>
        <v/>
      </c>
      <c r="Q105" s="352" t="str">
        <f t="shared" si="31"/>
        <v/>
      </c>
      <c r="R105" s="8"/>
      <c r="S105" s="361" t="str">
        <f t="shared" si="32"/>
        <v/>
      </c>
      <c r="T105" s="362" t="str">
        <f t="shared" si="33"/>
        <v/>
      </c>
      <c r="U105" s="3">
        <f t="shared" si="37"/>
        <v>0</v>
      </c>
      <c r="V105" s="3">
        <f t="shared" si="38"/>
        <v>0</v>
      </c>
      <c r="W105" s="3">
        <f t="shared" si="39"/>
        <v>0</v>
      </c>
      <c r="X105" s="3">
        <f t="shared" si="40"/>
        <v>0</v>
      </c>
      <c r="Y105" s="8"/>
      <c r="Z105" s="100" t="str">
        <f t="shared" si="34"/>
        <v/>
      </c>
      <c r="AA105" s="3">
        <f t="shared" si="35"/>
        <v>0</v>
      </c>
      <c r="AB105" s="3">
        <f t="shared" si="36"/>
        <v>0</v>
      </c>
      <c r="AC105" s="3">
        <f t="shared" si="41"/>
        <v>0.02</v>
      </c>
    </row>
    <row r="106" spans="1:29" x14ac:dyDescent="0.3">
      <c r="A106" s="3">
        <f>Cuartos!B77</f>
        <v>61</v>
      </c>
      <c r="B106" s="3">
        <f>Cuartos!D77</f>
        <v>0</v>
      </c>
      <c r="C106" s="4">
        <f>Cuartos!E77</f>
        <v>0</v>
      </c>
      <c r="D106" s="5">
        <f>Cuartos!H77</f>
        <v>0</v>
      </c>
      <c r="E106" s="14">
        <v>92</v>
      </c>
      <c r="G106" s="343"/>
      <c r="H106" s="344"/>
      <c r="I106" s="345"/>
      <c r="J106" s="7"/>
      <c r="K106" s="353" t="str">
        <f>""</f>
        <v/>
      </c>
      <c r="L106" s="273" t="str">
        <f t="shared" si="27"/>
        <v/>
      </c>
      <c r="M106" s="354" t="str">
        <f t="shared" si="28"/>
        <v/>
      </c>
      <c r="N106" s="8"/>
      <c r="O106" s="353" t="str">
        <f t="shared" si="29"/>
        <v xml:space="preserve"> </v>
      </c>
      <c r="P106" s="273" t="str">
        <f t="shared" si="30"/>
        <v/>
      </c>
      <c r="Q106" s="354" t="str">
        <f t="shared" si="31"/>
        <v/>
      </c>
      <c r="R106" s="8"/>
      <c r="S106" s="363" t="str">
        <f t="shared" si="32"/>
        <v/>
      </c>
      <c r="T106" s="364" t="str">
        <f t="shared" si="33"/>
        <v/>
      </c>
      <c r="U106" s="3">
        <f t="shared" si="37"/>
        <v>0</v>
      </c>
      <c r="V106" s="3">
        <f t="shared" si="38"/>
        <v>0</v>
      </c>
      <c r="W106" s="3">
        <f t="shared" si="39"/>
        <v>0</v>
      </c>
      <c r="X106" s="3">
        <f t="shared" si="40"/>
        <v>0</v>
      </c>
      <c r="Y106" s="8"/>
      <c r="Z106" s="101" t="str">
        <f t="shared" si="34"/>
        <v/>
      </c>
      <c r="AA106" s="3">
        <f t="shared" si="35"/>
        <v>0</v>
      </c>
      <c r="AB106" s="3">
        <f t="shared" si="36"/>
        <v>0</v>
      </c>
      <c r="AC106" s="3">
        <f t="shared" si="41"/>
        <v>0.02</v>
      </c>
    </row>
    <row r="107" spans="1:29" x14ac:dyDescent="0.3">
      <c r="A107" s="3">
        <f>Cuartos!B78</f>
        <v>62</v>
      </c>
      <c r="B107" s="3">
        <f>Cuartos!D78</f>
        <v>0</v>
      </c>
      <c r="C107" s="4">
        <f>Cuartos!E78</f>
        <v>0</v>
      </c>
      <c r="D107" s="5">
        <f>Cuartos!H78</f>
        <v>0</v>
      </c>
      <c r="E107" s="14">
        <v>93</v>
      </c>
      <c r="G107" s="346"/>
      <c r="H107" s="347"/>
      <c r="I107" s="348"/>
      <c r="J107" s="7"/>
      <c r="K107" s="355" t="str">
        <f>""</f>
        <v/>
      </c>
      <c r="L107" s="285" t="str">
        <f t="shared" si="27"/>
        <v/>
      </c>
      <c r="M107" s="356" t="str">
        <f t="shared" si="28"/>
        <v/>
      </c>
      <c r="N107" s="8"/>
      <c r="O107" s="355" t="str">
        <f t="shared" si="29"/>
        <v xml:space="preserve"> </v>
      </c>
      <c r="P107" s="285" t="str">
        <f t="shared" si="30"/>
        <v/>
      </c>
      <c r="Q107" s="356" t="str">
        <f t="shared" si="31"/>
        <v/>
      </c>
      <c r="R107" s="8"/>
      <c r="S107" s="365" t="str">
        <f t="shared" si="32"/>
        <v/>
      </c>
      <c r="T107" s="366" t="str">
        <f t="shared" si="33"/>
        <v/>
      </c>
      <c r="U107" s="3">
        <f t="shared" si="37"/>
        <v>0</v>
      </c>
      <c r="V107" s="3">
        <f t="shared" si="38"/>
        <v>0</v>
      </c>
      <c r="W107" s="3">
        <f t="shared" si="39"/>
        <v>0</v>
      </c>
      <c r="X107" s="3">
        <f t="shared" si="40"/>
        <v>0</v>
      </c>
      <c r="Y107" s="8"/>
      <c r="Z107" s="102" t="str">
        <f t="shared" si="34"/>
        <v/>
      </c>
      <c r="AA107" s="3">
        <f t="shared" si="35"/>
        <v>0</v>
      </c>
      <c r="AB107" s="3">
        <f t="shared" si="36"/>
        <v>0</v>
      </c>
      <c r="AC107" s="3">
        <f t="shared" si="41"/>
        <v>0.02</v>
      </c>
    </row>
    <row r="108" spans="1:29" x14ac:dyDescent="0.3">
      <c r="A108" s="3">
        <f>Cuartos!B79</f>
        <v>63</v>
      </c>
      <c r="B108" s="3">
        <f>Cuartos!D79</f>
        <v>0</v>
      </c>
      <c r="C108" s="4">
        <f>Cuartos!E79</f>
        <v>0</v>
      </c>
      <c r="D108" s="5">
        <f>Cuartos!H79</f>
        <v>0</v>
      </c>
      <c r="E108" s="14">
        <v>94</v>
      </c>
      <c r="G108" s="340"/>
      <c r="H108" s="341"/>
      <c r="I108" s="342"/>
      <c r="J108" s="7"/>
      <c r="K108" s="351" t="str">
        <f>""</f>
        <v/>
      </c>
      <c r="L108" s="261" t="str">
        <f t="shared" si="27"/>
        <v/>
      </c>
      <c r="M108" s="352" t="str">
        <f t="shared" si="28"/>
        <v/>
      </c>
      <c r="N108" s="8"/>
      <c r="O108" s="351" t="str">
        <f t="shared" si="29"/>
        <v xml:space="preserve"> </v>
      </c>
      <c r="P108" s="261" t="str">
        <f t="shared" si="30"/>
        <v/>
      </c>
      <c r="Q108" s="352" t="str">
        <f t="shared" si="31"/>
        <v/>
      </c>
      <c r="R108" s="8"/>
      <c r="S108" s="361" t="str">
        <f t="shared" si="32"/>
        <v/>
      </c>
      <c r="T108" s="362" t="str">
        <f t="shared" si="33"/>
        <v/>
      </c>
      <c r="U108" s="3">
        <f t="shared" si="37"/>
        <v>0</v>
      </c>
      <c r="V108" s="3">
        <f t="shared" si="38"/>
        <v>0</v>
      </c>
      <c r="W108" s="3">
        <f t="shared" si="39"/>
        <v>0</v>
      </c>
      <c r="X108" s="3">
        <f t="shared" si="40"/>
        <v>0</v>
      </c>
      <c r="Y108" s="8"/>
      <c r="Z108" s="100" t="str">
        <f t="shared" si="34"/>
        <v/>
      </c>
      <c r="AA108" s="3">
        <f t="shared" si="35"/>
        <v>0</v>
      </c>
      <c r="AB108" s="3">
        <f t="shared" si="36"/>
        <v>0</v>
      </c>
      <c r="AC108" s="3">
        <f t="shared" si="41"/>
        <v>0.02</v>
      </c>
    </row>
    <row r="109" spans="1:29" x14ac:dyDescent="0.3">
      <c r="A109" s="3">
        <f>Cuartos!B80</f>
        <v>64</v>
      </c>
      <c r="B109" s="3">
        <f>Cuartos!D80</f>
        <v>0</v>
      </c>
      <c r="C109" s="4">
        <f>Cuartos!E80</f>
        <v>0</v>
      </c>
      <c r="D109" s="5">
        <f>Cuartos!H80</f>
        <v>0</v>
      </c>
      <c r="E109" s="14">
        <v>95</v>
      </c>
      <c r="G109" s="343"/>
      <c r="H109" s="344"/>
      <c r="I109" s="345"/>
      <c r="J109" s="7"/>
      <c r="K109" s="353" t="str">
        <f>""</f>
        <v/>
      </c>
      <c r="L109" s="273" t="str">
        <f t="shared" si="27"/>
        <v/>
      </c>
      <c r="M109" s="354" t="str">
        <f t="shared" si="28"/>
        <v/>
      </c>
      <c r="N109" s="8"/>
      <c r="O109" s="353" t="str">
        <f t="shared" si="29"/>
        <v xml:space="preserve"> </v>
      </c>
      <c r="P109" s="273" t="str">
        <f t="shared" si="30"/>
        <v/>
      </c>
      <c r="Q109" s="354" t="str">
        <f t="shared" si="31"/>
        <v/>
      </c>
      <c r="R109" s="8"/>
      <c r="S109" s="363" t="str">
        <f t="shared" si="32"/>
        <v/>
      </c>
      <c r="T109" s="364" t="str">
        <f t="shared" si="33"/>
        <v/>
      </c>
      <c r="U109" s="3">
        <f t="shared" si="37"/>
        <v>0</v>
      </c>
      <c r="V109" s="3">
        <f t="shared" si="38"/>
        <v>0</v>
      </c>
      <c r="W109" s="3">
        <f t="shared" si="39"/>
        <v>0</v>
      </c>
      <c r="X109" s="3">
        <f t="shared" si="40"/>
        <v>0</v>
      </c>
      <c r="Y109" s="8"/>
      <c r="Z109" s="101" t="str">
        <f t="shared" si="34"/>
        <v/>
      </c>
      <c r="AA109" s="3">
        <f t="shared" si="35"/>
        <v>0</v>
      </c>
      <c r="AB109" s="3">
        <f t="shared" si="36"/>
        <v>0</v>
      </c>
      <c r="AC109" s="3">
        <f t="shared" si="41"/>
        <v>0.02</v>
      </c>
    </row>
    <row r="110" spans="1:29" x14ac:dyDescent="0.3">
      <c r="A110" s="3">
        <f>Cuartos!B81</f>
        <v>65</v>
      </c>
      <c r="B110" s="3">
        <f>Cuartos!D81</f>
        <v>0</v>
      </c>
      <c r="C110" s="4">
        <f>Cuartos!E81</f>
        <v>0</v>
      </c>
      <c r="D110" s="5">
        <f>Cuartos!H81</f>
        <v>0</v>
      </c>
      <c r="E110" s="14">
        <v>96</v>
      </c>
      <c r="G110" s="346"/>
      <c r="H110" s="347"/>
      <c r="I110" s="348"/>
      <c r="J110" s="7"/>
      <c r="K110" s="355" t="str">
        <f>""</f>
        <v/>
      </c>
      <c r="L110" s="285" t="str">
        <f t="shared" si="27"/>
        <v/>
      </c>
      <c r="M110" s="356" t="str">
        <f t="shared" si="28"/>
        <v/>
      </c>
      <c r="N110" s="8"/>
      <c r="O110" s="355" t="str">
        <f t="shared" si="29"/>
        <v xml:space="preserve"> </v>
      </c>
      <c r="P110" s="285" t="str">
        <f t="shared" si="30"/>
        <v/>
      </c>
      <c r="Q110" s="356" t="str">
        <f t="shared" si="31"/>
        <v/>
      </c>
      <c r="R110" s="8"/>
      <c r="S110" s="365" t="str">
        <f t="shared" si="32"/>
        <v/>
      </c>
      <c r="T110" s="366" t="str">
        <f t="shared" si="33"/>
        <v/>
      </c>
      <c r="U110" s="3">
        <f t="shared" si="37"/>
        <v>0</v>
      </c>
      <c r="V110" s="3">
        <f t="shared" si="38"/>
        <v>0</v>
      </c>
      <c r="W110" s="3">
        <f t="shared" si="39"/>
        <v>0</v>
      </c>
      <c r="X110" s="3">
        <f t="shared" si="40"/>
        <v>0</v>
      </c>
      <c r="Y110" s="8"/>
      <c r="Z110" s="102" t="str">
        <f t="shared" si="34"/>
        <v/>
      </c>
      <c r="AA110" s="3">
        <f t="shared" si="35"/>
        <v>0</v>
      </c>
      <c r="AB110" s="3">
        <f t="shared" si="36"/>
        <v>0</v>
      </c>
      <c r="AC110" s="3">
        <f t="shared" si="41"/>
        <v>0.02</v>
      </c>
    </row>
    <row r="111" spans="1:29" x14ac:dyDescent="0.3">
      <c r="A111" s="3">
        <f>Cuartos!B82</f>
        <v>66</v>
      </c>
      <c r="B111" s="3">
        <f>Cuartos!D82</f>
        <v>0</v>
      </c>
      <c r="C111" s="4">
        <f>Cuartos!E82</f>
        <v>0</v>
      </c>
      <c r="D111" s="5">
        <f>Cuartos!H82</f>
        <v>0</v>
      </c>
      <c r="E111" s="14">
        <v>97</v>
      </c>
      <c r="G111" s="340"/>
      <c r="H111" s="341"/>
      <c r="I111" s="342"/>
      <c r="J111" s="7"/>
      <c r="K111" s="351" t="str">
        <f>""</f>
        <v/>
      </c>
      <c r="L111" s="261" t="str">
        <f t="shared" ref="L111:L114" si="42">IF(ISERROR(VLOOKUP(K111,PRESIONES,2,FALSE)),"",VLOOKUP(K111,PRESIONES,2,FALSE))</f>
        <v/>
      </c>
      <c r="M111" s="352" t="str">
        <f t="shared" si="28"/>
        <v/>
      </c>
      <c r="N111" s="8"/>
      <c r="O111" s="351" t="str">
        <f t="shared" si="29"/>
        <v xml:space="preserve"> </v>
      </c>
      <c r="P111" s="261" t="str">
        <f t="shared" ref="P111:P114" si="43">IF(ISERROR(VLOOKUP(O111,PRESIONES,2,FALSE)),"",VLOOKUP(O111,PRESIONES,2,FALSE))</f>
        <v/>
      </c>
      <c r="Q111" s="352" t="str">
        <f t="shared" si="31"/>
        <v/>
      </c>
      <c r="R111" s="8"/>
      <c r="S111" s="361" t="str">
        <f t="shared" si="32"/>
        <v/>
      </c>
      <c r="T111" s="362" t="str">
        <f t="shared" si="33"/>
        <v/>
      </c>
      <c r="U111" s="3">
        <f t="shared" si="37"/>
        <v>0</v>
      </c>
      <c r="V111" s="3">
        <f t="shared" si="38"/>
        <v>0</v>
      </c>
      <c r="W111" s="3">
        <f t="shared" si="39"/>
        <v>0</v>
      </c>
      <c r="X111" s="3">
        <f t="shared" si="40"/>
        <v>0</v>
      </c>
      <c r="Y111" s="8"/>
      <c r="Z111" s="100" t="str">
        <f t="shared" si="34"/>
        <v/>
      </c>
      <c r="AA111" s="3">
        <f t="shared" si="35"/>
        <v>0</v>
      </c>
      <c r="AB111" s="3">
        <f t="shared" si="36"/>
        <v>0</v>
      </c>
      <c r="AC111" s="3">
        <f t="shared" si="41"/>
        <v>0.02</v>
      </c>
    </row>
    <row r="112" spans="1:29" x14ac:dyDescent="0.3">
      <c r="A112" s="3">
        <f>Cuartos!B83</f>
        <v>67</v>
      </c>
      <c r="B112" s="3">
        <f>Cuartos!D83</f>
        <v>0</v>
      </c>
      <c r="C112" s="4">
        <f>Cuartos!E83</f>
        <v>0</v>
      </c>
      <c r="D112" s="5">
        <f>Cuartos!H83</f>
        <v>0</v>
      </c>
      <c r="E112" s="14">
        <v>98</v>
      </c>
      <c r="G112" s="343"/>
      <c r="H112" s="344"/>
      <c r="I112" s="345"/>
      <c r="J112" s="7"/>
      <c r="K112" s="353" t="str">
        <f>""</f>
        <v/>
      </c>
      <c r="L112" s="273" t="str">
        <f t="shared" si="42"/>
        <v/>
      </c>
      <c r="M112" s="354" t="str">
        <f t="shared" si="28"/>
        <v/>
      </c>
      <c r="N112" s="8"/>
      <c r="O112" s="353" t="str">
        <f t="shared" si="29"/>
        <v xml:space="preserve"> </v>
      </c>
      <c r="P112" s="273" t="str">
        <f t="shared" si="43"/>
        <v/>
      </c>
      <c r="Q112" s="354" t="str">
        <f t="shared" si="31"/>
        <v/>
      </c>
      <c r="R112" s="8"/>
      <c r="S112" s="363" t="str">
        <f t="shared" si="32"/>
        <v/>
      </c>
      <c r="T112" s="364" t="str">
        <f t="shared" si="33"/>
        <v/>
      </c>
      <c r="U112" s="3">
        <f t="shared" si="37"/>
        <v>0</v>
      </c>
      <c r="V112" s="3">
        <f t="shared" si="38"/>
        <v>0</v>
      </c>
      <c r="W112" s="3">
        <f t="shared" si="39"/>
        <v>0</v>
      </c>
      <c r="X112" s="3">
        <f t="shared" si="40"/>
        <v>0</v>
      </c>
      <c r="Y112" s="8"/>
      <c r="Z112" s="101" t="str">
        <f t="shared" si="34"/>
        <v/>
      </c>
      <c r="AA112" s="3">
        <f t="shared" si="35"/>
        <v>0</v>
      </c>
      <c r="AB112" s="3">
        <f t="shared" si="36"/>
        <v>0</v>
      </c>
      <c r="AC112" s="3">
        <f t="shared" si="41"/>
        <v>0.02</v>
      </c>
    </row>
    <row r="113" spans="1:29" x14ac:dyDescent="0.3">
      <c r="A113" s="3">
        <f>Cuartos!B84</f>
        <v>68</v>
      </c>
      <c r="B113" s="3">
        <f>Cuartos!D84</f>
        <v>0</v>
      </c>
      <c r="C113" s="4">
        <f>Cuartos!E84</f>
        <v>0</v>
      </c>
      <c r="D113" s="5">
        <f>Cuartos!H84</f>
        <v>0</v>
      </c>
      <c r="E113" s="14">
        <v>99</v>
      </c>
      <c r="G113" s="346"/>
      <c r="H113" s="347"/>
      <c r="I113" s="348"/>
      <c r="J113" s="7"/>
      <c r="K113" s="355" t="str">
        <f>""</f>
        <v/>
      </c>
      <c r="L113" s="285" t="str">
        <f t="shared" si="42"/>
        <v/>
      </c>
      <c r="M113" s="356" t="str">
        <f t="shared" si="28"/>
        <v/>
      </c>
      <c r="N113" s="8"/>
      <c r="O113" s="355" t="str">
        <f t="shared" si="29"/>
        <v xml:space="preserve"> </v>
      </c>
      <c r="P113" s="285" t="str">
        <f t="shared" si="43"/>
        <v/>
      </c>
      <c r="Q113" s="356" t="str">
        <f t="shared" si="31"/>
        <v/>
      </c>
      <c r="R113" s="8"/>
      <c r="S113" s="365" t="str">
        <f t="shared" si="32"/>
        <v/>
      </c>
      <c r="T113" s="366" t="str">
        <f t="shared" si="33"/>
        <v/>
      </c>
      <c r="U113" s="3">
        <f t="shared" si="37"/>
        <v>0</v>
      </c>
      <c r="V113" s="3">
        <f t="shared" si="38"/>
        <v>0</v>
      </c>
      <c r="W113" s="3">
        <f t="shared" si="39"/>
        <v>0</v>
      </c>
      <c r="X113" s="3">
        <f t="shared" si="40"/>
        <v>0</v>
      </c>
      <c r="Y113" s="8"/>
      <c r="Z113" s="102" t="str">
        <f t="shared" si="34"/>
        <v/>
      </c>
      <c r="AA113" s="3">
        <f t="shared" si="35"/>
        <v>0</v>
      </c>
      <c r="AB113" s="3">
        <f t="shared" si="36"/>
        <v>0</v>
      </c>
      <c r="AC113" s="3">
        <f t="shared" si="41"/>
        <v>0.02</v>
      </c>
    </row>
    <row r="114" spans="1:29" x14ac:dyDescent="0.3">
      <c r="A114" s="3">
        <f>Cuartos!B85</f>
        <v>69</v>
      </c>
      <c r="B114" s="3">
        <f>Cuartos!D85</f>
        <v>0</v>
      </c>
      <c r="C114" s="4">
        <f>Cuartos!E85</f>
        <v>0</v>
      </c>
      <c r="D114" s="5">
        <f>Cuartos!H85</f>
        <v>0</v>
      </c>
      <c r="E114" s="14">
        <v>100</v>
      </c>
      <c r="G114" s="340"/>
      <c r="H114" s="341"/>
      <c r="I114" s="342"/>
      <c r="J114" s="7"/>
      <c r="K114" s="351" t="str">
        <f>""</f>
        <v/>
      </c>
      <c r="L114" s="261" t="str">
        <f t="shared" si="42"/>
        <v/>
      </c>
      <c r="M114" s="352" t="str">
        <f t="shared" si="28"/>
        <v/>
      </c>
      <c r="N114" s="8"/>
      <c r="O114" s="351" t="str">
        <f t="shared" si="29"/>
        <v xml:space="preserve"> </v>
      </c>
      <c r="P114" s="261" t="str">
        <f t="shared" si="43"/>
        <v/>
      </c>
      <c r="Q114" s="352" t="str">
        <f t="shared" si="31"/>
        <v/>
      </c>
      <c r="R114" s="8"/>
      <c r="S114" s="361" t="str">
        <f t="shared" si="32"/>
        <v/>
      </c>
      <c r="T114" s="362" t="str">
        <f t="shared" si="33"/>
        <v/>
      </c>
      <c r="U114" s="3">
        <f t="shared" si="37"/>
        <v>0</v>
      </c>
      <c r="V114" s="3">
        <f t="shared" si="38"/>
        <v>0</v>
      </c>
      <c r="W114" s="3">
        <f t="shared" si="39"/>
        <v>0</v>
      </c>
      <c r="X114" s="3">
        <f t="shared" si="40"/>
        <v>0</v>
      </c>
      <c r="Y114" s="8"/>
      <c r="Z114" s="100" t="str">
        <f t="shared" si="34"/>
        <v/>
      </c>
      <c r="AA114" s="3">
        <f t="shared" si="35"/>
        <v>0</v>
      </c>
      <c r="AB114" s="3">
        <f t="shared" si="36"/>
        <v>0</v>
      </c>
      <c r="AC114" s="3">
        <f t="shared" si="41"/>
        <v>0.02</v>
      </c>
    </row>
    <row r="115" spans="1:29" x14ac:dyDescent="0.3">
      <c r="A115" s="3">
        <f>Cuartos!B86</f>
        <v>70</v>
      </c>
      <c r="B115" s="3">
        <f>Cuartos!D86</f>
        <v>0</v>
      </c>
      <c r="C115" s="4">
        <f>Cuartos!E86</f>
        <v>0</v>
      </c>
      <c r="D115" s="5">
        <f>Cuartos!H86</f>
        <v>0</v>
      </c>
    </row>
    <row r="116" spans="1:29" x14ac:dyDescent="0.3">
      <c r="A116" s="3">
        <f>Cuartos!B87</f>
        <v>71</v>
      </c>
      <c r="B116" s="3">
        <f>Cuartos!D87</f>
        <v>0</v>
      </c>
      <c r="C116" s="4">
        <f>Cuartos!E87</f>
        <v>0</v>
      </c>
      <c r="D116" s="5">
        <f>Cuartos!H87</f>
        <v>0</v>
      </c>
    </row>
    <row r="117" spans="1:29" x14ac:dyDescent="0.3">
      <c r="A117" s="3">
        <f>Cuartos!B88</f>
        <v>72</v>
      </c>
      <c r="B117" s="3">
        <f>Cuartos!D88</f>
        <v>0</v>
      </c>
      <c r="C117" s="4">
        <f>Cuartos!E88</f>
        <v>0</v>
      </c>
      <c r="D117" s="5">
        <f>Cuartos!H88</f>
        <v>0</v>
      </c>
    </row>
    <row r="118" spans="1:29" x14ac:dyDescent="0.3">
      <c r="A118" s="3">
        <f>Cuartos!B89</f>
        <v>73</v>
      </c>
      <c r="B118" s="3">
        <f>Cuartos!D89</f>
        <v>0</v>
      </c>
      <c r="C118" s="4">
        <f>Cuartos!E89</f>
        <v>0</v>
      </c>
      <c r="D118" s="5">
        <f>Cuartos!H89</f>
        <v>0</v>
      </c>
    </row>
    <row r="119" spans="1:29" x14ac:dyDescent="0.3">
      <c r="A119" s="3">
        <f>Cuartos!B90</f>
        <v>74</v>
      </c>
      <c r="B119" s="3">
        <f>Cuartos!D90</f>
        <v>0</v>
      </c>
      <c r="C119" s="4">
        <f>Cuartos!E90</f>
        <v>0</v>
      </c>
      <c r="D119" s="5">
        <f>Cuartos!H90</f>
        <v>0</v>
      </c>
    </row>
    <row r="120" spans="1:29" x14ac:dyDescent="0.3">
      <c r="A120" s="3">
        <f>Cuartos!B91</f>
        <v>75</v>
      </c>
      <c r="B120" s="3">
        <f>Cuartos!D91</f>
        <v>0</v>
      </c>
      <c r="C120" s="4">
        <f>Cuartos!E91</f>
        <v>0</v>
      </c>
      <c r="D120" s="5">
        <f>Cuartos!H91</f>
        <v>0</v>
      </c>
    </row>
    <row r="121" spans="1:29" x14ac:dyDescent="0.3">
      <c r="A121" s="3">
        <f>Cuartos!B92</f>
        <v>76</v>
      </c>
      <c r="B121" s="3">
        <f>Cuartos!D92</f>
        <v>0</v>
      </c>
      <c r="C121" s="4">
        <f>Cuartos!E92</f>
        <v>0</v>
      </c>
      <c r="D121" s="5">
        <f>Cuartos!H92</f>
        <v>0</v>
      </c>
    </row>
    <row r="122" spans="1:29" x14ac:dyDescent="0.3">
      <c r="A122" s="3">
        <f>Cuartos!B93</f>
        <v>77</v>
      </c>
      <c r="B122" s="3">
        <f>Cuartos!D93</f>
        <v>0</v>
      </c>
      <c r="C122" s="4">
        <f>Cuartos!E93</f>
        <v>0</v>
      </c>
      <c r="D122" s="5">
        <f>Cuartos!H93</f>
        <v>0</v>
      </c>
    </row>
    <row r="123" spans="1:29" x14ac:dyDescent="0.3">
      <c r="A123" s="3">
        <f>Cuartos!B94</f>
        <v>78</v>
      </c>
      <c r="B123" s="3">
        <f>Cuartos!D94</f>
        <v>0</v>
      </c>
      <c r="C123" s="4">
        <f>Cuartos!E94</f>
        <v>0</v>
      </c>
      <c r="D123" s="5">
        <f>Cuartos!H94</f>
        <v>0</v>
      </c>
    </row>
    <row r="124" spans="1:29" x14ac:dyDescent="0.3">
      <c r="A124" s="3">
        <f>Cuartos!B95</f>
        <v>79</v>
      </c>
      <c r="B124" s="3">
        <f>Cuartos!D95</f>
        <v>0</v>
      </c>
      <c r="C124" s="4">
        <f>Cuartos!E95</f>
        <v>0</v>
      </c>
      <c r="D124" s="5">
        <f>Cuartos!H95</f>
        <v>0</v>
      </c>
    </row>
    <row r="125" spans="1:29" x14ac:dyDescent="0.3">
      <c r="A125" s="3">
        <f>Cuartos!B96</f>
        <v>80</v>
      </c>
      <c r="B125" s="3">
        <f>Cuartos!D96</f>
        <v>0</v>
      </c>
      <c r="C125" s="4">
        <f>Cuartos!E96</f>
        <v>0</v>
      </c>
      <c r="D125" s="5">
        <f>Cuartos!H96</f>
        <v>0</v>
      </c>
    </row>
    <row r="126" spans="1:29" x14ac:dyDescent="0.3">
      <c r="A126" s="3">
        <f>Cuartos!B97</f>
        <v>81</v>
      </c>
      <c r="B126" s="3">
        <f>Cuartos!D97</f>
        <v>0</v>
      </c>
      <c r="C126" s="4">
        <f>Cuartos!E97</f>
        <v>0</v>
      </c>
      <c r="D126" s="5">
        <f>Cuartos!H97</f>
        <v>0</v>
      </c>
    </row>
    <row r="127" spans="1:29" x14ac:dyDescent="0.3">
      <c r="A127" s="3">
        <f>Cuartos!B98</f>
        <v>82</v>
      </c>
      <c r="B127" s="3">
        <f>Cuartos!D98</f>
        <v>0</v>
      </c>
      <c r="C127" s="4">
        <f>Cuartos!E98</f>
        <v>0</v>
      </c>
      <c r="D127" s="5">
        <f>Cuartos!H98</f>
        <v>0</v>
      </c>
    </row>
    <row r="128" spans="1:29" x14ac:dyDescent="0.3">
      <c r="A128" s="3">
        <f>Cuartos!B99</f>
        <v>83</v>
      </c>
      <c r="B128" s="3">
        <f>Cuartos!D99</f>
        <v>0</v>
      </c>
      <c r="C128" s="4">
        <f>Cuartos!E99</f>
        <v>0</v>
      </c>
      <c r="D128" s="5">
        <f>Cuartos!H99</f>
        <v>0</v>
      </c>
    </row>
    <row r="129" spans="1:4" x14ac:dyDescent="0.3">
      <c r="A129" s="3">
        <f>Cuartos!B100</f>
        <v>84</v>
      </c>
      <c r="B129" s="3">
        <f>Cuartos!D100</f>
        <v>0</v>
      </c>
      <c r="C129" s="4">
        <f>Cuartos!E100</f>
        <v>0</v>
      </c>
      <c r="D129" s="5">
        <f>Cuartos!H100</f>
        <v>0</v>
      </c>
    </row>
    <row r="130" spans="1:4" x14ac:dyDescent="0.3">
      <c r="A130" s="3">
        <f>Cuartos!B101</f>
        <v>85</v>
      </c>
      <c r="B130" s="3">
        <f>Cuartos!D101</f>
        <v>0</v>
      </c>
      <c r="C130" s="4">
        <f>Cuartos!E101</f>
        <v>0</v>
      </c>
      <c r="D130" s="5">
        <f>Cuartos!H101</f>
        <v>0</v>
      </c>
    </row>
    <row r="131" spans="1:4" x14ac:dyDescent="0.3">
      <c r="A131" s="3">
        <f>Cuartos!B102</f>
        <v>86</v>
      </c>
      <c r="B131" s="3">
        <f>Cuartos!D102</f>
        <v>0</v>
      </c>
      <c r="C131" s="4">
        <f>Cuartos!E102</f>
        <v>0</v>
      </c>
      <c r="D131" s="5">
        <f>Cuartos!H102</f>
        <v>0</v>
      </c>
    </row>
    <row r="132" spans="1:4" x14ac:dyDescent="0.3">
      <c r="A132" s="3">
        <f>Cuartos!B103</f>
        <v>87</v>
      </c>
      <c r="B132" s="3">
        <f>Cuartos!D103</f>
        <v>0</v>
      </c>
      <c r="C132" s="4">
        <f>Cuartos!E103</f>
        <v>0</v>
      </c>
      <c r="D132" s="5">
        <f>Cuartos!H103</f>
        <v>0</v>
      </c>
    </row>
    <row r="133" spans="1:4" x14ac:dyDescent="0.3">
      <c r="A133" s="3">
        <f>Cuartos!B104</f>
        <v>88</v>
      </c>
      <c r="B133" s="3">
        <f>Cuartos!D104</f>
        <v>0</v>
      </c>
      <c r="C133" s="4">
        <f>Cuartos!E104</f>
        <v>0</v>
      </c>
      <c r="D133" s="5">
        <f>Cuartos!H104</f>
        <v>0</v>
      </c>
    </row>
    <row r="134" spans="1:4" x14ac:dyDescent="0.3">
      <c r="A134" s="3">
        <f>Cuartos!B105</f>
        <v>89</v>
      </c>
      <c r="B134" s="3">
        <f>Cuartos!D105</f>
        <v>0</v>
      </c>
      <c r="C134" s="4">
        <f>Cuartos!E105</f>
        <v>0</v>
      </c>
      <c r="D134" s="5">
        <f>Cuartos!H105</f>
        <v>0</v>
      </c>
    </row>
    <row r="135" spans="1:4" x14ac:dyDescent="0.3">
      <c r="A135" s="3">
        <f>Cuartos!B106</f>
        <v>90</v>
      </c>
      <c r="B135" s="3">
        <f>Cuartos!D106</f>
        <v>0</v>
      </c>
      <c r="C135" s="4">
        <f>Cuartos!E106</f>
        <v>0</v>
      </c>
      <c r="D135" s="5">
        <f>Cuartos!H106</f>
        <v>0</v>
      </c>
    </row>
    <row r="136" spans="1:4" x14ac:dyDescent="0.3">
      <c r="A136" s="3">
        <f>Cuartos!B107</f>
        <v>91</v>
      </c>
      <c r="B136" s="3">
        <f>Cuartos!D107</f>
        <v>0</v>
      </c>
      <c r="C136" s="4">
        <f>Cuartos!E107</f>
        <v>0</v>
      </c>
      <c r="D136" s="5">
        <f>Cuartos!H107</f>
        <v>0</v>
      </c>
    </row>
    <row r="137" spans="1:4" x14ac:dyDescent="0.3">
      <c r="A137" s="3">
        <f>Cuartos!B108</f>
        <v>92</v>
      </c>
      <c r="B137" s="3">
        <f>Cuartos!D108</f>
        <v>0</v>
      </c>
      <c r="C137" s="4">
        <f>Cuartos!E108</f>
        <v>0</v>
      </c>
      <c r="D137" s="5">
        <f>Cuartos!H108</f>
        <v>0</v>
      </c>
    </row>
    <row r="138" spans="1:4" x14ac:dyDescent="0.3">
      <c r="A138" s="3">
        <f>Cuartos!B109</f>
        <v>93</v>
      </c>
      <c r="B138" s="3">
        <f>Cuartos!D109</f>
        <v>0</v>
      </c>
      <c r="C138" s="4">
        <f>Cuartos!E109</f>
        <v>0</v>
      </c>
      <c r="D138" s="5">
        <f>Cuartos!H109</f>
        <v>0</v>
      </c>
    </row>
    <row r="139" spans="1:4" x14ac:dyDescent="0.3">
      <c r="A139" s="3">
        <f>Cuartos!B110</f>
        <v>94</v>
      </c>
      <c r="B139" s="3">
        <f>Cuartos!D110</f>
        <v>0</v>
      </c>
      <c r="C139" s="4">
        <f>Cuartos!E110</f>
        <v>0</v>
      </c>
      <c r="D139" s="5">
        <f>Cuartos!H110</f>
        <v>0</v>
      </c>
    </row>
    <row r="140" spans="1:4" x14ac:dyDescent="0.3">
      <c r="A140" s="3">
        <f>Cuartos!B111</f>
        <v>95</v>
      </c>
      <c r="B140" s="3">
        <f>Cuartos!D111</f>
        <v>0</v>
      </c>
      <c r="C140" s="4">
        <f>Cuartos!E111</f>
        <v>0</v>
      </c>
      <c r="D140" s="5">
        <f>Cuartos!H111</f>
        <v>0</v>
      </c>
    </row>
    <row r="141" spans="1:4" x14ac:dyDescent="0.3">
      <c r="A141" s="3">
        <f>Cuartos!B112</f>
        <v>96</v>
      </c>
      <c r="B141" s="3">
        <f>Cuartos!D112</f>
        <v>0</v>
      </c>
      <c r="C141" s="4">
        <f>Cuartos!E112</f>
        <v>0</v>
      </c>
      <c r="D141" s="5">
        <f>Cuartos!H112</f>
        <v>0</v>
      </c>
    </row>
    <row r="142" spans="1:4" x14ac:dyDescent="0.3">
      <c r="A142" s="3">
        <f>Cuartos!B113</f>
        <v>97</v>
      </c>
      <c r="B142" s="3">
        <f>Cuartos!D113</f>
        <v>0</v>
      </c>
      <c r="C142" s="4">
        <f>Cuartos!E113</f>
        <v>0</v>
      </c>
      <c r="D142" s="5">
        <f>Cuartos!H113</f>
        <v>0</v>
      </c>
    </row>
    <row r="143" spans="1:4" x14ac:dyDescent="0.3">
      <c r="A143" s="3">
        <f>Cuartos!B114</f>
        <v>98</v>
      </c>
      <c r="B143" s="3">
        <f>Cuartos!D114</f>
        <v>0</v>
      </c>
      <c r="C143" s="4">
        <f>Cuartos!E114</f>
        <v>0</v>
      </c>
      <c r="D143" s="5">
        <f>Cuartos!H114</f>
        <v>0</v>
      </c>
    </row>
    <row r="144" spans="1:4" x14ac:dyDescent="0.3">
      <c r="A144" s="3">
        <f>Cuartos!B115</f>
        <v>99</v>
      </c>
      <c r="B144" s="3">
        <f>Cuartos!D115</f>
        <v>0</v>
      </c>
      <c r="C144" s="4">
        <f>Cuartos!E115</f>
        <v>0</v>
      </c>
      <c r="D144" s="5">
        <f>Cuartos!H115</f>
        <v>0</v>
      </c>
    </row>
    <row r="145" spans="1:4" x14ac:dyDescent="0.3">
      <c r="A145" s="3">
        <f>Cuartos!B116</f>
        <v>100</v>
      </c>
      <c r="B145" s="3">
        <f>Cuartos!D116</f>
        <v>0</v>
      </c>
      <c r="C145" s="4">
        <f>Cuartos!E116</f>
        <v>0</v>
      </c>
      <c r="D145" s="5">
        <f>Cuartos!H116</f>
        <v>0</v>
      </c>
    </row>
  </sheetData>
  <sheetProtection selectLockedCells="1"/>
  <mergeCells count="13">
    <mergeCell ref="S4:S6"/>
    <mergeCell ref="G12:I12"/>
    <mergeCell ref="K12:Q12"/>
    <mergeCell ref="P4:R6"/>
    <mergeCell ref="P7:R7"/>
    <mergeCell ref="K10:L10"/>
    <mergeCell ref="P8:R8"/>
    <mergeCell ref="H10:I10"/>
    <mergeCell ref="P13:P14"/>
    <mergeCell ref="O13:O14"/>
    <mergeCell ref="L13:L14"/>
    <mergeCell ref="K13:K14"/>
    <mergeCell ref="S12:T12"/>
  </mergeCells>
  <conditionalFormatting sqref="Y15:Z114">
    <cfRule type="cellIs" dxfId="157" priority="4" operator="greaterThan">
      <formula>$AC15</formula>
    </cfRule>
    <cfRule type="cellIs" dxfId="156" priority="5" operator="equal">
      <formula>$AC15</formula>
    </cfRule>
    <cfRule type="cellIs" dxfId="155" priority="6" operator="lessThan">
      <formula>$AC15</formula>
    </cfRule>
  </conditionalFormatting>
  <dataValidations count="7">
    <dataValidation type="custom" allowBlank="1" showInputMessage="1" showErrorMessage="1" sqref="O15:O34" xr:uid="{00000000-0002-0000-0300-000000000000}">
      <formula1>NOT(EXACT(O15,K15))</formula1>
    </dataValidation>
    <dataValidation type="custom" allowBlank="1" showInputMessage="1" showErrorMessage="1" sqref="K15:K34" xr:uid="{00000000-0002-0000-0300-000001000000}">
      <formula1>NOT(EXACT(K15,O15))</formula1>
    </dataValidation>
    <dataValidation type="whole" operator="greaterThanOrEqual" allowBlank="1" showInputMessage="1" showErrorMessage="1" errorTitle="REDONDEO" error="Los valores de PCM únicamente pueden redondearse a números enteros positivos" sqref="P9:P10 S4" xr:uid="{00000000-0002-0000-0300-000002000000}">
      <formula1>1</formula1>
    </dataValidation>
    <dataValidation type="whole" operator="greaterThanOrEqual" allowBlank="1" showInputMessage="1" showErrorMessage="1" errorTitle="RANURA" error="La altura de la ranura debe ser un valor entero mayor o igual a 0 mm." sqref="S7" xr:uid="{00000000-0002-0000-0300-000003000000}">
      <formula1>0</formula1>
    </dataValidation>
    <dataValidation type="decimal" errorStyle="warning" allowBlank="1" showInputMessage="1" showErrorMessage="1" errorTitle="DIMENSIONES" error="Verifique que las dimensiones de la puerta sean correctas. La dimensión que está tratando de escribir es menor a 1.00 m, o es mayor a 3.00 m." sqref="I15:I114" xr:uid="{00000000-0002-0000-0300-000004000000}">
      <formula1>1</formula1>
      <formula2>3</formula2>
    </dataValidation>
    <dataValidation type="whole" allowBlank="1" showInputMessage="1" showErrorMessage="1" errorTitle="Número de hojas" error="El número de hojas de una puerta únicamente puede ser 1 ó 2" sqref="G15:G114" xr:uid="{00000000-0002-0000-0300-000005000000}">
      <formula1>1</formula1>
      <formula2>2</formula2>
    </dataValidation>
    <dataValidation type="decimal" errorStyle="warning" allowBlank="1" showInputMessage="1" showErrorMessage="1" errorTitle="DIMENSIONES" error="Verifique que las dimensiones de la puerta sean correctas. La dimensión que está tratando de escribir es menor a 0.60 m, o es mayor a 2.20 m." sqref="H15:H114" xr:uid="{00000000-0002-0000-0300-000006000000}">
      <formula1>0.6</formula1>
      <formula2>2.2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artos">
                <anchor moveWithCells="1">
                  <from>
                    <xdr:col>5</xdr:col>
                    <xdr:colOff>60960</xdr:colOff>
                    <xdr:row>2</xdr:row>
                    <xdr:rowOff>76200</xdr:rowOff>
                  </from>
                  <to>
                    <xdr:col>7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dule2.Inyeccion">
                <anchor moveWithCells="1">
                  <from>
                    <xdr:col>5</xdr:col>
                    <xdr:colOff>60960</xdr:colOff>
                    <xdr:row>5</xdr:row>
                    <xdr:rowOff>45720</xdr:rowOff>
                  </from>
                  <to>
                    <xdr:col>7</xdr:col>
                    <xdr:colOff>91440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90C0F-E242-4631-A04D-D7B527F17BD9}">
  <sheetPr codeName="Hoja7">
    <pageSetUpPr fitToPage="1"/>
  </sheetPr>
  <dimension ref="A2:U127"/>
  <sheetViews>
    <sheetView topLeftCell="A112" zoomScaleNormal="100" workbookViewId="0">
      <selection activeCell="U127" sqref="A1:U127"/>
    </sheetView>
  </sheetViews>
  <sheetFormatPr defaultColWidth="12" defaultRowHeight="13.8" x14ac:dyDescent="0.3"/>
  <cols>
    <col min="1" max="1" width="4.625" style="3" bestFit="1" customWidth="1"/>
    <col min="2" max="2" width="25.875" style="3" customWidth="1"/>
    <col min="3" max="3" width="7.125" style="3" bestFit="1" customWidth="1"/>
    <col min="4" max="6" width="12" style="3"/>
    <col min="7" max="9" width="7.875" style="426" customWidth="1"/>
    <col min="10" max="10" width="8.875" style="426" customWidth="1"/>
    <col min="11" max="11" width="10.875" style="426" customWidth="1"/>
    <col min="12" max="12" width="8.875" style="426" customWidth="1"/>
    <col min="13" max="21" width="7.875" style="3" customWidth="1"/>
    <col min="22" max="16384" width="12" style="3"/>
  </cols>
  <sheetData>
    <row r="2" spans="1:21" x14ac:dyDescent="0.3">
      <c r="B2" s="94" t="s">
        <v>212</v>
      </c>
      <c r="C2" s="615" t="str">
        <f>IF(Datos!I1="","",Datos!I1)</f>
        <v/>
      </c>
      <c r="D2" s="615"/>
      <c r="E2" s="615"/>
      <c r="F2" s="615"/>
      <c r="G2" s="615"/>
      <c r="H2" s="615"/>
      <c r="I2" s="615"/>
    </row>
    <row r="3" spans="1:21" x14ac:dyDescent="0.3">
      <c r="B3" s="94" t="s">
        <v>211</v>
      </c>
      <c r="C3" s="615" t="str">
        <f>IF(Datos!B6="","",Datos!B6)</f>
        <v/>
      </c>
      <c r="D3" s="615"/>
      <c r="E3" s="615"/>
      <c r="F3" s="615"/>
      <c r="G3" s="615"/>
      <c r="H3" s="615"/>
      <c r="I3" s="615"/>
    </row>
    <row r="4" spans="1:21" x14ac:dyDescent="0.3">
      <c r="B4" s="94" t="s">
        <v>213</v>
      </c>
      <c r="C4" s="615" t="str">
        <f>IF(Datos!B9="","",Datos!B9)</f>
        <v/>
      </c>
      <c r="D4" s="615"/>
      <c r="E4" s="615"/>
      <c r="F4" s="615"/>
      <c r="G4" s="615"/>
      <c r="H4" s="615"/>
      <c r="I4" s="615"/>
    </row>
    <row r="6" spans="1:21" x14ac:dyDescent="0.3">
      <c r="A6" s="611" t="s">
        <v>0</v>
      </c>
      <c r="B6" s="611" t="s">
        <v>34</v>
      </c>
      <c r="C6" s="611" t="s">
        <v>7</v>
      </c>
      <c r="D6" s="611" t="s">
        <v>19</v>
      </c>
      <c r="E6" s="611" t="s">
        <v>20</v>
      </c>
      <c r="F6" s="611" t="s">
        <v>8</v>
      </c>
      <c r="G6" s="611" t="s">
        <v>21</v>
      </c>
      <c r="H6" s="611" t="s">
        <v>22</v>
      </c>
      <c r="I6" s="611" t="s">
        <v>23</v>
      </c>
      <c r="J6" s="611" t="s">
        <v>24</v>
      </c>
      <c r="K6" s="611" t="s">
        <v>24</v>
      </c>
      <c r="L6" s="611" t="s">
        <v>25</v>
      </c>
      <c r="M6" s="614" t="s">
        <v>137</v>
      </c>
      <c r="N6" s="614"/>
      <c r="O6" s="614"/>
      <c r="P6" s="614" t="s">
        <v>138</v>
      </c>
      <c r="Q6" s="614"/>
      <c r="R6" s="614"/>
      <c r="S6" s="614"/>
      <c r="T6" s="614"/>
      <c r="U6" s="614"/>
    </row>
    <row r="7" spans="1:21" x14ac:dyDescent="0.3">
      <c r="A7" s="612"/>
      <c r="B7" s="612"/>
      <c r="C7" s="612"/>
      <c r="D7" s="612"/>
      <c r="E7" s="612"/>
      <c r="F7" s="612"/>
      <c r="G7" s="612"/>
      <c r="H7" s="612"/>
      <c r="I7" s="612"/>
      <c r="J7" s="612"/>
      <c r="K7" s="612"/>
      <c r="L7" s="612"/>
      <c r="M7" s="428" t="s">
        <v>168</v>
      </c>
      <c r="N7" s="428" t="s">
        <v>527</v>
      </c>
      <c r="O7" s="428" t="s">
        <v>26</v>
      </c>
      <c r="P7" s="428" t="s">
        <v>169</v>
      </c>
      <c r="Q7" s="428" t="s">
        <v>170</v>
      </c>
      <c r="R7" s="428" t="s">
        <v>171</v>
      </c>
      <c r="S7" s="428" t="s">
        <v>526</v>
      </c>
      <c r="T7" s="428" t="s">
        <v>528</v>
      </c>
      <c r="U7" s="428" t="s">
        <v>26</v>
      </c>
    </row>
    <row r="8" spans="1:21" x14ac:dyDescent="0.3">
      <c r="A8" s="613"/>
      <c r="B8" s="613"/>
      <c r="C8" s="429" t="s">
        <v>15</v>
      </c>
      <c r="D8" s="429" t="s">
        <v>14</v>
      </c>
      <c r="E8" s="429" t="s">
        <v>12</v>
      </c>
      <c r="F8" s="613"/>
      <c r="G8" s="429" t="s">
        <v>27</v>
      </c>
      <c r="H8" s="429" t="s">
        <v>27</v>
      </c>
      <c r="I8" s="429" t="s">
        <v>27</v>
      </c>
      <c r="J8" s="429" t="s">
        <v>28</v>
      </c>
      <c r="K8" s="129" t="s">
        <v>29</v>
      </c>
      <c r="L8" s="613"/>
      <c r="M8" s="129" t="s">
        <v>42</v>
      </c>
      <c r="N8" s="129" t="s">
        <v>42</v>
      </c>
      <c r="O8" s="429" t="s">
        <v>42</v>
      </c>
      <c r="P8" s="429" t="s">
        <v>42</v>
      </c>
      <c r="Q8" s="429" t="s">
        <v>42</v>
      </c>
      <c r="R8" s="429" t="s">
        <v>42</v>
      </c>
      <c r="S8" s="429" t="s">
        <v>42</v>
      </c>
      <c r="T8" s="429" t="s">
        <v>42</v>
      </c>
      <c r="U8" s="429" t="s">
        <v>42</v>
      </c>
    </row>
    <row r="9" spans="1:21" x14ac:dyDescent="0.3">
      <c r="A9" s="130">
        <v>1</v>
      </c>
      <c r="B9" s="131" t="str">
        <f>_xlfn.CONCAT(IF(Cuartos!C17="","",Cuartos!C17&amp;" "),IF(Cuartos!D17="","",Cuartos!D17))</f>
        <v/>
      </c>
      <c r="C9" s="368" t="str">
        <f>IF(Cuartos!E17="","",Cuartos!E17)</f>
        <v/>
      </c>
      <c r="D9" s="368" t="str">
        <f>IF(Cuartos!F17="","",Cuartos!F17)</f>
        <v/>
      </c>
      <c r="E9" s="368" t="str">
        <f>IF(Cuartos!G17="","",Cuartos!G17)</f>
        <v/>
      </c>
      <c r="F9" s="450" t="str">
        <f>IF(Cuartos!H17="","",Cuartos!H17)</f>
        <v/>
      </c>
      <c r="G9" s="451" t="str">
        <f>IF(Cuartos!J17="","",Cuartos!J17)</f>
        <v/>
      </c>
      <c r="H9" s="368" t="str">
        <f>IF(Cuartos!K17="","",Cuartos!K17)</f>
        <v/>
      </c>
      <c r="I9" s="368" t="str">
        <f>IF(Cuartos!L17="","",Cuartos!L17)</f>
        <v/>
      </c>
      <c r="J9" s="368" t="str">
        <f>IF(Cuartos!DK17="","",Cuartos!DK17)</f>
        <v/>
      </c>
      <c r="K9" s="368" t="str">
        <f>IF(Cuartos!DL17="","",Cuartos!DL17)</f>
        <v/>
      </c>
      <c r="L9" s="459" t="str">
        <f>Cuartos!DM17</f>
        <v/>
      </c>
      <c r="M9" s="150" t="str">
        <f>Cuartos!DU17</f>
        <v/>
      </c>
      <c r="N9" s="133" t="str">
        <f>Cuartos!DV17</f>
        <v/>
      </c>
      <c r="O9" s="134" t="str">
        <f>Cuartos!DW17</f>
        <v/>
      </c>
      <c r="P9" s="147" t="str">
        <f>Cuartos!DX17</f>
        <v/>
      </c>
      <c r="Q9" s="133" t="str">
        <f>Cuartos!DY17</f>
        <v/>
      </c>
      <c r="R9" s="133" t="str">
        <f>IF($B9="","",Cuartos!DZ17)</f>
        <v/>
      </c>
      <c r="S9" s="133" t="str">
        <f>IF($B9="","",Cuartos!EA17)</f>
        <v/>
      </c>
      <c r="T9" s="133" t="str">
        <f>IF($B9="","",Cuartos!EC17)</f>
        <v/>
      </c>
      <c r="U9" s="134" t="str">
        <f>IF($B9="","",Cuartos!ED17)</f>
        <v/>
      </c>
    </row>
    <row r="10" spans="1:21" x14ac:dyDescent="0.3">
      <c r="A10" s="135">
        <v>2</v>
      </c>
      <c r="B10" s="136" t="str">
        <f>_xlfn.CONCAT(IF(Cuartos!C18="","",Cuartos!C18&amp;" "),IF(Cuartos!D18="","",Cuartos!D18))</f>
        <v/>
      </c>
      <c r="C10" s="369" t="str">
        <f>IF(Cuartos!E18="","",Cuartos!E18)</f>
        <v/>
      </c>
      <c r="D10" s="137" t="str">
        <f>IF(Cuartos!F18="","",Cuartos!F18)</f>
        <v/>
      </c>
      <c r="E10" s="137" t="str">
        <f>IF(Cuartos!G18="","",Cuartos!G18)</f>
        <v/>
      </c>
      <c r="F10" s="153" t="str">
        <f>IF(Cuartos!H18="","",Cuartos!H18)</f>
        <v/>
      </c>
      <c r="G10" s="452" t="str">
        <f>IF(Cuartos!J18="","",Cuartos!J18)</f>
        <v/>
      </c>
      <c r="H10" s="453" t="str">
        <f>IF(Cuartos!K18="","",Cuartos!K18)</f>
        <v/>
      </c>
      <c r="I10" s="453" t="str">
        <f>IF(Cuartos!L18="","",Cuartos!L18)</f>
        <v/>
      </c>
      <c r="J10" s="453" t="str">
        <f>IF(Cuartos!DK18="","",Cuartos!DK18)</f>
        <v/>
      </c>
      <c r="K10" s="453" t="str">
        <f>IF(Cuartos!DL18="","",Cuartos!DL18)</f>
        <v/>
      </c>
      <c r="L10" s="460" t="str">
        <f>Cuartos!DM18</f>
        <v/>
      </c>
      <c r="M10" s="151" t="str">
        <f>Cuartos!DU18</f>
        <v/>
      </c>
      <c r="N10" s="139" t="str">
        <f>Cuartos!DV18</f>
        <v/>
      </c>
      <c r="O10" s="140" t="str">
        <f>Cuartos!DW18</f>
        <v/>
      </c>
      <c r="P10" s="148" t="str">
        <f>Cuartos!DX18</f>
        <v/>
      </c>
      <c r="Q10" s="139" t="str">
        <f>Cuartos!DY18</f>
        <v/>
      </c>
      <c r="R10" s="139" t="str">
        <f>IF($B10="","",Cuartos!DZ18)</f>
        <v/>
      </c>
      <c r="S10" s="139" t="str">
        <f>IF($B10="","",Cuartos!EA18)</f>
        <v/>
      </c>
      <c r="T10" s="139" t="str">
        <f>IF($B10="","",Cuartos!EC18)</f>
        <v/>
      </c>
      <c r="U10" s="140" t="str">
        <f>IF($B10="","",Cuartos!ED18)</f>
        <v/>
      </c>
    </row>
    <row r="11" spans="1:21" x14ac:dyDescent="0.3">
      <c r="A11" s="135">
        <v>3</v>
      </c>
      <c r="B11" s="136" t="str">
        <f>_xlfn.CONCAT(IF(Cuartos!C19="","",Cuartos!C19&amp;" "),IF(Cuartos!D19="","",Cuartos!D19))</f>
        <v/>
      </c>
      <c r="C11" s="369" t="str">
        <f>IF(Cuartos!E19="","",Cuartos!E19)</f>
        <v/>
      </c>
      <c r="D11" s="137" t="str">
        <f>IF(Cuartos!F19="","",Cuartos!F19)</f>
        <v/>
      </c>
      <c r="E11" s="137" t="str">
        <f>IF(Cuartos!G19="","",Cuartos!G19)</f>
        <v/>
      </c>
      <c r="F11" s="153" t="str">
        <f>IF(Cuartos!H19="","",Cuartos!H19)</f>
        <v/>
      </c>
      <c r="G11" s="452" t="str">
        <f>IF(Cuartos!J19="","",Cuartos!J19)</f>
        <v/>
      </c>
      <c r="H11" s="453" t="str">
        <f>IF(Cuartos!K19="","",Cuartos!K19)</f>
        <v/>
      </c>
      <c r="I11" s="453" t="str">
        <f>IF(Cuartos!L19="","",Cuartos!L19)</f>
        <v/>
      </c>
      <c r="J11" s="453" t="str">
        <f>IF(Cuartos!DK19="","",Cuartos!DK19)</f>
        <v/>
      </c>
      <c r="K11" s="453" t="str">
        <f>IF(Cuartos!DL19="","",Cuartos!DL19)</f>
        <v/>
      </c>
      <c r="L11" s="460" t="str">
        <f>Cuartos!DM19</f>
        <v/>
      </c>
      <c r="M11" s="151" t="str">
        <f>Cuartos!DU19</f>
        <v/>
      </c>
      <c r="N11" s="139" t="str">
        <f>Cuartos!DV19</f>
        <v/>
      </c>
      <c r="O11" s="140" t="str">
        <f>Cuartos!DW19</f>
        <v/>
      </c>
      <c r="P11" s="148" t="str">
        <f>Cuartos!DX19</f>
        <v/>
      </c>
      <c r="Q11" s="139" t="str">
        <f>Cuartos!DY19</f>
        <v/>
      </c>
      <c r="R11" s="139" t="str">
        <f>IF($B11="","",Cuartos!DZ19)</f>
        <v/>
      </c>
      <c r="S11" s="139" t="str">
        <f>IF($B11="","",Cuartos!EA19)</f>
        <v/>
      </c>
      <c r="T11" s="139" t="str">
        <f>IF($B11="","",Cuartos!EC19)</f>
        <v/>
      </c>
      <c r="U11" s="140" t="str">
        <f>IF($B11="","",Cuartos!ED19)</f>
        <v/>
      </c>
    </row>
    <row r="12" spans="1:21" x14ac:dyDescent="0.3">
      <c r="A12" s="135">
        <v>4</v>
      </c>
      <c r="B12" s="136" t="str">
        <f>_xlfn.CONCAT(IF(Cuartos!C20="","",Cuartos!C20&amp;" "),IF(Cuartos!D20="","",Cuartos!D20))</f>
        <v/>
      </c>
      <c r="C12" s="369" t="str">
        <f>IF(Cuartos!E20="","",Cuartos!E20)</f>
        <v/>
      </c>
      <c r="D12" s="137" t="str">
        <f>IF(Cuartos!F20="","",Cuartos!F20)</f>
        <v/>
      </c>
      <c r="E12" s="137" t="str">
        <f>IF(Cuartos!G20="","",Cuartos!G20)</f>
        <v/>
      </c>
      <c r="F12" s="153" t="str">
        <f>IF(Cuartos!H20="","",Cuartos!H20)</f>
        <v/>
      </c>
      <c r="G12" s="452" t="str">
        <f>IF(Cuartos!J20="","",Cuartos!J20)</f>
        <v/>
      </c>
      <c r="H12" s="453" t="str">
        <f>IF(Cuartos!K20="","",Cuartos!K20)</f>
        <v/>
      </c>
      <c r="I12" s="453" t="str">
        <f>IF(Cuartos!L20="","",Cuartos!L20)</f>
        <v/>
      </c>
      <c r="J12" s="453" t="str">
        <f>IF(Cuartos!DK20="","",Cuartos!DK20)</f>
        <v/>
      </c>
      <c r="K12" s="453" t="str">
        <f>IF(Cuartos!DL20="","",Cuartos!DL20)</f>
        <v/>
      </c>
      <c r="L12" s="460" t="str">
        <f>Cuartos!DM20</f>
        <v/>
      </c>
      <c r="M12" s="151" t="str">
        <f>Cuartos!DU20</f>
        <v/>
      </c>
      <c r="N12" s="139" t="str">
        <f>Cuartos!DV20</f>
        <v/>
      </c>
      <c r="O12" s="140" t="str">
        <f>Cuartos!DW20</f>
        <v/>
      </c>
      <c r="P12" s="148" t="str">
        <f>Cuartos!DX20</f>
        <v/>
      </c>
      <c r="Q12" s="139" t="str">
        <f>Cuartos!DY20</f>
        <v/>
      </c>
      <c r="R12" s="139" t="str">
        <f>IF($B12="","",Cuartos!DZ20)</f>
        <v/>
      </c>
      <c r="S12" s="139" t="str">
        <f>IF($B12="","",Cuartos!EA20)</f>
        <v/>
      </c>
      <c r="T12" s="139" t="str">
        <f>IF($B12="","",Cuartos!EC20)</f>
        <v/>
      </c>
      <c r="U12" s="140" t="str">
        <f>IF($B12="","",Cuartos!ED20)</f>
        <v/>
      </c>
    </row>
    <row r="13" spans="1:21" x14ac:dyDescent="0.3">
      <c r="A13" s="135">
        <v>5</v>
      </c>
      <c r="B13" s="136" t="str">
        <f>_xlfn.CONCAT(IF(Cuartos!C21="","",Cuartos!C21&amp;" "),IF(Cuartos!D21="","",Cuartos!D21))</f>
        <v/>
      </c>
      <c r="C13" s="369" t="str">
        <f>IF(Cuartos!E21="","",Cuartos!E21)</f>
        <v/>
      </c>
      <c r="D13" s="137" t="str">
        <f>IF(Cuartos!F21="","",Cuartos!F21)</f>
        <v/>
      </c>
      <c r="E13" s="137" t="str">
        <f>IF(Cuartos!G21="","",Cuartos!G21)</f>
        <v/>
      </c>
      <c r="F13" s="153" t="str">
        <f>IF(Cuartos!H21="","",Cuartos!H21)</f>
        <v/>
      </c>
      <c r="G13" s="452" t="str">
        <f>IF(Cuartos!J21="","",Cuartos!J21)</f>
        <v/>
      </c>
      <c r="H13" s="453" t="str">
        <f>IF(Cuartos!K21="","",Cuartos!K21)</f>
        <v/>
      </c>
      <c r="I13" s="453" t="str">
        <f>IF(Cuartos!L21="","",Cuartos!L21)</f>
        <v/>
      </c>
      <c r="J13" s="453" t="str">
        <f>IF(Cuartos!DK21="","",Cuartos!DK21)</f>
        <v/>
      </c>
      <c r="K13" s="453" t="str">
        <f>IF(Cuartos!DL21="","",Cuartos!DL21)</f>
        <v/>
      </c>
      <c r="L13" s="460" t="str">
        <f>Cuartos!DM21</f>
        <v/>
      </c>
      <c r="M13" s="151" t="str">
        <f>Cuartos!DU21</f>
        <v/>
      </c>
      <c r="N13" s="139" t="str">
        <f>Cuartos!DV21</f>
        <v/>
      </c>
      <c r="O13" s="140" t="str">
        <f>Cuartos!DW21</f>
        <v/>
      </c>
      <c r="P13" s="148" t="str">
        <f>Cuartos!DX21</f>
        <v/>
      </c>
      <c r="Q13" s="139" t="str">
        <f>Cuartos!DY21</f>
        <v/>
      </c>
      <c r="R13" s="139" t="str">
        <f>IF($B13="","",Cuartos!DZ21)</f>
        <v/>
      </c>
      <c r="S13" s="139" t="str">
        <f>IF($B13="","",Cuartos!EA21)</f>
        <v/>
      </c>
      <c r="T13" s="139" t="str">
        <f>IF($B13="","",Cuartos!EC21)</f>
        <v/>
      </c>
      <c r="U13" s="140" t="str">
        <f>IF($B13="","",Cuartos!ED21)</f>
        <v/>
      </c>
    </row>
    <row r="14" spans="1:21" x14ac:dyDescent="0.3">
      <c r="A14" s="135">
        <v>6</v>
      </c>
      <c r="B14" s="136" t="str">
        <f>_xlfn.CONCAT(IF(Cuartos!C22="","",Cuartos!C22&amp;" "),IF(Cuartos!D22="","",Cuartos!D22))</f>
        <v/>
      </c>
      <c r="C14" s="369" t="str">
        <f>IF(Cuartos!E22="","",Cuartos!E22)</f>
        <v/>
      </c>
      <c r="D14" s="137" t="str">
        <f>IF(Cuartos!F22="","",Cuartos!F22)</f>
        <v/>
      </c>
      <c r="E14" s="137" t="str">
        <f>IF(Cuartos!G22="","",Cuartos!G22)</f>
        <v/>
      </c>
      <c r="F14" s="153" t="str">
        <f>IF(Cuartos!H22="","",Cuartos!H22)</f>
        <v/>
      </c>
      <c r="G14" s="452" t="str">
        <f>IF(Cuartos!J22="","",Cuartos!J22)</f>
        <v/>
      </c>
      <c r="H14" s="453" t="str">
        <f>IF(Cuartos!K22="","",Cuartos!K22)</f>
        <v/>
      </c>
      <c r="I14" s="453" t="str">
        <f>IF(Cuartos!L22="","",Cuartos!L22)</f>
        <v/>
      </c>
      <c r="J14" s="453" t="str">
        <f>IF(Cuartos!DK22="","",Cuartos!DK22)</f>
        <v/>
      </c>
      <c r="K14" s="453" t="str">
        <f>IF(Cuartos!DL22="","",Cuartos!DL22)</f>
        <v/>
      </c>
      <c r="L14" s="460" t="str">
        <f>Cuartos!DM22</f>
        <v/>
      </c>
      <c r="M14" s="151" t="str">
        <f>Cuartos!DU22</f>
        <v/>
      </c>
      <c r="N14" s="139" t="str">
        <f>Cuartos!DV22</f>
        <v/>
      </c>
      <c r="O14" s="140" t="str">
        <f>Cuartos!DW22</f>
        <v/>
      </c>
      <c r="P14" s="148" t="str">
        <f>Cuartos!DX22</f>
        <v/>
      </c>
      <c r="Q14" s="139" t="str">
        <f>Cuartos!DY22</f>
        <v/>
      </c>
      <c r="R14" s="139" t="str">
        <f>IF($B14="","",Cuartos!DZ22)</f>
        <v/>
      </c>
      <c r="S14" s="139" t="str">
        <f>IF($B14="","",Cuartos!EA22)</f>
        <v/>
      </c>
      <c r="T14" s="139" t="str">
        <f>IF($B14="","",Cuartos!EC22)</f>
        <v/>
      </c>
      <c r="U14" s="140" t="str">
        <f>IF($B14="","",Cuartos!ED22)</f>
        <v/>
      </c>
    </row>
    <row r="15" spans="1:21" x14ac:dyDescent="0.3">
      <c r="A15" s="135">
        <v>7</v>
      </c>
      <c r="B15" s="136" t="str">
        <f>_xlfn.CONCAT(IF(Cuartos!C23="","",Cuartos!C23&amp;" "),IF(Cuartos!D23="","",Cuartos!D23))</f>
        <v/>
      </c>
      <c r="C15" s="369" t="str">
        <f>IF(Cuartos!E23="","",Cuartos!E23)</f>
        <v/>
      </c>
      <c r="D15" s="137" t="str">
        <f>IF(Cuartos!F23="","",Cuartos!F23)</f>
        <v/>
      </c>
      <c r="E15" s="137" t="str">
        <f>IF(Cuartos!G23="","",Cuartos!G23)</f>
        <v/>
      </c>
      <c r="F15" s="153" t="str">
        <f>IF(Cuartos!H23="","",Cuartos!H23)</f>
        <v/>
      </c>
      <c r="G15" s="452" t="str">
        <f>IF(Cuartos!J23="","",Cuartos!J23)</f>
        <v/>
      </c>
      <c r="H15" s="453" t="str">
        <f>IF(Cuartos!K23="","",Cuartos!K23)</f>
        <v/>
      </c>
      <c r="I15" s="453" t="str">
        <f>IF(Cuartos!L23="","",Cuartos!L23)</f>
        <v/>
      </c>
      <c r="J15" s="453" t="str">
        <f>IF(Cuartos!DK23="","",Cuartos!DK23)</f>
        <v/>
      </c>
      <c r="K15" s="453" t="str">
        <f>IF(Cuartos!DL23="","",Cuartos!DL23)</f>
        <v/>
      </c>
      <c r="L15" s="460" t="str">
        <f>Cuartos!DM23</f>
        <v/>
      </c>
      <c r="M15" s="151" t="str">
        <f>Cuartos!DU23</f>
        <v/>
      </c>
      <c r="N15" s="139" t="str">
        <f>Cuartos!DV23</f>
        <v/>
      </c>
      <c r="O15" s="140" t="str">
        <f>Cuartos!DW23</f>
        <v/>
      </c>
      <c r="P15" s="148" t="str">
        <f>Cuartos!DX23</f>
        <v/>
      </c>
      <c r="Q15" s="139" t="str">
        <f>Cuartos!DY23</f>
        <v/>
      </c>
      <c r="R15" s="139" t="str">
        <f>IF($B15="","",Cuartos!DZ23)</f>
        <v/>
      </c>
      <c r="S15" s="139" t="str">
        <f>IF($B15="","",Cuartos!EA23)</f>
        <v/>
      </c>
      <c r="T15" s="139" t="str">
        <f>IF($B15="","",Cuartos!EC23)</f>
        <v/>
      </c>
      <c r="U15" s="140" t="str">
        <f>IF($B15="","",Cuartos!ED23)</f>
        <v/>
      </c>
    </row>
    <row r="16" spans="1:21" x14ac:dyDescent="0.3">
      <c r="A16" s="135">
        <v>8</v>
      </c>
      <c r="B16" s="136" t="str">
        <f>_xlfn.CONCAT(IF(Cuartos!C24="","",Cuartos!C24&amp;" "),IF(Cuartos!D24="","",Cuartos!D24))</f>
        <v/>
      </c>
      <c r="C16" s="369" t="str">
        <f>IF(Cuartos!E24="","",Cuartos!E24)</f>
        <v/>
      </c>
      <c r="D16" s="137" t="str">
        <f>IF(Cuartos!F24="","",Cuartos!F24)</f>
        <v/>
      </c>
      <c r="E16" s="137" t="str">
        <f>IF(Cuartos!G24="","",Cuartos!G24)</f>
        <v/>
      </c>
      <c r="F16" s="153" t="str">
        <f>IF(Cuartos!H24="","",Cuartos!H24)</f>
        <v/>
      </c>
      <c r="G16" s="452" t="str">
        <f>IF(Cuartos!J24="","",Cuartos!J24)</f>
        <v/>
      </c>
      <c r="H16" s="453" t="str">
        <f>IF(Cuartos!K24="","",Cuartos!K24)</f>
        <v/>
      </c>
      <c r="I16" s="453" t="str">
        <f>IF(Cuartos!L24="","",Cuartos!L24)</f>
        <v/>
      </c>
      <c r="J16" s="453" t="str">
        <f>IF(Cuartos!DK24="","",Cuartos!DK24)</f>
        <v/>
      </c>
      <c r="K16" s="453" t="str">
        <f>IF(Cuartos!DL24="","",Cuartos!DL24)</f>
        <v/>
      </c>
      <c r="L16" s="460" t="str">
        <f>Cuartos!DM24</f>
        <v/>
      </c>
      <c r="M16" s="151" t="str">
        <f>Cuartos!DU24</f>
        <v/>
      </c>
      <c r="N16" s="139" t="str">
        <f>Cuartos!DV24</f>
        <v/>
      </c>
      <c r="O16" s="140" t="str">
        <f>Cuartos!DW24</f>
        <v/>
      </c>
      <c r="P16" s="148" t="str">
        <f>Cuartos!DX24</f>
        <v/>
      </c>
      <c r="Q16" s="139" t="str">
        <f>Cuartos!DY24</f>
        <v/>
      </c>
      <c r="R16" s="139" t="str">
        <f>IF($B16="","",Cuartos!DZ24)</f>
        <v/>
      </c>
      <c r="S16" s="139" t="str">
        <f>IF($B16="","",Cuartos!EA24)</f>
        <v/>
      </c>
      <c r="T16" s="139" t="str">
        <f>IF($B16="","",Cuartos!EC24)</f>
        <v/>
      </c>
      <c r="U16" s="140" t="str">
        <f>IF($B16="","",Cuartos!ED24)</f>
        <v/>
      </c>
    </row>
    <row r="17" spans="1:21" x14ac:dyDescent="0.3">
      <c r="A17" s="135">
        <v>9</v>
      </c>
      <c r="B17" s="136" t="str">
        <f>_xlfn.CONCAT(IF(Cuartos!C25="","",Cuartos!C25&amp;" "),IF(Cuartos!D25="","",Cuartos!D25))</f>
        <v/>
      </c>
      <c r="C17" s="369" t="str">
        <f>IF(Cuartos!E25="","",Cuartos!E25)</f>
        <v/>
      </c>
      <c r="D17" s="137" t="str">
        <f>IF(Cuartos!F25="","",Cuartos!F25)</f>
        <v/>
      </c>
      <c r="E17" s="137" t="str">
        <f>IF(Cuartos!G25="","",Cuartos!G25)</f>
        <v/>
      </c>
      <c r="F17" s="153" t="str">
        <f>IF(Cuartos!H25="","",Cuartos!H25)</f>
        <v/>
      </c>
      <c r="G17" s="452" t="str">
        <f>IF(Cuartos!J25="","",Cuartos!J25)</f>
        <v/>
      </c>
      <c r="H17" s="453" t="str">
        <f>IF(Cuartos!K25="","",Cuartos!K25)</f>
        <v/>
      </c>
      <c r="I17" s="453" t="str">
        <f>IF(Cuartos!L25="","",Cuartos!L25)</f>
        <v/>
      </c>
      <c r="J17" s="453" t="str">
        <f>IF(Cuartos!DK25="","",Cuartos!DK25)</f>
        <v/>
      </c>
      <c r="K17" s="453" t="str">
        <f>IF(Cuartos!DL25="","",Cuartos!DL25)</f>
        <v/>
      </c>
      <c r="L17" s="460" t="str">
        <f>Cuartos!DM25</f>
        <v/>
      </c>
      <c r="M17" s="151" t="str">
        <f>Cuartos!DU25</f>
        <v/>
      </c>
      <c r="N17" s="139" t="str">
        <f>Cuartos!DV25</f>
        <v/>
      </c>
      <c r="O17" s="140" t="str">
        <f>Cuartos!DW25</f>
        <v/>
      </c>
      <c r="P17" s="148" t="str">
        <f>Cuartos!DX25</f>
        <v/>
      </c>
      <c r="Q17" s="139" t="str">
        <f>Cuartos!DY25</f>
        <v/>
      </c>
      <c r="R17" s="139" t="str">
        <f>IF($B17="","",Cuartos!DZ25)</f>
        <v/>
      </c>
      <c r="S17" s="139" t="str">
        <f>IF($B17="","",Cuartos!EA25)</f>
        <v/>
      </c>
      <c r="T17" s="139" t="str">
        <f>IF($B17="","",Cuartos!EC25)</f>
        <v/>
      </c>
      <c r="U17" s="140" t="str">
        <f>IF($B17="","",Cuartos!ED25)</f>
        <v/>
      </c>
    </row>
    <row r="18" spans="1:21" x14ac:dyDescent="0.3">
      <c r="A18" s="135">
        <v>10</v>
      </c>
      <c r="B18" s="136" t="str">
        <f>_xlfn.CONCAT(IF(Cuartos!C26="","",Cuartos!C26&amp;" "),IF(Cuartos!D26="","",Cuartos!D26))</f>
        <v/>
      </c>
      <c r="C18" s="369" t="str">
        <f>IF(Cuartos!E26="","",Cuartos!E26)</f>
        <v/>
      </c>
      <c r="D18" s="137" t="str">
        <f>IF(Cuartos!F26="","",Cuartos!F26)</f>
        <v/>
      </c>
      <c r="E18" s="137" t="str">
        <f>IF(Cuartos!G26="","",Cuartos!G26)</f>
        <v/>
      </c>
      <c r="F18" s="153" t="str">
        <f>IF(Cuartos!H26="","",Cuartos!H26)</f>
        <v/>
      </c>
      <c r="G18" s="452" t="str">
        <f>IF(Cuartos!J26="","",Cuartos!J26)</f>
        <v/>
      </c>
      <c r="H18" s="453" t="str">
        <f>IF(Cuartos!K26="","",Cuartos!K26)</f>
        <v/>
      </c>
      <c r="I18" s="453" t="str">
        <f>IF(Cuartos!L26="","",Cuartos!L26)</f>
        <v/>
      </c>
      <c r="J18" s="453" t="str">
        <f>IF(Cuartos!DK26="","",Cuartos!DK26)</f>
        <v/>
      </c>
      <c r="K18" s="453" t="str">
        <f>IF(Cuartos!DL26="","",Cuartos!DL26)</f>
        <v/>
      </c>
      <c r="L18" s="460" t="str">
        <f>Cuartos!DM26</f>
        <v/>
      </c>
      <c r="M18" s="151" t="str">
        <f>Cuartos!DU26</f>
        <v/>
      </c>
      <c r="N18" s="139" t="str">
        <f>Cuartos!DV26</f>
        <v/>
      </c>
      <c r="O18" s="140" t="str">
        <f>Cuartos!DW26</f>
        <v/>
      </c>
      <c r="P18" s="148" t="str">
        <f>Cuartos!DX26</f>
        <v/>
      </c>
      <c r="Q18" s="139" t="str">
        <f>Cuartos!DY26</f>
        <v/>
      </c>
      <c r="R18" s="139" t="str">
        <f>IF($B18="","",Cuartos!DZ26)</f>
        <v/>
      </c>
      <c r="S18" s="139" t="str">
        <f>IF($B18="","",Cuartos!EA26)</f>
        <v/>
      </c>
      <c r="T18" s="139" t="str">
        <f>IF($B18="","",Cuartos!EC26)</f>
        <v/>
      </c>
      <c r="U18" s="140" t="str">
        <f>IF($B18="","",Cuartos!ED26)</f>
        <v/>
      </c>
    </row>
    <row r="19" spans="1:21" x14ac:dyDescent="0.3">
      <c r="A19" s="135">
        <v>11</v>
      </c>
      <c r="B19" s="136" t="str">
        <f>_xlfn.CONCAT(IF(Cuartos!C27="","",Cuartos!C27&amp;" "),IF(Cuartos!D27="","",Cuartos!D27))</f>
        <v/>
      </c>
      <c r="C19" s="369" t="str">
        <f>IF(Cuartos!E27="","",Cuartos!E27)</f>
        <v/>
      </c>
      <c r="D19" s="137" t="str">
        <f>IF(Cuartos!F27="","",Cuartos!F27)</f>
        <v/>
      </c>
      <c r="E19" s="137" t="str">
        <f>IF(Cuartos!G27="","",Cuartos!G27)</f>
        <v/>
      </c>
      <c r="F19" s="153" t="str">
        <f>IF(Cuartos!H27="","",Cuartos!H27)</f>
        <v/>
      </c>
      <c r="G19" s="452" t="str">
        <f>IF(Cuartos!J27="","",Cuartos!J27)</f>
        <v/>
      </c>
      <c r="H19" s="453" t="str">
        <f>IF(Cuartos!K27="","",Cuartos!K27)</f>
        <v/>
      </c>
      <c r="I19" s="453" t="str">
        <f>IF(Cuartos!L27="","",Cuartos!L27)</f>
        <v/>
      </c>
      <c r="J19" s="453" t="str">
        <f>IF(Cuartos!DK27="","",Cuartos!DK27)</f>
        <v/>
      </c>
      <c r="K19" s="453" t="str">
        <f>IF(Cuartos!DL27="","",Cuartos!DL27)</f>
        <v/>
      </c>
      <c r="L19" s="460" t="str">
        <f>Cuartos!DM27</f>
        <v/>
      </c>
      <c r="M19" s="151" t="str">
        <f>Cuartos!DU27</f>
        <v/>
      </c>
      <c r="N19" s="139" t="str">
        <f>Cuartos!DV27</f>
        <v/>
      </c>
      <c r="O19" s="140" t="str">
        <f>Cuartos!DW27</f>
        <v/>
      </c>
      <c r="P19" s="148" t="str">
        <f>Cuartos!DX27</f>
        <v/>
      </c>
      <c r="Q19" s="139" t="str">
        <f>Cuartos!DY27</f>
        <v/>
      </c>
      <c r="R19" s="139" t="str">
        <f>IF($B19="","",Cuartos!DZ27)</f>
        <v/>
      </c>
      <c r="S19" s="139" t="str">
        <f>IF($B19="","",Cuartos!EA27)</f>
        <v/>
      </c>
      <c r="T19" s="139" t="str">
        <f>IF($B19="","",Cuartos!EC27)</f>
        <v/>
      </c>
      <c r="U19" s="140" t="str">
        <f>IF($B19="","",Cuartos!ED27)</f>
        <v/>
      </c>
    </row>
    <row r="20" spans="1:21" x14ac:dyDescent="0.3">
      <c r="A20" s="135">
        <v>12</v>
      </c>
      <c r="B20" s="136" t="str">
        <f>_xlfn.CONCAT(IF(Cuartos!C28="","",Cuartos!C28&amp;" "),IF(Cuartos!D28="","",Cuartos!D28))</f>
        <v/>
      </c>
      <c r="C20" s="369" t="str">
        <f>IF(Cuartos!E28="","",Cuartos!E28)</f>
        <v/>
      </c>
      <c r="D20" s="137" t="str">
        <f>IF(Cuartos!F28="","",Cuartos!F28)</f>
        <v/>
      </c>
      <c r="E20" s="137" t="str">
        <f>IF(Cuartos!G28="","",Cuartos!G28)</f>
        <v/>
      </c>
      <c r="F20" s="153" t="str">
        <f>IF(Cuartos!H28="","",Cuartos!H28)</f>
        <v/>
      </c>
      <c r="G20" s="452" t="str">
        <f>IF(Cuartos!J28="","",Cuartos!J28)</f>
        <v/>
      </c>
      <c r="H20" s="453" t="str">
        <f>IF(Cuartos!K28="","",Cuartos!K28)</f>
        <v/>
      </c>
      <c r="I20" s="453" t="str">
        <f>IF(Cuartos!L28="","",Cuartos!L28)</f>
        <v/>
      </c>
      <c r="J20" s="453" t="str">
        <f>IF(Cuartos!DK28="","",Cuartos!DK28)</f>
        <v/>
      </c>
      <c r="K20" s="453" t="str">
        <f>IF(Cuartos!DL28="","",Cuartos!DL28)</f>
        <v/>
      </c>
      <c r="L20" s="460" t="str">
        <f>Cuartos!DM28</f>
        <v/>
      </c>
      <c r="M20" s="151" t="str">
        <f>Cuartos!DU28</f>
        <v/>
      </c>
      <c r="N20" s="139" t="str">
        <f>Cuartos!DV28</f>
        <v/>
      </c>
      <c r="O20" s="140" t="str">
        <f>Cuartos!DW28</f>
        <v/>
      </c>
      <c r="P20" s="148" t="str">
        <f>Cuartos!DX28</f>
        <v/>
      </c>
      <c r="Q20" s="139" t="str">
        <f>Cuartos!DY28</f>
        <v/>
      </c>
      <c r="R20" s="139" t="str">
        <f>IF($B20="","",Cuartos!DZ28)</f>
        <v/>
      </c>
      <c r="S20" s="139" t="str">
        <f>IF($B20="","",Cuartos!EA28)</f>
        <v/>
      </c>
      <c r="T20" s="139" t="str">
        <f>IF($B20="","",Cuartos!EC28)</f>
        <v/>
      </c>
      <c r="U20" s="140" t="str">
        <f>IF($B20="","",Cuartos!ED28)</f>
        <v/>
      </c>
    </row>
    <row r="21" spans="1:21" x14ac:dyDescent="0.3">
      <c r="A21" s="135">
        <v>13</v>
      </c>
      <c r="B21" s="136" t="str">
        <f>_xlfn.CONCAT(IF(Cuartos!C29="","",Cuartos!C29&amp;" "),IF(Cuartos!D29="","",Cuartos!D29))</f>
        <v/>
      </c>
      <c r="C21" s="369" t="str">
        <f>IF(Cuartos!E29="","",Cuartos!E29)</f>
        <v/>
      </c>
      <c r="D21" s="137" t="str">
        <f>IF(Cuartos!F29="","",Cuartos!F29)</f>
        <v/>
      </c>
      <c r="E21" s="137" t="str">
        <f>IF(Cuartos!G29="","",Cuartos!G29)</f>
        <v/>
      </c>
      <c r="F21" s="153" t="str">
        <f>IF(Cuartos!H29="","",Cuartos!H29)</f>
        <v/>
      </c>
      <c r="G21" s="452" t="str">
        <f>IF(Cuartos!J29="","",Cuartos!J29)</f>
        <v/>
      </c>
      <c r="H21" s="453" t="str">
        <f>IF(Cuartos!K29="","",Cuartos!K29)</f>
        <v/>
      </c>
      <c r="I21" s="453" t="str">
        <f>IF(Cuartos!L29="","",Cuartos!L29)</f>
        <v/>
      </c>
      <c r="J21" s="453" t="str">
        <f>IF(Cuartos!DK29="","",Cuartos!DK29)</f>
        <v/>
      </c>
      <c r="K21" s="453" t="str">
        <f>IF(Cuartos!DL29="","",Cuartos!DL29)</f>
        <v/>
      </c>
      <c r="L21" s="460" t="str">
        <f>Cuartos!DM29</f>
        <v/>
      </c>
      <c r="M21" s="151" t="str">
        <f>Cuartos!DU29</f>
        <v/>
      </c>
      <c r="N21" s="139" t="str">
        <f>Cuartos!DV29</f>
        <v/>
      </c>
      <c r="O21" s="140" t="str">
        <f>Cuartos!DW29</f>
        <v/>
      </c>
      <c r="P21" s="148" t="str">
        <f>Cuartos!DX29</f>
        <v/>
      </c>
      <c r="Q21" s="139" t="str">
        <f>Cuartos!DY29</f>
        <v/>
      </c>
      <c r="R21" s="139" t="str">
        <f>IF($B21="","",Cuartos!DZ29)</f>
        <v/>
      </c>
      <c r="S21" s="139" t="str">
        <f>IF($B21="","",Cuartos!EA29)</f>
        <v/>
      </c>
      <c r="T21" s="139" t="str">
        <f>IF($B21="","",Cuartos!EC29)</f>
        <v/>
      </c>
      <c r="U21" s="140" t="str">
        <f>IF($B21="","",Cuartos!ED29)</f>
        <v/>
      </c>
    </row>
    <row r="22" spans="1:21" x14ac:dyDescent="0.3">
      <c r="A22" s="135">
        <v>14</v>
      </c>
      <c r="B22" s="136" t="str">
        <f>_xlfn.CONCAT(IF(Cuartos!C30="","",Cuartos!C30&amp;" "),IF(Cuartos!D30="","",Cuartos!D30))</f>
        <v/>
      </c>
      <c r="C22" s="369" t="str">
        <f>IF(Cuartos!E30="","",Cuartos!E30)</f>
        <v/>
      </c>
      <c r="D22" s="137" t="str">
        <f>IF(Cuartos!F30="","",Cuartos!F30)</f>
        <v/>
      </c>
      <c r="E22" s="137" t="str">
        <f>IF(Cuartos!G30="","",Cuartos!G30)</f>
        <v/>
      </c>
      <c r="F22" s="153" t="str">
        <f>IF(Cuartos!H30="","",Cuartos!H30)</f>
        <v/>
      </c>
      <c r="G22" s="452" t="str">
        <f>IF(Cuartos!J30="","",Cuartos!J30)</f>
        <v/>
      </c>
      <c r="H22" s="453" t="str">
        <f>IF(Cuartos!K30="","",Cuartos!K30)</f>
        <v/>
      </c>
      <c r="I22" s="453" t="str">
        <f>IF(Cuartos!L30="","",Cuartos!L30)</f>
        <v/>
      </c>
      <c r="J22" s="453" t="str">
        <f>IF(Cuartos!DK30="","",Cuartos!DK30)</f>
        <v/>
      </c>
      <c r="K22" s="453" t="str">
        <f>IF(Cuartos!DL30="","",Cuartos!DL30)</f>
        <v/>
      </c>
      <c r="L22" s="460" t="str">
        <f>Cuartos!DM30</f>
        <v/>
      </c>
      <c r="M22" s="151" t="str">
        <f>Cuartos!DU30</f>
        <v/>
      </c>
      <c r="N22" s="139" t="str">
        <f>Cuartos!DV30</f>
        <v/>
      </c>
      <c r="O22" s="140" t="str">
        <f>Cuartos!DW30</f>
        <v/>
      </c>
      <c r="P22" s="148" t="str">
        <f>Cuartos!DX30</f>
        <v/>
      </c>
      <c r="Q22" s="139" t="str">
        <f>Cuartos!DY30</f>
        <v/>
      </c>
      <c r="R22" s="139" t="str">
        <f>IF($B22="","",Cuartos!DZ30)</f>
        <v/>
      </c>
      <c r="S22" s="139" t="str">
        <f>IF($B22="","",Cuartos!EA30)</f>
        <v/>
      </c>
      <c r="T22" s="139" t="str">
        <f>IF($B22="","",Cuartos!EC30)</f>
        <v/>
      </c>
      <c r="U22" s="140" t="str">
        <f>IF($B22="","",Cuartos!ED30)</f>
        <v/>
      </c>
    </row>
    <row r="23" spans="1:21" x14ac:dyDescent="0.3">
      <c r="A23" s="135">
        <v>15</v>
      </c>
      <c r="B23" s="136" t="str">
        <f>_xlfn.CONCAT(IF(Cuartos!C31="","",Cuartos!C31&amp;" "),IF(Cuartos!D31="","",Cuartos!D31))</f>
        <v/>
      </c>
      <c r="C23" s="369" t="str">
        <f>IF(Cuartos!E31="","",Cuartos!E31)</f>
        <v/>
      </c>
      <c r="D23" s="137" t="str">
        <f>IF(Cuartos!F31="","",Cuartos!F31)</f>
        <v/>
      </c>
      <c r="E23" s="137" t="str">
        <f>IF(Cuartos!G31="","",Cuartos!G31)</f>
        <v/>
      </c>
      <c r="F23" s="153" t="str">
        <f>IF(Cuartos!H31="","",Cuartos!H31)</f>
        <v/>
      </c>
      <c r="G23" s="452" t="str">
        <f>IF(Cuartos!J31="","",Cuartos!J31)</f>
        <v/>
      </c>
      <c r="H23" s="453" t="str">
        <f>IF(Cuartos!K31="","",Cuartos!K31)</f>
        <v/>
      </c>
      <c r="I23" s="453" t="str">
        <f>IF(Cuartos!L31="","",Cuartos!L31)</f>
        <v/>
      </c>
      <c r="J23" s="453" t="str">
        <f>IF(Cuartos!DK31="","",Cuartos!DK31)</f>
        <v/>
      </c>
      <c r="K23" s="453" t="str">
        <f>IF(Cuartos!DL31="","",Cuartos!DL31)</f>
        <v/>
      </c>
      <c r="L23" s="460" t="str">
        <f>Cuartos!DM31</f>
        <v/>
      </c>
      <c r="M23" s="151" t="str">
        <f>Cuartos!DU31</f>
        <v/>
      </c>
      <c r="N23" s="139" t="str">
        <f>Cuartos!DV31</f>
        <v/>
      </c>
      <c r="O23" s="140" t="str">
        <f>Cuartos!DW31</f>
        <v/>
      </c>
      <c r="P23" s="148" t="str">
        <f>Cuartos!DX31</f>
        <v/>
      </c>
      <c r="Q23" s="139" t="str">
        <f>Cuartos!DY31</f>
        <v/>
      </c>
      <c r="R23" s="139" t="str">
        <f>IF($B23="","",Cuartos!DZ31)</f>
        <v/>
      </c>
      <c r="S23" s="139" t="str">
        <f>IF($B23="","",Cuartos!EA31)</f>
        <v/>
      </c>
      <c r="T23" s="139" t="str">
        <f>IF($B23="","",Cuartos!EC31)</f>
        <v/>
      </c>
      <c r="U23" s="140" t="str">
        <f>IF($B23="","",Cuartos!ED31)</f>
        <v/>
      </c>
    </row>
    <row r="24" spans="1:21" x14ac:dyDescent="0.3">
      <c r="A24" s="135">
        <v>16</v>
      </c>
      <c r="B24" s="136" t="str">
        <f>_xlfn.CONCAT(IF(Cuartos!C32="","",Cuartos!C32&amp;" "),IF(Cuartos!D32="","",Cuartos!D32))</f>
        <v/>
      </c>
      <c r="C24" s="369" t="str">
        <f>IF(Cuartos!E32="","",Cuartos!E32)</f>
        <v/>
      </c>
      <c r="D24" s="137" t="str">
        <f>IF(Cuartos!F32="","",Cuartos!F32)</f>
        <v/>
      </c>
      <c r="E24" s="137" t="str">
        <f>IF(Cuartos!G32="","",Cuartos!G32)</f>
        <v/>
      </c>
      <c r="F24" s="153" t="str">
        <f>IF(Cuartos!H32="","",Cuartos!H32)</f>
        <v/>
      </c>
      <c r="G24" s="452" t="str">
        <f>IF(Cuartos!J32="","",Cuartos!J32)</f>
        <v/>
      </c>
      <c r="H24" s="453" t="str">
        <f>IF(Cuartos!K32="","",Cuartos!K32)</f>
        <v/>
      </c>
      <c r="I24" s="453" t="str">
        <f>IF(Cuartos!L32="","",Cuartos!L32)</f>
        <v/>
      </c>
      <c r="J24" s="453" t="str">
        <f>IF(Cuartos!DK32="","",Cuartos!DK32)</f>
        <v/>
      </c>
      <c r="K24" s="453" t="str">
        <f>IF(Cuartos!DL32="","",Cuartos!DL32)</f>
        <v/>
      </c>
      <c r="L24" s="460" t="str">
        <f>Cuartos!DM32</f>
        <v/>
      </c>
      <c r="M24" s="151" t="str">
        <f>Cuartos!DU32</f>
        <v/>
      </c>
      <c r="N24" s="139" t="str">
        <f>Cuartos!DV32</f>
        <v/>
      </c>
      <c r="O24" s="140" t="str">
        <f>Cuartos!DW32</f>
        <v/>
      </c>
      <c r="P24" s="148" t="str">
        <f>Cuartos!DX32</f>
        <v/>
      </c>
      <c r="Q24" s="139" t="str">
        <f>Cuartos!DY32</f>
        <v/>
      </c>
      <c r="R24" s="139" t="str">
        <f>IF($B24="","",Cuartos!DZ32)</f>
        <v/>
      </c>
      <c r="S24" s="139" t="str">
        <f>IF($B24="","",Cuartos!EA32)</f>
        <v/>
      </c>
      <c r="T24" s="139" t="str">
        <f>IF($B24="","",Cuartos!EC32)</f>
        <v/>
      </c>
      <c r="U24" s="140" t="str">
        <f>IF($B24="","",Cuartos!ED32)</f>
        <v/>
      </c>
    </row>
    <row r="25" spans="1:21" x14ac:dyDescent="0.3">
      <c r="A25" s="135">
        <v>17</v>
      </c>
      <c r="B25" s="136" t="str">
        <f>_xlfn.CONCAT(IF(Cuartos!C33="","",Cuartos!C33&amp;" "),IF(Cuartos!D33="","",Cuartos!D33))</f>
        <v/>
      </c>
      <c r="C25" s="369" t="str">
        <f>IF(Cuartos!E33="","",Cuartos!E33)</f>
        <v/>
      </c>
      <c r="D25" s="137" t="str">
        <f>IF(Cuartos!F33="","",Cuartos!F33)</f>
        <v/>
      </c>
      <c r="E25" s="137" t="str">
        <f>IF(Cuartos!G33="","",Cuartos!G33)</f>
        <v/>
      </c>
      <c r="F25" s="153" t="str">
        <f>IF(Cuartos!H33="","",Cuartos!H33)</f>
        <v/>
      </c>
      <c r="G25" s="452" t="str">
        <f>IF(Cuartos!J33="","",Cuartos!J33)</f>
        <v/>
      </c>
      <c r="H25" s="453" t="str">
        <f>IF(Cuartos!K33="","",Cuartos!K33)</f>
        <v/>
      </c>
      <c r="I25" s="453" t="str">
        <f>IF(Cuartos!L33="","",Cuartos!L33)</f>
        <v/>
      </c>
      <c r="J25" s="453" t="str">
        <f>IF(Cuartos!DK33="","",Cuartos!DK33)</f>
        <v/>
      </c>
      <c r="K25" s="453" t="str">
        <f>IF(Cuartos!DL33="","",Cuartos!DL33)</f>
        <v/>
      </c>
      <c r="L25" s="460" t="str">
        <f>Cuartos!DM33</f>
        <v/>
      </c>
      <c r="M25" s="151" t="str">
        <f>Cuartos!DU33</f>
        <v/>
      </c>
      <c r="N25" s="139" t="str">
        <f>Cuartos!DV33</f>
        <v/>
      </c>
      <c r="O25" s="140" t="str">
        <f>Cuartos!DW33</f>
        <v/>
      </c>
      <c r="P25" s="148" t="str">
        <f>Cuartos!DX33</f>
        <v/>
      </c>
      <c r="Q25" s="139" t="str">
        <f>Cuartos!DY33</f>
        <v/>
      </c>
      <c r="R25" s="139" t="str">
        <f>IF($B25="","",Cuartos!DZ33)</f>
        <v/>
      </c>
      <c r="S25" s="139" t="str">
        <f>IF($B25="","",Cuartos!EA33)</f>
        <v/>
      </c>
      <c r="T25" s="139" t="str">
        <f>IF($B25="","",Cuartos!EC33)</f>
        <v/>
      </c>
      <c r="U25" s="140" t="str">
        <f>IF($B25="","",Cuartos!ED33)</f>
        <v/>
      </c>
    </row>
    <row r="26" spans="1:21" x14ac:dyDescent="0.3">
      <c r="A26" s="135">
        <v>18</v>
      </c>
      <c r="B26" s="136" t="str">
        <f>_xlfn.CONCAT(IF(Cuartos!C34="","",Cuartos!C34&amp;" "),IF(Cuartos!D34="","",Cuartos!D34))</f>
        <v/>
      </c>
      <c r="C26" s="369" t="str">
        <f>IF(Cuartos!E34="","",Cuartos!E34)</f>
        <v/>
      </c>
      <c r="D26" s="137" t="str">
        <f>IF(Cuartos!F34="","",Cuartos!F34)</f>
        <v/>
      </c>
      <c r="E26" s="137" t="str">
        <f>IF(Cuartos!G34="","",Cuartos!G34)</f>
        <v/>
      </c>
      <c r="F26" s="153" t="str">
        <f>IF(Cuartos!H34="","",Cuartos!H34)</f>
        <v/>
      </c>
      <c r="G26" s="452" t="str">
        <f>IF(Cuartos!J34="","",Cuartos!J34)</f>
        <v/>
      </c>
      <c r="H26" s="453" t="str">
        <f>IF(Cuartos!K34="","",Cuartos!K34)</f>
        <v/>
      </c>
      <c r="I26" s="453" t="str">
        <f>IF(Cuartos!L34="","",Cuartos!L34)</f>
        <v/>
      </c>
      <c r="J26" s="453" t="str">
        <f>IF(Cuartos!DK34="","",Cuartos!DK34)</f>
        <v/>
      </c>
      <c r="K26" s="453" t="str">
        <f>IF(Cuartos!DL34="","",Cuartos!DL34)</f>
        <v/>
      </c>
      <c r="L26" s="460" t="str">
        <f>Cuartos!DM34</f>
        <v/>
      </c>
      <c r="M26" s="151" t="str">
        <f>Cuartos!DU34</f>
        <v/>
      </c>
      <c r="N26" s="139" t="str">
        <f>Cuartos!DV34</f>
        <v/>
      </c>
      <c r="O26" s="140" t="str">
        <f>Cuartos!DW34</f>
        <v/>
      </c>
      <c r="P26" s="148" t="str">
        <f>Cuartos!DX34</f>
        <v/>
      </c>
      <c r="Q26" s="139" t="str">
        <f>Cuartos!DY34</f>
        <v/>
      </c>
      <c r="R26" s="139" t="str">
        <f>IF($B26="","",Cuartos!DZ34)</f>
        <v/>
      </c>
      <c r="S26" s="139" t="str">
        <f>IF($B26="","",Cuartos!EA34)</f>
        <v/>
      </c>
      <c r="T26" s="139" t="str">
        <f>IF($B26="","",Cuartos!EC34)</f>
        <v/>
      </c>
      <c r="U26" s="140" t="str">
        <f>IF($B26="","",Cuartos!ED34)</f>
        <v/>
      </c>
    </row>
    <row r="27" spans="1:21" x14ac:dyDescent="0.3">
      <c r="A27" s="135">
        <v>19</v>
      </c>
      <c r="B27" s="136" t="str">
        <f>_xlfn.CONCAT(IF(Cuartos!C35="","",Cuartos!C35&amp;" "),IF(Cuartos!D35="","",Cuartos!D35))</f>
        <v/>
      </c>
      <c r="C27" s="369" t="str">
        <f>IF(Cuartos!E35="","",Cuartos!E35)</f>
        <v/>
      </c>
      <c r="D27" s="137" t="str">
        <f>IF(Cuartos!F35="","",Cuartos!F35)</f>
        <v/>
      </c>
      <c r="E27" s="137" t="str">
        <f>IF(Cuartos!G35="","",Cuartos!G35)</f>
        <v/>
      </c>
      <c r="F27" s="153" t="str">
        <f>IF(Cuartos!H35="","",Cuartos!H35)</f>
        <v/>
      </c>
      <c r="G27" s="452" t="str">
        <f>IF(Cuartos!J35="","",Cuartos!J35)</f>
        <v/>
      </c>
      <c r="H27" s="453" t="str">
        <f>IF(Cuartos!K35="","",Cuartos!K35)</f>
        <v/>
      </c>
      <c r="I27" s="453" t="str">
        <f>IF(Cuartos!L35="","",Cuartos!L35)</f>
        <v/>
      </c>
      <c r="J27" s="453" t="str">
        <f>IF(Cuartos!DK35="","",Cuartos!DK35)</f>
        <v/>
      </c>
      <c r="K27" s="453" t="str">
        <f>IF(Cuartos!DL35="","",Cuartos!DL35)</f>
        <v/>
      </c>
      <c r="L27" s="460" t="str">
        <f>Cuartos!DM35</f>
        <v/>
      </c>
      <c r="M27" s="151" t="str">
        <f>Cuartos!DU35</f>
        <v/>
      </c>
      <c r="N27" s="139" t="str">
        <f>Cuartos!DV35</f>
        <v/>
      </c>
      <c r="O27" s="140" t="str">
        <f>Cuartos!DW35</f>
        <v/>
      </c>
      <c r="P27" s="148" t="str">
        <f>Cuartos!DX35</f>
        <v/>
      </c>
      <c r="Q27" s="139" t="str">
        <f>Cuartos!DY35</f>
        <v/>
      </c>
      <c r="R27" s="139" t="str">
        <f>IF($B27="","",Cuartos!DZ35)</f>
        <v/>
      </c>
      <c r="S27" s="139" t="str">
        <f>IF($B27="","",Cuartos!EA35)</f>
        <v/>
      </c>
      <c r="T27" s="139" t="str">
        <f>IF($B27="","",Cuartos!EC35)</f>
        <v/>
      </c>
      <c r="U27" s="140" t="str">
        <f>IF($B27="","",Cuartos!ED35)</f>
        <v/>
      </c>
    </row>
    <row r="28" spans="1:21" x14ac:dyDescent="0.3">
      <c r="A28" s="135">
        <v>20</v>
      </c>
      <c r="B28" s="136" t="str">
        <f>_xlfn.CONCAT(IF(Cuartos!C36="","",Cuartos!C36&amp;" "),IF(Cuartos!D36="","",Cuartos!D36))</f>
        <v/>
      </c>
      <c r="C28" s="369" t="str">
        <f>IF(Cuartos!E36="","",Cuartos!E36)</f>
        <v/>
      </c>
      <c r="D28" s="137" t="str">
        <f>IF(Cuartos!F36="","",Cuartos!F36)</f>
        <v/>
      </c>
      <c r="E28" s="137" t="str">
        <f>IF(Cuartos!G36="","",Cuartos!G36)</f>
        <v/>
      </c>
      <c r="F28" s="153" t="str">
        <f>IF(Cuartos!H36="","",Cuartos!H36)</f>
        <v/>
      </c>
      <c r="G28" s="452" t="str">
        <f>IF(Cuartos!J36="","",Cuartos!J36)</f>
        <v/>
      </c>
      <c r="H28" s="453" t="str">
        <f>IF(Cuartos!K36="","",Cuartos!K36)</f>
        <v/>
      </c>
      <c r="I28" s="453" t="str">
        <f>IF(Cuartos!L36="","",Cuartos!L36)</f>
        <v/>
      </c>
      <c r="J28" s="453" t="str">
        <f>IF(Cuartos!DK36="","",Cuartos!DK36)</f>
        <v/>
      </c>
      <c r="K28" s="453" t="str">
        <f>IF(Cuartos!DL36="","",Cuartos!DL36)</f>
        <v/>
      </c>
      <c r="L28" s="460" t="str">
        <f>Cuartos!DM36</f>
        <v/>
      </c>
      <c r="M28" s="151" t="str">
        <f>Cuartos!DU36</f>
        <v/>
      </c>
      <c r="N28" s="139" t="str">
        <f>Cuartos!DV36</f>
        <v/>
      </c>
      <c r="O28" s="140" t="str">
        <f>Cuartos!DW36</f>
        <v/>
      </c>
      <c r="P28" s="148" t="str">
        <f>Cuartos!DX36</f>
        <v/>
      </c>
      <c r="Q28" s="139" t="str">
        <f>Cuartos!DY36</f>
        <v/>
      </c>
      <c r="R28" s="139" t="str">
        <f>IF($B28="","",Cuartos!DZ36)</f>
        <v/>
      </c>
      <c r="S28" s="139" t="str">
        <f>IF($B28="","",Cuartos!EA36)</f>
        <v/>
      </c>
      <c r="T28" s="139" t="str">
        <f>IF($B28="","",Cuartos!EC36)</f>
        <v/>
      </c>
      <c r="U28" s="140" t="str">
        <f>IF($B28="","",Cuartos!ED36)</f>
        <v/>
      </c>
    </row>
    <row r="29" spans="1:21" x14ac:dyDescent="0.3">
      <c r="A29" s="135">
        <v>21</v>
      </c>
      <c r="B29" s="136" t="str">
        <f>_xlfn.CONCAT(IF(Cuartos!C37="","",Cuartos!C37&amp;" "),IF(Cuartos!D37="","",Cuartos!D37))</f>
        <v/>
      </c>
      <c r="C29" s="369" t="str">
        <f>IF(Cuartos!E37="","",Cuartos!E37)</f>
        <v/>
      </c>
      <c r="D29" s="137" t="str">
        <f>IF(Cuartos!F37="","",Cuartos!F37)</f>
        <v/>
      </c>
      <c r="E29" s="137" t="str">
        <f>IF(Cuartos!G37="","",Cuartos!G37)</f>
        <v/>
      </c>
      <c r="F29" s="153" t="str">
        <f>IF(Cuartos!H37="","",Cuartos!H37)</f>
        <v/>
      </c>
      <c r="G29" s="452" t="str">
        <f>IF(Cuartos!J37="","",Cuartos!J37)</f>
        <v/>
      </c>
      <c r="H29" s="453" t="str">
        <f>IF(Cuartos!K37="","",Cuartos!K37)</f>
        <v/>
      </c>
      <c r="I29" s="453" t="str">
        <f>IF(Cuartos!L37="","",Cuartos!L37)</f>
        <v/>
      </c>
      <c r="J29" s="453" t="str">
        <f>IF(Cuartos!DK37="","",Cuartos!DK37)</f>
        <v/>
      </c>
      <c r="K29" s="453" t="str">
        <f>IF(Cuartos!DL37="","",Cuartos!DL37)</f>
        <v/>
      </c>
      <c r="L29" s="460" t="str">
        <f>Cuartos!DM37</f>
        <v/>
      </c>
      <c r="M29" s="151" t="str">
        <f>Cuartos!DU37</f>
        <v/>
      </c>
      <c r="N29" s="139" t="str">
        <f>Cuartos!DV37</f>
        <v/>
      </c>
      <c r="O29" s="140" t="str">
        <f>Cuartos!DW37</f>
        <v/>
      </c>
      <c r="P29" s="148" t="str">
        <f>Cuartos!DX37</f>
        <v/>
      </c>
      <c r="Q29" s="139" t="str">
        <f>Cuartos!DY37</f>
        <v/>
      </c>
      <c r="R29" s="139" t="str">
        <f>IF($B29="","",Cuartos!DZ37)</f>
        <v/>
      </c>
      <c r="S29" s="139" t="str">
        <f>IF($B29="","",Cuartos!EA37)</f>
        <v/>
      </c>
      <c r="T29" s="139" t="str">
        <f>IF($B29="","",Cuartos!EC37)</f>
        <v/>
      </c>
      <c r="U29" s="140" t="str">
        <f>IF($B29="","",Cuartos!ED37)</f>
        <v/>
      </c>
    </row>
    <row r="30" spans="1:21" x14ac:dyDescent="0.3">
      <c r="A30" s="135">
        <v>22</v>
      </c>
      <c r="B30" s="136" t="str">
        <f>_xlfn.CONCAT(IF(Cuartos!C38="","",Cuartos!C38&amp;" "),IF(Cuartos!D38="","",Cuartos!D38))</f>
        <v/>
      </c>
      <c r="C30" s="369" t="str">
        <f>IF(Cuartos!E38="","",Cuartos!E38)</f>
        <v/>
      </c>
      <c r="D30" s="137" t="str">
        <f>IF(Cuartos!F38="","",Cuartos!F38)</f>
        <v/>
      </c>
      <c r="E30" s="137" t="str">
        <f>IF(Cuartos!G38="","",Cuartos!G38)</f>
        <v/>
      </c>
      <c r="F30" s="153" t="str">
        <f>IF(Cuartos!H38="","",Cuartos!H38)</f>
        <v/>
      </c>
      <c r="G30" s="452" t="str">
        <f>IF(Cuartos!J38="","",Cuartos!J38)</f>
        <v/>
      </c>
      <c r="H30" s="453" t="str">
        <f>IF(Cuartos!K38="","",Cuartos!K38)</f>
        <v/>
      </c>
      <c r="I30" s="453" t="str">
        <f>IF(Cuartos!L38="","",Cuartos!L38)</f>
        <v/>
      </c>
      <c r="J30" s="453" t="str">
        <f>IF(Cuartos!DK38="","",Cuartos!DK38)</f>
        <v/>
      </c>
      <c r="K30" s="453" t="str">
        <f>IF(Cuartos!DL38="","",Cuartos!DL38)</f>
        <v/>
      </c>
      <c r="L30" s="460" t="str">
        <f>Cuartos!DM38</f>
        <v/>
      </c>
      <c r="M30" s="151" t="str">
        <f>Cuartos!DU38</f>
        <v/>
      </c>
      <c r="N30" s="139" t="str">
        <f>Cuartos!DV38</f>
        <v/>
      </c>
      <c r="O30" s="140" t="str">
        <f>Cuartos!DW38</f>
        <v/>
      </c>
      <c r="P30" s="148" t="str">
        <f>Cuartos!DX38</f>
        <v/>
      </c>
      <c r="Q30" s="139" t="str">
        <f>Cuartos!DY38</f>
        <v/>
      </c>
      <c r="R30" s="139" t="str">
        <f>IF($B30="","",Cuartos!DZ38)</f>
        <v/>
      </c>
      <c r="S30" s="139" t="str">
        <f>IF($B30="","",Cuartos!EA38)</f>
        <v/>
      </c>
      <c r="T30" s="139" t="str">
        <f>IF($B30="","",Cuartos!EC38)</f>
        <v/>
      </c>
      <c r="U30" s="140" t="str">
        <f>IF($B30="","",Cuartos!ED38)</f>
        <v/>
      </c>
    </row>
    <row r="31" spans="1:21" x14ac:dyDescent="0.3">
      <c r="A31" s="135">
        <v>23</v>
      </c>
      <c r="B31" s="136" t="str">
        <f>_xlfn.CONCAT(IF(Cuartos!C39="","",Cuartos!C39&amp;" "),IF(Cuartos!D39="","",Cuartos!D39))</f>
        <v/>
      </c>
      <c r="C31" s="369" t="str">
        <f>IF(Cuartos!E39="","",Cuartos!E39)</f>
        <v/>
      </c>
      <c r="D31" s="137" t="str">
        <f>IF(Cuartos!F39="","",Cuartos!F39)</f>
        <v/>
      </c>
      <c r="E31" s="137" t="str">
        <f>IF(Cuartos!G39="","",Cuartos!G39)</f>
        <v/>
      </c>
      <c r="F31" s="153" t="str">
        <f>IF(Cuartos!H39="","",Cuartos!H39)</f>
        <v/>
      </c>
      <c r="G31" s="452" t="str">
        <f>IF(Cuartos!J39="","",Cuartos!J39)</f>
        <v/>
      </c>
      <c r="H31" s="453" t="str">
        <f>IF(Cuartos!K39="","",Cuartos!K39)</f>
        <v/>
      </c>
      <c r="I31" s="453" t="str">
        <f>IF(Cuartos!L39="","",Cuartos!L39)</f>
        <v/>
      </c>
      <c r="J31" s="453" t="str">
        <f>IF(Cuartos!DK39="","",Cuartos!DK39)</f>
        <v/>
      </c>
      <c r="K31" s="453" t="str">
        <f>IF(Cuartos!DL39="","",Cuartos!DL39)</f>
        <v/>
      </c>
      <c r="L31" s="460" t="str">
        <f>Cuartos!DM39</f>
        <v/>
      </c>
      <c r="M31" s="151" t="str">
        <f>Cuartos!DU39</f>
        <v/>
      </c>
      <c r="N31" s="139" t="str">
        <f>Cuartos!DV39</f>
        <v/>
      </c>
      <c r="O31" s="140" t="str">
        <f>Cuartos!DW39</f>
        <v/>
      </c>
      <c r="P31" s="148" t="str">
        <f>Cuartos!DX39</f>
        <v/>
      </c>
      <c r="Q31" s="139" t="str">
        <f>Cuartos!DY39</f>
        <v/>
      </c>
      <c r="R31" s="139" t="str">
        <f>IF($B31="","",Cuartos!DZ39)</f>
        <v/>
      </c>
      <c r="S31" s="139" t="str">
        <f>IF($B31="","",Cuartos!EA39)</f>
        <v/>
      </c>
      <c r="T31" s="139" t="str">
        <f>IF($B31="","",Cuartos!EC39)</f>
        <v/>
      </c>
      <c r="U31" s="140" t="str">
        <f>IF($B31="","",Cuartos!ED39)</f>
        <v/>
      </c>
    </row>
    <row r="32" spans="1:21" x14ac:dyDescent="0.3">
      <c r="A32" s="135">
        <v>24</v>
      </c>
      <c r="B32" s="136" t="str">
        <f>_xlfn.CONCAT(IF(Cuartos!C40="","",Cuartos!C40&amp;" "),IF(Cuartos!D40="","",Cuartos!D40))</f>
        <v/>
      </c>
      <c r="C32" s="369" t="str">
        <f>IF(Cuartos!E40="","",Cuartos!E40)</f>
        <v/>
      </c>
      <c r="D32" s="137" t="str">
        <f>IF(Cuartos!F40="","",Cuartos!F40)</f>
        <v/>
      </c>
      <c r="E32" s="137" t="str">
        <f>IF(Cuartos!G40="","",Cuartos!G40)</f>
        <v/>
      </c>
      <c r="F32" s="153" t="str">
        <f>IF(Cuartos!H40="","",Cuartos!H40)</f>
        <v/>
      </c>
      <c r="G32" s="452" t="str">
        <f>IF(Cuartos!J40="","",Cuartos!J40)</f>
        <v/>
      </c>
      <c r="H32" s="453" t="str">
        <f>IF(Cuartos!K40="","",Cuartos!K40)</f>
        <v/>
      </c>
      <c r="I32" s="453" t="str">
        <f>IF(Cuartos!L40="","",Cuartos!L40)</f>
        <v/>
      </c>
      <c r="J32" s="453" t="str">
        <f>IF(Cuartos!DK40="","",Cuartos!DK40)</f>
        <v/>
      </c>
      <c r="K32" s="453" t="str">
        <f>IF(Cuartos!DL40="","",Cuartos!DL40)</f>
        <v/>
      </c>
      <c r="L32" s="460" t="str">
        <f>Cuartos!DM40</f>
        <v/>
      </c>
      <c r="M32" s="151" t="str">
        <f>Cuartos!DU40</f>
        <v/>
      </c>
      <c r="N32" s="139" t="str">
        <f>Cuartos!DV40</f>
        <v/>
      </c>
      <c r="O32" s="140" t="str">
        <f>Cuartos!DW40</f>
        <v/>
      </c>
      <c r="P32" s="148" t="str">
        <f>Cuartos!DX40</f>
        <v/>
      </c>
      <c r="Q32" s="139" t="str">
        <f>Cuartos!DY40</f>
        <v/>
      </c>
      <c r="R32" s="139" t="str">
        <f>IF($B32="","",Cuartos!DZ40)</f>
        <v/>
      </c>
      <c r="S32" s="139" t="str">
        <f>IF($B32="","",Cuartos!EA40)</f>
        <v/>
      </c>
      <c r="T32" s="139" t="str">
        <f>IF($B32="","",Cuartos!EC40)</f>
        <v/>
      </c>
      <c r="U32" s="140" t="str">
        <f>IF($B32="","",Cuartos!ED40)</f>
        <v/>
      </c>
    </row>
    <row r="33" spans="1:21" x14ac:dyDescent="0.3">
      <c r="A33" s="135">
        <v>25</v>
      </c>
      <c r="B33" s="136" t="str">
        <f>_xlfn.CONCAT(IF(Cuartos!C41="","",Cuartos!C41&amp;" "),IF(Cuartos!D41="","",Cuartos!D41))</f>
        <v/>
      </c>
      <c r="C33" s="369" t="str">
        <f>IF(Cuartos!E41="","",Cuartos!E41)</f>
        <v/>
      </c>
      <c r="D33" s="137" t="str">
        <f>IF(Cuartos!F41="","",Cuartos!F41)</f>
        <v/>
      </c>
      <c r="E33" s="137" t="str">
        <f>IF(Cuartos!G41="","",Cuartos!G41)</f>
        <v/>
      </c>
      <c r="F33" s="153" t="str">
        <f>IF(Cuartos!H41="","",Cuartos!H41)</f>
        <v/>
      </c>
      <c r="G33" s="452" t="str">
        <f>IF(Cuartos!J41="","",Cuartos!J41)</f>
        <v/>
      </c>
      <c r="H33" s="453" t="str">
        <f>IF(Cuartos!K41="","",Cuartos!K41)</f>
        <v/>
      </c>
      <c r="I33" s="453" t="str">
        <f>IF(Cuartos!L41="","",Cuartos!L41)</f>
        <v/>
      </c>
      <c r="J33" s="453" t="str">
        <f>IF(Cuartos!DK41="","",Cuartos!DK41)</f>
        <v/>
      </c>
      <c r="K33" s="453" t="str">
        <f>IF(Cuartos!DL41="","",Cuartos!DL41)</f>
        <v/>
      </c>
      <c r="L33" s="460" t="str">
        <f>Cuartos!DM41</f>
        <v/>
      </c>
      <c r="M33" s="151" t="str">
        <f>Cuartos!DU41</f>
        <v/>
      </c>
      <c r="N33" s="139" t="str">
        <f>Cuartos!DV41</f>
        <v/>
      </c>
      <c r="O33" s="140" t="str">
        <f>Cuartos!DW41</f>
        <v/>
      </c>
      <c r="P33" s="148" t="str">
        <f>Cuartos!DX41</f>
        <v/>
      </c>
      <c r="Q33" s="139" t="str">
        <f>Cuartos!DY41</f>
        <v/>
      </c>
      <c r="R33" s="139" t="str">
        <f>IF($B33="","",Cuartos!DZ41)</f>
        <v/>
      </c>
      <c r="S33" s="139" t="str">
        <f>IF($B33="","",Cuartos!EA41)</f>
        <v/>
      </c>
      <c r="T33" s="139" t="str">
        <f>IF($B33="","",Cuartos!EC41)</f>
        <v/>
      </c>
      <c r="U33" s="140" t="str">
        <f>IF($B33="","",Cuartos!ED41)</f>
        <v/>
      </c>
    </row>
    <row r="34" spans="1:21" x14ac:dyDescent="0.3">
      <c r="A34" s="135">
        <v>26</v>
      </c>
      <c r="B34" s="136" t="str">
        <f>_xlfn.CONCAT(IF(Cuartos!C42="","",Cuartos!C42&amp;" "),IF(Cuartos!D42="","",Cuartos!D42))</f>
        <v/>
      </c>
      <c r="C34" s="369" t="str">
        <f>IF(Cuartos!E42="","",Cuartos!E42)</f>
        <v/>
      </c>
      <c r="D34" s="137" t="str">
        <f>IF(Cuartos!F42="","",Cuartos!F42)</f>
        <v/>
      </c>
      <c r="E34" s="137" t="str">
        <f>IF(Cuartos!G42="","",Cuartos!G42)</f>
        <v/>
      </c>
      <c r="F34" s="153" t="str">
        <f>IF(Cuartos!H42="","",Cuartos!H42)</f>
        <v/>
      </c>
      <c r="G34" s="452" t="str">
        <f>IF(Cuartos!J42="","",Cuartos!J42)</f>
        <v/>
      </c>
      <c r="H34" s="453" t="str">
        <f>IF(Cuartos!K42="","",Cuartos!K42)</f>
        <v/>
      </c>
      <c r="I34" s="453" t="str">
        <f>IF(Cuartos!L42="","",Cuartos!L42)</f>
        <v/>
      </c>
      <c r="J34" s="453" t="str">
        <f>IF(Cuartos!DK42="","",Cuartos!DK42)</f>
        <v/>
      </c>
      <c r="K34" s="453" t="str">
        <f>IF(Cuartos!DL42="","",Cuartos!DL42)</f>
        <v/>
      </c>
      <c r="L34" s="460" t="str">
        <f>Cuartos!DM42</f>
        <v/>
      </c>
      <c r="M34" s="151" t="str">
        <f>Cuartos!DU42</f>
        <v/>
      </c>
      <c r="N34" s="139" t="str">
        <f>Cuartos!DV42</f>
        <v/>
      </c>
      <c r="O34" s="140" t="str">
        <f>Cuartos!DW42</f>
        <v/>
      </c>
      <c r="P34" s="148" t="str">
        <f>Cuartos!DX42</f>
        <v/>
      </c>
      <c r="Q34" s="139" t="str">
        <f>Cuartos!DY42</f>
        <v/>
      </c>
      <c r="R34" s="139" t="str">
        <f>IF($B34="","",Cuartos!DZ42)</f>
        <v/>
      </c>
      <c r="S34" s="139" t="str">
        <f>IF($B34="","",Cuartos!EA42)</f>
        <v/>
      </c>
      <c r="T34" s="139" t="str">
        <f>IF($B34="","",Cuartos!EC42)</f>
        <v/>
      </c>
      <c r="U34" s="140" t="str">
        <f>IF($B34="","",Cuartos!ED42)</f>
        <v/>
      </c>
    </row>
    <row r="35" spans="1:21" x14ac:dyDescent="0.3">
      <c r="A35" s="135">
        <v>27</v>
      </c>
      <c r="B35" s="136" t="str">
        <f>_xlfn.CONCAT(IF(Cuartos!C43="","",Cuartos!C43&amp;" "),IF(Cuartos!D43="","",Cuartos!D43))</f>
        <v/>
      </c>
      <c r="C35" s="369" t="str">
        <f>IF(Cuartos!E43="","",Cuartos!E43)</f>
        <v/>
      </c>
      <c r="D35" s="137" t="str">
        <f>IF(Cuartos!F43="","",Cuartos!F43)</f>
        <v/>
      </c>
      <c r="E35" s="137" t="str">
        <f>IF(Cuartos!G43="","",Cuartos!G43)</f>
        <v/>
      </c>
      <c r="F35" s="153" t="str">
        <f>IF(Cuartos!H43="","",Cuartos!H43)</f>
        <v/>
      </c>
      <c r="G35" s="452" t="str">
        <f>IF(Cuartos!J43="","",Cuartos!J43)</f>
        <v/>
      </c>
      <c r="H35" s="453" t="str">
        <f>IF(Cuartos!K43="","",Cuartos!K43)</f>
        <v/>
      </c>
      <c r="I35" s="453" t="str">
        <f>IF(Cuartos!L43="","",Cuartos!L43)</f>
        <v/>
      </c>
      <c r="J35" s="453" t="str">
        <f>IF(Cuartos!DK43="","",Cuartos!DK43)</f>
        <v/>
      </c>
      <c r="K35" s="453" t="str">
        <f>IF(Cuartos!DL43="","",Cuartos!DL43)</f>
        <v/>
      </c>
      <c r="L35" s="460" t="str">
        <f>Cuartos!DM43</f>
        <v/>
      </c>
      <c r="M35" s="151" t="str">
        <f>Cuartos!DU43</f>
        <v/>
      </c>
      <c r="N35" s="139" t="str">
        <f>Cuartos!DV43</f>
        <v/>
      </c>
      <c r="O35" s="140" t="str">
        <f>Cuartos!DW43</f>
        <v/>
      </c>
      <c r="P35" s="148" t="str">
        <f>Cuartos!DX43</f>
        <v/>
      </c>
      <c r="Q35" s="139" t="str">
        <f>Cuartos!DY43</f>
        <v/>
      </c>
      <c r="R35" s="139" t="str">
        <f>IF($B35="","",Cuartos!DZ43)</f>
        <v/>
      </c>
      <c r="S35" s="139" t="str">
        <f>IF($B35="","",Cuartos!EA43)</f>
        <v/>
      </c>
      <c r="T35" s="139" t="str">
        <f>IF($B35="","",Cuartos!EC43)</f>
        <v/>
      </c>
      <c r="U35" s="140" t="str">
        <f>IF($B35="","",Cuartos!ED43)</f>
        <v/>
      </c>
    </row>
    <row r="36" spans="1:21" x14ac:dyDescent="0.3">
      <c r="A36" s="135">
        <v>28</v>
      </c>
      <c r="B36" s="136" t="str">
        <f>_xlfn.CONCAT(IF(Cuartos!C44="","",Cuartos!C44&amp;" "),IF(Cuartos!D44="","",Cuartos!D44))</f>
        <v/>
      </c>
      <c r="C36" s="369" t="str">
        <f>IF(Cuartos!E44="","",Cuartos!E44)</f>
        <v/>
      </c>
      <c r="D36" s="137" t="str">
        <f>IF(Cuartos!F44="","",Cuartos!F44)</f>
        <v/>
      </c>
      <c r="E36" s="137" t="str">
        <f>IF(Cuartos!G44="","",Cuartos!G44)</f>
        <v/>
      </c>
      <c r="F36" s="153" t="str">
        <f>IF(Cuartos!H44="","",Cuartos!H44)</f>
        <v/>
      </c>
      <c r="G36" s="452" t="str">
        <f>IF(Cuartos!J44="","",Cuartos!J44)</f>
        <v/>
      </c>
      <c r="H36" s="453" t="str">
        <f>IF(Cuartos!K44="","",Cuartos!K44)</f>
        <v/>
      </c>
      <c r="I36" s="453" t="str">
        <f>IF(Cuartos!L44="","",Cuartos!L44)</f>
        <v/>
      </c>
      <c r="J36" s="453" t="str">
        <f>IF(Cuartos!DK44="","",Cuartos!DK44)</f>
        <v/>
      </c>
      <c r="K36" s="453" t="str">
        <f>IF(Cuartos!DL44="","",Cuartos!DL44)</f>
        <v/>
      </c>
      <c r="L36" s="460" t="str">
        <f>Cuartos!DM44</f>
        <v/>
      </c>
      <c r="M36" s="151" t="str">
        <f>Cuartos!DU44</f>
        <v/>
      </c>
      <c r="N36" s="139" t="str">
        <f>Cuartos!DV44</f>
        <v/>
      </c>
      <c r="O36" s="140" t="str">
        <f>Cuartos!DW44</f>
        <v/>
      </c>
      <c r="P36" s="148" t="str">
        <f>Cuartos!DX44</f>
        <v/>
      </c>
      <c r="Q36" s="139" t="str">
        <f>Cuartos!DY44</f>
        <v/>
      </c>
      <c r="R36" s="139" t="str">
        <f>IF($B36="","",Cuartos!DZ44)</f>
        <v/>
      </c>
      <c r="S36" s="139" t="str">
        <f>IF($B36="","",Cuartos!EA44)</f>
        <v/>
      </c>
      <c r="T36" s="139" t="str">
        <f>IF($B36="","",Cuartos!EC44)</f>
        <v/>
      </c>
      <c r="U36" s="140" t="str">
        <f>IF($B36="","",Cuartos!ED44)</f>
        <v/>
      </c>
    </row>
    <row r="37" spans="1:21" x14ac:dyDescent="0.3">
      <c r="A37" s="135">
        <v>29</v>
      </c>
      <c r="B37" s="136" t="str">
        <f>_xlfn.CONCAT(IF(Cuartos!C45="","",Cuartos!C45&amp;" "),IF(Cuartos!D45="","",Cuartos!D45))</f>
        <v/>
      </c>
      <c r="C37" s="369" t="str">
        <f>IF(Cuartos!E45="","",Cuartos!E45)</f>
        <v/>
      </c>
      <c r="D37" s="137" t="str">
        <f>IF(Cuartos!F45="","",Cuartos!F45)</f>
        <v/>
      </c>
      <c r="E37" s="137" t="str">
        <f>IF(Cuartos!G45="","",Cuartos!G45)</f>
        <v/>
      </c>
      <c r="F37" s="153" t="str">
        <f>IF(Cuartos!H45="","",Cuartos!H45)</f>
        <v/>
      </c>
      <c r="G37" s="452" t="str">
        <f>IF(Cuartos!J45="","",Cuartos!J45)</f>
        <v/>
      </c>
      <c r="H37" s="453" t="str">
        <f>IF(Cuartos!K45="","",Cuartos!K45)</f>
        <v/>
      </c>
      <c r="I37" s="453" t="str">
        <f>IF(Cuartos!L45="","",Cuartos!L45)</f>
        <v/>
      </c>
      <c r="J37" s="453" t="str">
        <f>IF(Cuartos!DK45="","",Cuartos!DK45)</f>
        <v/>
      </c>
      <c r="K37" s="453" t="str">
        <f>IF(Cuartos!DL45="","",Cuartos!DL45)</f>
        <v/>
      </c>
      <c r="L37" s="460" t="str">
        <f>Cuartos!DM45</f>
        <v/>
      </c>
      <c r="M37" s="151" t="str">
        <f>Cuartos!DU45</f>
        <v/>
      </c>
      <c r="N37" s="139" t="str">
        <f>Cuartos!DV45</f>
        <v/>
      </c>
      <c r="O37" s="140" t="str">
        <f>Cuartos!DW45</f>
        <v/>
      </c>
      <c r="P37" s="148" t="str">
        <f>Cuartos!DX45</f>
        <v/>
      </c>
      <c r="Q37" s="139" t="str">
        <f>Cuartos!DY45</f>
        <v/>
      </c>
      <c r="R37" s="139" t="str">
        <f>IF($B37="","",Cuartos!DZ45)</f>
        <v/>
      </c>
      <c r="S37" s="139" t="str">
        <f>IF($B37="","",Cuartos!EA45)</f>
        <v/>
      </c>
      <c r="T37" s="139" t="str">
        <f>IF($B37="","",Cuartos!EC45)</f>
        <v/>
      </c>
      <c r="U37" s="140" t="str">
        <f>IF($B37="","",Cuartos!ED45)</f>
        <v/>
      </c>
    </row>
    <row r="38" spans="1:21" x14ac:dyDescent="0.3">
      <c r="A38" s="135">
        <v>30</v>
      </c>
      <c r="B38" s="136" t="str">
        <f>_xlfn.CONCAT(IF(Cuartos!C46="","",Cuartos!C46&amp;" "),IF(Cuartos!D46="","",Cuartos!D46))</f>
        <v/>
      </c>
      <c r="C38" s="369" t="str">
        <f>IF(Cuartos!E46="","",Cuartos!E46)</f>
        <v/>
      </c>
      <c r="D38" s="137" t="str">
        <f>IF(Cuartos!F46="","",Cuartos!F46)</f>
        <v/>
      </c>
      <c r="E38" s="137" t="str">
        <f>IF(Cuartos!G46="","",Cuartos!G46)</f>
        <v/>
      </c>
      <c r="F38" s="153" t="str">
        <f>IF(Cuartos!H46="","",Cuartos!H46)</f>
        <v/>
      </c>
      <c r="G38" s="452" t="str">
        <f>IF(Cuartos!J46="","",Cuartos!J46)</f>
        <v/>
      </c>
      <c r="H38" s="453" t="str">
        <f>IF(Cuartos!K46="","",Cuartos!K46)</f>
        <v/>
      </c>
      <c r="I38" s="453" t="str">
        <f>IF(Cuartos!L46="","",Cuartos!L46)</f>
        <v/>
      </c>
      <c r="J38" s="453" t="str">
        <f>IF(Cuartos!DK46="","",Cuartos!DK46)</f>
        <v/>
      </c>
      <c r="K38" s="453" t="str">
        <f>IF(Cuartos!DL46="","",Cuartos!DL46)</f>
        <v/>
      </c>
      <c r="L38" s="460" t="str">
        <f>Cuartos!DM46</f>
        <v/>
      </c>
      <c r="M38" s="151" t="str">
        <f>Cuartos!DU46</f>
        <v/>
      </c>
      <c r="N38" s="139" t="str">
        <f>Cuartos!DV46</f>
        <v/>
      </c>
      <c r="O38" s="140" t="str">
        <f>Cuartos!DW46</f>
        <v/>
      </c>
      <c r="P38" s="148" t="str">
        <f>Cuartos!DX46</f>
        <v/>
      </c>
      <c r="Q38" s="139" t="str">
        <f>Cuartos!DY46</f>
        <v/>
      </c>
      <c r="R38" s="139" t="str">
        <f>IF($B38="","",Cuartos!DZ46)</f>
        <v/>
      </c>
      <c r="S38" s="139" t="str">
        <f>IF($B38="","",Cuartos!EA46)</f>
        <v/>
      </c>
      <c r="T38" s="139" t="str">
        <f>IF($B38="","",Cuartos!EC46)</f>
        <v/>
      </c>
      <c r="U38" s="140" t="str">
        <f>IF($B38="","",Cuartos!ED46)</f>
        <v/>
      </c>
    </row>
    <row r="39" spans="1:21" x14ac:dyDescent="0.3">
      <c r="A39" s="135">
        <v>31</v>
      </c>
      <c r="B39" s="136" t="str">
        <f>_xlfn.CONCAT(IF(Cuartos!C47="","",Cuartos!C47&amp;" "),IF(Cuartos!D47="","",Cuartos!D47))</f>
        <v/>
      </c>
      <c r="C39" s="369" t="str">
        <f>IF(Cuartos!E47="","",Cuartos!E47)</f>
        <v/>
      </c>
      <c r="D39" s="137" t="str">
        <f>IF(Cuartos!F47="","",Cuartos!F47)</f>
        <v/>
      </c>
      <c r="E39" s="137" t="str">
        <f>IF(Cuartos!G47="","",Cuartos!G47)</f>
        <v/>
      </c>
      <c r="F39" s="153" t="str">
        <f>IF(Cuartos!H47="","",Cuartos!H47)</f>
        <v/>
      </c>
      <c r="G39" s="452" t="str">
        <f>IF(Cuartos!J47="","",Cuartos!J47)</f>
        <v/>
      </c>
      <c r="H39" s="453" t="str">
        <f>IF(Cuartos!K47="","",Cuartos!K47)</f>
        <v/>
      </c>
      <c r="I39" s="453" t="str">
        <f>IF(Cuartos!L47="","",Cuartos!L47)</f>
        <v/>
      </c>
      <c r="J39" s="453" t="str">
        <f>IF(Cuartos!DK47="","",Cuartos!DK47)</f>
        <v/>
      </c>
      <c r="K39" s="453" t="str">
        <f>IF(Cuartos!DL47="","",Cuartos!DL47)</f>
        <v/>
      </c>
      <c r="L39" s="460" t="str">
        <f>Cuartos!DM47</f>
        <v/>
      </c>
      <c r="M39" s="151" t="str">
        <f>Cuartos!DU47</f>
        <v/>
      </c>
      <c r="N39" s="139" t="str">
        <f>Cuartos!DV47</f>
        <v/>
      </c>
      <c r="O39" s="140" t="str">
        <f>Cuartos!DW47</f>
        <v/>
      </c>
      <c r="P39" s="148" t="str">
        <f>Cuartos!DX47</f>
        <v/>
      </c>
      <c r="Q39" s="139" t="str">
        <f>Cuartos!DY47</f>
        <v/>
      </c>
      <c r="R39" s="139" t="str">
        <f>IF($B39="","",Cuartos!DZ47)</f>
        <v/>
      </c>
      <c r="S39" s="139" t="str">
        <f>IF($B39="","",Cuartos!EA47)</f>
        <v/>
      </c>
      <c r="T39" s="139" t="str">
        <f>IF($B39="","",Cuartos!EC47)</f>
        <v/>
      </c>
      <c r="U39" s="140" t="str">
        <f>IF($B39="","",Cuartos!ED47)</f>
        <v/>
      </c>
    </row>
    <row r="40" spans="1:21" x14ac:dyDescent="0.3">
      <c r="A40" s="135">
        <v>32</v>
      </c>
      <c r="B40" s="136" t="str">
        <f>_xlfn.CONCAT(IF(Cuartos!C48="","",Cuartos!C48&amp;" "),IF(Cuartos!D48="","",Cuartos!D48))</f>
        <v/>
      </c>
      <c r="C40" s="369" t="str">
        <f>IF(Cuartos!E48="","",Cuartos!E48)</f>
        <v/>
      </c>
      <c r="D40" s="137" t="str">
        <f>IF(Cuartos!F48="","",Cuartos!F48)</f>
        <v/>
      </c>
      <c r="E40" s="137" t="str">
        <f>IF(Cuartos!G48="","",Cuartos!G48)</f>
        <v/>
      </c>
      <c r="F40" s="153" t="str">
        <f>IF(Cuartos!H48="","",Cuartos!H48)</f>
        <v/>
      </c>
      <c r="G40" s="452" t="str">
        <f>IF(Cuartos!J48="","",Cuartos!J48)</f>
        <v/>
      </c>
      <c r="H40" s="453" t="str">
        <f>IF(Cuartos!K48="","",Cuartos!K48)</f>
        <v/>
      </c>
      <c r="I40" s="453" t="str">
        <f>IF(Cuartos!L48="","",Cuartos!L48)</f>
        <v/>
      </c>
      <c r="J40" s="453" t="str">
        <f>IF(Cuartos!DK48="","",Cuartos!DK48)</f>
        <v/>
      </c>
      <c r="K40" s="453" t="str">
        <f>IF(Cuartos!DL48="","",Cuartos!DL48)</f>
        <v/>
      </c>
      <c r="L40" s="460" t="str">
        <f>Cuartos!DM48</f>
        <v/>
      </c>
      <c r="M40" s="151" t="str">
        <f>Cuartos!DU48</f>
        <v/>
      </c>
      <c r="N40" s="139" t="str">
        <f>Cuartos!DV48</f>
        <v/>
      </c>
      <c r="O40" s="140" t="str">
        <f>Cuartos!DW48</f>
        <v/>
      </c>
      <c r="P40" s="148" t="str">
        <f>Cuartos!DX48</f>
        <v/>
      </c>
      <c r="Q40" s="139" t="str">
        <f>Cuartos!DY48</f>
        <v/>
      </c>
      <c r="R40" s="139" t="str">
        <f>IF($B40="","",Cuartos!DZ48)</f>
        <v/>
      </c>
      <c r="S40" s="139" t="str">
        <f>IF($B40="","",Cuartos!EA48)</f>
        <v/>
      </c>
      <c r="T40" s="139" t="str">
        <f>IF($B40="","",Cuartos!EC48)</f>
        <v/>
      </c>
      <c r="U40" s="140" t="str">
        <f>IF($B40="","",Cuartos!ED48)</f>
        <v/>
      </c>
    </row>
    <row r="41" spans="1:21" x14ac:dyDescent="0.3">
      <c r="A41" s="135">
        <v>33</v>
      </c>
      <c r="B41" s="136" t="str">
        <f>_xlfn.CONCAT(IF(Cuartos!C49="","",Cuartos!C49&amp;" "),IF(Cuartos!D49="","",Cuartos!D49))</f>
        <v/>
      </c>
      <c r="C41" s="369" t="str">
        <f>IF(Cuartos!E49="","",Cuartos!E49)</f>
        <v/>
      </c>
      <c r="D41" s="137" t="str">
        <f>IF(Cuartos!F49="","",Cuartos!F49)</f>
        <v/>
      </c>
      <c r="E41" s="137" t="str">
        <f>IF(Cuartos!G49="","",Cuartos!G49)</f>
        <v/>
      </c>
      <c r="F41" s="153" t="str">
        <f>IF(Cuartos!H49="","",Cuartos!H49)</f>
        <v/>
      </c>
      <c r="G41" s="452" t="str">
        <f>IF(Cuartos!J49="","",Cuartos!J49)</f>
        <v/>
      </c>
      <c r="H41" s="453" t="str">
        <f>IF(Cuartos!K49="","",Cuartos!K49)</f>
        <v/>
      </c>
      <c r="I41" s="453" t="str">
        <f>IF(Cuartos!L49="","",Cuartos!L49)</f>
        <v/>
      </c>
      <c r="J41" s="453" t="str">
        <f>IF(Cuartos!DK49="","",Cuartos!DK49)</f>
        <v/>
      </c>
      <c r="K41" s="453" t="str">
        <f>IF(Cuartos!DL49="","",Cuartos!DL49)</f>
        <v/>
      </c>
      <c r="L41" s="460" t="str">
        <f>Cuartos!DM49</f>
        <v/>
      </c>
      <c r="M41" s="151" t="str">
        <f>Cuartos!DU49</f>
        <v/>
      </c>
      <c r="N41" s="139" t="str">
        <f>Cuartos!DV49</f>
        <v/>
      </c>
      <c r="O41" s="140" t="str">
        <f>Cuartos!DW49</f>
        <v/>
      </c>
      <c r="P41" s="148" t="str">
        <f>Cuartos!DX49</f>
        <v/>
      </c>
      <c r="Q41" s="139" t="str">
        <f>Cuartos!DY49</f>
        <v/>
      </c>
      <c r="R41" s="139" t="str">
        <f>IF($B41="","",Cuartos!DZ49)</f>
        <v/>
      </c>
      <c r="S41" s="139" t="str">
        <f>IF($B41="","",Cuartos!EA49)</f>
        <v/>
      </c>
      <c r="T41" s="139" t="str">
        <f>IF($B41="","",Cuartos!EC49)</f>
        <v/>
      </c>
      <c r="U41" s="140" t="str">
        <f>IF($B41="","",Cuartos!ED49)</f>
        <v/>
      </c>
    </row>
    <row r="42" spans="1:21" x14ac:dyDescent="0.3">
      <c r="A42" s="135">
        <v>34</v>
      </c>
      <c r="B42" s="136" t="str">
        <f>_xlfn.CONCAT(IF(Cuartos!C50="","",Cuartos!C50&amp;" "),IF(Cuartos!D50="","",Cuartos!D50))</f>
        <v/>
      </c>
      <c r="C42" s="369" t="str">
        <f>IF(Cuartos!E50="","",Cuartos!E50)</f>
        <v/>
      </c>
      <c r="D42" s="137" t="str">
        <f>IF(Cuartos!F50="","",Cuartos!F50)</f>
        <v/>
      </c>
      <c r="E42" s="137" t="str">
        <f>IF(Cuartos!G50="","",Cuartos!G50)</f>
        <v/>
      </c>
      <c r="F42" s="153" t="str">
        <f>IF(Cuartos!H50="","",Cuartos!H50)</f>
        <v/>
      </c>
      <c r="G42" s="452" t="str">
        <f>IF(Cuartos!J50="","",Cuartos!J50)</f>
        <v/>
      </c>
      <c r="H42" s="453" t="str">
        <f>IF(Cuartos!K50="","",Cuartos!K50)</f>
        <v/>
      </c>
      <c r="I42" s="453" t="str">
        <f>IF(Cuartos!L50="","",Cuartos!L50)</f>
        <v/>
      </c>
      <c r="J42" s="453" t="str">
        <f>IF(Cuartos!DK50="","",Cuartos!DK50)</f>
        <v/>
      </c>
      <c r="K42" s="453" t="str">
        <f>IF(Cuartos!DL50="","",Cuartos!DL50)</f>
        <v/>
      </c>
      <c r="L42" s="460" t="str">
        <f>Cuartos!DM50</f>
        <v/>
      </c>
      <c r="M42" s="151" t="str">
        <f>Cuartos!DU50</f>
        <v/>
      </c>
      <c r="N42" s="139" t="str">
        <f>Cuartos!DV50</f>
        <v/>
      </c>
      <c r="O42" s="140" t="str">
        <f>Cuartos!DW50</f>
        <v/>
      </c>
      <c r="P42" s="148" t="str">
        <f>Cuartos!DX50</f>
        <v/>
      </c>
      <c r="Q42" s="139" t="str">
        <f>Cuartos!DY50</f>
        <v/>
      </c>
      <c r="R42" s="139" t="str">
        <f>IF($B42="","",Cuartos!DZ50)</f>
        <v/>
      </c>
      <c r="S42" s="139" t="str">
        <f>IF($B42="","",Cuartos!EA50)</f>
        <v/>
      </c>
      <c r="T42" s="139" t="str">
        <f>IF($B42="","",Cuartos!EC50)</f>
        <v/>
      </c>
      <c r="U42" s="140" t="str">
        <f>IF($B42="","",Cuartos!ED50)</f>
        <v/>
      </c>
    </row>
    <row r="43" spans="1:21" x14ac:dyDescent="0.3">
      <c r="A43" s="135">
        <v>35</v>
      </c>
      <c r="B43" s="136" t="str">
        <f>_xlfn.CONCAT(IF(Cuartos!C51="","",Cuartos!C51&amp;" "),IF(Cuartos!D51="","",Cuartos!D51))</f>
        <v/>
      </c>
      <c r="C43" s="369" t="str">
        <f>IF(Cuartos!E51="","",Cuartos!E51)</f>
        <v/>
      </c>
      <c r="D43" s="137" t="str">
        <f>IF(Cuartos!F51="","",Cuartos!F51)</f>
        <v/>
      </c>
      <c r="E43" s="137" t="str">
        <f>IF(Cuartos!G51="","",Cuartos!G51)</f>
        <v/>
      </c>
      <c r="F43" s="153" t="str">
        <f>IF(Cuartos!H51="","",Cuartos!H51)</f>
        <v/>
      </c>
      <c r="G43" s="452" t="str">
        <f>IF(Cuartos!J51="","",Cuartos!J51)</f>
        <v/>
      </c>
      <c r="H43" s="453" t="str">
        <f>IF(Cuartos!K51="","",Cuartos!K51)</f>
        <v/>
      </c>
      <c r="I43" s="453" t="str">
        <f>IF(Cuartos!L51="","",Cuartos!L51)</f>
        <v/>
      </c>
      <c r="J43" s="453" t="str">
        <f>IF(Cuartos!DK51="","",Cuartos!DK51)</f>
        <v/>
      </c>
      <c r="K43" s="453" t="str">
        <f>IF(Cuartos!DL51="","",Cuartos!DL51)</f>
        <v/>
      </c>
      <c r="L43" s="460" t="str">
        <f>Cuartos!DM51</f>
        <v/>
      </c>
      <c r="M43" s="151" t="str">
        <f>Cuartos!DU51</f>
        <v/>
      </c>
      <c r="N43" s="139" t="str">
        <f>Cuartos!DV51</f>
        <v/>
      </c>
      <c r="O43" s="140" t="str">
        <f>Cuartos!DW51</f>
        <v/>
      </c>
      <c r="P43" s="148" t="str">
        <f>Cuartos!DX51</f>
        <v/>
      </c>
      <c r="Q43" s="139" t="str">
        <f>Cuartos!DY51</f>
        <v/>
      </c>
      <c r="R43" s="139" t="str">
        <f>IF($B43="","",Cuartos!DZ51)</f>
        <v/>
      </c>
      <c r="S43" s="139" t="str">
        <f>IF($B43="","",Cuartos!EA51)</f>
        <v/>
      </c>
      <c r="T43" s="139" t="str">
        <f>IF($B43="","",Cuartos!EC51)</f>
        <v/>
      </c>
      <c r="U43" s="140" t="str">
        <f>IF($B43="","",Cuartos!ED51)</f>
        <v/>
      </c>
    </row>
    <row r="44" spans="1:21" x14ac:dyDescent="0.3">
      <c r="A44" s="135">
        <v>36</v>
      </c>
      <c r="B44" s="136" t="str">
        <f>_xlfn.CONCAT(IF(Cuartos!C52="","",Cuartos!C52&amp;" "),IF(Cuartos!D52="","",Cuartos!D52))</f>
        <v/>
      </c>
      <c r="C44" s="369" t="str">
        <f>IF(Cuartos!E52="","",Cuartos!E52)</f>
        <v/>
      </c>
      <c r="D44" s="137" t="str">
        <f>IF(Cuartos!F52="","",Cuartos!F52)</f>
        <v/>
      </c>
      <c r="E44" s="137" t="str">
        <f>IF(Cuartos!G52="","",Cuartos!G52)</f>
        <v/>
      </c>
      <c r="F44" s="153" t="str">
        <f>IF(Cuartos!H52="","",Cuartos!H52)</f>
        <v/>
      </c>
      <c r="G44" s="452" t="str">
        <f>IF(Cuartos!J52="","",Cuartos!J52)</f>
        <v/>
      </c>
      <c r="H44" s="453" t="str">
        <f>IF(Cuartos!K52="","",Cuartos!K52)</f>
        <v/>
      </c>
      <c r="I44" s="453" t="str">
        <f>IF(Cuartos!L52="","",Cuartos!L52)</f>
        <v/>
      </c>
      <c r="J44" s="453" t="str">
        <f>IF(Cuartos!DK52="","",Cuartos!DK52)</f>
        <v/>
      </c>
      <c r="K44" s="453" t="str">
        <f>IF(Cuartos!DL52="","",Cuartos!DL52)</f>
        <v/>
      </c>
      <c r="L44" s="460" t="str">
        <f>Cuartos!DM52</f>
        <v/>
      </c>
      <c r="M44" s="151" t="str">
        <f>Cuartos!DU52</f>
        <v/>
      </c>
      <c r="N44" s="139" t="str">
        <f>Cuartos!DV52</f>
        <v/>
      </c>
      <c r="O44" s="140" t="str">
        <f>Cuartos!DW52</f>
        <v/>
      </c>
      <c r="P44" s="148" t="str">
        <f>Cuartos!DX52</f>
        <v/>
      </c>
      <c r="Q44" s="139" t="str">
        <f>Cuartos!DY52</f>
        <v/>
      </c>
      <c r="R44" s="139" t="str">
        <f>IF($B44="","",Cuartos!DZ52)</f>
        <v/>
      </c>
      <c r="S44" s="139" t="str">
        <f>IF($B44="","",Cuartos!EA52)</f>
        <v/>
      </c>
      <c r="T44" s="139" t="str">
        <f>IF($B44="","",Cuartos!EC52)</f>
        <v/>
      </c>
      <c r="U44" s="140" t="str">
        <f>IF($B44="","",Cuartos!ED52)</f>
        <v/>
      </c>
    </row>
    <row r="45" spans="1:21" x14ac:dyDescent="0.3">
      <c r="A45" s="135">
        <v>37</v>
      </c>
      <c r="B45" s="136" t="str">
        <f>_xlfn.CONCAT(IF(Cuartos!C53="","",Cuartos!C53&amp;" "),IF(Cuartos!D53="","",Cuartos!D53))</f>
        <v/>
      </c>
      <c r="C45" s="369" t="str">
        <f>IF(Cuartos!E53="","",Cuartos!E53)</f>
        <v/>
      </c>
      <c r="D45" s="137" t="str">
        <f>IF(Cuartos!F53="","",Cuartos!F53)</f>
        <v/>
      </c>
      <c r="E45" s="137" t="str">
        <f>IF(Cuartos!G53="","",Cuartos!G53)</f>
        <v/>
      </c>
      <c r="F45" s="153" t="str">
        <f>IF(Cuartos!H53="","",Cuartos!H53)</f>
        <v/>
      </c>
      <c r="G45" s="452" t="str">
        <f>IF(Cuartos!J53="","",Cuartos!J53)</f>
        <v/>
      </c>
      <c r="H45" s="453" t="str">
        <f>IF(Cuartos!K53="","",Cuartos!K53)</f>
        <v/>
      </c>
      <c r="I45" s="453" t="str">
        <f>IF(Cuartos!L53="","",Cuartos!L53)</f>
        <v/>
      </c>
      <c r="J45" s="453" t="str">
        <f>IF(Cuartos!DK53="","",Cuartos!DK53)</f>
        <v/>
      </c>
      <c r="K45" s="453" t="str">
        <f>IF(Cuartos!DL53="","",Cuartos!DL53)</f>
        <v/>
      </c>
      <c r="L45" s="460" t="str">
        <f>Cuartos!DM53</f>
        <v/>
      </c>
      <c r="M45" s="151" t="str">
        <f>Cuartos!DU53</f>
        <v/>
      </c>
      <c r="N45" s="139" t="str">
        <f>Cuartos!DV53</f>
        <v/>
      </c>
      <c r="O45" s="140" t="str">
        <f>Cuartos!DW53</f>
        <v/>
      </c>
      <c r="P45" s="148" t="str">
        <f>Cuartos!DX53</f>
        <v/>
      </c>
      <c r="Q45" s="139" t="str">
        <f>Cuartos!DY53</f>
        <v/>
      </c>
      <c r="R45" s="139" t="str">
        <f>IF($B45="","",Cuartos!DZ53)</f>
        <v/>
      </c>
      <c r="S45" s="139" t="str">
        <f>IF($B45="","",Cuartos!EA53)</f>
        <v/>
      </c>
      <c r="T45" s="139" t="str">
        <f>IF($B45="","",Cuartos!EC53)</f>
        <v/>
      </c>
      <c r="U45" s="140" t="str">
        <f>IF($B45="","",Cuartos!ED53)</f>
        <v/>
      </c>
    </row>
    <row r="46" spans="1:21" x14ac:dyDescent="0.3">
      <c r="A46" s="135">
        <v>38</v>
      </c>
      <c r="B46" s="136" t="str">
        <f>_xlfn.CONCAT(IF(Cuartos!C54="","",Cuartos!C54&amp;" "),IF(Cuartos!D54="","",Cuartos!D54))</f>
        <v/>
      </c>
      <c r="C46" s="369" t="str">
        <f>IF(Cuartos!E54="","",Cuartos!E54)</f>
        <v/>
      </c>
      <c r="D46" s="137" t="str">
        <f>IF(Cuartos!F54="","",Cuartos!F54)</f>
        <v/>
      </c>
      <c r="E46" s="137" t="str">
        <f>IF(Cuartos!G54="","",Cuartos!G54)</f>
        <v/>
      </c>
      <c r="F46" s="153" t="str">
        <f>IF(Cuartos!H54="","",Cuartos!H54)</f>
        <v/>
      </c>
      <c r="G46" s="452" t="str">
        <f>IF(Cuartos!J54="","",Cuartos!J54)</f>
        <v/>
      </c>
      <c r="H46" s="453" t="str">
        <f>IF(Cuartos!K54="","",Cuartos!K54)</f>
        <v/>
      </c>
      <c r="I46" s="453" t="str">
        <f>IF(Cuartos!L54="","",Cuartos!L54)</f>
        <v/>
      </c>
      <c r="J46" s="453" t="str">
        <f>IF(Cuartos!DK54="","",Cuartos!DK54)</f>
        <v/>
      </c>
      <c r="K46" s="453" t="str">
        <f>IF(Cuartos!DL54="","",Cuartos!DL54)</f>
        <v/>
      </c>
      <c r="L46" s="460" t="str">
        <f>Cuartos!DM54</f>
        <v/>
      </c>
      <c r="M46" s="151" t="str">
        <f>Cuartos!DU54</f>
        <v/>
      </c>
      <c r="N46" s="139" t="str">
        <f>Cuartos!DV54</f>
        <v/>
      </c>
      <c r="O46" s="140" t="str">
        <f>Cuartos!DW54</f>
        <v/>
      </c>
      <c r="P46" s="148" t="str">
        <f>Cuartos!DX54</f>
        <v/>
      </c>
      <c r="Q46" s="139" t="str">
        <f>Cuartos!DY54</f>
        <v/>
      </c>
      <c r="R46" s="139" t="str">
        <f>IF($B46="","",Cuartos!DZ54)</f>
        <v/>
      </c>
      <c r="S46" s="139" t="str">
        <f>IF($B46="","",Cuartos!EA54)</f>
        <v/>
      </c>
      <c r="T46" s="139" t="str">
        <f>IF($B46="","",Cuartos!EC54)</f>
        <v/>
      </c>
      <c r="U46" s="140" t="str">
        <f>IF($B46="","",Cuartos!ED54)</f>
        <v/>
      </c>
    </row>
    <row r="47" spans="1:21" x14ac:dyDescent="0.3">
      <c r="A47" s="135">
        <v>39</v>
      </c>
      <c r="B47" s="136" t="str">
        <f>_xlfn.CONCAT(IF(Cuartos!C55="","",Cuartos!C55&amp;" "),IF(Cuartos!D55="","",Cuartos!D55))</f>
        <v/>
      </c>
      <c r="C47" s="369" t="str">
        <f>IF(Cuartos!E55="","",Cuartos!E55)</f>
        <v/>
      </c>
      <c r="D47" s="137" t="str">
        <f>IF(Cuartos!F55="","",Cuartos!F55)</f>
        <v/>
      </c>
      <c r="E47" s="137" t="str">
        <f>IF(Cuartos!G55="","",Cuartos!G55)</f>
        <v/>
      </c>
      <c r="F47" s="153" t="str">
        <f>IF(Cuartos!H55="","",Cuartos!H55)</f>
        <v/>
      </c>
      <c r="G47" s="452" t="str">
        <f>IF(Cuartos!J55="","",Cuartos!J55)</f>
        <v/>
      </c>
      <c r="H47" s="453" t="str">
        <f>IF(Cuartos!K55="","",Cuartos!K55)</f>
        <v/>
      </c>
      <c r="I47" s="453" t="str">
        <f>IF(Cuartos!L55="","",Cuartos!L55)</f>
        <v/>
      </c>
      <c r="J47" s="453" t="str">
        <f>IF(Cuartos!DK55="","",Cuartos!DK55)</f>
        <v/>
      </c>
      <c r="K47" s="453" t="str">
        <f>IF(Cuartos!DL55="","",Cuartos!DL55)</f>
        <v/>
      </c>
      <c r="L47" s="460" t="str">
        <f>Cuartos!DM55</f>
        <v/>
      </c>
      <c r="M47" s="151" t="str">
        <f>Cuartos!DU55</f>
        <v/>
      </c>
      <c r="N47" s="139" t="str">
        <f>Cuartos!DV55</f>
        <v/>
      </c>
      <c r="O47" s="140" t="str">
        <f>Cuartos!DW55</f>
        <v/>
      </c>
      <c r="P47" s="148" t="str">
        <f>Cuartos!DX55</f>
        <v/>
      </c>
      <c r="Q47" s="139" t="str">
        <f>Cuartos!DY55</f>
        <v/>
      </c>
      <c r="R47" s="139" t="str">
        <f>IF($B47="","",Cuartos!DZ55)</f>
        <v/>
      </c>
      <c r="S47" s="139" t="str">
        <f>IF($B47="","",Cuartos!EA55)</f>
        <v/>
      </c>
      <c r="T47" s="139" t="str">
        <f>IF($B47="","",Cuartos!EC55)</f>
        <v/>
      </c>
      <c r="U47" s="140" t="str">
        <f>IF($B47="","",Cuartos!ED55)</f>
        <v/>
      </c>
    </row>
    <row r="48" spans="1:21" x14ac:dyDescent="0.3">
      <c r="A48" s="141">
        <v>40</v>
      </c>
      <c r="B48" s="142" t="str">
        <f>_xlfn.CONCAT(IF(Cuartos!C56="","",Cuartos!C56&amp;" "),IF(Cuartos!D56="","",Cuartos!D56))</f>
        <v/>
      </c>
      <c r="C48" s="370" t="str">
        <f>IF(Cuartos!E56="","",Cuartos!E56)</f>
        <v/>
      </c>
      <c r="D48" s="143" t="str">
        <f>IF(Cuartos!F56="","",Cuartos!F56)</f>
        <v/>
      </c>
      <c r="E48" s="143" t="str">
        <f>IF(Cuartos!G56="","",Cuartos!G56)</f>
        <v/>
      </c>
      <c r="F48" s="154" t="str">
        <f>IF(Cuartos!H56="","",Cuartos!H56)</f>
        <v/>
      </c>
      <c r="G48" s="454" t="str">
        <f>IF(Cuartos!J56="","",Cuartos!J56)</f>
        <v/>
      </c>
      <c r="H48" s="455" t="str">
        <f>IF(Cuartos!K56="","",Cuartos!K56)</f>
        <v/>
      </c>
      <c r="I48" s="455" t="str">
        <f>IF(Cuartos!L56="","",Cuartos!L56)</f>
        <v/>
      </c>
      <c r="J48" s="455" t="str">
        <f>IF(Cuartos!DK56="","",Cuartos!DK56)</f>
        <v/>
      </c>
      <c r="K48" s="455" t="str">
        <f>IF(Cuartos!DL56="","",Cuartos!DL56)</f>
        <v/>
      </c>
      <c r="L48" s="461" t="str">
        <f>Cuartos!DM56</f>
        <v/>
      </c>
      <c r="M48" s="152" t="str">
        <f>Cuartos!DU56</f>
        <v/>
      </c>
      <c r="N48" s="145" t="str">
        <f>Cuartos!DV56</f>
        <v/>
      </c>
      <c r="O48" s="146" t="str">
        <f>Cuartos!DW56</f>
        <v/>
      </c>
      <c r="P48" s="149" t="str">
        <f>Cuartos!DX56</f>
        <v/>
      </c>
      <c r="Q48" s="145" t="str">
        <f>Cuartos!DY56</f>
        <v/>
      </c>
      <c r="R48" s="145" t="str">
        <f>IF($B48="","",Cuartos!DZ56)</f>
        <v/>
      </c>
      <c r="S48" s="145" t="str">
        <f>IF($B48="","",Cuartos!EA56)</f>
        <v/>
      </c>
      <c r="T48" s="145" t="str">
        <f>IF($B48="","",Cuartos!EC56)</f>
        <v/>
      </c>
      <c r="U48" s="146" t="str">
        <f>IF($B48="","",Cuartos!ED56)</f>
        <v/>
      </c>
    </row>
    <row r="49" spans="1:21" x14ac:dyDescent="0.3">
      <c r="K49" s="610" t="s">
        <v>136</v>
      </c>
      <c r="L49" s="610"/>
      <c r="M49" s="5">
        <f>AS</f>
        <v>0</v>
      </c>
      <c r="N49" s="5">
        <f>ASPP</f>
        <v>0</v>
      </c>
      <c r="O49" s="333">
        <f>ASTOT</f>
        <v>0</v>
      </c>
      <c r="P49" s="5">
        <f>AR</f>
        <v>0</v>
      </c>
      <c r="Q49" s="5">
        <f>AE</f>
        <v>0</v>
      </c>
      <c r="R49" s="5">
        <f>CP</f>
        <v>0</v>
      </c>
      <c r="S49" s="5">
        <f>AOT</f>
        <v>0</v>
      </c>
      <c r="T49" s="5">
        <f>IFERROR(ASPN,0)</f>
        <v>0</v>
      </c>
      <c r="U49" s="333">
        <f>AETOT</f>
        <v>0</v>
      </c>
    </row>
    <row r="51" spans="1:21" x14ac:dyDescent="0.3">
      <c r="B51" s="94" t="s">
        <v>212</v>
      </c>
      <c r="C51" s="615" t="str">
        <f>IF(Datos!I1="","",Datos!I1)</f>
        <v/>
      </c>
      <c r="D51" s="615"/>
      <c r="E51" s="615"/>
      <c r="F51" s="615"/>
      <c r="G51" s="615"/>
      <c r="H51" s="615"/>
      <c r="I51" s="615"/>
    </row>
    <row r="52" spans="1:21" x14ac:dyDescent="0.3">
      <c r="B52" s="94" t="s">
        <v>211</v>
      </c>
      <c r="C52" s="615" t="str">
        <f>IF(Datos!B6="","",Datos!B6)</f>
        <v/>
      </c>
      <c r="D52" s="615"/>
      <c r="E52" s="615"/>
      <c r="F52" s="615"/>
      <c r="G52" s="615"/>
      <c r="H52" s="615"/>
      <c r="I52" s="615"/>
    </row>
    <row r="53" spans="1:21" x14ac:dyDescent="0.3">
      <c r="B53" s="94" t="s">
        <v>213</v>
      </c>
      <c r="C53" s="615" t="str">
        <f>IF(Datos!B9="","",Datos!B9)</f>
        <v/>
      </c>
      <c r="D53" s="615"/>
      <c r="E53" s="615"/>
      <c r="F53" s="615"/>
      <c r="G53" s="615"/>
      <c r="H53" s="615"/>
      <c r="I53" s="615"/>
    </row>
    <row r="55" spans="1:21" x14ac:dyDescent="0.3">
      <c r="A55" s="611" t="s">
        <v>0</v>
      </c>
      <c r="B55" s="611" t="s">
        <v>34</v>
      </c>
      <c r="C55" s="611" t="s">
        <v>7</v>
      </c>
      <c r="D55" s="611" t="s">
        <v>19</v>
      </c>
      <c r="E55" s="611" t="s">
        <v>20</v>
      </c>
      <c r="F55" s="611" t="s">
        <v>8</v>
      </c>
      <c r="G55" s="611" t="s">
        <v>21</v>
      </c>
      <c r="H55" s="611" t="s">
        <v>22</v>
      </c>
      <c r="I55" s="611" t="s">
        <v>23</v>
      </c>
      <c r="J55" s="611" t="s">
        <v>24</v>
      </c>
      <c r="K55" s="611" t="s">
        <v>24</v>
      </c>
      <c r="L55" s="611" t="s">
        <v>25</v>
      </c>
      <c r="M55" s="614" t="s">
        <v>137</v>
      </c>
      <c r="N55" s="614"/>
      <c r="O55" s="614"/>
      <c r="P55" s="614" t="s">
        <v>138</v>
      </c>
      <c r="Q55" s="614"/>
      <c r="R55" s="614"/>
      <c r="S55" s="614"/>
      <c r="T55" s="614"/>
      <c r="U55" s="614"/>
    </row>
    <row r="56" spans="1:21" x14ac:dyDescent="0.3">
      <c r="A56" s="612"/>
      <c r="B56" s="612"/>
      <c r="C56" s="612"/>
      <c r="D56" s="612"/>
      <c r="E56" s="612"/>
      <c r="F56" s="612"/>
      <c r="G56" s="612"/>
      <c r="H56" s="612"/>
      <c r="I56" s="612"/>
      <c r="J56" s="612"/>
      <c r="K56" s="612"/>
      <c r="L56" s="612"/>
      <c r="M56" s="428" t="s">
        <v>168</v>
      </c>
      <c r="N56" s="428" t="s">
        <v>527</v>
      </c>
      <c r="O56" s="428" t="s">
        <v>26</v>
      </c>
      <c r="P56" s="428" t="s">
        <v>169</v>
      </c>
      <c r="Q56" s="428" t="s">
        <v>170</v>
      </c>
      <c r="R56" s="428" t="s">
        <v>171</v>
      </c>
      <c r="S56" s="428" t="s">
        <v>526</v>
      </c>
      <c r="T56" s="428" t="s">
        <v>528</v>
      </c>
      <c r="U56" s="428" t="s">
        <v>26</v>
      </c>
    </row>
    <row r="57" spans="1:21" x14ac:dyDescent="0.3">
      <c r="A57" s="613"/>
      <c r="B57" s="613"/>
      <c r="C57" s="429" t="s">
        <v>15</v>
      </c>
      <c r="D57" s="429" t="s">
        <v>14</v>
      </c>
      <c r="E57" s="429" t="s">
        <v>12</v>
      </c>
      <c r="F57" s="613"/>
      <c r="G57" s="429" t="s">
        <v>27</v>
      </c>
      <c r="H57" s="429" t="s">
        <v>27</v>
      </c>
      <c r="I57" s="429" t="s">
        <v>27</v>
      </c>
      <c r="J57" s="429" t="s">
        <v>28</v>
      </c>
      <c r="K57" s="129" t="s">
        <v>29</v>
      </c>
      <c r="L57" s="613"/>
      <c r="M57" s="129" t="s">
        <v>42</v>
      </c>
      <c r="N57" s="129" t="s">
        <v>42</v>
      </c>
      <c r="O57" s="429" t="s">
        <v>42</v>
      </c>
      <c r="P57" s="429" t="s">
        <v>42</v>
      </c>
      <c r="Q57" s="429" t="s">
        <v>42</v>
      </c>
      <c r="R57" s="429" t="s">
        <v>42</v>
      </c>
      <c r="S57" s="429" t="s">
        <v>42</v>
      </c>
      <c r="T57" s="429" t="s">
        <v>42</v>
      </c>
      <c r="U57" s="429" t="s">
        <v>42</v>
      </c>
    </row>
    <row r="58" spans="1:21" x14ac:dyDescent="0.3">
      <c r="A58" s="135">
        <v>41</v>
      </c>
      <c r="B58" s="136" t="str">
        <f>_xlfn.CONCAT(IF(Cuartos!C57="","",Cuartos!C57&amp;" "),IF(Cuartos!D57="","",Cuartos!D57))</f>
        <v/>
      </c>
      <c r="C58" s="369" t="str">
        <f>IF(Cuartos!E57="","",Cuartos!E57)</f>
        <v/>
      </c>
      <c r="D58" s="137" t="str">
        <f>IF(Cuartos!F57="","",Cuartos!F57)</f>
        <v/>
      </c>
      <c r="E58" s="137" t="str">
        <f>IF(Cuartos!G57="","",Cuartos!G57)</f>
        <v/>
      </c>
      <c r="F58" s="153" t="str">
        <f>IF(Cuartos!H57="","",Cuartos!H57)</f>
        <v/>
      </c>
      <c r="G58" s="456" t="str">
        <f>IF(Cuartos!J57="","",Cuartos!J57)</f>
        <v/>
      </c>
      <c r="H58" s="457" t="str">
        <f>IF(Cuartos!K57="","",Cuartos!K57)</f>
        <v/>
      </c>
      <c r="I58" s="457" t="str">
        <f>IF(Cuartos!L57="","",Cuartos!L57)</f>
        <v/>
      </c>
      <c r="J58" s="457" t="str">
        <f>IF(Cuartos!DK57="","",Cuartos!DK57)</f>
        <v/>
      </c>
      <c r="K58" s="457" t="str">
        <f>IF(Cuartos!DL57="","",Cuartos!DL57)</f>
        <v/>
      </c>
      <c r="L58" s="462" t="str">
        <f>Cuartos!DM57</f>
        <v/>
      </c>
      <c r="M58" s="150" t="str">
        <f>Cuartos!DU57</f>
        <v/>
      </c>
      <c r="N58" s="133" t="str">
        <f>Cuartos!DV57</f>
        <v/>
      </c>
      <c r="O58" s="134" t="str">
        <f>Cuartos!DW57</f>
        <v/>
      </c>
      <c r="P58" s="148" t="str">
        <f>Cuartos!DX57</f>
        <v/>
      </c>
      <c r="Q58" s="139" t="str">
        <f>Cuartos!DY57</f>
        <v/>
      </c>
      <c r="R58" s="139" t="str">
        <f>IF($B58="","",Cuartos!DZ57)</f>
        <v/>
      </c>
      <c r="S58" s="139" t="str">
        <f>IF($B58="","",Cuartos!EA57)</f>
        <v/>
      </c>
      <c r="T58" s="139" t="str">
        <f>IF($B58="","",Cuartos!EC57)</f>
        <v/>
      </c>
      <c r="U58" s="140" t="str">
        <f>IF($B58="","",Cuartos!ED57)</f>
        <v/>
      </c>
    </row>
    <row r="59" spans="1:21" x14ac:dyDescent="0.3">
      <c r="A59" s="135">
        <v>42</v>
      </c>
      <c r="B59" s="136" t="str">
        <f>_xlfn.CONCAT(IF(Cuartos!C58="","",Cuartos!C58&amp;" "),IF(Cuartos!D58="","",Cuartos!D58))</f>
        <v/>
      </c>
      <c r="C59" s="369" t="str">
        <f>IF(Cuartos!E58="","",Cuartos!E58)</f>
        <v/>
      </c>
      <c r="D59" s="137" t="str">
        <f>IF(Cuartos!F58="","",Cuartos!F58)</f>
        <v/>
      </c>
      <c r="E59" s="137" t="str">
        <f>IF(Cuartos!G58="","",Cuartos!G58)</f>
        <v/>
      </c>
      <c r="F59" s="153" t="str">
        <f>IF(Cuartos!H58="","",Cuartos!H58)</f>
        <v/>
      </c>
      <c r="G59" s="452" t="str">
        <f>IF(Cuartos!J58="","",Cuartos!J58)</f>
        <v/>
      </c>
      <c r="H59" s="453" t="str">
        <f>IF(Cuartos!K58="","",Cuartos!K58)</f>
        <v/>
      </c>
      <c r="I59" s="453" t="str">
        <f>IF(Cuartos!L58="","",Cuartos!L58)</f>
        <v/>
      </c>
      <c r="J59" s="453" t="str">
        <f>IF(Cuartos!DK58="","",Cuartos!DK58)</f>
        <v/>
      </c>
      <c r="K59" s="453" t="str">
        <f>IF(Cuartos!DL58="","",Cuartos!DL58)</f>
        <v/>
      </c>
      <c r="L59" s="463" t="str">
        <f>Cuartos!DM58</f>
        <v/>
      </c>
      <c r="M59" s="151" t="str">
        <f>Cuartos!DU58</f>
        <v/>
      </c>
      <c r="N59" s="139" t="str">
        <f>Cuartos!DV58</f>
        <v/>
      </c>
      <c r="O59" s="140" t="str">
        <f>Cuartos!DW58</f>
        <v/>
      </c>
      <c r="P59" s="148" t="str">
        <f>Cuartos!DX58</f>
        <v/>
      </c>
      <c r="Q59" s="139" t="str">
        <f>Cuartos!DY58</f>
        <v/>
      </c>
      <c r="R59" s="139" t="str">
        <f>IF($B59="","",Cuartos!DZ58)</f>
        <v/>
      </c>
      <c r="S59" s="139" t="str">
        <f>IF($B59="","",Cuartos!EA58)</f>
        <v/>
      </c>
      <c r="T59" s="139" t="str">
        <f>IF($B59="","",Cuartos!EC58)</f>
        <v/>
      </c>
      <c r="U59" s="140" t="str">
        <f>IF($B59="","",Cuartos!ED58)</f>
        <v/>
      </c>
    </row>
    <row r="60" spans="1:21" x14ac:dyDescent="0.3">
      <c r="A60" s="135">
        <v>43</v>
      </c>
      <c r="B60" s="136" t="str">
        <f>_xlfn.CONCAT(IF(Cuartos!C59="","",Cuartos!C59&amp;" "),IF(Cuartos!D59="","",Cuartos!D59))</f>
        <v/>
      </c>
      <c r="C60" s="369" t="str">
        <f>IF(Cuartos!E59="","",Cuartos!E59)</f>
        <v/>
      </c>
      <c r="D60" s="137" t="str">
        <f>IF(Cuartos!F59="","",Cuartos!F59)</f>
        <v/>
      </c>
      <c r="E60" s="137" t="str">
        <f>IF(Cuartos!G59="","",Cuartos!G59)</f>
        <v/>
      </c>
      <c r="F60" s="153" t="str">
        <f>IF(Cuartos!H59="","",Cuartos!H59)</f>
        <v/>
      </c>
      <c r="G60" s="452" t="str">
        <f>IF(Cuartos!J59="","",Cuartos!J59)</f>
        <v/>
      </c>
      <c r="H60" s="453" t="str">
        <f>IF(Cuartos!K59="","",Cuartos!K59)</f>
        <v/>
      </c>
      <c r="I60" s="453" t="str">
        <f>IF(Cuartos!L59="","",Cuartos!L59)</f>
        <v/>
      </c>
      <c r="J60" s="453" t="str">
        <f>IF(Cuartos!DK59="","",Cuartos!DK59)</f>
        <v/>
      </c>
      <c r="K60" s="453" t="str">
        <f>IF(Cuartos!DL59="","",Cuartos!DL59)</f>
        <v/>
      </c>
      <c r="L60" s="463" t="str">
        <f>Cuartos!DM59</f>
        <v/>
      </c>
      <c r="M60" s="151" t="str">
        <f>Cuartos!DU59</f>
        <v/>
      </c>
      <c r="N60" s="139" t="str">
        <f>Cuartos!DV59</f>
        <v/>
      </c>
      <c r="O60" s="140" t="str">
        <f>Cuartos!DW59</f>
        <v/>
      </c>
      <c r="P60" s="148" t="str">
        <f>Cuartos!DX59</f>
        <v/>
      </c>
      <c r="Q60" s="139" t="str">
        <f>Cuartos!DY59</f>
        <v/>
      </c>
      <c r="R60" s="139" t="str">
        <f>IF($B60="","",Cuartos!DZ59)</f>
        <v/>
      </c>
      <c r="S60" s="139" t="str">
        <f>IF($B60="","",Cuartos!EA59)</f>
        <v/>
      </c>
      <c r="T60" s="139" t="str">
        <f>IF($B60="","",Cuartos!EC59)</f>
        <v/>
      </c>
      <c r="U60" s="140" t="str">
        <f>IF($B60="","",Cuartos!ED59)</f>
        <v/>
      </c>
    </row>
    <row r="61" spans="1:21" x14ac:dyDescent="0.3">
      <c r="A61" s="135">
        <v>44</v>
      </c>
      <c r="B61" s="136" t="str">
        <f>_xlfn.CONCAT(IF(Cuartos!C60="","",Cuartos!C60&amp;" "),IF(Cuartos!D60="","",Cuartos!D60))</f>
        <v/>
      </c>
      <c r="C61" s="369" t="str">
        <f>IF(Cuartos!E60="","",Cuartos!E60)</f>
        <v/>
      </c>
      <c r="D61" s="137" t="str">
        <f>IF(Cuartos!F60="","",Cuartos!F60)</f>
        <v/>
      </c>
      <c r="E61" s="137" t="str">
        <f>IF(Cuartos!G60="","",Cuartos!G60)</f>
        <v/>
      </c>
      <c r="F61" s="153" t="str">
        <f>IF(Cuartos!H60="","",Cuartos!H60)</f>
        <v/>
      </c>
      <c r="G61" s="452" t="str">
        <f>IF(Cuartos!J60="","",Cuartos!J60)</f>
        <v/>
      </c>
      <c r="H61" s="453" t="str">
        <f>IF(Cuartos!K60="","",Cuartos!K60)</f>
        <v/>
      </c>
      <c r="I61" s="453" t="str">
        <f>IF(Cuartos!L60="","",Cuartos!L60)</f>
        <v/>
      </c>
      <c r="J61" s="453" t="str">
        <f>IF(Cuartos!DK60="","",Cuartos!DK60)</f>
        <v/>
      </c>
      <c r="K61" s="453" t="str">
        <f>IF(Cuartos!DL60="","",Cuartos!DL60)</f>
        <v/>
      </c>
      <c r="L61" s="463" t="str">
        <f>Cuartos!DM60</f>
        <v/>
      </c>
      <c r="M61" s="151" t="str">
        <f>Cuartos!DU60</f>
        <v/>
      </c>
      <c r="N61" s="139" t="str">
        <f>Cuartos!DV60</f>
        <v/>
      </c>
      <c r="O61" s="140" t="str">
        <f>Cuartos!DW60</f>
        <v/>
      </c>
      <c r="P61" s="148" t="str">
        <f>Cuartos!DX60</f>
        <v/>
      </c>
      <c r="Q61" s="139" t="str">
        <f>Cuartos!DY60</f>
        <v/>
      </c>
      <c r="R61" s="139" t="str">
        <f>IF($B61="","",Cuartos!DZ60)</f>
        <v/>
      </c>
      <c r="S61" s="139" t="str">
        <f>IF($B61="","",Cuartos!EA60)</f>
        <v/>
      </c>
      <c r="T61" s="139" t="str">
        <f>IF($B61="","",Cuartos!EC60)</f>
        <v/>
      </c>
      <c r="U61" s="140" t="str">
        <f>IF($B61="","",Cuartos!ED60)</f>
        <v/>
      </c>
    </row>
    <row r="62" spans="1:21" x14ac:dyDescent="0.3">
      <c r="A62" s="135">
        <v>45</v>
      </c>
      <c r="B62" s="136" t="str">
        <f>_xlfn.CONCAT(IF(Cuartos!C61="","",Cuartos!C61&amp;" "),IF(Cuartos!D61="","",Cuartos!D61))</f>
        <v/>
      </c>
      <c r="C62" s="369" t="str">
        <f>IF(Cuartos!E61="","",Cuartos!E61)</f>
        <v/>
      </c>
      <c r="D62" s="137" t="str">
        <f>IF(Cuartos!F61="","",Cuartos!F61)</f>
        <v/>
      </c>
      <c r="E62" s="137" t="str">
        <f>IF(Cuartos!G61="","",Cuartos!G61)</f>
        <v/>
      </c>
      <c r="F62" s="153" t="str">
        <f>IF(Cuartos!H61="","",Cuartos!H61)</f>
        <v/>
      </c>
      <c r="G62" s="452" t="str">
        <f>IF(Cuartos!J61="","",Cuartos!J61)</f>
        <v/>
      </c>
      <c r="H62" s="453" t="str">
        <f>IF(Cuartos!K61="","",Cuartos!K61)</f>
        <v/>
      </c>
      <c r="I62" s="453" t="str">
        <f>IF(Cuartos!L61="","",Cuartos!L61)</f>
        <v/>
      </c>
      <c r="J62" s="453" t="str">
        <f>IF(Cuartos!DK61="","",Cuartos!DK61)</f>
        <v/>
      </c>
      <c r="K62" s="453" t="str">
        <f>IF(Cuartos!DL61="","",Cuartos!DL61)</f>
        <v/>
      </c>
      <c r="L62" s="463" t="str">
        <f>Cuartos!DM61</f>
        <v/>
      </c>
      <c r="M62" s="151" t="str">
        <f>Cuartos!DU61</f>
        <v/>
      </c>
      <c r="N62" s="139" t="str">
        <f>Cuartos!DV61</f>
        <v/>
      </c>
      <c r="O62" s="140" t="str">
        <f>Cuartos!DW61</f>
        <v/>
      </c>
      <c r="P62" s="148" t="str">
        <f>Cuartos!DX61</f>
        <v/>
      </c>
      <c r="Q62" s="139" t="str">
        <f>Cuartos!DY61</f>
        <v/>
      </c>
      <c r="R62" s="139" t="str">
        <f>IF($B62="","",Cuartos!DZ61)</f>
        <v/>
      </c>
      <c r="S62" s="139" t="str">
        <f>IF($B62="","",Cuartos!EA61)</f>
        <v/>
      </c>
      <c r="T62" s="139" t="str">
        <f>IF($B62="","",Cuartos!EC61)</f>
        <v/>
      </c>
      <c r="U62" s="140" t="str">
        <f>IF($B62="","",Cuartos!ED61)</f>
        <v/>
      </c>
    </row>
    <row r="63" spans="1:21" x14ac:dyDescent="0.3">
      <c r="A63" s="135">
        <v>46</v>
      </c>
      <c r="B63" s="136" t="str">
        <f>_xlfn.CONCAT(IF(Cuartos!C62="","",Cuartos!C62&amp;" "),IF(Cuartos!D62="","",Cuartos!D62))</f>
        <v/>
      </c>
      <c r="C63" s="369" t="str">
        <f>IF(Cuartos!E62="","",Cuartos!E62)</f>
        <v/>
      </c>
      <c r="D63" s="137" t="str">
        <f>IF(Cuartos!F62="","",Cuartos!F62)</f>
        <v/>
      </c>
      <c r="E63" s="137" t="str">
        <f>IF(Cuartos!G62="","",Cuartos!G62)</f>
        <v/>
      </c>
      <c r="F63" s="153" t="str">
        <f>IF(Cuartos!H62="","",Cuartos!H62)</f>
        <v/>
      </c>
      <c r="G63" s="452" t="str">
        <f>IF(Cuartos!J62="","",Cuartos!J62)</f>
        <v/>
      </c>
      <c r="H63" s="453" t="str">
        <f>IF(Cuartos!K62="","",Cuartos!K62)</f>
        <v/>
      </c>
      <c r="I63" s="453" t="str">
        <f>IF(Cuartos!L62="","",Cuartos!L62)</f>
        <v/>
      </c>
      <c r="J63" s="453" t="str">
        <f>IF(Cuartos!DK62="","",Cuartos!DK62)</f>
        <v/>
      </c>
      <c r="K63" s="453" t="str">
        <f>IF(Cuartos!DL62="","",Cuartos!DL62)</f>
        <v/>
      </c>
      <c r="L63" s="463" t="str">
        <f>Cuartos!DM62</f>
        <v/>
      </c>
      <c r="M63" s="151" t="str">
        <f>Cuartos!DU62</f>
        <v/>
      </c>
      <c r="N63" s="139" t="str">
        <f>Cuartos!DV62</f>
        <v/>
      </c>
      <c r="O63" s="140" t="str">
        <f>Cuartos!DW62</f>
        <v/>
      </c>
      <c r="P63" s="148" t="str">
        <f>Cuartos!DX62</f>
        <v/>
      </c>
      <c r="Q63" s="139" t="str">
        <f>Cuartos!DY62</f>
        <v/>
      </c>
      <c r="R63" s="139" t="str">
        <f>IF($B63="","",Cuartos!DZ62)</f>
        <v/>
      </c>
      <c r="S63" s="139" t="str">
        <f>IF($B63="","",Cuartos!EA62)</f>
        <v/>
      </c>
      <c r="T63" s="139" t="str">
        <f>IF($B63="","",Cuartos!EC62)</f>
        <v/>
      </c>
      <c r="U63" s="140" t="str">
        <f>IF($B63="","",Cuartos!ED62)</f>
        <v/>
      </c>
    </row>
    <row r="64" spans="1:21" x14ac:dyDescent="0.3">
      <c r="A64" s="135">
        <v>47</v>
      </c>
      <c r="B64" s="136" t="str">
        <f>_xlfn.CONCAT(IF(Cuartos!C63="","",Cuartos!C63&amp;" "),IF(Cuartos!D63="","",Cuartos!D63))</f>
        <v/>
      </c>
      <c r="C64" s="369" t="str">
        <f>IF(Cuartos!E63="","",Cuartos!E63)</f>
        <v/>
      </c>
      <c r="D64" s="137" t="str">
        <f>IF(Cuartos!F63="","",Cuartos!F63)</f>
        <v/>
      </c>
      <c r="E64" s="137" t="str">
        <f>IF(Cuartos!G63="","",Cuartos!G63)</f>
        <v/>
      </c>
      <c r="F64" s="153" t="str">
        <f>IF(Cuartos!H63="","",Cuartos!H63)</f>
        <v/>
      </c>
      <c r="G64" s="452" t="str">
        <f>IF(Cuartos!J63="","",Cuartos!J63)</f>
        <v/>
      </c>
      <c r="H64" s="453" t="str">
        <f>IF(Cuartos!K63="","",Cuartos!K63)</f>
        <v/>
      </c>
      <c r="I64" s="453" t="str">
        <f>IF(Cuartos!L63="","",Cuartos!L63)</f>
        <v/>
      </c>
      <c r="J64" s="453" t="str">
        <f>IF(Cuartos!DK63="","",Cuartos!DK63)</f>
        <v/>
      </c>
      <c r="K64" s="453" t="str">
        <f>IF(Cuartos!DL63="","",Cuartos!DL63)</f>
        <v/>
      </c>
      <c r="L64" s="463" t="str">
        <f>Cuartos!DM63</f>
        <v/>
      </c>
      <c r="M64" s="151" t="str">
        <f>Cuartos!DU63</f>
        <v/>
      </c>
      <c r="N64" s="139" t="str">
        <f>Cuartos!DV63</f>
        <v/>
      </c>
      <c r="O64" s="140" t="str">
        <f>Cuartos!DW63</f>
        <v/>
      </c>
      <c r="P64" s="148" t="str">
        <f>Cuartos!DX63</f>
        <v/>
      </c>
      <c r="Q64" s="139" t="str">
        <f>Cuartos!DY63</f>
        <v/>
      </c>
      <c r="R64" s="139" t="str">
        <f>IF($B64="","",Cuartos!DZ63)</f>
        <v/>
      </c>
      <c r="S64" s="139" t="str">
        <f>IF($B64="","",Cuartos!EA63)</f>
        <v/>
      </c>
      <c r="T64" s="139" t="str">
        <f>IF($B64="","",Cuartos!EC63)</f>
        <v/>
      </c>
      <c r="U64" s="140" t="str">
        <f>IF($B64="","",Cuartos!ED63)</f>
        <v/>
      </c>
    </row>
    <row r="65" spans="1:21" x14ac:dyDescent="0.3">
      <c r="A65" s="135">
        <v>48</v>
      </c>
      <c r="B65" s="136" t="str">
        <f>_xlfn.CONCAT(IF(Cuartos!C64="","",Cuartos!C64&amp;" "),IF(Cuartos!D64="","",Cuartos!D64))</f>
        <v/>
      </c>
      <c r="C65" s="369" t="str">
        <f>IF(Cuartos!E64="","",Cuartos!E64)</f>
        <v/>
      </c>
      <c r="D65" s="137" t="str">
        <f>IF(Cuartos!F64="","",Cuartos!F64)</f>
        <v/>
      </c>
      <c r="E65" s="137" t="str">
        <f>IF(Cuartos!G64="","",Cuartos!G64)</f>
        <v/>
      </c>
      <c r="F65" s="153" t="str">
        <f>IF(Cuartos!H64="","",Cuartos!H64)</f>
        <v/>
      </c>
      <c r="G65" s="452" t="str">
        <f>IF(Cuartos!J64="","",Cuartos!J64)</f>
        <v/>
      </c>
      <c r="H65" s="453" t="str">
        <f>IF(Cuartos!K64="","",Cuartos!K64)</f>
        <v/>
      </c>
      <c r="I65" s="453" t="str">
        <f>IF(Cuartos!L64="","",Cuartos!L64)</f>
        <v/>
      </c>
      <c r="J65" s="453" t="str">
        <f>IF(Cuartos!DK64="","",Cuartos!DK64)</f>
        <v/>
      </c>
      <c r="K65" s="453" t="str">
        <f>IF(Cuartos!DL64="","",Cuartos!DL64)</f>
        <v/>
      </c>
      <c r="L65" s="463" t="str">
        <f>Cuartos!DM64</f>
        <v/>
      </c>
      <c r="M65" s="151" t="str">
        <f>Cuartos!DU64</f>
        <v/>
      </c>
      <c r="N65" s="139" t="str">
        <f>Cuartos!DV64</f>
        <v/>
      </c>
      <c r="O65" s="140" t="str">
        <f>Cuartos!DW64</f>
        <v/>
      </c>
      <c r="P65" s="148" t="str">
        <f>Cuartos!DX64</f>
        <v/>
      </c>
      <c r="Q65" s="139" t="str">
        <f>Cuartos!DY64</f>
        <v/>
      </c>
      <c r="R65" s="139" t="str">
        <f>IF($B65="","",Cuartos!DZ64)</f>
        <v/>
      </c>
      <c r="S65" s="139" t="str">
        <f>IF($B65="","",Cuartos!EA64)</f>
        <v/>
      </c>
      <c r="T65" s="139" t="str">
        <f>IF($B65="","",Cuartos!EC64)</f>
        <v/>
      </c>
      <c r="U65" s="140" t="str">
        <f>IF($B65="","",Cuartos!ED64)</f>
        <v/>
      </c>
    </row>
    <row r="66" spans="1:21" x14ac:dyDescent="0.3">
      <c r="A66" s="135">
        <v>49</v>
      </c>
      <c r="B66" s="136" t="str">
        <f>_xlfn.CONCAT(IF(Cuartos!C65="","",Cuartos!C65&amp;" "),IF(Cuartos!D65="","",Cuartos!D65))</f>
        <v/>
      </c>
      <c r="C66" s="369" t="str">
        <f>IF(Cuartos!E65="","",Cuartos!E65)</f>
        <v/>
      </c>
      <c r="D66" s="137" t="str">
        <f>IF(Cuartos!F65="","",Cuartos!F65)</f>
        <v/>
      </c>
      <c r="E66" s="137" t="str">
        <f>IF(Cuartos!G65="","",Cuartos!G65)</f>
        <v/>
      </c>
      <c r="F66" s="153" t="str">
        <f>IF(Cuartos!H65="","",Cuartos!H65)</f>
        <v/>
      </c>
      <c r="G66" s="452" t="str">
        <f>IF(Cuartos!J65="","",Cuartos!J65)</f>
        <v/>
      </c>
      <c r="H66" s="453" t="str">
        <f>IF(Cuartos!K65="","",Cuartos!K65)</f>
        <v/>
      </c>
      <c r="I66" s="453" t="str">
        <f>IF(Cuartos!L65="","",Cuartos!L65)</f>
        <v/>
      </c>
      <c r="J66" s="453" t="str">
        <f>IF(Cuartos!DK65="","",Cuartos!DK65)</f>
        <v/>
      </c>
      <c r="K66" s="453" t="str">
        <f>IF(Cuartos!DL65="","",Cuartos!DL65)</f>
        <v/>
      </c>
      <c r="L66" s="463" t="str">
        <f>Cuartos!DM65</f>
        <v/>
      </c>
      <c r="M66" s="151" t="str">
        <f>Cuartos!DU65</f>
        <v/>
      </c>
      <c r="N66" s="139" t="str">
        <f>Cuartos!DV65</f>
        <v/>
      </c>
      <c r="O66" s="140" t="str">
        <f>Cuartos!DW65</f>
        <v/>
      </c>
      <c r="P66" s="148" t="str">
        <f>Cuartos!DX65</f>
        <v/>
      </c>
      <c r="Q66" s="139" t="str">
        <f>Cuartos!DY65</f>
        <v/>
      </c>
      <c r="R66" s="139" t="str">
        <f>IF($B66="","",Cuartos!DZ65)</f>
        <v/>
      </c>
      <c r="S66" s="139" t="str">
        <f>IF($B66="","",Cuartos!EA65)</f>
        <v/>
      </c>
      <c r="T66" s="139" t="str">
        <f>IF($B66="","",Cuartos!EC65)</f>
        <v/>
      </c>
      <c r="U66" s="140" t="str">
        <f>IF($B66="","",Cuartos!ED65)</f>
        <v/>
      </c>
    </row>
    <row r="67" spans="1:21" x14ac:dyDescent="0.3">
      <c r="A67" s="135">
        <v>50</v>
      </c>
      <c r="B67" s="136" t="str">
        <f>_xlfn.CONCAT(IF(Cuartos!C66="","",Cuartos!C66&amp;" "),IF(Cuartos!D66="","",Cuartos!D66))</f>
        <v/>
      </c>
      <c r="C67" s="369" t="str">
        <f>IF(Cuartos!E66="","",Cuartos!E66)</f>
        <v/>
      </c>
      <c r="D67" s="137" t="str">
        <f>IF(Cuartos!F66="","",Cuartos!F66)</f>
        <v/>
      </c>
      <c r="E67" s="137" t="str">
        <f>IF(Cuartos!G66="","",Cuartos!G66)</f>
        <v/>
      </c>
      <c r="F67" s="153" t="str">
        <f>IF(Cuartos!H66="","",Cuartos!H66)</f>
        <v/>
      </c>
      <c r="G67" s="452" t="str">
        <f>IF(Cuartos!J66="","",Cuartos!J66)</f>
        <v/>
      </c>
      <c r="H67" s="453" t="str">
        <f>IF(Cuartos!K66="","",Cuartos!K66)</f>
        <v/>
      </c>
      <c r="I67" s="453" t="str">
        <f>IF(Cuartos!L66="","",Cuartos!L66)</f>
        <v/>
      </c>
      <c r="J67" s="453" t="str">
        <f>IF(Cuartos!DK66="","",Cuartos!DK66)</f>
        <v/>
      </c>
      <c r="K67" s="453" t="str">
        <f>IF(Cuartos!DL66="","",Cuartos!DL66)</f>
        <v/>
      </c>
      <c r="L67" s="463" t="str">
        <f>Cuartos!DM66</f>
        <v/>
      </c>
      <c r="M67" s="151" t="str">
        <f>Cuartos!DU66</f>
        <v/>
      </c>
      <c r="N67" s="139" t="str">
        <f>Cuartos!DV66</f>
        <v/>
      </c>
      <c r="O67" s="140" t="str">
        <f>Cuartos!DW66</f>
        <v/>
      </c>
      <c r="P67" s="148" t="str">
        <f>Cuartos!DX66</f>
        <v/>
      </c>
      <c r="Q67" s="139" t="str">
        <f>Cuartos!DY66</f>
        <v/>
      </c>
      <c r="R67" s="139" t="str">
        <f>IF($B67="","",Cuartos!DZ66)</f>
        <v/>
      </c>
      <c r="S67" s="139" t="str">
        <f>IF($B67="","",Cuartos!EA66)</f>
        <v/>
      </c>
      <c r="T67" s="139" t="str">
        <f>IF($B67="","",Cuartos!EC66)</f>
        <v/>
      </c>
      <c r="U67" s="140" t="str">
        <f>IF($B67="","",Cuartos!ED66)</f>
        <v/>
      </c>
    </row>
    <row r="68" spans="1:21" x14ac:dyDescent="0.3">
      <c r="A68" s="135">
        <v>51</v>
      </c>
      <c r="B68" s="136" t="str">
        <f>_xlfn.CONCAT(IF(Cuartos!C67="","",Cuartos!C67&amp;" "),IF(Cuartos!D67="","",Cuartos!D67))</f>
        <v/>
      </c>
      <c r="C68" s="369" t="str">
        <f>IF(Cuartos!E67="","",Cuartos!E67)</f>
        <v/>
      </c>
      <c r="D68" s="137" t="str">
        <f>IF(Cuartos!F67="","",Cuartos!F67)</f>
        <v/>
      </c>
      <c r="E68" s="137" t="str">
        <f>IF(Cuartos!G67="","",Cuartos!G67)</f>
        <v/>
      </c>
      <c r="F68" s="153" t="str">
        <f>IF(Cuartos!H67="","",Cuartos!H67)</f>
        <v/>
      </c>
      <c r="G68" s="452" t="str">
        <f>IF(Cuartos!J67="","",Cuartos!J67)</f>
        <v/>
      </c>
      <c r="H68" s="453" t="str">
        <f>IF(Cuartos!K67="","",Cuartos!K67)</f>
        <v/>
      </c>
      <c r="I68" s="453" t="str">
        <f>IF(Cuartos!L67="","",Cuartos!L67)</f>
        <v/>
      </c>
      <c r="J68" s="453" t="str">
        <f>IF(Cuartos!DK67="","",Cuartos!DK67)</f>
        <v/>
      </c>
      <c r="K68" s="453" t="str">
        <f>IF(Cuartos!DL67="","",Cuartos!DL67)</f>
        <v/>
      </c>
      <c r="L68" s="463" t="str">
        <f>Cuartos!DM67</f>
        <v/>
      </c>
      <c r="M68" s="151" t="str">
        <f>Cuartos!DU67</f>
        <v/>
      </c>
      <c r="N68" s="139" t="str">
        <f>Cuartos!DV67</f>
        <v/>
      </c>
      <c r="O68" s="140" t="str">
        <f>Cuartos!DW67</f>
        <v/>
      </c>
      <c r="P68" s="148" t="str">
        <f>Cuartos!DX67</f>
        <v/>
      </c>
      <c r="Q68" s="139" t="str">
        <f>Cuartos!DY67</f>
        <v/>
      </c>
      <c r="R68" s="139" t="str">
        <f>IF($B68="","",Cuartos!DZ67)</f>
        <v/>
      </c>
      <c r="S68" s="139" t="str">
        <f>IF($B68="","",Cuartos!EA67)</f>
        <v/>
      </c>
      <c r="T68" s="139" t="str">
        <f>IF($B68="","",Cuartos!EC67)</f>
        <v/>
      </c>
      <c r="U68" s="140" t="str">
        <f>IF($B68="","",Cuartos!ED67)</f>
        <v/>
      </c>
    </row>
    <row r="69" spans="1:21" x14ac:dyDescent="0.3">
      <c r="A69" s="135">
        <v>52</v>
      </c>
      <c r="B69" s="136" t="str">
        <f>_xlfn.CONCAT(IF(Cuartos!C68="","",Cuartos!C68&amp;" "),IF(Cuartos!D68="","",Cuartos!D68))</f>
        <v/>
      </c>
      <c r="C69" s="369" t="str">
        <f>IF(Cuartos!E68="","",Cuartos!E68)</f>
        <v/>
      </c>
      <c r="D69" s="137" t="str">
        <f>IF(Cuartos!F68="","",Cuartos!F68)</f>
        <v/>
      </c>
      <c r="E69" s="137" t="str">
        <f>IF(Cuartos!G68="","",Cuartos!G68)</f>
        <v/>
      </c>
      <c r="F69" s="153" t="str">
        <f>IF(Cuartos!H68="","",Cuartos!H68)</f>
        <v/>
      </c>
      <c r="G69" s="452" t="str">
        <f>IF(Cuartos!J68="","",Cuartos!J68)</f>
        <v/>
      </c>
      <c r="H69" s="453" t="str">
        <f>IF(Cuartos!K68="","",Cuartos!K68)</f>
        <v/>
      </c>
      <c r="I69" s="453" t="str">
        <f>IF(Cuartos!L68="","",Cuartos!L68)</f>
        <v/>
      </c>
      <c r="J69" s="453" t="str">
        <f>IF(Cuartos!DK68="","",Cuartos!DK68)</f>
        <v/>
      </c>
      <c r="K69" s="453" t="str">
        <f>IF(Cuartos!DL68="","",Cuartos!DL68)</f>
        <v/>
      </c>
      <c r="L69" s="463" t="str">
        <f>Cuartos!DM68</f>
        <v/>
      </c>
      <c r="M69" s="151" t="str">
        <f>Cuartos!DU68</f>
        <v/>
      </c>
      <c r="N69" s="139" t="str">
        <f>Cuartos!DV68</f>
        <v/>
      </c>
      <c r="O69" s="140" t="str">
        <f>Cuartos!DW68</f>
        <v/>
      </c>
      <c r="P69" s="148" t="str">
        <f>Cuartos!DX68</f>
        <v/>
      </c>
      <c r="Q69" s="139" t="str">
        <f>Cuartos!DY68</f>
        <v/>
      </c>
      <c r="R69" s="139" t="str">
        <f>IF($B69="","",Cuartos!DZ68)</f>
        <v/>
      </c>
      <c r="S69" s="139" t="str">
        <f>IF($B69="","",Cuartos!EA68)</f>
        <v/>
      </c>
      <c r="T69" s="139" t="str">
        <f>IF($B69="","",Cuartos!EC68)</f>
        <v/>
      </c>
      <c r="U69" s="140" t="str">
        <f>IF($B69="","",Cuartos!ED68)</f>
        <v/>
      </c>
    </row>
    <row r="70" spans="1:21" x14ac:dyDescent="0.3">
      <c r="A70" s="135">
        <v>53</v>
      </c>
      <c r="B70" s="136" t="str">
        <f>_xlfn.CONCAT(IF(Cuartos!C69="","",Cuartos!C69&amp;" "),IF(Cuartos!D69="","",Cuartos!D69))</f>
        <v/>
      </c>
      <c r="C70" s="369" t="str">
        <f>IF(Cuartos!E69="","",Cuartos!E69)</f>
        <v/>
      </c>
      <c r="D70" s="137" t="str">
        <f>IF(Cuartos!F69="","",Cuartos!F69)</f>
        <v/>
      </c>
      <c r="E70" s="137" t="str">
        <f>IF(Cuartos!G69="","",Cuartos!G69)</f>
        <v/>
      </c>
      <c r="F70" s="153" t="str">
        <f>IF(Cuartos!H69="","",Cuartos!H69)</f>
        <v/>
      </c>
      <c r="G70" s="452" t="str">
        <f>IF(Cuartos!J69="","",Cuartos!J69)</f>
        <v/>
      </c>
      <c r="H70" s="453" t="str">
        <f>IF(Cuartos!K69="","",Cuartos!K69)</f>
        <v/>
      </c>
      <c r="I70" s="453" t="str">
        <f>IF(Cuartos!L69="","",Cuartos!L69)</f>
        <v/>
      </c>
      <c r="J70" s="453" t="str">
        <f>IF(Cuartos!DK69="","",Cuartos!DK69)</f>
        <v/>
      </c>
      <c r="K70" s="453" t="str">
        <f>IF(Cuartos!DL69="","",Cuartos!DL69)</f>
        <v/>
      </c>
      <c r="L70" s="463" t="str">
        <f>Cuartos!DM69</f>
        <v/>
      </c>
      <c r="M70" s="151" t="str">
        <f>Cuartos!DU69</f>
        <v/>
      </c>
      <c r="N70" s="139" t="str">
        <f>Cuartos!DV69</f>
        <v/>
      </c>
      <c r="O70" s="140" t="str">
        <f>Cuartos!DW69</f>
        <v/>
      </c>
      <c r="P70" s="148" t="str">
        <f>Cuartos!DX69</f>
        <v/>
      </c>
      <c r="Q70" s="139" t="str">
        <f>Cuartos!DY69</f>
        <v/>
      </c>
      <c r="R70" s="139" t="str">
        <f>IF($B70="","",Cuartos!DZ69)</f>
        <v/>
      </c>
      <c r="S70" s="139" t="str">
        <f>IF($B70="","",Cuartos!EA69)</f>
        <v/>
      </c>
      <c r="T70" s="139" t="str">
        <f>IF($B70="","",Cuartos!EC69)</f>
        <v/>
      </c>
      <c r="U70" s="140" t="str">
        <f>IF($B70="","",Cuartos!ED69)</f>
        <v/>
      </c>
    </row>
    <row r="71" spans="1:21" x14ac:dyDescent="0.3">
      <c r="A71" s="135">
        <v>54</v>
      </c>
      <c r="B71" s="136" t="str">
        <f>_xlfn.CONCAT(IF(Cuartos!C70="","",Cuartos!C70&amp;" "),IF(Cuartos!D70="","",Cuartos!D70))</f>
        <v/>
      </c>
      <c r="C71" s="369" t="str">
        <f>IF(Cuartos!E70="","",Cuartos!E70)</f>
        <v/>
      </c>
      <c r="D71" s="137" t="str">
        <f>IF(Cuartos!F70="","",Cuartos!F70)</f>
        <v/>
      </c>
      <c r="E71" s="137" t="str">
        <f>IF(Cuartos!G70="","",Cuartos!G70)</f>
        <v/>
      </c>
      <c r="F71" s="153" t="str">
        <f>IF(Cuartos!H70="","",Cuartos!H70)</f>
        <v/>
      </c>
      <c r="G71" s="452" t="str">
        <f>IF(Cuartos!J70="","",Cuartos!J70)</f>
        <v/>
      </c>
      <c r="H71" s="453" t="str">
        <f>IF(Cuartos!K70="","",Cuartos!K70)</f>
        <v/>
      </c>
      <c r="I71" s="453" t="str">
        <f>IF(Cuartos!L70="","",Cuartos!L70)</f>
        <v/>
      </c>
      <c r="J71" s="453" t="str">
        <f>IF(Cuartos!DK70="","",Cuartos!DK70)</f>
        <v/>
      </c>
      <c r="K71" s="453" t="str">
        <f>IF(Cuartos!DL70="","",Cuartos!DL70)</f>
        <v/>
      </c>
      <c r="L71" s="463" t="str">
        <f>Cuartos!DM70</f>
        <v/>
      </c>
      <c r="M71" s="151" t="str">
        <f>Cuartos!DU70</f>
        <v/>
      </c>
      <c r="N71" s="139" t="str">
        <f>Cuartos!DV70</f>
        <v/>
      </c>
      <c r="O71" s="140" t="str">
        <f>Cuartos!DW70</f>
        <v/>
      </c>
      <c r="P71" s="148" t="str">
        <f>Cuartos!DX70</f>
        <v/>
      </c>
      <c r="Q71" s="139" t="str">
        <f>Cuartos!DY70</f>
        <v/>
      </c>
      <c r="R71" s="139" t="str">
        <f>IF($B71="","",Cuartos!DZ70)</f>
        <v/>
      </c>
      <c r="S71" s="139" t="str">
        <f>IF($B71="","",Cuartos!EA70)</f>
        <v/>
      </c>
      <c r="T71" s="139" t="str">
        <f>IF($B71="","",Cuartos!EC70)</f>
        <v/>
      </c>
      <c r="U71" s="140" t="str">
        <f>IF($B71="","",Cuartos!ED70)</f>
        <v/>
      </c>
    </row>
    <row r="72" spans="1:21" x14ac:dyDescent="0.3">
      <c r="A72" s="135">
        <v>55</v>
      </c>
      <c r="B72" s="136" t="str">
        <f>_xlfn.CONCAT(IF(Cuartos!C71="","",Cuartos!C71&amp;" "),IF(Cuartos!D71="","",Cuartos!D71))</f>
        <v/>
      </c>
      <c r="C72" s="369" t="str">
        <f>IF(Cuartos!E71="","",Cuartos!E71)</f>
        <v/>
      </c>
      <c r="D72" s="137" t="str">
        <f>IF(Cuartos!F71="","",Cuartos!F71)</f>
        <v/>
      </c>
      <c r="E72" s="137" t="str">
        <f>IF(Cuartos!G71="","",Cuartos!G71)</f>
        <v/>
      </c>
      <c r="F72" s="153" t="str">
        <f>IF(Cuartos!H71="","",Cuartos!H71)</f>
        <v/>
      </c>
      <c r="G72" s="452" t="str">
        <f>IF(Cuartos!J71="","",Cuartos!J71)</f>
        <v/>
      </c>
      <c r="H72" s="453" t="str">
        <f>IF(Cuartos!K71="","",Cuartos!K71)</f>
        <v/>
      </c>
      <c r="I72" s="453" t="str">
        <f>IF(Cuartos!L71="","",Cuartos!L71)</f>
        <v/>
      </c>
      <c r="J72" s="453" t="str">
        <f>IF(Cuartos!DK71="","",Cuartos!DK71)</f>
        <v/>
      </c>
      <c r="K72" s="453" t="str">
        <f>IF(Cuartos!DL71="","",Cuartos!DL71)</f>
        <v/>
      </c>
      <c r="L72" s="463" t="str">
        <f>Cuartos!DM71</f>
        <v/>
      </c>
      <c r="M72" s="151" t="str">
        <f>Cuartos!DU71</f>
        <v/>
      </c>
      <c r="N72" s="139" t="str">
        <f>Cuartos!DV71</f>
        <v/>
      </c>
      <c r="O72" s="140" t="str">
        <f>Cuartos!DW71</f>
        <v/>
      </c>
      <c r="P72" s="148" t="str">
        <f>Cuartos!DX71</f>
        <v/>
      </c>
      <c r="Q72" s="139" t="str">
        <f>Cuartos!DY71</f>
        <v/>
      </c>
      <c r="R72" s="139" t="str">
        <f>IF($B72="","",Cuartos!DZ71)</f>
        <v/>
      </c>
      <c r="S72" s="139" t="str">
        <f>IF($B72="","",Cuartos!EA71)</f>
        <v/>
      </c>
      <c r="T72" s="139" t="str">
        <f>IF($B72="","",Cuartos!EC71)</f>
        <v/>
      </c>
      <c r="U72" s="140" t="str">
        <f>IF($B72="","",Cuartos!ED71)</f>
        <v/>
      </c>
    </row>
    <row r="73" spans="1:21" x14ac:dyDescent="0.3">
      <c r="A73" s="135">
        <v>56</v>
      </c>
      <c r="B73" s="136" t="str">
        <f>_xlfn.CONCAT(IF(Cuartos!C72="","",Cuartos!C72&amp;" "),IF(Cuartos!D72="","",Cuartos!D72))</f>
        <v/>
      </c>
      <c r="C73" s="369" t="str">
        <f>IF(Cuartos!E72="","",Cuartos!E72)</f>
        <v/>
      </c>
      <c r="D73" s="137" t="str">
        <f>IF(Cuartos!F72="","",Cuartos!F72)</f>
        <v/>
      </c>
      <c r="E73" s="137" t="str">
        <f>IF(Cuartos!G72="","",Cuartos!G72)</f>
        <v/>
      </c>
      <c r="F73" s="153" t="str">
        <f>IF(Cuartos!H72="","",Cuartos!H72)</f>
        <v/>
      </c>
      <c r="G73" s="452" t="str">
        <f>IF(Cuartos!J72="","",Cuartos!J72)</f>
        <v/>
      </c>
      <c r="H73" s="453" t="str">
        <f>IF(Cuartos!K72="","",Cuartos!K72)</f>
        <v/>
      </c>
      <c r="I73" s="453" t="str">
        <f>IF(Cuartos!L72="","",Cuartos!L72)</f>
        <v/>
      </c>
      <c r="J73" s="453" t="str">
        <f>IF(Cuartos!DK72="","",Cuartos!DK72)</f>
        <v/>
      </c>
      <c r="K73" s="453" t="str">
        <f>IF(Cuartos!DL72="","",Cuartos!DL72)</f>
        <v/>
      </c>
      <c r="L73" s="463" t="str">
        <f>Cuartos!DM72</f>
        <v/>
      </c>
      <c r="M73" s="151" t="str">
        <f>Cuartos!DU72</f>
        <v/>
      </c>
      <c r="N73" s="139" t="str">
        <f>Cuartos!DV72</f>
        <v/>
      </c>
      <c r="O73" s="140" t="str">
        <f>Cuartos!DW72</f>
        <v/>
      </c>
      <c r="P73" s="148" t="str">
        <f>Cuartos!DX72</f>
        <v/>
      </c>
      <c r="Q73" s="139" t="str">
        <f>Cuartos!DY72</f>
        <v/>
      </c>
      <c r="R73" s="139" t="str">
        <f>IF($B73="","",Cuartos!DZ72)</f>
        <v/>
      </c>
      <c r="S73" s="139" t="str">
        <f>IF($B73="","",Cuartos!EA72)</f>
        <v/>
      </c>
      <c r="T73" s="139" t="str">
        <f>IF($B73="","",Cuartos!EC72)</f>
        <v/>
      </c>
      <c r="U73" s="140" t="str">
        <f>IF($B73="","",Cuartos!ED72)</f>
        <v/>
      </c>
    </row>
    <row r="74" spans="1:21" x14ac:dyDescent="0.3">
      <c r="A74" s="135">
        <v>57</v>
      </c>
      <c r="B74" s="136" t="str">
        <f>_xlfn.CONCAT(IF(Cuartos!C73="","",Cuartos!C73&amp;" "),IF(Cuartos!D73="","",Cuartos!D73))</f>
        <v/>
      </c>
      <c r="C74" s="369" t="str">
        <f>IF(Cuartos!E73="","",Cuartos!E73)</f>
        <v/>
      </c>
      <c r="D74" s="137" t="str">
        <f>IF(Cuartos!F73="","",Cuartos!F73)</f>
        <v/>
      </c>
      <c r="E74" s="137" t="str">
        <f>IF(Cuartos!G73="","",Cuartos!G73)</f>
        <v/>
      </c>
      <c r="F74" s="153" t="str">
        <f>IF(Cuartos!H73="","",Cuartos!H73)</f>
        <v/>
      </c>
      <c r="G74" s="452" t="str">
        <f>IF(Cuartos!J73="","",Cuartos!J73)</f>
        <v/>
      </c>
      <c r="H74" s="453" t="str">
        <f>IF(Cuartos!K73="","",Cuartos!K73)</f>
        <v/>
      </c>
      <c r="I74" s="453" t="str">
        <f>IF(Cuartos!L73="","",Cuartos!L73)</f>
        <v/>
      </c>
      <c r="J74" s="453" t="str">
        <f>IF(Cuartos!DK73="","",Cuartos!DK73)</f>
        <v/>
      </c>
      <c r="K74" s="453" t="str">
        <f>IF(Cuartos!DL73="","",Cuartos!DL73)</f>
        <v/>
      </c>
      <c r="L74" s="463" t="str">
        <f>Cuartos!DM73</f>
        <v/>
      </c>
      <c r="M74" s="151" t="str">
        <f>Cuartos!DU73</f>
        <v/>
      </c>
      <c r="N74" s="139" t="str">
        <f>Cuartos!DV73</f>
        <v/>
      </c>
      <c r="O74" s="140" t="str">
        <f>Cuartos!DW73</f>
        <v/>
      </c>
      <c r="P74" s="148" t="str">
        <f>Cuartos!DX73</f>
        <v/>
      </c>
      <c r="Q74" s="139" t="str">
        <f>Cuartos!DY73</f>
        <v/>
      </c>
      <c r="R74" s="139" t="str">
        <f>IF($B74="","",Cuartos!DZ73)</f>
        <v/>
      </c>
      <c r="S74" s="139" t="str">
        <f>IF($B74="","",Cuartos!EA73)</f>
        <v/>
      </c>
      <c r="T74" s="139" t="str">
        <f>IF($B74="","",Cuartos!EC73)</f>
        <v/>
      </c>
      <c r="U74" s="140" t="str">
        <f>IF($B74="","",Cuartos!ED73)</f>
        <v/>
      </c>
    </row>
    <row r="75" spans="1:21" x14ac:dyDescent="0.3">
      <c r="A75" s="135">
        <v>58</v>
      </c>
      <c r="B75" s="136" t="str">
        <f>_xlfn.CONCAT(IF(Cuartos!C74="","",Cuartos!C74&amp;" "),IF(Cuartos!D74="","",Cuartos!D74))</f>
        <v/>
      </c>
      <c r="C75" s="369" t="str">
        <f>IF(Cuartos!E74="","",Cuartos!E74)</f>
        <v/>
      </c>
      <c r="D75" s="137" t="str">
        <f>IF(Cuartos!F74="","",Cuartos!F74)</f>
        <v/>
      </c>
      <c r="E75" s="137" t="str">
        <f>IF(Cuartos!G74="","",Cuartos!G74)</f>
        <v/>
      </c>
      <c r="F75" s="153" t="str">
        <f>IF(Cuartos!H74="","",Cuartos!H74)</f>
        <v/>
      </c>
      <c r="G75" s="452" t="str">
        <f>IF(Cuartos!J74="","",Cuartos!J74)</f>
        <v/>
      </c>
      <c r="H75" s="453" t="str">
        <f>IF(Cuartos!K74="","",Cuartos!K74)</f>
        <v/>
      </c>
      <c r="I75" s="453" t="str">
        <f>IF(Cuartos!L74="","",Cuartos!L74)</f>
        <v/>
      </c>
      <c r="J75" s="453" t="str">
        <f>IF(Cuartos!DK74="","",Cuartos!DK74)</f>
        <v/>
      </c>
      <c r="K75" s="453" t="str">
        <f>IF(Cuartos!DL74="","",Cuartos!DL74)</f>
        <v/>
      </c>
      <c r="L75" s="463" t="str">
        <f>Cuartos!DM74</f>
        <v/>
      </c>
      <c r="M75" s="151" t="str">
        <f>Cuartos!DU74</f>
        <v/>
      </c>
      <c r="N75" s="139" t="str">
        <f>Cuartos!DV74</f>
        <v/>
      </c>
      <c r="O75" s="140" t="str">
        <f>Cuartos!DW74</f>
        <v/>
      </c>
      <c r="P75" s="148" t="str">
        <f>Cuartos!DX74</f>
        <v/>
      </c>
      <c r="Q75" s="139" t="str">
        <f>Cuartos!DY74</f>
        <v/>
      </c>
      <c r="R75" s="139" t="str">
        <f>IF($B75="","",Cuartos!DZ74)</f>
        <v/>
      </c>
      <c r="S75" s="139" t="str">
        <f>IF($B75="","",Cuartos!EA74)</f>
        <v/>
      </c>
      <c r="T75" s="139" t="str">
        <f>IF($B75="","",Cuartos!EC74)</f>
        <v/>
      </c>
      <c r="U75" s="140" t="str">
        <f>IF($B75="","",Cuartos!ED74)</f>
        <v/>
      </c>
    </row>
    <row r="76" spans="1:21" x14ac:dyDescent="0.3">
      <c r="A76" s="135">
        <v>59</v>
      </c>
      <c r="B76" s="136" t="str">
        <f>_xlfn.CONCAT(IF(Cuartos!C75="","",Cuartos!C75&amp;" "),IF(Cuartos!D75="","",Cuartos!D75))</f>
        <v/>
      </c>
      <c r="C76" s="369" t="str">
        <f>IF(Cuartos!E75="","",Cuartos!E75)</f>
        <v/>
      </c>
      <c r="D76" s="137" t="str">
        <f>IF(Cuartos!F75="","",Cuartos!F75)</f>
        <v/>
      </c>
      <c r="E76" s="137" t="str">
        <f>IF(Cuartos!G75="","",Cuartos!G75)</f>
        <v/>
      </c>
      <c r="F76" s="153" t="str">
        <f>IF(Cuartos!H75="","",Cuartos!H75)</f>
        <v/>
      </c>
      <c r="G76" s="452" t="str">
        <f>IF(Cuartos!J75="","",Cuartos!J75)</f>
        <v/>
      </c>
      <c r="H76" s="453" t="str">
        <f>IF(Cuartos!K75="","",Cuartos!K75)</f>
        <v/>
      </c>
      <c r="I76" s="453" t="str">
        <f>IF(Cuartos!L75="","",Cuartos!L75)</f>
        <v/>
      </c>
      <c r="J76" s="453" t="str">
        <f>IF(Cuartos!DK75="","",Cuartos!DK75)</f>
        <v/>
      </c>
      <c r="K76" s="453" t="str">
        <f>IF(Cuartos!DL75="","",Cuartos!DL75)</f>
        <v/>
      </c>
      <c r="L76" s="463" t="str">
        <f>Cuartos!DM75</f>
        <v/>
      </c>
      <c r="M76" s="151" t="str">
        <f>Cuartos!DU75</f>
        <v/>
      </c>
      <c r="N76" s="139" t="str">
        <f>Cuartos!DV75</f>
        <v/>
      </c>
      <c r="O76" s="140" t="str">
        <f>Cuartos!DW75</f>
        <v/>
      </c>
      <c r="P76" s="148" t="str">
        <f>Cuartos!DX75</f>
        <v/>
      </c>
      <c r="Q76" s="139" t="str">
        <f>Cuartos!DY75</f>
        <v/>
      </c>
      <c r="R76" s="139" t="str">
        <f>IF($B76="","",Cuartos!DZ75)</f>
        <v/>
      </c>
      <c r="S76" s="139" t="str">
        <f>IF($B76="","",Cuartos!EA75)</f>
        <v/>
      </c>
      <c r="T76" s="139" t="str">
        <f>IF($B76="","",Cuartos!EC75)</f>
        <v/>
      </c>
      <c r="U76" s="140" t="str">
        <f>IF($B76="","",Cuartos!ED75)</f>
        <v/>
      </c>
    </row>
    <row r="77" spans="1:21" x14ac:dyDescent="0.3">
      <c r="A77" s="135">
        <v>60</v>
      </c>
      <c r="B77" s="136" t="str">
        <f>_xlfn.CONCAT(IF(Cuartos!C76="","",Cuartos!C76&amp;" "),IF(Cuartos!D76="","",Cuartos!D76))</f>
        <v/>
      </c>
      <c r="C77" s="369" t="str">
        <f>IF(Cuartos!E76="","",Cuartos!E76)</f>
        <v/>
      </c>
      <c r="D77" s="137" t="str">
        <f>IF(Cuartos!F76="","",Cuartos!F76)</f>
        <v/>
      </c>
      <c r="E77" s="137" t="str">
        <f>IF(Cuartos!G76="","",Cuartos!G76)</f>
        <v/>
      </c>
      <c r="F77" s="153" t="str">
        <f>IF(Cuartos!H76="","",Cuartos!H76)</f>
        <v/>
      </c>
      <c r="G77" s="452" t="str">
        <f>IF(Cuartos!J76="","",Cuartos!J76)</f>
        <v/>
      </c>
      <c r="H77" s="453" t="str">
        <f>IF(Cuartos!K76="","",Cuartos!K76)</f>
        <v/>
      </c>
      <c r="I77" s="453" t="str">
        <f>IF(Cuartos!L76="","",Cuartos!L76)</f>
        <v/>
      </c>
      <c r="J77" s="453" t="str">
        <f>IF(Cuartos!DK76="","",Cuartos!DK76)</f>
        <v/>
      </c>
      <c r="K77" s="453" t="str">
        <f>IF(Cuartos!DL76="","",Cuartos!DL76)</f>
        <v/>
      </c>
      <c r="L77" s="463" t="str">
        <f>Cuartos!DM76</f>
        <v/>
      </c>
      <c r="M77" s="151" t="str">
        <f>Cuartos!DU76</f>
        <v/>
      </c>
      <c r="N77" s="139" t="str">
        <f>Cuartos!DV76</f>
        <v/>
      </c>
      <c r="O77" s="140" t="str">
        <f>Cuartos!DW76</f>
        <v/>
      </c>
      <c r="P77" s="148" t="str">
        <f>Cuartos!DX76</f>
        <v/>
      </c>
      <c r="Q77" s="139" t="str">
        <f>Cuartos!DY76</f>
        <v/>
      </c>
      <c r="R77" s="139" t="str">
        <f>IF($B77="","",Cuartos!DZ76)</f>
        <v/>
      </c>
      <c r="S77" s="139" t="str">
        <f>IF($B77="","",Cuartos!EA76)</f>
        <v/>
      </c>
      <c r="T77" s="139" t="str">
        <f>IF($B77="","",Cuartos!EC76)</f>
        <v/>
      </c>
      <c r="U77" s="140" t="str">
        <f>IF($B77="","",Cuartos!ED76)</f>
        <v/>
      </c>
    </row>
    <row r="78" spans="1:21" x14ac:dyDescent="0.3">
      <c r="A78" s="135">
        <v>61</v>
      </c>
      <c r="B78" s="136" t="str">
        <f>_xlfn.CONCAT(IF(Cuartos!C77="","",Cuartos!C77&amp;" "),IF(Cuartos!D77="","",Cuartos!D77))</f>
        <v/>
      </c>
      <c r="C78" s="369" t="str">
        <f>IF(Cuartos!E77="","",Cuartos!E77)</f>
        <v/>
      </c>
      <c r="D78" s="137" t="str">
        <f>IF(Cuartos!F77="","",Cuartos!F77)</f>
        <v/>
      </c>
      <c r="E78" s="137" t="str">
        <f>IF(Cuartos!G77="","",Cuartos!G77)</f>
        <v/>
      </c>
      <c r="F78" s="153" t="str">
        <f>IF(Cuartos!H77="","",Cuartos!H77)</f>
        <v/>
      </c>
      <c r="G78" s="452" t="str">
        <f>IF(Cuartos!J77="","",Cuartos!J77)</f>
        <v/>
      </c>
      <c r="H78" s="453" t="str">
        <f>IF(Cuartos!K77="","",Cuartos!K77)</f>
        <v/>
      </c>
      <c r="I78" s="453" t="str">
        <f>IF(Cuartos!L77="","",Cuartos!L77)</f>
        <v/>
      </c>
      <c r="J78" s="453" t="str">
        <f>IF(Cuartos!DK77="","",Cuartos!DK77)</f>
        <v/>
      </c>
      <c r="K78" s="453" t="str">
        <f>IF(Cuartos!DL77="","",Cuartos!DL77)</f>
        <v/>
      </c>
      <c r="L78" s="463" t="str">
        <f>Cuartos!DM77</f>
        <v/>
      </c>
      <c r="M78" s="151" t="str">
        <f>Cuartos!DU77</f>
        <v/>
      </c>
      <c r="N78" s="139" t="str">
        <f>Cuartos!DV77</f>
        <v/>
      </c>
      <c r="O78" s="140" t="str">
        <f>Cuartos!DW77</f>
        <v/>
      </c>
      <c r="P78" s="148" t="str">
        <f>Cuartos!DX77</f>
        <v/>
      </c>
      <c r="Q78" s="139" t="str">
        <f>Cuartos!DY77</f>
        <v/>
      </c>
      <c r="R78" s="139" t="str">
        <f>IF($B78="","",Cuartos!DZ77)</f>
        <v/>
      </c>
      <c r="S78" s="139" t="str">
        <f>IF($B78="","",Cuartos!EA77)</f>
        <v/>
      </c>
      <c r="T78" s="139" t="str">
        <f>IF($B78="","",Cuartos!EC77)</f>
        <v/>
      </c>
      <c r="U78" s="140" t="str">
        <f>IF($B78="","",Cuartos!ED77)</f>
        <v/>
      </c>
    </row>
    <row r="79" spans="1:21" x14ac:dyDescent="0.3">
      <c r="A79" s="135">
        <v>62</v>
      </c>
      <c r="B79" s="136" t="str">
        <f>_xlfn.CONCAT(IF(Cuartos!C78="","",Cuartos!C78&amp;" "),IF(Cuartos!D78="","",Cuartos!D78))</f>
        <v/>
      </c>
      <c r="C79" s="369" t="str">
        <f>IF(Cuartos!E78="","",Cuartos!E78)</f>
        <v/>
      </c>
      <c r="D79" s="137" t="str">
        <f>IF(Cuartos!F78="","",Cuartos!F78)</f>
        <v/>
      </c>
      <c r="E79" s="137" t="str">
        <f>IF(Cuartos!G78="","",Cuartos!G78)</f>
        <v/>
      </c>
      <c r="F79" s="153" t="str">
        <f>IF(Cuartos!H78="","",Cuartos!H78)</f>
        <v/>
      </c>
      <c r="G79" s="452" t="str">
        <f>IF(Cuartos!J78="","",Cuartos!J78)</f>
        <v/>
      </c>
      <c r="H79" s="453" t="str">
        <f>IF(Cuartos!K78="","",Cuartos!K78)</f>
        <v/>
      </c>
      <c r="I79" s="453" t="str">
        <f>IF(Cuartos!L78="","",Cuartos!L78)</f>
        <v/>
      </c>
      <c r="J79" s="453" t="str">
        <f>IF(Cuartos!DK78="","",Cuartos!DK78)</f>
        <v/>
      </c>
      <c r="K79" s="453" t="str">
        <f>IF(Cuartos!DL78="","",Cuartos!DL78)</f>
        <v/>
      </c>
      <c r="L79" s="463" t="str">
        <f>Cuartos!DM78</f>
        <v/>
      </c>
      <c r="M79" s="151" t="str">
        <f>Cuartos!DU78</f>
        <v/>
      </c>
      <c r="N79" s="139" t="str">
        <f>Cuartos!DV78</f>
        <v/>
      </c>
      <c r="O79" s="140" t="str">
        <f>Cuartos!DW78</f>
        <v/>
      </c>
      <c r="P79" s="148" t="str">
        <f>Cuartos!DX78</f>
        <v/>
      </c>
      <c r="Q79" s="139" t="str">
        <f>Cuartos!DY78</f>
        <v/>
      </c>
      <c r="R79" s="139" t="str">
        <f>IF($B79="","",Cuartos!DZ78)</f>
        <v/>
      </c>
      <c r="S79" s="139" t="str">
        <f>IF($B79="","",Cuartos!EA78)</f>
        <v/>
      </c>
      <c r="T79" s="139" t="str">
        <f>IF($B79="","",Cuartos!EC78)</f>
        <v/>
      </c>
      <c r="U79" s="140" t="str">
        <f>IF($B79="","",Cuartos!ED78)</f>
        <v/>
      </c>
    </row>
    <row r="80" spans="1:21" x14ac:dyDescent="0.3">
      <c r="A80" s="135">
        <v>63</v>
      </c>
      <c r="B80" s="136" t="str">
        <f>_xlfn.CONCAT(IF(Cuartos!C79="","",Cuartos!C79&amp;" "),IF(Cuartos!D79="","",Cuartos!D79))</f>
        <v/>
      </c>
      <c r="C80" s="369" t="str">
        <f>IF(Cuartos!E79="","",Cuartos!E79)</f>
        <v/>
      </c>
      <c r="D80" s="137" t="str">
        <f>IF(Cuartos!F79="","",Cuartos!F79)</f>
        <v/>
      </c>
      <c r="E80" s="137" t="str">
        <f>IF(Cuartos!G79="","",Cuartos!G79)</f>
        <v/>
      </c>
      <c r="F80" s="153" t="str">
        <f>IF(Cuartos!H79="","",Cuartos!H79)</f>
        <v/>
      </c>
      <c r="G80" s="452" t="str">
        <f>IF(Cuartos!J79="","",Cuartos!J79)</f>
        <v/>
      </c>
      <c r="H80" s="453" t="str">
        <f>IF(Cuartos!K79="","",Cuartos!K79)</f>
        <v/>
      </c>
      <c r="I80" s="453" t="str">
        <f>IF(Cuartos!L79="","",Cuartos!L79)</f>
        <v/>
      </c>
      <c r="J80" s="453" t="str">
        <f>IF(Cuartos!DK79="","",Cuartos!DK79)</f>
        <v/>
      </c>
      <c r="K80" s="453" t="str">
        <f>IF(Cuartos!DL79="","",Cuartos!DL79)</f>
        <v/>
      </c>
      <c r="L80" s="463" t="str">
        <f>Cuartos!DM79</f>
        <v/>
      </c>
      <c r="M80" s="151" t="str">
        <f>Cuartos!DU79</f>
        <v/>
      </c>
      <c r="N80" s="139" t="str">
        <f>Cuartos!DV79</f>
        <v/>
      </c>
      <c r="O80" s="140" t="str">
        <f>Cuartos!DW79</f>
        <v/>
      </c>
      <c r="P80" s="148" t="str">
        <f>Cuartos!DX79</f>
        <v/>
      </c>
      <c r="Q80" s="139" t="str">
        <f>Cuartos!DY79</f>
        <v/>
      </c>
      <c r="R80" s="139" t="str">
        <f>IF($B80="","",Cuartos!DZ79)</f>
        <v/>
      </c>
      <c r="S80" s="139" t="str">
        <f>IF($B80="","",Cuartos!EA79)</f>
        <v/>
      </c>
      <c r="T80" s="139" t="str">
        <f>IF($B80="","",Cuartos!EC79)</f>
        <v/>
      </c>
      <c r="U80" s="140" t="str">
        <f>IF($B80="","",Cuartos!ED79)</f>
        <v/>
      </c>
    </row>
    <row r="81" spans="1:21" x14ac:dyDescent="0.3">
      <c r="A81" s="135">
        <v>64</v>
      </c>
      <c r="B81" s="136" t="str">
        <f>_xlfn.CONCAT(IF(Cuartos!C80="","",Cuartos!C80&amp;" "),IF(Cuartos!D80="","",Cuartos!D80))</f>
        <v/>
      </c>
      <c r="C81" s="369" t="str">
        <f>IF(Cuartos!E80="","",Cuartos!E80)</f>
        <v/>
      </c>
      <c r="D81" s="137" t="str">
        <f>IF(Cuartos!F80="","",Cuartos!F80)</f>
        <v/>
      </c>
      <c r="E81" s="137" t="str">
        <f>IF(Cuartos!G80="","",Cuartos!G80)</f>
        <v/>
      </c>
      <c r="F81" s="153" t="str">
        <f>IF(Cuartos!H80="","",Cuartos!H80)</f>
        <v/>
      </c>
      <c r="G81" s="452" t="str">
        <f>IF(Cuartos!J80="","",Cuartos!J80)</f>
        <v/>
      </c>
      <c r="H81" s="453" t="str">
        <f>IF(Cuartos!K80="","",Cuartos!K80)</f>
        <v/>
      </c>
      <c r="I81" s="453" t="str">
        <f>IF(Cuartos!L80="","",Cuartos!L80)</f>
        <v/>
      </c>
      <c r="J81" s="453" t="str">
        <f>IF(Cuartos!DK80="","",Cuartos!DK80)</f>
        <v/>
      </c>
      <c r="K81" s="453" t="str">
        <f>IF(Cuartos!DL80="","",Cuartos!DL80)</f>
        <v/>
      </c>
      <c r="L81" s="463" t="str">
        <f>Cuartos!DM80</f>
        <v/>
      </c>
      <c r="M81" s="151" t="str">
        <f>Cuartos!DU80</f>
        <v/>
      </c>
      <c r="N81" s="139" t="str">
        <f>Cuartos!DV80</f>
        <v/>
      </c>
      <c r="O81" s="140" t="str">
        <f>Cuartos!DW80</f>
        <v/>
      </c>
      <c r="P81" s="148" t="str">
        <f>Cuartos!DX80</f>
        <v/>
      </c>
      <c r="Q81" s="139" t="str">
        <f>Cuartos!DY80</f>
        <v/>
      </c>
      <c r="R81" s="139" t="str">
        <f>IF($B81="","",Cuartos!DZ80)</f>
        <v/>
      </c>
      <c r="S81" s="139" t="str">
        <f>IF($B81="","",Cuartos!EA80)</f>
        <v/>
      </c>
      <c r="T81" s="139" t="str">
        <f>IF($B81="","",Cuartos!EC80)</f>
        <v/>
      </c>
      <c r="U81" s="140" t="str">
        <f>IF($B81="","",Cuartos!ED80)</f>
        <v/>
      </c>
    </row>
    <row r="82" spans="1:21" x14ac:dyDescent="0.3">
      <c r="A82" s="135">
        <v>65</v>
      </c>
      <c r="B82" s="136" t="str">
        <f>_xlfn.CONCAT(IF(Cuartos!C81="","",Cuartos!C81&amp;" "),IF(Cuartos!D81="","",Cuartos!D81))</f>
        <v/>
      </c>
      <c r="C82" s="369" t="str">
        <f>IF(Cuartos!E81="","",Cuartos!E81)</f>
        <v/>
      </c>
      <c r="D82" s="137" t="str">
        <f>IF(Cuartos!F81="","",Cuartos!F81)</f>
        <v/>
      </c>
      <c r="E82" s="137" t="str">
        <f>IF(Cuartos!G81="","",Cuartos!G81)</f>
        <v/>
      </c>
      <c r="F82" s="153" t="str">
        <f>IF(Cuartos!H81="","",Cuartos!H81)</f>
        <v/>
      </c>
      <c r="G82" s="452" t="str">
        <f>IF(Cuartos!J81="","",Cuartos!J81)</f>
        <v/>
      </c>
      <c r="H82" s="453" t="str">
        <f>IF(Cuartos!K81="","",Cuartos!K81)</f>
        <v/>
      </c>
      <c r="I82" s="453" t="str">
        <f>IF(Cuartos!L81="","",Cuartos!L81)</f>
        <v/>
      </c>
      <c r="J82" s="453" t="str">
        <f>IF(Cuartos!DK81="","",Cuartos!DK81)</f>
        <v/>
      </c>
      <c r="K82" s="453" t="str">
        <f>IF(Cuartos!DL81="","",Cuartos!DL81)</f>
        <v/>
      </c>
      <c r="L82" s="463" t="str">
        <f>Cuartos!DM81</f>
        <v/>
      </c>
      <c r="M82" s="151" t="str">
        <f>Cuartos!DU81</f>
        <v/>
      </c>
      <c r="N82" s="139" t="str">
        <f>Cuartos!DV81</f>
        <v/>
      </c>
      <c r="O82" s="140" t="str">
        <f>Cuartos!DW81</f>
        <v/>
      </c>
      <c r="P82" s="148" t="str">
        <f>Cuartos!DX81</f>
        <v/>
      </c>
      <c r="Q82" s="139" t="str">
        <f>Cuartos!DY81</f>
        <v/>
      </c>
      <c r="R82" s="139" t="str">
        <f>IF($B82="","",Cuartos!DZ81)</f>
        <v/>
      </c>
      <c r="S82" s="139" t="str">
        <f>IF($B82="","",Cuartos!EA81)</f>
        <v/>
      </c>
      <c r="T82" s="139" t="str">
        <f>IF($B82="","",Cuartos!EC81)</f>
        <v/>
      </c>
      <c r="U82" s="140" t="str">
        <f>IF($B82="","",Cuartos!ED81)</f>
        <v/>
      </c>
    </row>
    <row r="83" spans="1:21" x14ac:dyDescent="0.3">
      <c r="A83" s="135">
        <v>66</v>
      </c>
      <c r="B83" s="136" t="str">
        <f>_xlfn.CONCAT(IF(Cuartos!C82="","",Cuartos!C82&amp;" "),IF(Cuartos!D82="","",Cuartos!D82))</f>
        <v/>
      </c>
      <c r="C83" s="369" t="str">
        <f>IF(Cuartos!E82="","",Cuartos!E82)</f>
        <v/>
      </c>
      <c r="D83" s="137" t="str">
        <f>IF(Cuartos!F82="","",Cuartos!F82)</f>
        <v/>
      </c>
      <c r="E83" s="137" t="str">
        <f>IF(Cuartos!G82="","",Cuartos!G82)</f>
        <v/>
      </c>
      <c r="F83" s="153" t="str">
        <f>IF(Cuartos!H82="","",Cuartos!H82)</f>
        <v/>
      </c>
      <c r="G83" s="452" t="str">
        <f>IF(Cuartos!J82="","",Cuartos!J82)</f>
        <v/>
      </c>
      <c r="H83" s="453" t="str">
        <f>IF(Cuartos!K82="","",Cuartos!K82)</f>
        <v/>
      </c>
      <c r="I83" s="453" t="str">
        <f>IF(Cuartos!L82="","",Cuartos!L82)</f>
        <v/>
      </c>
      <c r="J83" s="453" t="str">
        <f>IF(Cuartos!DK82="","",Cuartos!DK82)</f>
        <v/>
      </c>
      <c r="K83" s="453" t="str">
        <f>IF(Cuartos!DL82="","",Cuartos!DL82)</f>
        <v/>
      </c>
      <c r="L83" s="463" t="str">
        <f>Cuartos!DM82</f>
        <v/>
      </c>
      <c r="M83" s="151" t="str">
        <f>Cuartos!DU82</f>
        <v/>
      </c>
      <c r="N83" s="139" t="str">
        <f>Cuartos!DV82</f>
        <v/>
      </c>
      <c r="O83" s="140" t="str">
        <f>Cuartos!DW82</f>
        <v/>
      </c>
      <c r="P83" s="148" t="str">
        <f>Cuartos!DX82</f>
        <v/>
      </c>
      <c r="Q83" s="139" t="str">
        <f>Cuartos!DY82</f>
        <v/>
      </c>
      <c r="R83" s="139" t="str">
        <f>IF($B83="","",Cuartos!DZ82)</f>
        <v/>
      </c>
      <c r="S83" s="139" t="str">
        <f>IF($B83="","",Cuartos!EA82)</f>
        <v/>
      </c>
      <c r="T83" s="139" t="str">
        <f>IF($B83="","",Cuartos!EC82)</f>
        <v/>
      </c>
      <c r="U83" s="140" t="str">
        <f>IF($B83="","",Cuartos!ED82)</f>
        <v/>
      </c>
    </row>
    <row r="84" spans="1:21" x14ac:dyDescent="0.3">
      <c r="A84" s="135">
        <v>67</v>
      </c>
      <c r="B84" s="136" t="str">
        <f>_xlfn.CONCAT(IF(Cuartos!C83="","",Cuartos!C83&amp;" "),IF(Cuartos!D83="","",Cuartos!D83))</f>
        <v/>
      </c>
      <c r="C84" s="369" t="str">
        <f>IF(Cuartos!E83="","",Cuartos!E83)</f>
        <v/>
      </c>
      <c r="D84" s="137" t="str">
        <f>IF(Cuartos!F83="","",Cuartos!F83)</f>
        <v/>
      </c>
      <c r="E84" s="137" t="str">
        <f>IF(Cuartos!G83="","",Cuartos!G83)</f>
        <v/>
      </c>
      <c r="F84" s="153" t="str">
        <f>IF(Cuartos!H83="","",Cuartos!H83)</f>
        <v/>
      </c>
      <c r="G84" s="452" t="str">
        <f>IF(Cuartos!J83="","",Cuartos!J83)</f>
        <v/>
      </c>
      <c r="H84" s="453" t="str">
        <f>IF(Cuartos!K83="","",Cuartos!K83)</f>
        <v/>
      </c>
      <c r="I84" s="453" t="str">
        <f>IF(Cuartos!L83="","",Cuartos!L83)</f>
        <v/>
      </c>
      <c r="J84" s="453" t="str">
        <f>IF(Cuartos!DK83="","",Cuartos!DK83)</f>
        <v/>
      </c>
      <c r="K84" s="453" t="str">
        <f>IF(Cuartos!DL83="","",Cuartos!DL83)</f>
        <v/>
      </c>
      <c r="L84" s="463" t="str">
        <f>Cuartos!DM83</f>
        <v/>
      </c>
      <c r="M84" s="151" t="str">
        <f>Cuartos!DU83</f>
        <v/>
      </c>
      <c r="N84" s="139" t="str">
        <f>Cuartos!DV83</f>
        <v/>
      </c>
      <c r="O84" s="140" t="str">
        <f>Cuartos!DW83</f>
        <v/>
      </c>
      <c r="P84" s="148" t="str">
        <f>Cuartos!DX83</f>
        <v/>
      </c>
      <c r="Q84" s="139" t="str">
        <f>Cuartos!DY83</f>
        <v/>
      </c>
      <c r="R84" s="139" t="str">
        <f>IF($B84="","",Cuartos!DZ83)</f>
        <v/>
      </c>
      <c r="S84" s="139" t="str">
        <f>IF($B84="","",Cuartos!EA83)</f>
        <v/>
      </c>
      <c r="T84" s="139" t="str">
        <f>IF($B84="","",Cuartos!EC83)</f>
        <v/>
      </c>
      <c r="U84" s="140" t="str">
        <f>IF($B84="","",Cuartos!ED83)</f>
        <v/>
      </c>
    </row>
    <row r="85" spans="1:21" x14ac:dyDescent="0.3">
      <c r="A85" s="135">
        <v>68</v>
      </c>
      <c r="B85" s="136" t="str">
        <f>_xlfn.CONCAT(IF(Cuartos!C84="","",Cuartos!C84&amp;" "),IF(Cuartos!D84="","",Cuartos!D84))</f>
        <v/>
      </c>
      <c r="C85" s="369" t="str">
        <f>IF(Cuartos!E84="","",Cuartos!E84)</f>
        <v/>
      </c>
      <c r="D85" s="137" t="str">
        <f>IF(Cuartos!F84="","",Cuartos!F84)</f>
        <v/>
      </c>
      <c r="E85" s="137" t="str">
        <f>IF(Cuartos!G84="","",Cuartos!G84)</f>
        <v/>
      </c>
      <c r="F85" s="153" t="str">
        <f>IF(Cuartos!H84="","",Cuartos!H84)</f>
        <v/>
      </c>
      <c r="G85" s="452" t="str">
        <f>IF(Cuartos!J84="","",Cuartos!J84)</f>
        <v/>
      </c>
      <c r="H85" s="453" t="str">
        <f>IF(Cuartos!K84="","",Cuartos!K84)</f>
        <v/>
      </c>
      <c r="I85" s="453" t="str">
        <f>IF(Cuartos!L84="","",Cuartos!L84)</f>
        <v/>
      </c>
      <c r="J85" s="453" t="str">
        <f>IF(Cuartos!DK84="","",Cuartos!DK84)</f>
        <v/>
      </c>
      <c r="K85" s="453" t="str">
        <f>IF(Cuartos!DL84="","",Cuartos!DL84)</f>
        <v/>
      </c>
      <c r="L85" s="463" t="str">
        <f>Cuartos!DM84</f>
        <v/>
      </c>
      <c r="M85" s="151" t="str">
        <f>Cuartos!DU84</f>
        <v/>
      </c>
      <c r="N85" s="139" t="str">
        <f>Cuartos!DV84</f>
        <v/>
      </c>
      <c r="O85" s="140" t="str">
        <f>Cuartos!DW84</f>
        <v/>
      </c>
      <c r="P85" s="148" t="str">
        <f>Cuartos!DX84</f>
        <v/>
      </c>
      <c r="Q85" s="139" t="str">
        <f>Cuartos!DY84</f>
        <v/>
      </c>
      <c r="R85" s="139" t="str">
        <f>IF($B85="","",Cuartos!DZ84)</f>
        <v/>
      </c>
      <c r="S85" s="139" t="str">
        <f>IF($B85="","",Cuartos!EA84)</f>
        <v/>
      </c>
      <c r="T85" s="139" t="str">
        <f>IF($B85="","",Cuartos!EC84)</f>
        <v/>
      </c>
      <c r="U85" s="140" t="str">
        <f>IF($B85="","",Cuartos!ED84)</f>
        <v/>
      </c>
    </row>
    <row r="86" spans="1:21" x14ac:dyDescent="0.3">
      <c r="A86" s="135">
        <v>69</v>
      </c>
      <c r="B86" s="136" t="str">
        <f>_xlfn.CONCAT(IF(Cuartos!C85="","",Cuartos!C85&amp;" "),IF(Cuartos!D85="","",Cuartos!D85))</f>
        <v/>
      </c>
      <c r="C86" s="369" t="str">
        <f>IF(Cuartos!E85="","",Cuartos!E85)</f>
        <v/>
      </c>
      <c r="D86" s="137" t="str">
        <f>IF(Cuartos!F85="","",Cuartos!F85)</f>
        <v/>
      </c>
      <c r="E86" s="137" t="str">
        <f>IF(Cuartos!G85="","",Cuartos!G85)</f>
        <v/>
      </c>
      <c r="F86" s="153" t="str">
        <f>IF(Cuartos!H85="","",Cuartos!H85)</f>
        <v/>
      </c>
      <c r="G86" s="452" t="str">
        <f>IF(Cuartos!J85="","",Cuartos!J85)</f>
        <v/>
      </c>
      <c r="H86" s="453" t="str">
        <f>IF(Cuartos!K85="","",Cuartos!K85)</f>
        <v/>
      </c>
      <c r="I86" s="453" t="str">
        <f>IF(Cuartos!L85="","",Cuartos!L85)</f>
        <v/>
      </c>
      <c r="J86" s="453" t="str">
        <f>IF(Cuartos!DK85="","",Cuartos!DK85)</f>
        <v/>
      </c>
      <c r="K86" s="453" t="str">
        <f>IF(Cuartos!DL85="","",Cuartos!DL85)</f>
        <v/>
      </c>
      <c r="L86" s="463" t="str">
        <f>Cuartos!DM85</f>
        <v/>
      </c>
      <c r="M86" s="151" t="str">
        <f>Cuartos!DU85</f>
        <v/>
      </c>
      <c r="N86" s="139" t="str">
        <f>Cuartos!DV85</f>
        <v/>
      </c>
      <c r="O86" s="140" t="str">
        <f>Cuartos!DW85</f>
        <v/>
      </c>
      <c r="P86" s="148" t="str">
        <f>Cuartos!DX85</f>
        <v/>
      </c>
      <c r="Q86" s="139" t="str">
        <f>Cuartos!DY85</f>
        <v/>
      </c>
      <c r="R86" s="139" t="str">
        <f>IF($B86="","",Cuartos!DZ85)</f>
        <v/>
      </c>
      <c r="S86" s="139" t="str">
        <f>IF($B86="","",Cuartos!EA85)</f>
        <v/>
      </c>
      <c r="T86" s="139" t="str">
        <f>IF($B86="","",Cuartos!EC85)</f>
        <v/>
      </c>
      <c r="U86" s="140" t="str">
        <f>IF($B86="","",Cuartos!ED85)</f>
        <v/>
      </c>
    </row>
    <row r="87" spans="1:21" x14ac:dyDescent="0.3">
      <c r="A87" s="135">
        <v>70</v>
      </c>
      <c r="B87" s="136" t="str">
        <f>_xlfn.CONCAT(IF(Cuartos!C86="","",Cuartos!C86&amp;" "),IF(Cuartos!D86="","",Cuartos!D86))</f>
        <v/>
      </c>
      <c r="C87" s="369" t="str">
        <f>IF(Cuartos!E86="","",Cuartos!E86)</f>
        <v/>
      </c>
      <c r="D87" s="137" t="str">
        <f>IF(Cuartos!F86="","",Cuartos!F86)</f>
        <v/>
      </c>
      <c r="E87" s="137" t="str">
        <f>IF(Cuartos!G86="","",Cuartos!G86)</f>
        <v/>
      </c>
      <c r="F87" s="153" t="str">
        <f>IF(Cuartos!H86="","",Cuartos!H86)</f>
        <v/>
      </c>
      <c r="G87" s="452" t="str">
        <f>IF(Cuartos!J86="","",Cuartos!J86)</f>
        <v/>
      </c>
      <c r="H87" s="453" t="str">
        <f>IF(Cuartos!K86="","",Cuartos!K86)</f>
        <v/>
      </c>
      <c r="I87" s="453" t="str">
        <f>IF(Cuartos!L86="","",Cuartos!L86)</f>
        <v/>
      </c>
      <c r="J87" s="453" t="str">
        <f>IF(Cuartos!DK86="","",Cuartos!DK86)</f>
        <v/>
      </c>
      <c r="K87" s="453" t="str">
        <f>IF(Cuartos!DL86="","",Cuartos!DL86)</f>
        <v/>
      </c>
      <c r="L87" s="463" t="str">
        <f>Cuartos!DM86</f>
        <v/>
      </c>
      <c r="M87" s="151" t="str">
        <f>Cuartos!DU86</f>
        <v/>
      </c>
      <c r="N87" s="139" t="str">
        <f>Cuartos!DV86</f>
        <v/>
      </c>
      <c r="O87" s="140" t="str">
        <f>Cuartos!DW86</f>
        <v/>
      </c>
      <c r="P87" s="148" t="str">
        <f>Cuartos!DX86</f>
        <v/>
      </c>
      <c r="Q87" s="139" t="str">
        <f>Cuartos!DY86</f>
        <v/>
      </c>
      <c r="R87" s="139" t="str">
        <f>IF($B87="","",Cuartos!DZ86)</f>
        <v/>
      </c>
      <c r="S87" s="139" t="str">
        <f>IF($B87="","",Cuartos!EA86)</f>
        <v/>
      </c>
      <c r="T87" s="139" t="str">
        <f>IF($B87="","",Cuartos!EC86)</f>
        <v/>
      </c>
      <c r="U87" s="140" t="str">
        <f>IF($B87="","",Cuartos!ED86)</f>
        <v/>
      </c>
    </row>
    <row r="88" spans="1:21" x14ac:dyDescent="0.3">
      <c r="A88" s="135">
        <v>71</v>
      </c>
      <c r="B88" s="136" t="str">
        <f>_xlfn.CONCAT(IF(Cuartos!C87="","",Cuartos!C87&amp;" "),IF(Cuartos!D87="","",Cuartos!D87))</f>
        <v/>
      </c>
      <c r="C88" s="369" t="str">
        <f>IF(Cuartos!E87="","",Cuartos!E87)</f>
        <v/>
      </c>
      <c r="D88" s="137" t="str">
        <f>IF(Cuartos!F87="","",Cuartos!F87)</f>
        <v/>
      </c>
      <c r="E88" s="137" t="str">
        <f>IF(Cuartos!G87="","",Cuartos!G87)</f>
        <v/>
      </c>
      <c r="F88" s="153" t="str">
        <f>IF(Cuartos!H87="","",Cuartos!H87)</f>
        <v/>
      </c>
      <c r="G88" s="452" t="str">
        <f>IF(Cuartos!J87="","",Cuartos!J87)</f>
        <v/>
      </c>
      <c r="H88" s="453" t="str">
        <f>IF(Cuartos!K87="","",Cuartos!K87)</f>
        <v/>
      </c>
      <c r="I88" s="453" t="str">
        <f>IF(Cuartos!L87="","",Cuartos!L87)</f>
        <v/>
      </c>
      <c r="J88" s="453" t="str">
        <f>IF(Cuartos!DK87="","",Cuartos!DK87)</f>
        <v/>
      </c>
      <c r="K88" s="453" t="str">
        <f>IF(Cuartos!DL87="","",Cuartos!DL87)</f>
        <v/>
      </c>
      <c r="L88" s="463" t="str">
        <f>Cuartos!DM87</f>
        <v/>
      </c>
      <c r="M88" s="151" t="str">
        <f>Cuartos!DU87</f>
        <v/>
      </c>
      <c r="N88" s="139" t="str">
        <f>Cuartos!DV87</f>
        <v/>
      </c>
      <c r="O88" s="140" t="str">
        <f>Cuartos!DW87</f>
        <v/>
      </c>
      <c r="P88" s="148" t="str">
        <f>Cuartos!DX87</f>
        <v/>
      </c>
      <c r="Q88" s="139" t="str">
        <f>Cuartos!DY87</f>
        <v/>
      </c>
      <c r="R88" s="139" t="str">
        <f>IF($B88="","",Cuartos!DZ87)</f>
        <v/>
      </c>
      <c r="S88" s="139" t="str">
        <f>IF($B88="","",Cuartos!EA87)</f>
        <v/>
      </c>
      <c r="T88" s="139" t="str">
        <f>IF($B88="","",Cuartos!EC87)</f>
        <v/>
      </c>
      <c r="U88" s="140" t="str">
        <f>IF($B88="","",Cuartos!ED87)</f>
        <v/>
      </c>
    </row>
    <row r="89" spans="1:21" x14ac:dyDescent="0.3">
      <c r="A89" s="135">
        <v>72</v>
      </c>
      <c r="B89" s="136" t="str">
        <f>_xlfn.CONCAT(IF(Cuartos!C88="","",Cuartos!C88&amp;" "),IF(Cuartos!D88="","",Cuartos!D88))</f>
        <v/>
      </c>
      <c r="C89" s="369" t="str">
        <f>IF(Cuartos!E88="","",Cuartos!E88)</f>
        <v/>
      </c>
      <c r="D89" s="137" t="str">
        <f>IF(Cuartos!F88="","",Cuartos!F88)</f>
        <v/>
      </c>
      <c r="E89" s="137" t="str">
        <f>IF(Cuartos!G88="","",Cuartos!G88)</f>
        <v/>
      </c>
      <c r="F89" s="153" t="str">
        <f>IF(Cuartos!H88="","",Cuartos!H88)</f>
        <v/>
      </c>
      <c r="G89" s="452" t="str">
        <f>IF(Cuartos!J88="","",Cuartos!J88)</f>
        <v/>
      </c>
      <c r="H89" s="453" t="str">
        <f>IF(Cuartos!K88="","",Cuartos!K88)</f>
        <v/>
      </c>
      <c r="I89" s="453" t="str">
        <f>IF(Cuartos!L88="","",Cuartos!L88)</f>
        <v/>
      </c>
      <c r="J89" s="453" t="str">
        <f>IF(Cuartos!DK88="","",Cuartos!DK88)</f>
        <v/>
      </c>
      <c r="K89" s="453" t="str">
        <f>IF(Cuartos!DL88="","",Cuartos!DL88)</f>
        <v/>
      </c>
      <c r="L89" s="463" t="str">
        <f>Cuartos!DM88</f>
        <v/>
      </c>
      <c r="M89" s="151" t="str">
        <f>Cuartos!DU88</f>
        <v/>
      </c>
      <c r="N89" s="139" t="str">
        <f>Cuartos!DV88</f>
        <v/>
      </c>
      <c r="O89" s="140" t="str">
        <f>Cuartos!DW88</f>
        <v/>
      </c>
      <c r="P89" s="148" t="str">
        <f>Cuartos!DX88</f>
        <v/>
      </c>
      <c r="Q89" s="139" t="str">
        <f>Cuartos!DY88</f>
        <v/>
      </c>
      <c r="R89" s="139" t="str">
        <f>IF($B89="","",Cuartos!DZ88)</f>
        <v/>
      </c>
      <c r="S89" s="139" t="str">
        <f>IF($B89="","",Cuartos!EA88)</f>
        <v/>
      </c>
      <c r="T89" s="139" t="str">
        <f>IF($B89="","",Cuartos!EC88)</f>
        <v/>
      </c>
      <c r="U89" s="140" t="str">
        <f>IF($B89="","",Cuartos!ED88)</f>
        <v/>
      </c>
    </row>
    <row r="90" spans="1:21" x14ac:dyDescent="0.3">
      <c r="A90" s="135">
        <v>73</v>
      </c>
      <c r="B90" s="136" t="str">
        <f>_xlfn.CONCAT(IF(Cuartos!C89="","",Cuartos!C89&amp;" "),IF(Cuartos!D89="","",Cuartos!D89))</f>
        <v/>
      </c>
      <c r="C90" s="369" t="str">
        <f>IF(Cuartos!E89="","",Cuartos!E89)</f>
        <v/>
      </c>
      <c r="D90" s="137" t="str">
        <f>IF(Cuartos!F89="","",Cuartos!F89)</f>
        <v/>
      </c>
      <c r="E90" s="137" t="str">
        <f>IF(Cuartos!G89="","",Cuartos!G89)</f>
        <v/>
      </c>
      <c r="F90" s="153" t="str">
        <f>IF(Cuartos!H89="","",Cuartos!H89)</f>
        <v/>
      </c>
      <c r="G90" s="452" t="str">
        <f>IF(Cuartos!J89="","",Cuartos!J89)</f>
        <v/>
      </c>
      <c r="H90" s="453" t="str">
        <f>IF(Cuartos!K89="","",Cuartos!K89)</f>
        <v/>
      </c>
      <c r="I90" s="453" t="str">
        <f>IF(Cuartos!L89="","",Cuartos!L89)</f>
        <v/>
      </c>
      <c r="J90" s="453" t="str">
        <f>IF(Cuartos!DK89="","",Cuartos!DK89)</f>
        <v/>
      </c>
      <c r="K90" s="453" t="str">
        <f>IF(Cuartos!DL89="","",Cuartos!DL89)</f>
        <v/>
      </c>
      <c r="L90" s="463" t="str">
        <f>Cuartos!DM89</f>
        <v/>
      </c>
      <c r="M90" s="151" t="str">
        <f>Cuartos!DU89</f>
        <v/>
      </c>
      <c r="N90" s="139" t="str">
        <f>Cuartos!DV89</f>
        <v/>
      </c>
      <c r="O90" s="140" t="str">
        <f>Cuartos!DW89</f>
        <v/>
      </c>
      <c r="P90" s="148" t="str">
        <f>Cuartos!DX89</f>
        <v/>
      </c>
      <c r="Q90" s="139" t="str">
        <f>Cuartos!DY89</f>
        <v/>
      </c>
      <c r="R90" s="139" t="str">
        <f>IF($B90="","",Cuartos!DZ89)</f>
        <v/>
      </c>
      <c r="S90" s="139" t="str">
        <f>IF($B90="","",Cuartos!EA89)</f>
        <v/>
      </c>
      <c r="T90" s="139" t="str">
        <f>IF($B90="","",Cuartos!EC89)</f>
        <v/>
      </c>
      <c r="U90" s="140" t="str">
        <f>IF($B90="","",Cuartos!ED89)</f>
        <v/>
      </c>
    </row>
    <row r="91" spans="1:21" x14ac:dyDescent="0.3">
      <c r="A91" s="135">
        <v>74</v>
      </c>
      <c r="B91" s="136" t="str">
        <f>_xlfn.CONCAT(IF(Cuartos!C90="","",Cuartos!C90&amp;" "),IF(Cuartos!D90="","",Cuartos!D90))</f>
        <v/>
      </c>
      <c r="C91" s="369" t="str">
        <f>IF(Cuartos!E90="","",Cuartos!E90)</f>
        <v/>
      </c>
      <c r="D91" s="137" t="str">
        <f>IF(Cuartos!F90="","",Cuartos!F90)</f>
        <v/>
      </c>
      <c r="E91" s="137" t="str">
        <f>IF(Cuartos!G90="","",Cuartos!G90)</f>
        <v/>
      </c>
      <c r="F91" s="153" t="str">
        <f>IF(Cuartos!H90="","",Cuartos!H90)</f>
        <v/>
      </c>
      <c r="G91" s="452" t="str">
        <f>IF(Cuartos!J90="","",Cuartos!J90)</f>
        <v/>
      </c>
      <c r="H91" s="453" t="str">
        <f>IF(Cuartos!K90="","",Cuartos!K90)</f>
        <v/>
      </c>
      <c r="I91" s="453" t="str">
        <f>IF(Cuartos!L90="","",Cuartos!L90)</f>
        <v/>
      </c>
      <c r="J91" s="453" t="str">
        <f>IF(Cuartos!DK90="","",Cuartos!DK90)</f>
        <v/>
      </c>
      <c r="K91" s="453" t="str">
        <f>IF(Cuartos!DL90="","",Cuartos!DL90)</f>
        <v/>
      </c>
      <c r="L91" s="463" t="str">
        <f>Cuartos!DM90</f>
        <v/>
      </c>
      <c r="M91" s="151" t="str">
        <f>Cuartos!DU90</f>
        <v/>
      </c>
      <c r="N91" s="139" t="str">
        <f>Cuartos!DV90</f>
        <v/>
      </c>
      <c r="O91" s="140" t="str">
        <f>Cuartos!DW90</f>
        <v/>
      </c>
      <c r="P91" s="148" t="str">
        <f>Cuartos!DX90</f>
        <v/>
      </c>
      <c r="Q91" s="139" t="str">
        <f>Cuartos!DY90</f>
        <v/>
      </c>
      <c r="R91" s="139" t="str">
        <f>IF($B91="","",Cuartos!DZ90)</f>
        <v/>
      </c>
      <c r="S91" s="139" t="str">
        <f>IF($B91="","",Cuartos!EA90)</f>
        <v/>
      </c>
      <c r="T91" s="139" t="str">
        <f>IF($B91="","",Cuartos!EC90)</f>
        <v/>
      </c>
      <c r="U91" s="140" t="str">
        <f>IF($B91="","",Cuartos!ED90)</f>
        <v/>
      </c>
    </row>
    <row r="92" spans="1:21" x14ac:dyDescent="0.3">
      <c r="A92" s="135">
        <v>75</v>
      </c>
      <c r="B92" s="136" t="str">
        <f>_xlfn.CONCAT(IF(Cuartos!C91="","",Cuartos!C91&amp;" "),IF(Cuartos!D91="","",Cuartos!D91))</f>
        <v/>
      </c>
      <c r="C92" s="369" t="str">
        <f>IF(Cuartos!E91="","",Cuartos!E91)</f>
        <v/>
      </c>
      <c r="D92" s="137" t="str">
        <f>IF(Cuartos!F91="","",Cuartos!F91)</f>
        <v/>
      </c>
      <c r="E92" s="137" t="str">
        <f>IF(Cuartos!G91="","",Cuartos!G91)</f>
        <v/>
      </c>
      <c r="F92" s="153" t="str">
        <f>IF(Cuartos!H91="","",Cuartos!H91)</f>
        <v/>
      </c>
      <c r="G92" s="452" t="str">
        <f>IF(Cuartos!J91="","",Cuartos!J91)</f>
        <v/>
      </c>
      <c r="H92" s="453" t="str">
        <f>IF(Cuartos!K91="","",Cuartos!K91)</f>
        <v/>
      </c>
      <c r="I92" s="453" t="str">
        <f>IF(Cuartos!L91="","",Cuartos!L91)</f>
        <v/>
      </c>
      <c r="J92" s="453" t="str">
        <f>IF(Cuartos!DK91="","",Cuartos!DK91)</f>
        <v/>
      </c>
      <c r="K92" s="453" t="str">
        <f>IF(Cuartos!DL91="","",Cuartos!DL91)</f>
        <v/>
      </c>
      <c r="L92" s="463" t="str">
        <f>Cuartos!DM91</f>
        <v/>
      </c>
      <c r="M92" s="151" t="str">
        <f>Cuartos!DU91</f>
        <v/>
      </c>
      <c r="N92" s="139" t="str">
        <f>Cuartos!DV91</f>
        <v/>
      </c>
      <c r="O92" s="140" t="str">
        <f>Cuartos!DW91</f>
        <v/>
      </c>
      <c r="P92" s="148" t="str">
        <f>Cuartos!DX91</f>
        <v/>
      </c>
      <c r="Q92" s="139" t="str">
        <f>Cuartos!DY91</f>
        <v/>
      </c>
      <c r="R92" s="139" t="str">
        <f>IF($B92="","",Cuartos!DZ91)</f>
        <v/>
      </c>
      <c r="S92" s="139" t="str">
        <f>IF($B92="","",Cuartos!EA91)</f>
        <v/>
      </c>
      <c r="T92" s="139" t="str">
        <f>IF($B92="","",Cuartos!EC91)</f>
        <v/>
      </c>
      <c r="U92" s="140" t="str">
        <f>IF($B92="","",Cuartos!ED91)</f>
        <v/>
      </c>
    </row>
    <row r="93" spans="1:21" x14ac:dyDescent="0.3">
      <c r="A93" s="135">
        <v>76</v>
      </c>
      <c r="B93" s="136" t="str">
        <f>_xlfn.CONCAT(IF(Cuartos!C92="","",Cuartos!C92&amp;" "),IF(Cuartos!D92="","",Cuartos!D92))</f>
        <v/>
      </c>
      <c r="C93" s="369" t="str">
        <f>IF(Cuartos!E92="","",Cuartos!E92)</f>
        <v/>
      </c>
      <c r="D93" s="137" t="str">
        <f>IF(Cuartos!F92="","",Cuartos!F92)</f>
        <v/>
      </c>
      <c r="E93" s="137" t="str">
        <f>IF(Cuartos!G92="","",Cuartos!G92)</f>
        <v/>
      </c>
      <c r="F93" s="153" t="str">
        <f>IF(Cuartos!H92="","",Cuartos!H92)</f>
        <v/>
      </c>
      <c r="G93" s="452" t="str">
        <f>IF(Cuartos!J92="","",Cuartos!J92)</f>
        <v/>
      </c>
      <c r="H93" s="453" t="str">
        <f>IF(Cuartos!K92="","",Cuartos!K92)</f>
        <v/>
      </c>
      <c r="I93" s="453" t="str">
        <f>IF(Cuartos!L92="","",Cuartos!L92)</f>
        <v/>
      </c>
      <c r="J93" s="453" t="str">
        <f>IF(Cuartos!DK92="","",Cuartos!DK92)</f>
        <v/>
      </c>
      <c r="K93" s="453" t="str">
        <f>IF(Cuartos!DL92="","",Cuartos!DL92)</f>
        <v/>
      </c>
      <c r="L93" s="463" t="str">
        <f>Cuartos!DM92</f>
        <v/>
      </c>
      <c r="M93" s="151" t="str">
        <f>Cuartos!DU92</f>
        <v/>
      </c>
      <c r="N93" s="139" t="str">
        <f>Cuartos!DV92</f>
        <v/>
      </c>
      <c r="O93" s="140" t="str">
        <f>Cuartos!DW92</f>
        <v/>
      </c>
      <c r="P93" s="148" t="str">
        <f>Cuartos!DX92</f>
        <v/>
      </c>
      <c r="Q93" s="139" t="str">
        <f>Cuartos!DY92</f>
        <v/>
      </c>
      <c r="R93" s="139" t="str">
        <f>IF($B93="","",Cuartos!DZ92)</f>
        <v/>
      </c>
      <c r="S93" s="139" t="str">
        <f>IF($B93="","",Cuartos!EA92)</f>
        <v/>
      </c>
      <c r="T93" s="139" t="str">
        <f>IF($B93="","",Cuartos!EC92)</f>
        <v/>
      </c>
      <c r="U93" s="140" t="str">
        <f>IF($B93="","",Cuartos!ED92)</f>
        <v/>
      </c>
    </row>
    <row r="94" spans="1:21" x14ac:dyDescent="0.3">
      <c r="A94" s="135">
        <v>77</v>
      </c>
      <c r="B94" s="136" t="str">
        <f>_xlfn.CONCAT(IF(Cuartos!C93="","",Cuartos!C93&amp;" "),IF(Cuartos!D93="","",Cuartos!D93))</f>
        <v/>
      </c>
      <c r="C94" s="369" t="str">
        <f>IF(Cuartos!E93="","",Cuartos!E93)</f>
        <v/>
      </c>
      <c r="D94" s="137" t="str">
        <f>IF(Cuartos!F93="","",Cuartos!F93)</f>
        <v/>
      </c>
      <c r="E94" s="137" t="str">
        <f>IF(Cuartos!G93="","",Cuartos!G93)</f>
        <v/>
      </c>
      <c r="F94" s="153" t="str">
        <f>IF(Cuartos!H93="","",Cuartos!H93)</f>
        <v/>
      </c>
      <c r="G94" s="452" t="str">
        <f>IF(Cuartos!J93="","",Cuartos!J93)</f>
        <v/>
      </c>
      <c r="H94" s="453" t="str">
        <f>IF(Cuartos!K93="","",Cuartos!K93)</f>
        <v/>
      </c>
      <c r="I94" s="453" t="str">
        <f>IF(Cuartos!L93="","",Cuartos!L93)</f>
        <v/>
      </c>
      <c r="J94" s="453" t="str">
        <f>IF(Cuartos!DK93="","",Cuartos!DK93)</f>
        <v/>
      </c>
      <c r="K94" s="453" t="str">
        <f>IF(Cuartos!DL93="","",Cuartos!DL93)</f>
        <v/>
      </c>
      <c r="L94" s="463" t="str">
        <f>Cuartos!DM93</f>
        <v/>
      </c>
      <c r="M94" s="151" t="str">
        <f>Cuartos!DU93</f>
        <v/>
      </c>
      <c r="N94" s="139" t="str">
        <f>Cuartos!DV93</f>
        <v/>
      </c>
      <c r="O94" s="140" t="str">
        <f>Cuartos!DW93</f>
        <v/>
      </c>
      <c r="P94" s="148" t="str">
        <f>Cuartos!DX93</f>
        <v/>
      </c>
      <c r="Q94" s="139" t="str">
        <f>Cuartos!DY93</f>
        <v/>
      </c>
      <c r="R94" s="139" t="str">
        <f>IF($B94="","",Cuartos!DZ93)</f>
        <v/>
      </c>
      <c r="S94" s="139" t="str">
        <f>IF($B94="","",Cuartos!EA93)</f>
        <v/>
      </c>
      <c r="T94" s="139" t="str">
        <f>IF($B94="","",Cuartos!EC93)</f>
        <v/>
      </c>
      <c r="U94" s="140" t="str">
        <f>IF($B94="","",Cuartos!ED93)</f>
        <v/>
      </c>
    </row>
    <row r="95" spans="1:21" x14ac:dyDescent="0.3">
      <c r="A95" s="135">
        <v>78</v>
      </c>
      <c r="B95" s="136" t="str">
        <f>_xlfn.CONCAT(IF(Cuartos!C94="","",Cuartos!C94&amp;" "),IF(Cuartos!D94="","",Cuartos!D94))</f>
        <v/>
      </c>
      <c r="C95" s="369" t="str">
        <f>IF(Cuartos!E94="","",Cuartos!E94)</f>
        <v/>
      </c>
      <c r="D95" s="137" t="str">
        <f>IF(Cuartos!F94="","",Cuartos!F94)</f>
        <v/>
      </c>
      <c r="E95" s="137" t="str">
        <f>IF(Cuartos!G94="","",Cuartos!G94)</f>
        <v/>
      </c>
      <c r="F95" s="153" t="str">
        <f>IF(Cuartos!H94="","",Cuartos!H94)</f>
        <v/>
      </c>
      <c r="G95" s="452" t="str">
        <f>IF(Cuartos!J94="","",Cuartos!J94)</f>
        <v/>
      </c>
      <c r="H95" s="453" t="str">
        <f>IF(Cuartos!K94="","",Cuartos!K94)</f>
        <v/>
      </c>
      <c r="I95" s="453" t="str">
        <f>IF(Cuartos!L94="","",Cuartos!L94)</f>
        <v/>
      </c>
      <c r="J95" s="453" t="str">
        <f>IF(Cuartos!DK94="","",Cuartos!DK94)</f>
        <v/>
      </c>
      <c r="K95" s="453" t="str">
        <f>IF(Cuartos!DL94="","",Cuartos!DL94)</f>
        <v/>
      </c>
      <c r="L95" s="463" t="str">
        <f>Cuartos!DM94</f>
        <v/>
      </c>
      <c r="M95" s="151" t="str">
        <f>Cuartos!DU94</f>
        <v/>
      </c>
      <c r="N95" s="139" t="str">
        <f>Cuartos!DV94</f>
        <v/>
      </c>
      <c r="O95" s="140" t="str">
        <f>Cuartos!DW94</f>
        <v/>
      </c>
      <c r="P95" s="148" t="str">
        <f>Cuartos!DX94</f>
        <v/>
      </c>
      <c r="Q95" s="139" t="str">
        <f>Cuartos!DY94</f>
        <v/>
      </c>
      <c r="R95" s="139" t="str">
        <f>IF($B95="","",Cuartos!DZ94)</f>
        <v/>
      </c>
      <c r="S95" s="139" t="str">
        <f>IF($B95="","",Cuartos!EA94)</f>
        <v/>
      </c>
      <c r="T95" s="139" t="str">
        <f>IF($B95="","",Cuartos!EC94)</f>
        <v/>
      </c>
      <c r="U95" s="140" t="str">
        <f>IF($B95="","",Cuartos!ED94)</f>
        <v/>
      </c>
    </row>
    <row r="96" spans="1:21" x14ac:dyDescent="0.3">
      <c r="A96" s="135">
        <v>79</v>
      </c>
      <c r="B96" s="136" t="str">
        <f>_xlfn.CONCAT(IF(Cuartos!C95="","",Cuartos!C95&amp;" "),IF(Cuartos!D95="","",Cuartos!D95))</f>
        <v/>
      </c>
      <c r="C96" s="369" t="str">
        <f>IF(Cuartos!E95="","",Cuartos!E95)</f>
        <v/>
      </c>
      <c r="D96" s="137" t="str">
        <f>IF(Cuartos!F95="","",Cuartos!F95)</f>
        <v/>
      </c>
      <c r="E96" s="137" t="str">
        <f>IF(Cuartos!G95="","",Cuartos!G95)</f>
        <v/>
      </c>
      <c r="F96" s="153" t="str">
        <f>IF(Cuartos!H95="","",Cuartos!H95)</f>
        <v/>
      </c>
      <c r="G96" s="452" t="str">
        <f>IF(Cuartos!J95="","",Cuartos!J95)</f>
        <v/>
      </c>
      <c r="H96" s="453" t="str">
        <f>IF(Cuartos!K95="","",Cuartos!K95)</f>
        <v/>
      </c>
      <c r="I96" s="453" t="str">
        <f>IF(Cuartos!L95="","",Cuartos!L95)</f>
        <v/>
      </c>
      <c r="J96" s="453" t="str">
        <f>IF(Cuartos!DK95="","",Cuartos!DK95)</f>
        <v/>
      </c>
      <c r="K96" s="453" t="str">
        <f>IF(Cuartos!DL95="","",Cuartos!DL95)</f>
        <v/>
      </c>
      <c r="L96" s="463" t="str">
        <f>Cuartos!DM95</f>
        <v/>
      </c>
      <c r="M96" s="151" t="str">
        <f>Cuartos!DU95</f>
        <v/>
      </c>
      <c r="N96" s="139" t="str">
        <f>Cuartos!DV95</f>
        <v/>
      </c>
      <c r="O96" s="140" t="str">
        <f>Cuartos!DW95</f>
        <v/>
      </c>
      <c r="P96" s="148" t="str">
        <f>Cuartos!DX95</f>
        <v/>
      </c>
      <c r="Q96" s="139" t="str">
        <f>Cuartos!DY95</f>
        <v/>
      </c>
      <c r="R96" s="139" t="str">
        <f>IF($B96="","",Cuartos!DZ95)</f>
        <v/>
      </c>
      <c r="S96" s="139" t="str">
        <f>IF($B96="","",Cuartos!EA95)</f>
        <v/>
      </c>
      <c r="T96" s="139" t="str">
        <f>IF($B96="","",Cuartos!EC95)</f>
        <v/>
      </c>
      <c r="U96" s="140" t="str">
        <f>IF($B96="","",Cuartos!ED95)</f>
        <v/>
      </c>
    </row>
    <row r="97" spans="1:21" x14ac:dyDescent="0.3">
      <c r="A97" s="141">
        <v>80</v>
      </c>
      <c r="B97" s="142" t="str">
        <f>_xlfn.CONCAT(IF(Cuartos!C96="","",Cuartos!C96&amp;" "),IF(Cuartos!D96="","",Cuartos!D96))</f>
        <v/>
      </c>
      <c r="C97" s="370" t="str">
        <f>IF(Cuartos!E96="","",Cuartos!E96)</f>
        <v/>
      </c>
      <c r="D97" s="143" t="str">
        <f>IF(Cuartos!F96="","",Cuartos!F96)</f>
        <v/>
      </c>
      <c r="E97" s="143" t="str">
        <f>IF(Cuartos!G96="","",Cuartos!G96)</f>
        <v/>
      </c>
      <c r="F97" s="154" t="str">
        <f>IF(Cuartos!H96="","",Cuartos!H96)</f>
        <v/>
      </c>
      <c r="G97" s="454" t="str">
        <f>IF(Cuartos!J96="","",Cuartos!J96)</f>
        <v/>
      </c>
      <c r="H97" s="455" t="str">
        <f>IF(Cuartos!K96="","",Cuartos!K96)</f>
        <v/>
      </c>
      <c r="I97" s="455" t="str">
        <f>IF(Cuartos!L96="","",Cuartos!L96)</f>
        <v/>
      </c>
      <c r="J97" s="455" t="str">
        <f>IF(Cuartos!DK96="","",Cuartos!DK96)</f>
        <v/>
      </c>
      <c r="K97" s="455" t="str">
        <f>IF(Cuartos!DL96="","",Cuartos!DL96)</f>
        <v/>
      </c>
      <c r="L97" s="464" t="str">
        <f>Cuartos!DM96</f>
        <v/>
      </c>
      <c r="M97" s="152" t="str">
        <f>Cuartos!DU96</f>
        <v/>
      </c>
      <c r="N97" s="145" t="str">
        <f>Cuartos!DV96</f>
        <v/>
      </c>
      <c r="O97" s="146" t="str">
        <f>Cuartos!DW96</f>
        <v/>
      </c>
      <c r="P97" s="149" t="str">
        <f>Cuartos!DX96</f>
        <v/>
      </c>
      <c r="Q97" s="145" t="str">
        <f>Cuartos!DY96</f>
        <v/>
      </c>
      <c r="R97" s="145" t="str">
        <f>IF($B97="","",Cuartos!DZ96)</f>
        <v/>
      </c>
      <c r="S97" s="145" t="str">
        <f>IF($B97="","",Cuartos!EA96)</f>
        <v/>
      </c>
      <c r="T97" s="145" t="str">
        <f>IF($B97="","",Cuartos!EC96)</f>
        <v/>
      </c>
      <c r="U97" s="146" t="str">
        <f>IF($B97="","",Cuartos!ED96)</f>
        <v/>
      </c>
    </row>
    <row r="98" spans="1:21" x14ac:dyDescent="0.3">
      <c r="K98" s="610" t="s">
        <v>136</v>
      </c>
      <c r="L98" s="610"/>
      <c r="M98" s="5">
        <f>AS</f>
        <v>0</v>
      </c>
      <c r="N98" s="5">
        <f>ASPP</f>
        <v>0</v>
      </c>
      <c r="O98" s="333">
        <f>ASTOT</f>
        <v>0</v>
      </c>
      <c r="P98" s="5">
        <f>AR</f>
        <v>0</v>
      </c>
      <c r="Q98" s="5">
        <f>AE</f>
        <v>0</v>
      </c>
      <c r="R98" s="5">
        <f>CP</f>
        <v>0</v>
      </c>
      <c r="S98" s="5">
        <f>AOT</f>
        <v>0</v>
      </c>
      <c r="T98" s="5">
        <f>IFERROR(ASPN,0)</f>
        <v>0</v>
      </c>
      <c r="U98" s="333">
        <f>AETOT</f>
        <v>0</v>
      </c>
    </row>
    <row r="100" spans="1:21" x14ac:dyDescent="0.3">
      <c r="B100" s="94" t="s">
        <v>212</v>
      </c>
      <c r="C100" s="615" t="str">
        <f>IF(Datos!I1="","",Datos!I1)</f>
        <v/>
      </c>
      <c r="D100" s="615"/>
      <c r="E100" s="615"/>
      <c r="F100" s="615"/>
      <c r="G100" s="615"/>
      <c r="H100" s="615"/>
      <c r="I100" s="615"/>
    </row>
    <row r="101" spans="1:21" ht="13.8" hidden="1" customHeight="1" x14ac:dyDescent="0.3">
      <c r="B101" s="94" t="s">
        <v>211</v>
      </c>
      <c r="C101" s="615" t="str">
        <f>IF(Datos!B6="","",Datos!B6)</f>
        <v/>
      </c>
      <c r="D101" s="615"/>
      <c r="E101" s="615"/>
      <c r="F101" s="615"/>
      <c r="G101" s="615"/>
      <c r="H101" s="615"/>
      <c r="I101" s="615"/>
    </row>
    <row r="102" spans="1:21" x14ac:dyDescent="0.3">
      <c r="B102" s="94" t="s">
        <v>213</v>
      </c>
      <c r="C102" s="615" t="str">
        <f>IF(Datos!B9="","",Datos!B9)</f>
        <v/>
      </c>
      <c r="D102" s="615"/>
      <c r="E102" s="615"/>
      <c r="F102" s="615"/>
      <c r="G102" s="615"/>
      <c r="H102" s="615"/>
      <c r="I102" s="615"/>
    </row>
    <row r="104" spans="1:21" x14ac:dyDescent="0.3">
      <c r="A104" s="611" t="s">
        <v>0</v>
      </c>
      <c r="B104" s="611" t="s">
        <v>34</v>
      </c>
      <c r="C104" s="611" t="s">
        <v>7</v>
      </c>
      <c r="D104" s="611" t="s">
        <v>19</v>
      </c>
      <c r="E104" s="611" t="s">
        <v>20</v>
      </c>
      <c r="F104" s="611" t="s">
        <v>8</v>
      </c>
      <c r="G104" s="611" t="s">
        <v>21</v>
      </c>
      <c r="H104" s="611" t="s">
        <v>22</v>
      </c>
      <c r="I104" s="611" t="s">
        <v>23</v>
      </c>
      <c r="J104" s="611" t="s">
        <v>24</v>
      </c>
      <c r="K104" s="611" t="s">
        <v>24</v>
      </c>
      <c r="L104" s="611" t="s">
        <v>25</v>
      </c>
      <c r="M104" s="614" t="s">
        <v>137</v>
      </c>
      <c r="N104" s="614"/>
      <c r="O104" s="614"/>
      <c r="P104" s="614" t="s">
        <v>138</v>
      </c>
      <c r="Q104" s="614"/>
      <c r="R104" s="614"/>
      <c r="S104" s="614"/>
      <c r="T104" s="614"/>
      <c r="U104" s="614"/>
    </row>
    <row r="105" spans="1:21" x14ac:dyDescent="0.3">
      <c r="A105" s="612"/>
      <c r="B105" s="612"/>
      <c r="C105" s="612"/>
      <c r="D105" s="612"/>
      <c r="E105" s="612"/>
      <c r="F105" s="612"/>
      <c r="G105" s="612"/>
      <c r="H105" s="612"/>
      <c r="I105" s="612"/>
      <c r="J105" s="612"/>
      <c r="K105" s="612"/>
      <c r="L105" s="612"/>
      <c r="M105" s="428" t="s">
        <v>168</v>
      </c>
      <c r="N105" s="428" t="s">
        <v>527</v>
      </c>
      <c r="O105" s="428" t="s">
        <v>26</v>
      </c>
      <c r="P105" s="428" t="s">
        <v>169</v>
      </c>
      <c r="Q105" s="428" t="s">
        <v>170</v>
      </c>
      <c r="R105" s="428" t="s">
        <v>171</v>
      </c>
      <c r="S105" s="428" t="s">
        <v>526</v>
      </c>
      <c r="T105" s="428" t="s">
        <v>528</v>
      </c>
      <c r="U105" s="428" t="s">
        <v>26</v>
      </c>
    </row>
    <row r="106" spans="1:21" x14ac:dyDescent="0.3">
      <c r="A106" s="613"/>
      <c r="B106" s="613"/>
      <c r="C106" s="429" t="s">
        <v>15</v>
      </c>
      <c r="D106" s="429" t="s">
        <v>14</v>
      </c>
      <c r="E106" s="429" t="s">
        <v>12</v>
      </c>
      <c r="F106" s="613"/>
      <c r="G106" s="429" t="s">
        <v>27</v>
      </c>
      <c r="H106" s="429" t="s">
        <v>27</v>
      </c>
      <c r="I106" s="429" t="s">
        <v>27</v>
      </c>
      <c r="J106" s="429" t="s">
        <v>28</v>
      </c>
      <c r="K106" s="129" t="s">
        <v>29</v>
      </c>
      <c r="L106" s="613"/>
      <c r="M106" s="129" t="s">
        <v>42</v>
      </c>
      <c r="N106" s="129" t="s">
        <v>42</v>
      </c>
      <c r="O106" s="429" t="s">
        <v>42</v>
      </c>
      <c r="P106" s="429" t="s">
        <v>42</v>
      </c>
      <c r="Q106" s="429" t="s">
        <v>42</v>
      </c>
      <c r="R106" s="429" t="s">
        <v>42</v>
      </c>
      <c r="S106" s="429" t="s">
        <v>42</v>
      </c>
      <c r="T106" s="429" t="s">
        <v>42</v>
      </c>
      <c r="U106" s="429" t="s">
        <v>42</v>
      </c>
    </row>
    <row r="107" spans="1:21" x14ac:dyDescent="0.3">
      <c r="A107" s="135">
        <v>81</v>
      </c>
      <c r="B107" s="136" t="str">
        <f>_xlfn.CONCAT(IF(Cuartos!C97="","",Cuartos!C97&amp;" "),IF(Cuartos!D97="","",Cuartos!D97))</f>
        <v/>
      </c>
      <c r="C107" s="369" t="str">
        <f>IF(Cuartos!E97="","",Cuartos!E97)</f>
        <v/>
      </c>
      <c r="D107" s="137" t="str">
        <f>IF(Cuartos!F97="","",Cuartos!F97)</f>
        <v/>
      </c>
      <c r="E107" s="137" t="str">
        <f>IF(Cuartos!G97="","",Cuartos!G97)</f>
        <v/>
      </c>
      <c r="F107" s="153" t="str">
        <f>IF(Cuartos!H97="","",Cuartos!H97)</f>
        <v/>
      </c>
      <c r="G107" s="456" t="str">
        <f>IF(Cuartos!J97="","",Cuartos!J97)</f>
        <v/>
      </c>
      <c r="H107" s="457" t="str">
        <f>IF(Cuartos!K97="","",Cuartos!K97)</f>
        <v/>
      </c>
      <c r="I107" s="457" t="str">
        <f>IF(Cuartos!L97="","",Cuartos!L97)</f>
        <v/>
      </c>
      <c r="J107" s="457" t="str">
        <f>IF(Cuartos!DK97="","",Cuartos!DK97)</f>
        <v/>
      </c>
      <c r="K107" s="457" t="str">
        <f>IF(Cuartos!DL97="","",Cuartos!DL97)</f>
        <v/>
      </c>
      <c r="L107" s="462" t="str">
        <f>Cuartos!DM97</f>
        <v/>
      </c>
      <c r="M107" s="148" t="str">
        <f>Cuartos!DU97</f>
        <v/>
      </c>
      <c r="N107" s="139" t="str">
        <f>Cuartos!DV97</f>
        <v/>
      </c>
      <c r="O107" s="155" t="str">
        <f>Cuartos!DW97</f>
        <v/>
      </c>
      <c r="P107" s="150" t="str">
        <f>Cuartos!DX97</f>
        <v/>
      </c>
      <c r="Q107" s="139" t="str">
        <f>Cuartos!DY97</f>
        <v/>
      </c>
      <c r="R107" s="139" t="str">
        <f>IF($B107="","",Cuartos!DZ97)</f>
        <v/>
      </c>
      <c r="S107" s="139" t="str">
        <f>IF($B107="","",Cuartos!EA97)</f>
        <v/>
      </c>
      <c r="T107" s="139" t="str">
        <f>IF($B107="","",Cuartos!EC97)</f>
        <v/>
      </c>
      <c r="U107" s="140" t="str">
        <f>IF($B107="","",Cuartos!ED97)</f>
        <v/>
      </c>
    </row>
    <row r="108" spans="1:21" x14ac:dyDescent="0.3">
      <c r="A108" s="135">
        <v>82</v>
      </c>
      <c r="B108" s="136" t="str">
        <f>_xlfn.CONCAT(IF(Cuartos!C98="","",Cuartos!C98&amp;" "),IF(Cuartos!D98="","",Cuartos!D98))</f>
        <v/>
      </c>
      <c r="C108" s="369" t="str">
        <f>IF(Cuartos!E98="","",Cuartos!E98)</f>
        <v/>
      </c>
      <c r="D108" s="137" t="str">
        <f>IF(Cuartos!F98="","",Cuartos!F98)</f>
        <v/>
      </c>
      <c r="E108" s="137" t="str">
        <f>IF(Cuartos!G98="","",Cuartos!G98)</f>
        <v/>
      </c>
      <c r="F108" s="153" t="str">
        <f>IF(Cuartos!H98="","",Cuartos!H98)</f>
        <v/>
      </c>
      <c r="G108" s="452" t="str">
        <f>IF(Cuartos!J98="","",Cuartos!J98)</f>
        <v/>
      </c>
      <c r="H108" s="453" t="str">
        <f>IF(Cuartos!K98="","",Cuartos!K98)</f>
        <v/>
      </c>
      <c r="I108" s="453" t="str">
        <f>IF(Cuartos!L98="","",Cuartos!L98)</f>
        <v/>
      </c>
      <c r="J108" s="453" t="str">
        <f>IF(Cuartos!DK98="","",Cuartos!DK98)</f>
        <v/>
      </c>
      <c r="K108" s="453" t="str">
        <f>IF(Cuartos!DL98="","",Cuartos!DL98)</f>
        <v/>
      </c>
      <c r="L108" s="463" t="str">
        <f>Cuartos!DM98</f>
        <v/>
      </c>
      <c r="M108" s="148" t="str">
        <f>Cuartos!DU98</f>
        <v/>
      </c>
      <c r="N108" s="139" t="str">
        <f>Cuartos!DV98</f>
        <v/>
      </c>
      <c r="O108" s="155" t="str">
        <f>Cuartos!DW98</f>
        <v/>
      </c>
      <c r="P108" s="151" t="str">
        <f>Cuartos!DX98</f>
        <v/>
      </c>
      <c r="Q108" s="139" t="str">
        <f>Cuartos!DY98</f>
        <v/>
      </c>
      <c r="R108" s="139" t="str">
        <f>IF($B108="","",Cuartos!DZ98)</f>
        <v/>
      </c>
      <c r="S108" s="139" t="str">
        <f>IF($B108="","",Cuartos!EA98)</f>
        <v/>
      </c>
      <c r="T108" s="139" t="str">
        <f>IF($B108="","",Cuartos!EC98)</f>
        <v/>
      </c>
      <c r="U108" s="140" t="str">
        <f>IF($B108="","",Cuartos!ED98)</f>
        <v/>
      </c>
    </row>
    <row r="109" spans="1:21" x14ac:dyDescent="0.3">
      <c r="A109" s="135">
        <v>83</v>
      </c>
      <c r="B109" s="136" t="str">
        <f>_xlfn.CONCAT(IF(Cuartos!C99="","",Cuartos!C99&amp;" "),IF(Cuartos!D99="","",Cuartos!D99))</f>
        <v/>
      </c>
      <c r="C109" s="369" t="str">
        <f>IF(Cuartos!E99="","",Cuartos!E99)</f>
        <v/>
      </c>
      <c r="D109" s="137" t="str">
        <f>IF(Cuartos!F99="","",Cuartos!F99)</f>
        <v/>
      </c>
      <c r="E109" s="137" t="str">
        <f>IF(Cuartos!G99="","",Cuartos!G99)</f>
        <v/>
      </c>
      <c r="F109" s="153" t="str">
        <f>IF(Cuartos!H99="","",Cuartos!H99)</f>
        <v/>
      </c>
      <c r="G109" s="452" t="str">
        <f>IF(Cuartos!J99="","",Cuartos!J99)</f>
        <v/>
      </c>
      <c r="H109" s="453" t="str">
        <f>IF(Cuartos!K99="","",Cuartos!K99)</f>
        <v/>
      </c>
      <c r="I109" s="453" t="str">
        <f>IF(Cuartos!L99="","",Cuartos!L99)</f>
        <v/>
      </c>
      <c r="J109" s="453" t="str">
        <f>IF(Cuartos!DK99="","",Cuartos!DK99)</f>
        <v/>
      </c>
      <c r="K109" s="453" t="str">
        <f>IF(Cuartos!DL99="","",Cuartos!DL99)</f>
        <v/>
      </c>
      <c r="L109" s="463" t="str">
        <f>Cuartos!DM99</f>
        <v/>
      </c>
      <c r="M109" s="148" t="str">
        <f>Cuartos!DU99</f>
        <v/>
      </c>
      <c r="N109" s="139" t="str">
        <f>Cuartos!DV99</f>
        <v/>
      </c>
      <c r="O109" s="155" t="str">
        <f>Cuartos!DW99</f>
        <v/>
      </c>
      <c r="P109" s="151" t="str">
        <f>Cuartos!DX99</f>
        <v/>
      </c>
      <c r="Q109" s="139" t="str">
        <f>Cuartos!DY99</f>
        <v/>
      </c>
      <c r="R109" s="139" t="str">
        <f>IF($B109="","",Cuartos!DZ99)</f>
        <v/>
      </c>
      <c r="S109" s="139" t="str">
        <f>IF($B109="","",Cuartos!EA99)</f>
        <v/>
      </c>
      <c r="T109" s="139" t="str">
        <f>IF($B109="","",Cuartos!EC99)</f>
        <v/>
      </c>
      <c r="U109" s="140" t="str">
        <f>IF($B109="","",Cuartos!ED99)</f>
        <v/>
      </c>
    </row>
    <row r="110" spans="1:21" x14ac:dyDescent="0.3">
      <c r="A110" s="135">
        <v>84</v>
      </c>
      <c r="B110" s="136" t="str">
        <f>_xlfn.CONCAT(IF(Cuartos!C100="","",Cuartos!C100&amp;" "),IF(Cuartos!D100="","",Cuartos!D100))</f>
        <v/>
      </c>
      <c r="C110" s="369" t="str">
        <f>IF(Cuartos!E100="","",Cuartos!E100)</f>
        <v/>
      </c>
      <c r="D110" s="137" t="str">
        <f>IF(Cuartos!F100="","",Cuartos!F100)</f>
        <v/>
      </c>
      <c r="E110" s="137" t="str">
        <f>IF(Cuartos!G100="","",Cuartos!G100)</f>
        <v/>
      </c>
      <c r="F110" s="153" t="str">
        <f>IF(Cuartos!H100="","",Cuartos!H100)</f>
        <v/>
      </c>
      <c r="G110" s="452" t="str">
        <f>IF(Cuartos!J100="","",Cuartos!J100)</f>
        <v/>
      </c>
      <c r="H110" s="453" t="str">
        <f>IF(Cuartos!K100="","",Cuartos!K100)</f>
        <v/>
      </c>
      <c r="I110" s="453" t="str">
        <f>IF(Cuartos!L100="","",Cuartos!L100)</f>
        <v/>
      </c>
      <c r="J110" s="453" t="str">
        <f>IF(Cuartos!DK100="","",Cuartos!DK100)</f>
        <v/>
      </c>
      <c r="K110" s="453" t="str">
        <f>IF(Cuartos!DL100="","",Cuartos!DL100)</f>
        <v/>
      </c>
      <c r="L110" s="463" t="str">
        <f>Cuartos!DM100</f>
        <v/>
      </c>
      <c r="M110" s="148" t="str">
        <f>Cuartos!DU100</f>
        <v/>
      </c>
      <c r="N110" s="139" t="str">
        <f>Cuartos!DV100</f>
        <v/>
      </c>
      <c r="O110" s="155" t="str">
        <f>Cuartos!DW100</f>
        <v/>
      </c>
      <c r="P110" s="151" t="str">
        <f>Cuartos!DX100</f>
        <v/>
      </c>
      <c r="Q110" s="139" t="str">
        <f>Cuartos!DY100</f>
        <v/>
      </c>
      <c r="R110" s="139" t="str">
        <f>IF($B110="","",Cuartos!DZ100)</f>
        <v/>
      </c>
      <c r="S110" s="139" t="str">
        <f>IF($B110="","",Cuartos!EA100)</f>
        <v/>
      </c>
      <c r="T110" s="139" t="str">
        <f>IF($B110="","",Cuartos!EC100)</f>
        <v/>
      </c>
      <c r="U110" s="140" t="str">
        <f>IF($B110="","",Cuartos!ED100)</f>
        <v/>
      </c>
    </row>
    <row r="111" spans="1:21" x14ac:dyDescent="0.3">
      <c r="A111" s="135">
        <v>85</v>
      </c>
      <c r="B111" s="136" t="str">
        <f>_xlfn.CONCAT(IF(Cuartos!C101="","",Cuartos!C101&amp;" "),IF(Cuartos!D101="","",Cuartos!D101))</f>
        <v/>
      </c>
      <c r="C111" s="369" t="str">
        <f>IF(Cuartos!E101="","",Cuartos!E101)</f>
        <v/>
      </c>
      <c r="D111" s="137" t="str">
        <f>IF(Cuartos!F101="","",Cuartos!F101)</f>
        <v/>
      </c>
      <c r="E111" s="137" t="str">
        <f>IF(Cuartos!G101="","",Cuartos!G101)</f>
        <v/>
      </c>
      <c r="F111" s="153" t="str">
        <f>IF(Cuartos!H101="","",Cuartos!H101)</f>
        <v/>
      </c>
      <c r="G111" s="452" t="str">
        <f>IF(Cuartos!J101="","",Cuartos!J101)</f>
        <v/>
      </c>
      <c r="H111" s="453" t="str">
        <f>IF(Cuartos!K101="","",Cuartos!K101)</f>
        <v/>
      </c>
      <c r="I111" s="453" t="str">
        <f>IF(Cuartos!L101="","",Cuartos!L101)</f>
        <v/>
      </c>
      <c r="J111" s="453" t="str">
        <f>IF(Cuartos!DK101="","",Cuartos!DK101)</f>
        <v/>
      </c>
      <c r="K111" s="453" t="str">
        <f>IF(Cuartos!DL101="","",Cuartos!DL101)</f>
        <v/>
      </c>
      <c r="L111" s="463" t="str">
        <f>Cuartos!DM101</f>
        <v/>
      </c>
      <c r="M111" s="148" t="str">
        <f>Cuartos!DU101</f>
        <v/>
      </c>
      <c r="N111" s="139" t="str">
        <f>Cuartos!DV101</f>
        <v/>
      </c>
      <c r="O111" s="155" t="str">
        <f>Cuartos!DW101</f>
        <v/>
      </c>
      <c r="P111" s="151" t="str">
        <f>Cuartos!DX101</f>
        <v/>
      </c>
      <c r="Q111" s="139" t="str">
        <f>Cuartos!DY101</f>
        <v/>
      </c>
      <c r="R111" s="139" t="str">
        <f>IF($B111="","",Cuartos!DZ101)</f>
        <v/>
      </c>
      <c r="S111" s="139" t="str">
        <f>IF($B111="","",Cuartos!EA101)</f>
        <v/>
      </c>
      <c r="T111" s="139" t="str">
        <f>IF($B111="","",Cuartos!EC101)</f>
        <v/>
      </c>
      <c r="U111" s="140" t="str">
        <f>IF($B111="","",Cuartos!ED101)</f>
        <v/>
      </c>
    </row>
    <row r="112" spans="1:21" x14ac:dyDescent="0.3">
      <c r="A112" s="135">
        <v>86</v>
      </c>
      <c r="B112" s="136" t="str">
        <f>_xlfn.CONCAT(IF(Cuartos!C102="","",Cuartos!C102&amp;" "),IF(Cuartos!D102="","",Cuartos!D102))</f>
        <v/>
      </c>
      <c r="C112" s="369" t="str">
        <f>IF(Cuartos!E102="","",Cuartos!E102)</f>
        <v/>
      </c>
      <c r="D112" s="137" t="str">
        <f>IF(Cuartos!F102="","",Cuartos!F102)</f>
        <v/>
      </c>
      <c r="E112" s="137" t="str">
        <f>IF(Cuartos!G102="","",Cuartos!G102)</f>
        <v/>
      </c>
      <c r="F112" s="153" t="str">
        <f>IF(Cuartos!H102="","",Cuartos!H102)</f>
        <v/>
      </c>
      <c r="G112" s="452" t="str">
        <f>IF(Cuartos!J102="","",Cuartos!J102)</f>
        <v/>
      </c>
      <c r="H112" s="453" t="str">
        <f>IF(Cuartos!K102="","",Cuartos!K102)</f>
        <v/>
      </c>
      <c r="I112" s="453" t="str">
        <f>IF(Cuartos!L102="","",Cuartos!L102)</f>
        <v/>
      </c>
      <c r="J112" s="453" t="str">
        <f>IF(Cuartos!DK102="","",Cuartos!DK102)</f>
        <v/>
      </c>
      <c r="K112" s="453" t="str">
        <f>IF(Cuartos!DL102="","",Cuartos!DL102)</f>
        <v/>
      </c>
      <c r="L112" s="463" t="str">
        <f>Cuartos!DM102</f>
        <v/>
      </c>
      <c r="M112" s="148" t="str">
        <f>Cuartos!DU102</f>
        <v/>
      </c>
      <c r="N112" s="139" t="str">
        <f>Cuartos!DV102</f>
        <v/>
      </c>
      <c r="O112" s="155" t="str">
        <f>Cuartos!DW102</f>
        <v/>
      </c>
      <c r="P112" s="151" t="str">
        <f>Cuartos!DX102</f>
        <v/>
      </c>
      <c r="Q112" s="139" t="str">
        <f>Cuartos!DY102</f>
        <v/>
      </c>
      <c r="R112" s="139" t="str">
        <f>IF($B112="","",Cuartos!DZ102)</f>
        <v/>
      </c>
      <c r="S112" s="139" t="str">
        <f>IF($B112="","",Cuartos!EA102)</f>
        <v/>
      </c>
      <c r="T112" s="139" t="str">
        <f>IF($B112="","",Cuartos!EC102)</f>
        <v/>
      </c>
      <c r="U112" s="140" t="str">
        <f>IF($B112="","",Cuartos!ED102)</f>
        <v/>
      </c>
    </row>
    <row r="113" spans="1:21" x14ac:dyDescent="0.3">
      <c r="A113" s="135">
        <v>87</v>
      </c>
      <c r="B113" s="136" t="str">
        <f>_xlfn.CONCAT(IF(Cuartos!C103="","",Cuartos!C103&amp;" "),IF(Cuartos!D103="","",Cuartos!D103))</f>
        <v/>
      </c>
      <c r="C113" s="369" t="str">
        <f>IF(Cuartos!E103="","",Cuartos!E103)</f>
        <v/>
      </c>
      <c r="D113" s="137" t="str">
        <f>IF(Cuartos!F103="","",Cuartos!F103)</f>
        <v/>
      </c>
      <c r="E113" s="137" t="str">
        <f>IF(Cuartos!G103="","",Cuartos!G103)</f>
        <v/>
      </c>
      <c r="F113" s="153" t="str">
        <f>IF(Cuartos!H103="","",Cuartos!H103)</f>
        <v/>
      </c>
      <c r="G113" s="452" t="str">
        <f>IF(Cuartos!J103="","",Cuartos!J103)</f>
        <v/>
      </c>
      <c r="H113" s="453" t="str">
        <f>IF(Cuartos!K103="","",Cuartos!K103)</f>
        <v/>
      </c>
      <c r="I113" s="453" t="str">
        <f>IF(Cuartos!L103="","",Cuartos!L103)</f>
        <v/>
      </c>
      <c r="J113" s="453" t="str">
        <f>IF(Cuartos!DK103="","",Cuartos!DK103)</f>
        <v/>
      </c>
      <c r="K113" s="453" t="str">
        <f>IF(Cuartos!DL103="","",Cuartos!DL103)</f>
        <v/>
      </c>
      <c r="L113" s="463" t="str">
        <f>Cuartos!DM103</f>
        <v/>
      </c>
      <c r="M113" s="148" t="str">
        <f>Cuartos!DU103</f>
        <v/>
      </c>
      <c r="N113" s="139" t="str">
        <f>Cuartos!DV103</f>
        <v/>
      </c>
      <c r="O113" s="155" t="str">
        <f>Cuartos!DW103</f>
        <v/>
      </c>
      <c r="P113" s="151" t="str">
        <f>Cuartos!DX103</f>
        <v/>
      </c>
      <c r="Q113" s="139" t="str">
        <f>Cuartos!DY103</f>
        <v/>
      </c>
      <c r="R113" s="139" t="str">
        <f>IF($B113="","",Cuartos!DZ103)</f>
        <v/>
      </c>
      <c r="S113" s="139" t="str">
        <f>IF($B113="","",Cuartos!EA103)</f>
        <v/>
      </c>
      <c r="T113" s="139" t="str">
        <f>IF($B113="","",Cuartos!EC103)</f>
        <v/>
      </c>
      <c r="U113" s="140" t="str">
        <f>IF($B113="","",Cuartos!ED103)</f>
        <v/>
      </c>
    </row>
    <row r="114" spans="1:21" x14ac:dyDescent="0.3">
      <c r="A114" s="135">
        <v>88</v>
      </c>
      <c r="B114" s="136" t="str">
        <f>_xlfn.CONCAT(IF(Cuartos!C104="","",Cuartos!C104&amp;" "),IF(Cuartos!D104="","",Cuartos!D104))</f>
        <v/>
      </c>
      <c r="C114" s="369" t="str">
        <f>IF(Cuartos!E104="","",Cuartos!E104)</f>
        <v/>
      </c>
      <c r="D114" s="137" t="str">
        <f>IF(Cuartos!F104="","",Cuartos!F104)</f>
        <v/>
      </c>
      <c r="E114" s="137" t="str">
        <f>IF(Cuartos!G104="","",Cuartos!G104)</f>
        <v/>
      </c>
      <c r="F114" s="153" t="str">
        <f>IF(Cuartos!H104="","",Cuartos!H104)</f>
        <v/>
      </c>
      <c r="G114" s="452" t="str">
        <f>IF(Cuartos!J104="","",Cuartos!J104)</f>
        <v/>
      </c>
      <c r="H114" s="453" t="str">
        <f>IF(Cuartos!K104="","",Cuartos!K104)</f>
        <v/>
      </c>
      <c r="I114" s="453" t="str">
        <f>IF(Cuartos!L104="","",Cuartos!L104)</f>
        <v/>
      </c>
      <c r="J114" s="453" t="str">
        <f>IF(Cuartos!DK104="","",Cuartos!DK104)</f>
        <v/>
      </c>
      <c r="K114" s="453" t="str">
        <f>IF(Cuartos!DL104="","",Cuartos!DL104)</f>
        <v/>
      </c>
      <c r="L114" s="463" t="str">
        <f>Cuartos!DM104</f>
        <v/>
      </c>
      <c r="M114" s="148" t="str">
        <f>Cuartos!DU104</f>
        <v/>
      </c>
      <c r="N114" s="139" t="str">
        <f>Cuartos!DV104</f>
        <v/>
      </c>
      <c r="O114" s="155" t="str">
        <f>Cuartos!DW104</f>
        <v/>
      </c>
      <c r="P114" s="151" t="str">
        <f>Cuartos!DX104</f>
        <v/>
      </c>
      <c r="Q114" s="139" t="str">
        <f>Cuartos!DY104</f>
        <v/>
      </c>
      <c r="R114" s="139" t="str">
        <f>IF($B114="","",Cuartos!DZ104)</f>
        <v/>
      </c>
      <c r="S114" s="139" t="str">
        <f>IF($B114="","",Cuartos!EA104)</f>
        <v/>
      </c>
      <c r="T114" s="139" t="str">
        <f>IF($B114="","",Cuartos!EC104)</f>
        <v/>
      </c>
      <c r="U114" s="140" t="str">
        <f>IF($B114="","",Cuartos!ED104)</f>
        <v/>
      </c>
    </row>
    <row r="115" spans="1:21" x14ac:dyDescent="0.3">
      <c r="A115" s="135">
        <v>89</v>
      </c>
      <c r="B115" s="136" t="str">
        <f>_xlfn.CONCAT(IF(Cuartos!C105="","",Cuartos!C105&amp;" "),IF(Cuartos!D105="","",Cuartos!D105))</f>
        <v/>
      </c>
      <c r="C115" s="369" t="str">
        <f>IF(Cuartos!E105="","",Cuartos!E105)</f>
        <v/>
      </c>
      <c r="D115" s="137" t="str">
        <f>IF(Cuartos!F105="","",Cuartos!F105)</f>
        <v/>
      </c>
      <c r="E115" s="137" t="str">
        <f>IF(Cuartos!G105="","",Cuartos!G105)</f>
        <v/>
      </c>
      <c r="F115" s="153" t="str">
        <f>IF(Cuartos!H105="","",Cuartos!H105)</f>
        <v/>
      </c>
      <c r="G115" s="452" t="str">
        <f>IF(Cuartos!J105="","",Cuartos!J105)</f>
        <v/>
      </c>
      <c r="H115" s="453" t="str">
        <f>IF(Cuartos!K105="","",Cuartos!K105)</f>
        <v/>
      </c>
      <c r="I115" s="453" t="str">
        <f>IF(Cuartos!L105="","",Cuartos!L105)</f>
        <v/>
      </c>
      <c r="J115" s="453" t="str">
        <f>IF(Cuartos!DK105="","",Cuartos!DK105)</f>
        <v/>
      </c>
      <c r="K115" s="453" t="str">
        <f>IF(Cuartos!DL105="","",Cuartos!DL105)</f>
        <v/>
      </c>
      <c r="L115" s="463" t="str">
        <f>Cuartos!DM105</f>
        <v/>
      </c>
      <c r="M115" s="148" t="str">
        <f>Cuartos!DU105</f>
        <v/>
      </c>
      <c r="N115" s="139" t="str">
        <f>Cuartos!DV105</f>
        <v/>
      </c>
      <c r="O115" s="155" t="str">
        <f>Cuartos!DW105</f>
        <v/>
      </c>
      <c r="P115" s="151" t="str">
        <f>Cuartos!DX105</f>
        <v/>
      </c>
      <c r="Q115" s="139" t="str">
        <f>Cuartos!DY105</f>
        <v/>
      </c>
      <c r="R115" s="139" t="str">
        <f>IF($B115="","",Cuartos!DZ105)</f>
        <v/>
      </c>
      <c r="S115" s="139" t="str">
        <f>IF($B115="","",Cuartos!EA105)</f>
        <v/>
      </c>
      <c r="T115" s="139" t="str">
        <f>IF($B115="","",Cuartos!EC105)</f>
        <v/>
      </c>
      <c r="U115" s="140" t="str">
        <f>IF($B115="","",Cuartos!ED105)</f>
        <v/>
      </c>
    </row>
    <row r="116" spans="1:21" x14ac:dyDescent="0.3">
      <c r="A116" s="135">
        <v>90</v>
      </c>
      <c r="B116" s="136" t="str">
        <f>_xlfn.CONCAT(IF(Cuartos!C106="","",Cuartos!C106&amp;" "),IF(Cuartos!D106="","",Cuartos!D106))</f>
        <v/>
      </c>
      <c r="C116" s="369" t="str">
        <f>IF(Cuartos!E106="","",Cuartos!E106)</f>
        <v/>
      </c>
      <c r="D116" s="137" t="str">
        <f>IF(Cuartos!F106="","",Cuartos!F106)</f>
        <v/>
      </c>
      <c r="E116" s="137" t="str">
        <f>IF(Cuartos!G106="","",Cuartos!G106)</f>
        <v/>
      </c>
      <c r="F116" s="153" t="str">
        <f>IF(Cuartos!H106="","",Cuartos!H106)</f>
        <v/>
      </c>
      <c r="G116" s="452" t="str">
        <f>IF(Cuartos!J106="","",Cuartos!J106)</f>
        <v/>
      </c>
      <c r="H116" s="453" t="str">
        <f>IF(Cuartos!K106="","",Cuartos!K106)</f>
        <v/>
      </c>
      <c r="I116" s="453" t="str">
        <f>IF(Cuartos!L106="","",Cuartos!L106)</f>
        <v/>
      </c>
      <c r="J116" s="453" t="str">
        <f>IF(Cuartos!DK106="","",Cuartos!DK106)</f>
        <v/>
      </c>
      <c r="K116" s="453" t="str">
        <f>IF(Cuartos!DL106="","",Cuartos!DL106)</f>
        <v/>
      </c>
      <c r="L116" s="463" t="str">
        <f>Cuartos!DM106</f>
        <v/>
      </c>
      <c r="M116" s="148" t="str">
        <f>Cuartos!DU106</f>
        <v/>
      </c>
      <c r="N116" s="139" t="str">
        <f>Cuartos!DV106</f>
        <v/>
      </c>
      <c r="O116" s="155" t="str">
        <f>Cuartos!DW106</f>
        <v/>
      </c>
      <c r="P116" s="151" t="str">
        <f>Cuartos!DX106</f>
        <v/>
      </c>
      <c r="Q116" s="139" t="str">
        <f>Cuartos!DY106</f>
        <v/>
      </c>
      <c r="R116" s="139" t="str">
        <f>IF($B116="","",Cuartos!DZ106)</f>
        <v/>
      </c>
      <c r="S116" s="139" t="str">
        <f>IF($B116="","",Cuartos!EA106)</f>
        <v/>
      </c>
      <c r="T116" s="139" t="str">
        <f>IF($B116="","",Cuartos!EC106)</f>
        <v/>
      </c>
      <c r="U116" s="140" t="str">
        <f>IF($B116="","",Cuartos!ED106)</f>
        <v/>
      </c>
    </row>
    <row r="117" spans="1:21" x14ac:dyDescent="0.3">
      <c r="A117" s="135">
        <v>91</v>
      </c>
      <c r="B117" s="136" t="str">
        <f>_xlfn.CONCAT(IF(Cuartos!C107="","",Cuartos!C107&amp;" "),IF(Cuartos!D107="","",Cuartos!D107))</f>
        <v/>
      </c>
      <c r="C117" s="369" t="str">
        <f>IF(Cuartos!E107="","",Cuartos!E107)</f>
        <v/>
      </c>
      <c r="D117" s="137" t="str">
        <f>IF(Cuartos!F107="","",Cuartos!F107)</f>
        <v/>
      </c>
      <c r="E117" s="137" t="str">
        <f>IF(Cuartos!G107="","",Cuartos!G107)</f>
        <v/>
      </c>
      <c r="F117" s="153" t="str">
        <f>IF(Cuartos!H107="","",Cuartos!H107)</f>
        <v/>
      </c>
      <c r="G117" s="452" t="str">
        <f>IF(Cuartos!J107="","",Cuartos!J107)</f>
        <v/>
      </c>
      <c r="H117" s="453" t="str">
        <f>IF(Cuartos!K107="","",Cuartos!K107)</f>
        <v/>
      </c>
      <c r="I117" s="453" t="str">
        <f>IF(Cuartos!L107="","",Cuartos!L107)</f>
        <v/>
      </c>
      <c r="J117" s="453" t="str">
        <f>IF(Cuartos!DK107="","",Cuartos!DK107)</f>
        <v/>
      </c>
      <c r="K117" s="453" t="str">
        <f>IF(Cuartos!DL107="","",Cuartos!DL107)</f>
        <v/>
      </c>
      <c r="L117" s="463" t="str">
        <f>Cuartos!DM107</f>
        <v/>
      </c>
      <c r="M117" s="148" t="str">
        <f>Cuartos!DU107</f>
        <v/>
      </c>
      <c r="N117" s="139" t="str">
        <f>Cuartos!DV107</f>
        <v/>
      </c>
      <c r="O117" s="155" t="str">
        <f>Cuartos!DW107</f>
        <v/>
      </c>
      <c r="P117" s="151" t="str">
        <f>Cuartos!DX107</f>
        <v/>
      </c>
      <c r="Q117" s="139" t="str">
        <f>Cuartos!DY107</f>
        <v/>
      </c>
      <c r="R117" s="139" t="str">
        <f>IF($B117="","",Cuartos!DZ107)</f>
        <v/>
      </c>
      <c r="S117" s="139" t="str">
        <f>IF($B117="","",Cuartos!EA107)</f>
        <v/>
      </c>
      <c r="T117" s="139" t="str">
        <f>IF($B117="","",Cuartos!EC107)</f>
        <v/>
      </c>
      <c r="U117" s="140" t="str">
        <f>IF($B117="","",Cuartos!ED107)</f>
        <v/>
      </c>
    </row>
    <row r="118" spans="1:21" x14ac:dyDescent="0.3">
      <c r="A118" s="135">
        <v>92</v>
      </c>
      <c r="B118" s="136" t="str">
        <f>_xlfn.CONCAT(IF(Cuartos!C108="","",Cuartos!C108&amp;" "),IF(Cuartos!D108="","",Cuartos!D108))</f>
        <v/>
      </c>
      <c r="C118" s="369" t="str">
        <f>IF(Cuartos!E108="","",Cuartos!E108)</f>
        <v/>
      </c>
      <c r="D118" s="137" t="str">
        <f>IF(Cuartos!F108="","",Cuartos!F108)</f>
        <v/>
      </c>
      <c r="E118" s="137" t="str">
        <f>IF(Cuartos!G108="","",Cuartos!G108)</f>
        <v/>
      </c>
      <c r="F118" s="153" t="str">
        <f>IF(Cuartos!H108="","",Cuartos!H108)</f>
        <v/>
      </c>
      <c r="G118" s="452" t="str">
        <f>IF(Cuartos!J108="","",Cuartos!J108)</f>
        <v/>
      </c>
      <c r="H118" s="453" t="str">
        <f>IF(Cuartos!K108="","",Cuartos!K108)</f>
        <v/>
      </c>
      <c r="I118" s="453" t="str">
        <f>IF(Cuartos!L108="","",Cuartos!L108)</f>
        <v/>
      </c>
      <c r="J118" s="453" t="str">
        <f>IF(Cuartos!DK108="","",Cuartos!DK108)</f>
        <v/>
      </c>
      <c r="K118" s="453" t="str">
        <f>IF(Cuartos!DL108="","",Cuartos!DL108)</f>
        <v/>
      </c>
      <c r="L118" s="463" t="str">
        <f>Cuartos!DM108</f>
        <v/>
      </c>
      <c r="M118" s="148" t="str">
        <f>Cuartos!DU108</f>
        <v/>
      </c>
      <c r="N118" s="139" t="str">
        <f>Cuartos!DV108</f>
        <v/>
      </c>
      <c r="O118" s="155" t="str">
        <f>Cuartos!DW108</f>
        <v/>
      </c>
      <c r="P118" s="151" t="str">
        <f>Cuartos!DX108</f>
        <v/>
      </c>
      <c r="Q118" s="139" t="str">
        <f>Cuartos!DY108</f>
        <v/>
      </c>
      <c r="R118" s="139" t="str">
        <f>IF($B118="","",Cuartos!DZ108)</f>
        <v/>
      </c>
      <c r="S118" s="139" t="str">
        <f>IF($B118="","",Cuartos!EA108)</f>
        <v/>
      </c>
      <c r="T118" s="139" t="str">
        <f>IF($B118="","",Cuartos!EC108)</f>
        <v/>
      </c>
      <c r="U118" s="140" t="str">
        <f>IF($B118="","",Cuartos!ED108)</f>
        <v/>
      </c>
    </row>
    <row r="119" spans="1:21" x14ac:dyDescent="0.3">
      <c r="A119" s="135">
        <v>93</v>
      </c>
      <c r="B119" s="136" t="str">
        <f>_xlfn.CONCAT(IF(Cuartos!C109="","",Cuartos!C109&amp;" "),IF(Cuartos!D109="","",Cuartos!D109))</f>
        <v/>
      </c>
      <c r="C119" s="369" t="str">
        <f>IF(Cuartos!E109="","",Cuartos!E109)</f>
        <v/>
      </c>
      <c r="D119" s="137" t="str">
        <f>IF(Cuartos!F109="","",Cuartos!F109)</f>
        <v/>
      </c>
      <c r="E119" s="137" t="str">
        <f>IF(Cuartos!G109="","",Cuartos!G109)</f>
        <v/>
      </c>
      <c r="F119" s="153" t="str">
        <f>IF(Cuartos!H109="","",Cuartos!H109)</f>
        <v/>
      </c>
      <c r="G119" s="452" t="str">
        <f>IF(Cuartos!J109="","",Cuartos!J109)</f>
        <v/>
      </c>
      <c r="H119" s="453" t="str">
        <f>IF(Cuartos!K109="","",Cuartos!K109)</f>
        <v/>
      </c>
      <c r="I119" s="453" t="str">
        <f>IF(Cuartos!L109="","",Cuartos!L109)</f>
        <v/>
      </c>
      <c r="J119" s="453" t="str">
        <f>IF(Cuartos!DK109="","",Cuartos!DK109)</f>
        <v/>
      </c>
      <c r="K119" s="453" t="str">
        <f>IF(Cuartos!DL109="","",Cuartos!DL109)</f>
        <v/>
      </c>
      <c r="L119" s="463" t="str">
        <f>Cuartos!DM109</f>
        <v/>
      </c>
      <c r="M119" s="148" t="str">
        <f>Cuartos!DU109</f>
        <v/>
      </c>
      <c r="N119" s="139" t="str">
        <f>Cuartos!DV109</f>
        <v/>
      </c>
      <c r="O119" s="155" t="str">
        <f>Cuartos!DW109</f>
        <v/>
      </c>
      <c r="P119" s="151" t="str">
        <f>Cuartos!DX109</f>
        <v/>
      </c>
      <c r="Q119" s="139" t="str">
        <f>Cuartos!DY109</f>
        <v/>
      </c>
      <c r="R119" s="139" t="str">
        <f>IF($B119="","",Cuartos!DZ109)</f>
        <v/>
      </c>
      <c r="S119" s="139" t="str">
        <f>IF($B119="","",Cuartos!EA109)</f>
        <v/>
      </c>
      <c r="T119" s="139" t="str">
        <f>IF($B119="","",Cuartos!EC109)</f>
        <v/>
      </c>
      <c r="U119" s="140" t="str">
        <f>IF($B119="","",Cuartos!ED109)</f>
        <v/>
      </c>
    </row>
    <row r="120" spans="1:21" x14ac:dyDescent="0.3">
      <c r="A120" s="135">
        <v>94</v>
      </c>
      <c r="B120" s="136" t="str">
        <f>_xlfn.CONCAT(IF(Cuartos!C110="","",Cuartos!C110&amp;" "),IF(Cuartos!D110="","",Cuartos!D110))</f>
        <v/>
      </c>
      <c r="C120" s="369" t="str">
        <f>IF(Cuartos!E110="","",Cuartos!E110)</f>
        <v/>
      </c>
      <c r="D120" s="137" t="str">
        <f>IF(Cuartos!F110="","",Cuartos!F110)</f>
        <v/>
      </c>
      <c r="E120" s="137" t="str">
        <f>IF(Cuartos!G110="","",Cuartos!G110)</f>
        <v/>
      </c>
      <c r="F120" s="153" t="str">
        <f>IF(Cuartos!H110="","",Cuartos!H110)</f>
        <v/>
      </c>
      <c r="G120" s="452" t="str">
        <f>IF(Cuartos!J110="","",Cuartos!J110)</f>
        <v/>
      </c>
      <c r="H120" s="453" t="str">
        <f>IF(Cuartos!K110="","",Cuartos!K110)</f>
        <v/>
      </c>
      <c r="I120" s="453" t="str">
        <f>IF(Cuartos!L110="","",Cuartos!L110)</f>
        <v/>
      </c>
      <c r="J120" s="453" t="str">
        <f>IF(Cuartos!DK110="","",Cuartos!DK110)</f>
        <v/>
      </c>
      <c r="K120" s="453" t="str">
        <f>IF(Cuartos!DL110="","",Cuartos!DL110)</f>
        <v/>
      </c>
      <c r="L120" s="463" t="str">
        <f>Cuartos!DM110</f>
        <v/>
      </c>
      <c r="M120" s="148" t="str">
        <f>Cuartos!DU110</f>
        <v/>
      </c>
      <c r="N120" s="139" t="str">
        <f>Cuartos!DV110</f>
        <v/>
      </c>
      <c r="O120" s="155" t="str">
        <f>Cuartos!DW110</f>
        <v/>
      </c>
      <c r="P120" s="151" t="str">
        <f>Cuartos!DX110</f>
        <v/>
      </c>
      <c r="Q120" s="139" t="str">
        <f>Cuartos!DY110</f>
        <v/>
      </c>
      <c r="R120" s="139" t="str">
        <f>IF($B120="","",Cuartos!DZ110)</f>
        <v/>
      </c>
      <c r="S120" s="139" t="str">
        <f>IF($B120="","",Cuartos!EA110)</f>
        <v/>
      </c>
      <c r="T120" s="139" t="str">
        <f>IF($B120="","",Cuartos!EC110)</f>
        <v/>
      </c>
      <c r="U120" s="140" t="str">
        <f>IF($B120="","",Cuartos!ED110)</f>
        <v/>
      </c>
    </row>
    <row r="121" spans="1:21" x14ac:dyDescent="0.3">
      <c r="A121" s="135">
        <v>95</v>
      </c>
      <c r="B121" s="136" t="str">
        <f>_xlfn.CONCAT(IF(Cuartos!C111="","",Cuartos!C111&amp;" "),IF(Cuartos!D111="","",Cuartos!D111))</f>
        <v/>
      </c>
      <c r="C121" s="369" t="str">
        <f>IF(Cuartos!E111="","",Cuartos!E111)</f>
        <v/>
      </c>
      <c r="D121" s="137" t="str">
        <f>IF(Cuartos!F111="","",Cuartos!F111)</f>
        <v/>
      </c>
      <c r="E121" s="137" t="str">
        <f>IF(Cuartos!G111="","",Cuartos!G111)</f>
        <v/>
      </c>
      <c r="F121" s="153" t="str">
        <f>IF(Cuartos!H111="","",Cuartos!H111)</f>
        <v/>
      </c>
      <c r="G121" s="452" t="str">
        <f>IF(Cuartos!J111="","",Cuartos!J111)</f>
        <v/>
      </c>
      <c r="H121" s="453" t="str">
        <f>IF(Cuartos!K111="","",Cuartos!K111)</f>
        <v/>
      </c>
      <c r="I121" s="453" t="str">
        <f>IF(Cuartos!L111="","",Cuartos!L111)</f>
        <v/>
      </c>
      <c r="J121" s="453" t="str">
        <f>IF(Cuartos!DK111="","",Cuartos!DK111)</f>
        <v/>
      </c>
      <c r="K121" s="453" t="str">
        <f>IF(Cuartos!DL111="","",Cuartos!DL111)</f>
        <v/>
      </c>
      <c r="L121" s="463" t="str">
        <f>Cuartos!DM111</f>
        <v/>
      </c>
      <c r="M121" s="148" t="str">
        <f>Cuartos!DU111</f>
        <v/>
      </c>
      <c r="N121" s="139" t="str">
        <f>Cuartos!DV111</f>
        <v/>
      </c>
      <c r="O121" s="155" t="str">
        <f>Cuartos!DW111</f>
        <v/>
      </c>
      <c r="P121" s="151" t="str">
        <f>Cuartos!DX111</f>
        <v/>
      </c>
      <c r="Q121" s="139" t="str">
        <f>Cuartos!DY111</f>
        <v/>
      </c>
      <c r="R121" s="139" t="str">
        <f>IF($B121="","",Cuartos!DZ111)</f>
        <v/>
      </c>
      <c r="S121" s="139" t="str">
        <f>IF($B121="","",Cuartos!EA111)</f>
        <v/>
      </c>
      <c r="T121" s="139" t="str">
        <f>IF($B121="","",Cuartos!EC111)</f>
        <v/>
      </c>
      <c r="U121" s="140" t="str">
        <f>IF($B121="","",Cuartos!ED111)</f>
        <v/>
      </c>
    </row>
    <row r="122" spans="1:21" x14ac:dyDescent="0.3">
      <c r="A122" s="135">
        <v>96</v>
      </c>
      <c r="B122" s="136" t="str">
        <f>_xlfn.CONCAT(IF(Cuartos!C112="","",Cuartos!C112&amp;" "),IF(Cuartos!D112="","",Cuartos!D112))</f>
        <v/>
      </c>
      <c r="C122" s="369" t="str">
        <f>IF(Cuartos!E112="","",Cuartos!E112)</f>
        <v/>
      </c>
      <c r="D122" s="137" t="str">
        <f>IF(Cuartos!F112="","",Cuartos!F112)</f>
        <v/>
      </c>
      <c r="E122" s="137" t="str">
        <f>IF(Cuartos!G112="","",Cuartos!G112)</f>
        <v/>
      </c>
      <c r="F122" s="153" t="str">
        <f>IF(Cuartos!H112="","",Cuartos!H112)</f>
        <v/>
      </c>
      <c r="G122" s="452" t="str">
        <f>IF(Cuartos!J112="","",Cuartos!J112)</f>
        <v/>
      </c>
      <c r="H122" s="453" t="str">
        <f>IF(Cuartos!K112="","",Cuartos!K112)</f>
        <v/>
      </c>
      <c r="I122" s="453" t="str">
        <f>IF(Cuartos!L112="","",Cuartos!L112)</f>
        <v/>
      </c>
      <c r="J122" s="453" t="str">
        <f>IF(Cuartos!DK112="","",Cuartos!DK112)</f>
        <v/>
      </c>
      <c r="K122" s="453" t="str">
        <f>IF(Cuartos!DL112="","",Cuartos!DL112)</f>
        <v/>
      </c>
      <c r="L122" s="463" t="str">
        <f>Cuartos!DM112</f>
        <v/>
      </c>
      <c r="M122" s="148" t="str">
        <f>Cuartos!DU112</f>
        <v/>
      </c>
      <c r="N122" s="139" t="str">
        <f>Cuartos!DV112</f>
        <v/>
      </c>
      <c r="O122" s="155" t="str">
        <f>Cuartos!DW112</f>
        <v/>
      </c>
      <c r="P122" s="151" t="str">
        <f>Cuartos!DX112</f>
        <v/>
      </c>
      <c r="Q122" s="139" t="str">
        <f>Cuartos!DY112</f>
        <v/>
      </c>
      <c r="R122" s="139" t="str">
        <f>IF($B122="","",Cuartos!DZ112)</f>
        <v/>
      </c>
      <c r="S122" s="139" t="str">
        <f>IF($B122="","",Cuartos!EA112)</f>
        <v/>
      </c>
      <c r="T122" s="139" t="str">
        <f>IF($B122="","",Cuartos!EC112)</f>
        <v/>
      </c>
      <c r="U122" s="140" t="str">
        <f>IF($B122="","",Cuartos!ED112)</f>
        <v/>
      </c>
    </row>
    <row r="123" spans="1:21" x14ac:dyDescent="0.3">
      <c r="A123" s="135">
        <v>97</v>
      </c>
      <c r="B123" s="136" t="str">
        <f>_xlfn.CONCAT(IF(Cuartos!C113="","",Cuartos!C113&amp;" "),IF(Cuartos!D113="","",Cuartos!D113))</f>
        <v/>
      </c>
      <c r="C123" s="369" t="str">
        <f>IF(Cuartos!E113="","",Cuartos!E113)</f>
        <v/>
      </c>
      <c r="D123" s="137" t="str">
        <f>IF(Cuartos!F113="","",Cuartos!F113)</f>
        <v/>
      </c>
      <c r="E123" s="137" t="str">
        <f>IF(Cuartos!G113="","",Cuartos!G113)</f>
        <v/>
      </c>
      <c r="F123" s="153" t="str">
        <f>IF(Cuartos!H113="","",Cuartos!H113)</f>
        <v/>
      </c>
      <c r="G123" s="452" t="str">
        <f>IF(Cuartos!J113="","",Cuartos!J113)</f>
        <v/>
      </c>
      <c r="H123" s="453" t="str">
        <f>IF(Cuartos!K113="","",Cuartos!K113)</f>
        <v/>
      </c>
      <c r="I123" s="453" t="str">
        <f>IF(Cuartos!L113="","",Cuartos!L113)</f>
        <v/>
      </c>
      <c r="J123" s="453" t="str">
        <f>IF(Cuartos!DK113="","",Cuartos!DK113)</f>
        <v/>
      </c>
      <c r="K123" s="453" t="str">
        <f>IF(Cuartos!DL113="","",Cuartos!DL113)</f>
        <v/>
      </c>
      <c r="L123" s="463" t="str">
        <f>Cuartos!DM113</f>
        <v/>
      </c>
      <c r="M123" s="148" t="str">
        <f>Cuartos!DU113</f>
        <v/>
      </c>
      <c r="N123" s="139" t="str">
        <f>Cuartos!DV113</f>
        <v/>
      </c>
      <c r="O123" s="155" t="str">
        <f>Cuartos!DW113</f>
        <v/>
      </c>
      <c r="P123" s="151" t="str">
        <f>Cuartos!DX113</f>
        <v/>
      </c>
      <c r="Q123" s="139" t="str">
        <f>Cuartos!DY113</f>
        <v/>
      </c>
      <c r="R123" s="139" t="str">
        <f>IF($B123="","",Cuartos!DZ113)</f>
        <v/>
      </c>
      <c r="S123" s="139" t="str">
        <f>IF($B123="","",Cuartos!EA113)</f>
        <v/>
      </c>
      <c r="T123" s="139" t="str">
        <f>IF($B123="","",Cuartos!EC113)</f>
        <v/>
      </c>
      <c r="U123" s="140" t="str">
        <f>IF($B123="","",Cuartos!ED113)</f>
        <v/>
      </c>
    </row>
    <row r="124" spans="1:21" x14ac:dyDescent="0.3">
      <c r="A124" s="135">
        <v>98</v>
      </c>
      <c r="B124" s="136" t="str">
        <f>_xlfn.CONCAT(IF(Cuartos!C114="","",Cuartos!C114&amp;" "),IF(Cuartos!D114="","",Cuartos!D114))</f>
        <v/>
      </c>
      <c r="C124" s="369" t="str">
        <f>IF(Cuartos!E114="","",Cuartos!E114)</f>
        <v/>
      </c>
      <c r="D124" s="137" t="str">
        <f>IF(Cuartos!F114="","",Cuartos!F114)</f>
        <v/>
      </c>
      <c r="E124" s="137" t="str">
        <f>IF(Cuartos!G114="","",Cuartos!G114)</f>
        <v/>
      </c>
      <c r="F124" s="153" t="str">
        <f>IF(Cuartos!H114="","",Cuartos!H114)</f>
        <v/>
      </c>
      <c r="G124" s="452" t="str">
        <f>IF(Cuartos!J114="","",Cuartos!J114)</f>
        <v/>
      </c>
      <c r="H124" s="453" t="str">
        <f>IF(Cuartos!K114="","",Cuartos!K114)</f>
        <v/>
      </c>
      <c r="I124" s="453" t="str">
        <f>IF(Cuartos!L114="","",Cuartos!L114)</f>
        <v/>
      </c>
      <c r="J124" s="453" t="str">
        <f>IF(Cuartos!DK114="","",Cuartos!DK114)</f>
        <v/>
      </c>
      <c r="K124" s="453" t="str">
        <f>IF(Cuartos!DL114="","",Cuartos!DL114)</f>
        <v/>
      </c>
      <c r="L124" s="463" t="str">
        <f>Cuartos!DM114</f>
        <v/>
      </c>
      <c r="M124" s="148" t="str">
        <f>Cuartos!DU114</f>
        <v/>
      </c>
      <c r="N124" s="139" t="str">
        <f>Cuartos!DV114</f>
        <v/>
      </c>
      <c r="O124" s="155" t="str">
        <f>Cuartos!DW114</f>
        <v/>
      </c>
      <c r="P124" s="151" t="str">
        <f>Cuartos!DX114</f>
        <v/>
      </c>
      <c r="Q124" s="139" t="str">
        <f>Cuartos!DY114</f>
        <v/>
      </c>
      <c r="R124" s="139" t="str">
        <f>IF($B124="","",Cuartos!DZ114)</f>
        <v/>
      </c>
      <c r="S124" s="139" t="str">
        <f>IF($B124="","",Cuartos!EA114)</f>
        <v/>
      </c>
      <c r="T124" s="139" t="str">
        <f>IF($B124="","",Cuartos!EC114)</f>
        <v/>
      </c>
      <c r="U124" s="140" t="str">
        <f>IF($B124="","",Cuartos!ED114)</f>
        <v/>
      </c>
    </row>
    <row r="125" spans="1:21" x14ac:dyDescent="0.3">
      <c r="A125" s="135">
        <v>99</v>
      </c>
      <c r="B125" s="136" t="str">
        <f>_xlfn.CONCAT(IF(Cuartos!C115="","",Cuartos!C115&amp;" "),IF(Cuartos!D115="","",Cuartos!D115))</f>
        <v/>
      </c>
      <c r="C125" s="369" t="str">
        <f>IF(Cuartos!E115="","",Cuartos!E115)</f>
        <v/>
      </c>
      <c r="D125" s="137" t="str">
        <f>IF(Cuartos!F115="","",Cuartos!F115)</f>
        <v/>
      </c>
      <c r="E125" s="137" t="str">
        <f>IF(Cuartos!G115="","",Cuartos!G115)</f>
        <v/>
      </c>
      <c r="F125" s="153" t="str">
        <f>IF(Cuartos!H115="","",Cuartos!H115)</f>
        <v/>
      </c>
      <c r="G125" s="452" t="str">
        <f>IF(Cuartos!J115="","",Cuartos!J115)</f>
        <v/>
      </c>
      <c r="H125" s="453" t="str">
        <f>IF(Cuartos!K115="","",Cuartos!K115)</f>
        <v/>
      </c>
      <c r="I125" s="453" t="str">
        <f>IF(Cuartos!L115="","",Cuartos!L115)</f>
        <v/>
      </c>
      <c r="J125" s="453" t="str">
        <f>IF(Cuartos!DK115="","",Cuartos!DK115)</f>
        <v/>
      </c>
      <c r="K125" s="453" t="str">
        <f>IF(Cuartos!DL115="","",Cuartos!DL115)</f>
        <v/>
      </c>
      <c r="L125" s="463" t="str">
        <f>Cuartos!DM115</f>
        <v/>
      </c>
      <c r="M125" s="148" t="str">
        <f>Cuartos!DU115</f>
        <v/>
      </c>
      <c r="N125" s="139" t="str">
        <f>Cuartos!DV115</f>
        <v/>
      </c>
      <c r="O125" s="155" t="str">
        <f>Cuartos!DW115</f>
        <v/>
      </c>
      <c r="P125" s="151" t="str">
        <f>Cuartos!DX115</f>
        <v/>
      </c>
      <c r="Q125" s="139" t="str">
        <f>Cuartos!DY115</f>
        <v/>
      </c>
      <c r="R125" s="139" t="str">
        <f>IF($B125="","",Cuartos!DZ115)</f>
        <v/>
      </c>
      <c r="S125" s="139" t="str">
        <f>IF($B125="","",Cuartos!EA115)</f>
        <v/>
      </c>
      <c r="T125" s="139" t="str">
        <f>IF($B125="","",Cuartos!EC115)</f>
        <v/>
      </c>
      <c r="U125" s="140" t="str">
        <f>IF($B125="","",Cuartos!ED115)</f>
        <v/>
      </c>
    </row>
    <row r="126" spans="1:21" x14ac:dyDescent="0.3">
      <c r="A126" s="141">
        <v>100</v>
      </c>
      <c r="B126" s="142" t="str">
        <f>_xlfn.CONCAT(IF(Cuartos!C116="","",Cuartos!C116&amp;" "),IF(Cuartos!D116="","",Cuartos!D116))</f>
        <v/>
      </c>
      <c r="C126" s="370" t="str">
        <f>IF(Cuartos!E116="","",Cuartos!E116)</f>
        <v/>
      </c>
      <c r="D126" s="143" t="str">
        <f>IF(Cuartos!F116="","",Cuartos!F116)</f>
        <v/>
      </c>
      <c r="E126" s="143" t="str">
        <f>IF(Cuartos!G116="","",Cuartos!G116)</f>
        <v/>
      </c>
      <c r="F126" s="154" t="str">
        <f>IF(Cuartos!H116="","",Cuartos!H116)</f>
        <v/>
      </c>
      <c r="G126" s="454" t="str">
        <f>IF(Cuartos!J116="","",Cuartos!J116)</f>
        <v/>
      </c>
      <c r="H126" s="455" t="str">
        <f>IF(Cuartos!K116="","",Cuartos!K116)</f>
        <v/>
      </c>
      <c r="I126" s="455" t="str">
        <f>IF(Cuartos!L116="","",Cuartos!L116)</f>
        <v/>
      </c>
      <c r="J126" s="455" t="str">
        <f>IF(Cuartos!DK116="","",Cuartos!DK116)</f>
        <v/>
      </c>
      <c r="K126" s="455" t="str">
        <f>IF(Cuartos!DL116="","",Cuartos!DL116)</f>
        <v/>
      </c>
      <c r="L126" s="464" t="str">
        <f>Cuartos!DM116</f>
        <v/>
      </c>
      <c r="M126" s="149" t="str">
        <f>Cuartos!DU116</f>
        <v/>
      </c>
      <c r="N126" s="145" t="str">
        <f>Cuartos!DV116</f>
        <v/>
      </c>
      <c r="O126" s="156" t="str">
        <f>Cuartos!DW116</f>
        <v/>
      </c>
      <c r="P126" s="152" t="str">
        <f>Cuartos!DX116</f>
        <v/>
      </c>
      <c r="Q126" s="145" t="str">
        <f>Cuartos!DY116</f>
        <v/>
      </c>
      <c r="R126" s="145" t="str">
        <f>IF($B126="","",Cuartos!DZ116)</f>
        <v/>
      </c>
      <c r="S126" s="145" t="str">
        <f>IF($B126="","",Cuartos!EA116)</f>
        <v/>
      </c>
      <c r="T126" s="145" t="str">
        <f>IF($B126="","",Cuartos!EC116)</f>
        <v/>
      </c>
      <c r="U126" s="146" t="str">
        <f>IF($B126="","",Cuartos!ED116)</f>
        <v/>
      </c>
    </row>
    <row r="127" spans="1:21" x14ac:dyDescent="0.3">
      <c r="J127" s="458"/>
      <c r="K127" s="610" t="s">
        <v>136</v>
      </c>
      <c r="L127" s="610"/>
      <c r="M127" s="5">
        <f>AS</f>
        <v>0</v>
      </c>
      <c r="N127" s="5">
        <f>ASPP</f>
        <v>0</v>
      </c>
      <c r="O127" s="333">
        <f>ASTOT</f>
        <v>0</v>
      </c>
      <c r="P127" s="5">
        <f>AR</f>
        <v>0</v>
      </c>
      <c r="Q127" s="5">
        <f>AE</f>
        <v>0</v>
      </c>
      <c r="R127" s="5">
        <f>CP</f>
        <v>0</v>
      </c>
      <c r="S127" s="5">
        <f>AOT</f>
        <v>0</v>
      </c>
      <c r="T127" s="5">
        <f>IFERROR(ASPN,0)</f>
        <v>0</v>
      </c>
      <c r="U127" s="333">
        <f>AETOT</f>
        <v>0</v>
      </c>
    </row>
  </sheetData>
  <sheetProtection selectLockedCells="1"/>
  <mergeCells count="54">
    <mergeCell ref="C2:I2"/>
    <mergeCell ref="C3:I3"/>
    <mergeCell ref="K49:L49"/>
    <mergeCell ref="C4:I4"/>
    <mergeCell ref="A6:A8"/>
    <mergeCell ref="B6:B8"/>
    <mergeCell ref="C6:C7"/>
    <mergeCell ref="D6:D7"/>
    <mergeCell ref="E6:E7"/>
    <mergeCell ref="F6:F8"/>
    <mergeCell ref="G6:G7"/>
    <mergeCell ref="H6:H7"/>
    <mergeCell ref="I6:I7"/>
    <mergeCell ref="J6:J7"/>
    <mergeCell ref="K6:K7"/>
    <mergeCell ref="L6:L8"/>
    <mergeCell ref="M6:O6"/>
    <mergeCell ref="P6:U6"/>
    <mergeCell ref="C51:I51"/>
    <mergeCell ref="C52:I52"/>
    <mergeCell ref="C53:I53"/>
    <mergeCell ref="A55:A57"/>
    <mergeCell ref="B55:B57"/>
    <mergeCell ref="C55:C56"/>
    <mergeCell ref="D55:D56"/>
    <mergeCell ref="E55:E56"/>
    <mergeCell ref="F55:F57"/>
    <mergeCell ref="G55:G56"/>
    <mergeCell ref="F104:F106"/>
    <mergeCell ref="P55:U55"/>
    <mergeCell ref="K98:L98"/>
    <mergeCell ref="C100:I100"/>
    <mergeCell ref="C101:I101"/>
    <mergeCell ref="C102:I102"/>
    <mergeCell ref="H55:H56"/>
    <mergeCell ref="I55:I56"/>
    <mergeCell ref="J55:J56"/>
    <mergeCell ref="K55:K56"/>
    <mergeCell ref="L55:L57"/>
    <mergeCell ref="M55:O55"/>
    <mergeCell ref="M104:O104"/>
    <mergeCell ref="P104:U104"/>
    <mergeCell ref="A104:A106"/>
    <mergeCell ref="B104:B106"/>
    <mergeCell ref="C104:C105"/>
    <mergeCell ref="D104:D105"/>
    <mergeCell ref="E104:E105"/>
    <mergeCell ref="K127:L127"/>
    <mergeCell ref="G104:G105"/>
    <mergeCell ref="H104:H105"/>
    <mergeCell ref="I104:I105"/>
    <mergeCell ref="J104:J105"/>
    <mergeCell ref="K104:K105"/>
    <mergeCell ref="L104:L106"/>
  </mergeCells>
  <conditionalFormatting sqref="L9:U9 B9:E9">
    <cfRule type="expression" dxfId="154" priority="136">
      <formula>EXACT(#REF!,#REF!)</formula>
    </cfRule>
  </conditionalFormatting>
  <conditionalFormatting sqref="B10:F10">
    <cfRule type="expression" dxfId="153" priority="92">
      <formula>EXACT(#REF!,#REF!)</formula>
    </cfRule>
    <cfRule type="expression" dxfId="152" priority="93">
      <formula>EXACT(#REF!,#REF!)</formula>
    </cfRule>
  </conditionalFormatting>
  <conditionalFormatting sqref="B26:F26">
    <cfRule type="expression" dxfId="151" priority="90">
      <formula>EXACT(#REF!,#REF!)</formula>
    </cfRule>
    <cfRule type="expression" dxfId="150" priority="91">
      <formula>EXACT(#REF!,#REF!)</formula>
    </cfRule>
  </conditionalFormatting>
  <conditionalFormatting sqref="J10:U10 S11:S47">
    <cfRule type="expression" dxfId="149" priority="134">
      <formula>EXACT(#REF!,#REF!)</formula>
    </cfRule>
    <cfRule type="expression" dxfId="148" priority="135">
      <formula>EXACT(#REF!,#REF!)</formula>
    </cfRule>
  </conditionalFormatting>
  <conditionalFormatting sqref="B11:F11">
    <cfRule type="expression" dxfId="147" priority="128">
      <formula>EXACT(#REF!,#REF!)</formula>
    </cfRule>
    <cfRule type="expression" dxfId="146" priority="129">
      <formula>EXACT(#REF!,#REF!)</formula>
    </cfRule>
  </conditionalFormatting>
  <conditionalFormatting sqref="J11:R11 T11:U11">
    <cfRule type="expression" dxfId="145" priority="86">
      <formula>EXACT(#REF!,#REF!)</formula>
    </cfRule>
    <cfRule type="expression" dxfId="144" priority="87">
      <formula>EXACT(#REF!,#REF!)</formula>
    </cfRule>
  </conditionalFormatting>
  <conditionalFormatting sqref="B12:F12">
    <cfRule type="expression" dxfId="143" priority="126">
      <formula>EXACT(#REF!,#REF!)</formula>
    </cfRule>
    <cfRule type="expression" dxfId="142" priority="127">
      <formula>EXACT(#REF!,#REF!)</formula>
    </cfRule>
  </conditionalFormatting>
  <conditionalFormatting sqref="J12:R12 T12:U12">
    <cfRule type="expression" dxfId="141" priority="84">
      <formula>EXACT(#REF!,#REF!)</formula>
    </cfRule>
    <cfRule type="expression" dxfId="140" priority="85">
      <formula>EXACT(#REF!,#REF!)</formula>
    </cfRule>
  </conditionalFormatting>
  <conditionalFormatting sqref="B13:F13">
    <cfRule type="expression" dxfId="139" priority="124">
      <formula>EXACT(#REF!,#REF!)</formula>
    </cfRule>
    <cfRule type="expression" dxfId="138" priority="125">
      <formula>EXACT(#REF!,#REF!)</formula>
    </cfRule>
  </conditionalFormatting>
  <conditionalFormatting sqref="J13:R13 T13:U13">
    <cfRule type="expression" dxfId="137" priority="82">
      <formula>EXACT(#REF!,#REF!)</formula>
    </cfRule>
    <cfRule type="expression" dxfId="136" priority="83">
      <formula>EXACT(#REF!,#REF!)</formula>
    </cfRule>
  </conditionalFormatting>
  <conditionalFormatting sqref="B14:F14">
    <cfRule type="expression" dxfId="135" priority="122">
      <formula>EXACT(#REF!,#REF!)</formula>
    </cfRule>
    <cfRule type="expression" dxfId="134" priority="123">
      <formula>EXACT(#REF!,#REF!)</formula>
    </cfRule>
  </conditionalFormatting>
  <conditionalFormatting sqref="J14:R14 T14:U14">
    <cfRule type="expression" dxfId="133" priority="80">
      <formula>EXACT(#REF!,#REF!)</formula>
    </cfRule>
    <cfRule type="expression" dxfId="132" priority="81">
      <formula>EXACT(#REF!,#REF!)</formula>
    </cfRule>
  </conditionalFormatting>
  <conditionalFormatting sqref="B15:F15">
    <cfRule type="expression" dxfId="131" priority="120">
      <formula>EXACT(#REF!,#REF!)</formula>
    </cfRule>
    <cfRule type="expression" dxfId="130" priority="121">
      <formula>EXACT(#REF!,#REF!)</formula>
    </cfRule>
  </conditionalFormatting>
  <conditionalFormatting sqref="J15:R15 T15:U15">
    <cfRule type="expression" dxfId="129" priority="78">
      <formula>EXACT(#REF!,#REF!)</formula>
    </cfRule>
    <cfRule type="expression" dxfId="128" priority="79">
      <formula>EXACT(#REF!,#REF!)</formula>
    </cfRule>
  </conditionalFormatting>
  <conditionalFormatting sqref="B16:F16">
    <cfRule type="expression" dxfId="127" priority="118">
      <formula>EXACT(#REF!,#REF!)</formula>
    </cfRule>
    <cfRule type="expression" dxfId="126" priority="119">
      <formula>EXACT(#REF!,#REF!)</formula>
    </cfRule>
  </conditionalFormatting>
  <conditionalFormatting sqref="J16:R16 T16:U16">
    <cfRule type="expression" dxfId="125" priority="76">
      <formula>EXACT(#REF!,#REF!)</formula>
    </cfRule>
    <cfRule type="expression" dxfId="124" priority="77">
      <formula>EXACT(#REF!,#REF!)</formula>
    </cfRule>
  </conditionalFormatting>
  <conditionalFormatting sqref="B17:F17">
    <cfRule type="expression" dxfId="123" priority="116">
      <formula>EXACT(#REF!,#REF!)</formula>
    </cfRule>
    <cfRule type="expression" dxfId="122" priority="117">
      <formula>EXACT(#REF!,#REF!)</formula>
    </cfRule>
  </conditionalFormatting>
  <conditionalFormatting sqref="J17:R17 T17:U17">
    <cfRule type="expression" dxfId="121" priority="74">
      <formula>EXACT(#REF!,#REF!)</formula>
    </cfRule>
    <cfRule type="expression" dxfId="120" priority="75">
      <formula>EXACT(#REF!,#REF!)</formula>
    </cfRule>
  </conditionalFormatting>
  <conditionalFormatting sqref="B18:F18">
    <cfRule type="expression" dxfId="119" priority="114">
      <formula>EXACT(#REF!,#REF!)</formula>
    </cfRule>
    <cfRule type="expression" dxfId="118" priority="115">
      <formula>EXACT(#REF!,#REF!)</formula>
    </cfRule>
  </conditionalFormatting>
  <conditionalFormatting sqref="J18:R18 T18:U18">
    <cfRule type="expression" dxfId="117" priority="72">
      <formula>EXACT(#REF!,#REF!)</formula>
    </cfRule>
    <cfRule type="expression" dxfId="116" priority="73">
      <formula>EXACT(#REF!,#REF!)</formula>
    </cfRule>
  </conditionalFormatting>
  <conditionalFormatting sqref="B19:F19">
    <cfRule type="expression" dxfId="115" priority="112">
      <formula>EXACT(#REF!,#REF!)</formula>
    </cfRule>
    <cfRule type="expression" dxfId="114" priority="113">
      <formula>EXACT(#REF!,#REF!)</formula>
    </cfRule>
  </conditionalFormatting>
  <conditionalFormatting sqref="J19:R19 T19:U19">
    <cfRule type="expression" dxfId="113" priority="70">
      <formula>EXACT(#REF!,#REF!)</formula>
    </cfRule>
    <cfRule type="expression" dxfId="112" priority="71">
      <formula>EXACT(#REF!,#REF!)</formula>
    </cfRule>
  </conditionalFormatting>
  <conditionalFormatting sqref="B20:F20">
    <cfRule type="expression" dxfId="111" priority="110">
      <formula>EXACT(#REF!,#REF!)</formula>
    </cfRule>
    <cfRule type="expression" dxfId="110" priority="111">
      <formula>EXACT(#REF!,#REF!)</formula>
    </cfRule>
  </conditionalFormatting>
  <conditionalFormatting sqref="J20:R20 T20:U20">
    <cfRule type="expression" dxfId="109" priority="68">
      <formula>EXACT(#REF!,#REF!)</formula>
    </cfRule>
    <cfRule type="expression" dxfId="108" priority="69">
      <formula>EXACT(#REF!,#REF!)</formula>
    </cfRule>
  </conditionalFormatting>
  <conditionalFormatting sqref="B21:F21">
    <cfRule type="expression" dxfId="107" priority="108">
      <formula>EXACT(#REF!,#REF!)</formula>
    </cfRule>
    <cfRule type="expression" dxfId="106" priority="109">
      <formula>EXACT(#REF!,#REF!)</formula>
    </cfRule>
  </conditionalFormatting>
  <conditionalFormatting sqref="J21:R21 T21:U21">
    <cfRule type="expression" dxfId="105" priority="66">
      <formula>EXACT(#REF!,#REF!)</formula>
    </cfRule>
    <cfRule type="expression" dxfId="104" priority="67">
      <formula>EXACT(#REF!,#REF!)</formula>
    </cfRule>
  </conditionalFormatting>
  <conditionalFormatting sqref="B22:F22">
    <cfRule type="expression" dxfId="103" priority="106">
      <formula>EXACT(#REF!,#REF!)</formula>
    </cfRule>
    <cfRule type="expression" dxfId="102" priority="107">
      <formula>EXACT(#REF!,#REF!)</formula>
    </cfRule>
  </conditionalFormatting>
  <conditionalFormatting sqref="J22:R22 T22:U22">
    <cfRule type="expression" dxfId="101" priority="64">
      <formula>EXACT(#REF!,#REF!)</formula>
    </cfRule>
    <cfRule type="expression" dxfId="100" priority="65">
      <formula>EXACT(#REF!,#REF!)</formula>
    </cfRule>
  </conditionalFormatting>
  <conditionalFormatting sqref="B23:F23">
    <cfRule type="expression" dxfId="99" priority="104">
      <formula>EXACT(#REF!,#REF!)</formula>
    </cfRule>
    <cfRule type="expression" dxfId="98" priority="105">
      <formula>EXACT(#REF!,#REF!)</formula>
    </cfRule>
  </conditionalFormatting>
  <conditionalFormatting sqref="J23:R23 T23:U23">
    <cfRule type="expression" dxfId="97" priority="62">
      <formula>EXACT(#REF!,#REF!)</formula>
    </cfRule>
    <cfRule type="expression" dxfId="96" priority="63">
      <formula>EXACT(#REF!,#REF!)</formula>
    </cfRule>
  </conditionalFormatting>
  <conditionalFormatting sqref="B24:F24">
    <cfRule type="expression" dxfId="95" priority="102">
      <formula>EXACT(#REF!,#REF!)</formula>
    </cfRule>
    <cfRule type="expression" dxfId="94" priority="103">
      <formula>EXACT(#REF!,#REF!)</formula>
    </cfRule>
  </conditionalFormatting>
  <conditionalFormatting sqref="J24:R24 T24:U24">
    <cfRule type="expression" dxfId="93" priority="60">
      <formula>EXACT(#REF!,#REF!)</formula>
    </cfRule>
    <cfRule type="expression" dxfId="92" priority="61">
      <formula>EXACT(#REF!,#REF!)</formula>
    </cfRule>
  </conditionalFormatting>
  <conditionalFormatting sqref="B25:F25">
    <cfRule type="expression" dxfId="91" priority="132">
      <formula>EXACT(#REF!,#REF!)</formula>
    </cfRule>
    <cfRule type="expression" dxfId="90" priority="133">
      <formula>EXACT(#REF!,#REF!)</formula>
    </cfRule>
  </conditionalFormatting>
  <conditionalFormatting sqref="J25:R25 T25:U25">
    <cfRule type="expression" dxfId="89" priority="58">
      <formula>EXACT(#REF!,#REF!)</formula>
    </cfRule>
    <cfRule type="expression" dxfId="88" priority="59">
      <formula>EXACT(#REF!,#REF!)</formula>
    </cfRule>
  </conditionalFormatting>
  <conditionalFormatting sqref="J26:R26 T26:U26">
    <cfRule type="expression" dxfId="87" priority="130">
      <formula>EXACT(#REF!,#REF!)</formula>
    </cfRule>
    <cfRule type="expression" dxfId="86" priority="131">
      <formula>EXACT(#REF!,#REF!)</formula>
    </cfRule>
  </conditionalFormatting>
  <conditionalFormatting sqref="B27:F27">
    <cfRule type="expression" dxfId="85" priority="100">
      <formula>EXACT(#REF!,#REF!)</formula>
    </cfRule>
    <cfRule type="expression" dxfId="84" priority="101">
      <formula>EXACT(#REF!,#REF!)</formula>
    </cfRule>
  </conditionalFormatting>
  <conditionalFormatting sqref="J27:R27 T27:U27">
    <cfRule type="expression" dxfId="83" priority="56">
      <formula>EXACT(#REF!,#REF!)</formula>
    </cfRule>
    <cfRule type="expression" dxfId="82" priority="57">
      <formula>EXACT(#REF!,#REF!)</formula>
    </cfRule>
  </conditionalFormatting>
  <conditionalFormatting sqref="B28:F28">
    <cfRule type="expression" dxfId="81" priority="98">
      <formula>EXACT(#REF!,#REF!)</formula>
    </cfRule>
    <cfRule type="expression" dxfId="80" priority="99">
      <formula>EXACT(#REF!,#REF!)</formula>
    </cfRule>
  </conditionalFormatting>
  <conditionalFormatting sqref="J28:R28 T28:U28">
    <cfRule type="expression" dxfId="79" priority="54">
      <formula>EXACT(#REF!,#REF!)</formula>
    </cfRule>
    <cfRule type="expression" dxfId="78" priority="55">
      <formula>EXACT(#REF!,#REF!)</formula>
    </cfRule>
  </conditionalFormatting>
  <conditionalFormatting sqref="B29:F29">
    <cfRule type="expression" dxfId="77" priority="96">
      <formula>EXACT(#REF!,#REF!)</formula>
    </cfRule>
    <cfRule type="expression" dxfId="76" priority="97">
      <formula>EXACT(#REF!,#REF!)</formula>
    </cfRule>
  </conditionalFormatting>
  <conditionalFormatting sqref="J29:R29 T29:U29">
    <cfRule type="expression" dxfId="75" priority="52">
      <formula>EXACT(#REF!,#REF!)</formula>
    </cfRule>
    <cfRule type="expression" dxfId="74" priority="53">
      <formula>EXACT(#REF!,#REF!)</formula>
    </cfRule>
  </conditionalFormatting>
  <conditionalFormatting sqref="J30:R30 T30:U30">
    <cfRule type="expression" dxfId="73" priority="50">
      <formula>EXACT(#REF!,#REF!)</formula>
    </cfRule>
    <cfRule type="expression" dxfId="72" priority="51">
      <formula>EXACT(#REF!,#REF!)</formula>
    </cfRule>
  </conditionalFormatting>
  <conditionalFormatting sqref="B30:F30">
    <cfRule type="expression" dxfId="71" priority="94">
      <formula>EXACT(#REF!,#REF!)</formula>
    </cfRule>
    <cfRule type="expression" dxfId="70" priority="95">
      <formula>EXACT(#REF!,#REF!)</formula>
    </cfRule>
  </conditionalFormatting>
  <conditionalFormatting sqref="B31:F31">
    <cfRule type="expression" dxfId="69" priority="88">
      <formula>EXACT(#REF!,#REF!)</formula>
    </cfRule>
    <cfRule type="expression" dxfId="68" priority="89">
      <formula>EXACT(#REF!,#REF!)</formula>
    </cfRule>
  </conditionalFormatting>
  <conditionalFormatting sqref="J31:R31 T31:U31">
    <cfRule type="expression" dxfId="67" priority="48">
      <formula>EXACT(#REF!,#REF!)</formula>
    </cfRule>
    <cfRule type="expression" dxfId="66" priority="49">
      <formula>EXACT(#REF!,#REF!)</formula>
    </cfRule>
  </conditionalFormatting>
  <conditionalFormatting sqref="B32:F32">
    <cfRule type="expression" dxfId="65" priority="46">
      <formula>EXACT(#REF!,#REF!)</formula>
    </cfRule>
    <cfRule type="expression" dxfId="64" priority="47">
      <formula>EXACT(#REF!,#REF!)</formula>
    </cfRule>
  </conditionalFormatting>
  <conditionalFormatting sqref="J32:R32 T32:U32">
    <cfRule type="expression" dxfId="63" priority="44">
      <formula>EXACT(#REF!,#REF!)</formula>
    </cfRule>
    <cfRule type="expression" dxfId="62" priority="45">
      <formula>EXACT(#REF!,#REF!)</formula>
    </cfRule>
  </conditionalFormatting>
  <conditionalFormatting sqref="B33:F33">
    <cfRule type="expression" dxfId="61" priority="42">
      <formula>EXACT(#REF!,#REF!)</formula>
    </cfRule>
    <cfRule type="expression" dxfId="60" priority="43">
      <formula>EXACT(#REF!,#REF!)</formula>
    </cfRule>
  </conditionalFormatting>
  <conditionalFormatting sqref="B33:R33 T33:U33">
    <cfRule type="expression" dxfId="59" priority="40">
      <formula>EXACT(#REF!,#REF!)</formula>
    </cfRule>
    <cfRule type="expression" dxfId="58" priority="41">
      <formula>EXACT(#REF!,#REF!)</formula>
    </cfRule>
  </conditionalFormatting>
  <conditionalFormatting sqref="B34:F34">
    <cfRule type="expression" dxfId="57" priority="38">
      <formula>EXACT(#REF!,#REF!)</formula>
    </cfRule>
    <cfRule type="expression" dxfId="56" priority="39">
      <formula>EXACT(#REF!,#REF!)</formula>
    </cfRule>
  </conditionalFormatting>
  <conditionalFormatting sqref="J34:R34 T34:U34">
    <cfRule type="expression" dxfId="55" priority="36">
      <formula>EXACT(#REF!,#REF!)</formula>
    </cfRule>
    <cfRule type="expression" dxfId="54" priority="37">
      <formula>EXACT(#REF!,#REF!)</formula>
    </cfRule>
  </conditionalFormatting>
  <conditionalFormatting sqref="B35:F35">
    <cfRule type="expression" dxfId="53" priority="34">
      <formula>EXACT(#REF!,#REF!)</formula>
    </cfRule>
    <cfRule type="expression" dxfId="52" priority="35">
      <formula>EXACT(#REF!,#REF!)</formula>
    </cfRule>
  </conditionalFormatting>
  <conditionalFormatting sqref="J35:R35 T35:U35">
    <cfRule type="expression" dxfId="51" priority="32">
      <formula>EXACT(#REF!,#REF!)</formula>
    </cfRule>
    <cfRule type="expression" dxfId="50" priority="33">
      <formula>EXACT(#REF!,#REF!)</formula>
    </cfRule>
  </conditionalFormatting>
  <conditionalFormatting sqref="B36:F36">
    <cfRule type="expression" dxfId="49" priority="30">
      <formula>EXACT(#REF!,#REF!)</formula>
    </cfRule>
    <cfRule type="expression" dxfId="48" priority="31">
      <formula>EXACT(#REF!,#REF!)</formula>
    </cfRule>
  </conditionalFormatting>
  <conditionalFormatting sqref="J36:R36 T36:U36">
    <cfRule type="expression" dxfId="47" priority="28">
      <formula>EXACT(#REF!,#REF!)</formula>
    </cfRule>
    <cfRule type="expression" dxfId="46" priority="29">
      <formula>EXACT(#REF!,#REF!)</formula>
    </cfRule>
  </conditionalFormatting>
  <conditionalFormatting sqref="B37:F47">
    <cfRule type="expression" dxfId="45" priority="26">
      <formula>EXACT(#REF!,#REF!)</formula>
    </cfRule>
    <cfRule type="expression" dxfId="44" priority="27">
      <formula>EXACT(#REF!,#REF!)</formula>
    </cfRule>
  </conditionalFormatting>
  <conditionalFormatting sqref="J37:R47 T37:U47">
    <cfRule type="expression" dxfId="43" priority="24">
      <formula>EXACT(#REF!,#REF!)</formula>
    </cfRule>
    <cfRule type="expression" dxfId="42" priority="25">
      <formula>EXACT(#REF!,#REF!)</formula>
    </cfRule>
  </conditionalFormatting>
  <conditionalFormatting sqref="B48:F48">
    <cfRule type="expression" dxfId="41" priority="23">
      <formula>EXACT(#REF!,#REF!)</formula>
    </cfRule>
  </conditionalFormatting>
  <conditionalFormatting sqref="J48:U48">
    <cfRule type="expression" dxfId="40" priority="22">
      <formula>EXACT(#REF!,#REF!)</formula>
    </cfRule>
  </conditionalFormatting>
  <conditionalFormatting sqref="B59:F96">
    <cfRule type="expression" dxfId="39" priority="20">
      <formula>EXACT(#REF!,#REF!)</formula>
    </cfRule>
    <cfRule type="expression" dxfId="38" priority="21">
      <formula>EXACT(#REF!,#REF!)</formula>
    </cfRule>
  </conditionalFormatting>
  <conditionalFormatting sqref="J59:U96">
    <cfRule type="expression" dxfId="37" priority="18">
      <formula>EXACT(#REF!,#REF!)</formula>
    </cfRule>
    <cfRule type="expression" dxfId="36" priority="19">
      <formula>EXACT(#REF!,#REF!)</formula>
    </cfRule>
  </conditionalFormatting>
  <conditionalFormatting sqref="B58:F58">
    <cfRule type="expression" dxfId="35" priority="16">
      <formula>EXACT(#REF!,#REF!)</formula>
    </cfRule>
    <cfRule type="expression" dxfId="34" priority="17">
      <formula>EXACT(#REF!,#REF!)</formula>
    </cfRule>
  </conditionalFormatting>
  <conditionalFormatting sqref="J58:U58">
    <cfRule type="expression" dxfId="33" priority="15">
      <formula>EXACT(#REF!,#REF!)</formula>
    </cfRule>
  </conditionalFormatting>
  <conditionalFormatting sqref="B97:F97">
    <cfRule type="expression" dxfId="32" priority="14">
      <formula>EXACT(#REF!,#REF!)</formula>
    </cfRule>
  </conditionalFormatting>
  <conditionalFormatting sqref="J97:U97">
    <cfRule type="expression" dxfId="31" priority="13">
      <formula>EXACT(#REF!,#REF!)</formula>
    </cfRule>
  </conditionalFormatting>
  <conditionalFormatting sqref="B108:F125">
    <cfRule type="expression" dxfId="30" priority="11">
      <formula>EXACT(#REF!,#REF!)</formula>
    </cfRule>
    <cfRule type="expression" dxfId="29" priority="12">
      <formula>EXACT(#REF!,#REF!)</formula>
    </cfRule>
  </conditionalFormatting>
  <conditionalFormatting sqref="J108:U125">
    <cfRule type="expression" dxfId="28" priority="9">
      <formula>EXACT(#REF!,#REF!)</formula>
    </cfRule>
    <cfRule type="expression" dxfId="27" priority="10">
      <formula>EXACT(#REF!,#REF!)</formula>
    </cfRule>
  </conditionalFormatting>
  <conditionalFormatting sqref="B107:F107">
    <cfRule type="expression" dxfId="26" priority="7">
      <formula>EXACT(#REF!,#REF!)</formula>
    </cfRule>
    <cfRule type="expression" dxfId="25" priority="8">
      <formula>EXACT(#REF!,#REF!)</formula>
    </cfRule>
  </conditionalFormatting>
  <conditionalFormatting sqref="J107:U107">
    <cfRule type="expression" dxfId="24" priority="6">
      <formula>EXACT(#REF!,#REF!)</formula>
    </cfRule>
  </conditionalFormatting>
  <conditionalFormatting sqref="B126:F126">
    <cfRule type="expression" dxfId="23" priority="5">
      <formula>EXACT(#REF!,#REF!)</formula>
    </cfRule>
  </conditionalFormatting>
  <conditionalFormatting sqref="J126:U126">
    <cfRule type="expression" dxfId="22" priority="4">
      <formula>EXACT(#REF!,#REF!)</formula>
    </cfRule>
  </conditionalFormatting>
  <conditionalFormatting sqref="F9:K9">
    <cfRule type="expression" dxfId="21" priority="1">
      <formula>EXACT(#REF!,#REF!)</formula>
    </cfRule>
  </conditionalFormatting>
  <printOptions horizontalCentered="1"/>
  <pageMargins left="0.59055118110236227" right="0.59055118110236227" top="0.39370078740157483" bottom="0.39370078740157483" header="0.31496062992125984" footer="0.31496062992125984"/>
  <pageSetup scale="78" fitToHeight="0" orientation="landscape" horizontalDpi="300" verticalDpi="300" r:id="rId1"/>
  <rowBreaks count="2" manualBreakCount="2">
    <brk id="49" max="20" man="1"/>
    <brk id="98" max="2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G101"/>
  <sheetViews>
    <sheetView topLeftCell="A2" workbookViewId="0">
      <selection activeCell="D12" sqref="D12"/>
    </sheetView>
  </sheetViews>
  <sheetFormatPr defaultColWidth="11" defaultRowHeight="13.8" x14ac:dyDescent="0.3"/>
  <cols>
    <col min="1" max="1" width="4.125" bestFit="1" customWidth="1"/>
    <col min="2" max="2" width="12.5" bestFit="1" customWidth="1"/>
    <col min="3" max="7" width="7" customWidth="1"/>
  </cols>
  <sheetData>
    <row r="1" spans="1:7" x14ac:dyDescent="0.3">
      <c r="A1" t="s">
        <v>167</v>
      </c>
      <c r="B1" t="s">
        <v>34</v>
      </c>
      <c r="C1" t="s">
        <v>168</v>
      </c>
      <c r="D1" t="s">
        <v>169</v>
      </c>
      <c r="E1" t="s">
        <v>170</v>
      </c>
      <c r="F1" t="s">
        <v>171</v>
      </c>
      <c r="G1" t="s">
        <v>139</v>
      </c>
    </row>
    <row r="2" spans="1:7" x14ac:dyDescent="0.3">
      <c r="A2">
        <f>Cuartos!B17</f>
        <v>1</v>
      </c>
      <c r="B2">
        <f>Cuartos!D17</f>
        <v>0</v>
      </c>
      <c r="C2" s="118">
        <f>IF(Cuartos!DU17="",0,Cuartos!DU17)</f>
        <v>0</v>
      </c>
      <c r="D2" s="118">
        <f>IF(Cuartos!DX17="",0,Cuartos!DX17)</f>
        <v>0</v>
      </c>
      <c r="E2" s="118">
        <f>IF(Cuartos!DY17="",0,Cuartos!DY17)</f>
        <v>0</v>
      </c>
      <c r="F2" s="118">
        <f>IF(Cuartos!DZ17="",0,Cuartos!DZ17)</f>
        <v>0</v>
      </c>
      <c r="G2" s="118">
        <f>IF(Cuartos!EA17="",0,Cuartos!EA17)</f>
        <v>0</v>
      </c>
    </row>
    <row r="3" spans="1:7" x14ac:dyDescent="0.3">
      <c r="A3">
        <f>Cuartos!B18</f>
        <v>2</v>
      </c>
      <c r="B3">
        <f>Cuartos!D18</f>
        <v>0</v>
      </c>
      <c r="C3" s="118">
        <f>IF(Cuartos!DU18="",0,Cuartos!DU18)</f>
        <v>0</v>
      </c>
      <c r="D3" s="118">
        <f>IF(Cuartos!DX18="",0,Cuartos!DX18)</f>
        <v>0</v>
      </c>
      <c r="E3" s="118">
        <f>IF(Cuartos!DY18="",0,Cuartos!DY18)</f>
        <v>0</v>
      </c>
      <c r="F3" s="118">
        <f>IF(Cuartos!DZ18="",0,Cuartos!DZ18)</f>
        <v>0</v>
      </c>
      <c r="G3" s="118">
        <f>IF(Cuartos!EA18="",0,Cuartos!EA18)</f>
        <v>0</v>
      </c>
    </row>
    <row r="4" spans="1:7" x14ac:dyDescent="0.3">
      <c r="A4">
        <f>Cuartos!B19</f>
        <v>3</v>
      </c>
      <c r="B4">
        <f>Cuartos!D19</f>
        <v>0</v>
      </c>
      <c r="C4" s="118">
        <f>IF(Cuartos!DU19="",0,Cuartos!DU19)</f>
        <v>0</v>
      </c>
      <c r="D4" s="118">
        <f>IF(Cuartos!DX19="",0,Cuartos!DX19)</f>
        <v>0</v>
      </c>
      <c r="E4" s="118">
        <f>IF(Cuartos!DY19="",0,Cuartos!DY19)</f>
        <v>0</v>
      </c>
      <c r="F4" s="118">
        <f>IF(Cuartos!DZ19="",0,Cuartos!DZ19)</f>
        <v>0</v>
      </c>
      <c r="G4" s="118">
        <f>IF(Cuartos!EA19="",0,Cuartos!EA19)</f>
        <v>0</v>
      </c>
    </row>
    <row r="5" spans="1:7" x14ac:dyDescent="0.3">
      <c r="A5">
        <f>Cuartos!B20</f>
        <v>4</v>
      </c>
      <c r="B5">
        <f>Cuartos!D20</f>
        <v>0</v>
      </c>
      <c r="C5" s="118">
        <f>IF(Cuartos!DU20="",0,Cuartos!DU20)</f>
        <v>0</v>
      </c>
      <c r="D5" s="118">
        <f>IF(Cuartos!DX20="",0,Cuartos!DX20)</f>
        <v>0</v>
      </c>
      <c r="E5" s="118">
        <f>IF(Cuartos!DY20="",0,Cuartos!DY20)</f>
        <v>0</v>
      </c>
      <c r="F5" s="118">
        <f>IF(Cuartos!DZ20="",0,Cuartos!DZ20)</f>
        <v>0</v>
      </c>
      <c r="G5" s="118">
        <f>IF(Cuartos!EA20="",0,Cuartos!EA20)</f>
        <v>0</v>
      </c>
    </row>
    <row r="6" spans="1:7" x14ac:dyDescent="0.3">
      <c r="A6">
        <f>Cuartos!B21</f>
        <v>5</v>
      </c>
      <c r="B6">
        <f>Cuartos!D21</f>
        <v>0</v>
      </c>
      <c r="C6" s="118">
        <f>IF(Cuartos!DU21="",0,Cuartos!DU21)</f>
        <v>0</v>
      </c>
      <c r="D6" s="118">
        <f>IF(Cuartos!DX21="",0,Cuartos!DX21)</f>
        <v>0</v>
      </c>
      <c r="E6" s="118">
        <f>IF(Cuartos!DY21="",0,Cuartos!DY21)</f>
        <v>0</v>
      </c>
      <c r="F6" s="118">
        <f>IF(Cuartos!DZ21="",0,Cuartos!DZ21)</f>
        <v>0</v>
      </c>
      <c r="G6" s="118">
        <f>IF(Cuartos!EA21="",0,Cuartos!EA21)</f>
        <v>0</v>
      </c>
    </row>
    <row r="7" spans="1:7" x14ac:dyDescent="0.3">
      <c r="A7">
        <f>Cuartos!B22</f>
        <v>6</v>
      </c>
      <c r="B7">
        <f>Cuartos!D22</f>
        <v>0</v>
      </c>
      <c r="C7" s="118">
        <f>IF(Cuartos!DU22="",0,Cuartos!DU22)</f>
        <v>0</v>
      </c>
      <c r="D7" s="118">
        <f>IF(Cuartos!DX22="",0,Cuartos!DX22)</f>
        <v>0</v>
      </c>
      <c r="E7" s="118">
        <f>IF(Cuartos!DY22="",0,Cuartos!DY22)</f>
        <v>0</v>
      </c>
      <c r="F7" s="118">
        <f>IF(Cuartos!DZ22="",0,Cuartos!DZ22)</f>
        <v>0</v>
      </c>
      <c r="G7" s="118">
        <f>IF(Cuartos!EA22="",0,Cuartos!EA22)</f>
        <v>0</v>
      </c>
    </row>
    <row r="8" spans="1:7" x14ac:dyDescent="0.3">
      <c r="A8">
        <f>Cuartos!B23</f>
        <v>7</v>
      </c>
      <c r="B8">
        <f>Cuartos!D23</f>
        <v>0</v>
      </c>
      <c r="C8" s="118">
        <f>IF(Cuartos!DU23="",0,Cuartos!DU23)</f>
        <v>0</v>
      </c>
      <c r="D8" s="118">
        <f>IF(Cuartos!DX23="",0,Cuartos!DX23)</f>
        <v>0</v>
      </c>
      <c r="E8" s="118">
        <f>IF(Cuartos!DY23="",0,Cuartos!DY23)</f>
        <v>0</v>
      </c>
      <c r="F8" s="118">
        <f>IF(Cuartos!DZ23="",0,Cuartos!DZ23)</f>
        <v>0</v>
      </c>
      <c r="G8" s="118">
        <f>IF(Cuartos!EA23="",0,Cuartos!EA23)</f>
        <v>0</v>
      </c>
    </row>
    <row r="9" spans="1:7" x14ac:dyDescent="0.3">
      <c r="A9">
        <f>Cuartos!B24</f>
        <v>8</v>
      </c>
      <c r="B9">
        <f>Cuartos!D24</f>
        <v>0</v>
      </c>
      <c r="C9" s="118">
        <f>IF(Cuartos!DU24="",0,Cuartos!DU24)</f>
        <v>0</v>
      </c>
      <c r="D9" s="118">
        <f>IF(Cuartos!DX24="",0,Cuartos!DX24)</f>
        <v>0</v>
      </c>
      <c r="E9" s="118">
        <f>IF(Cuartos!DY24="",0,Cuartos!DY24)</f>
        <v>0</v>
      </c>
      <c r="F9" s="118">
        <f>IF(Cuartos!DZ24="",0,Cuartos!DZ24)</f>
        <v>0</v>
      </c>
      <c r="G9" s="118">
        <f>IF(Cuartos!EA24="",0,Cuartos!EA24)</f>
        <v>0</v>
      </c>
    </row>
    <row r="10" spans="1:7" x14ac:dyDescent="0.3">
      <c r="A10">
        <f>Cuartos!B25</f>
        <v>9</v>
      </c>
      <c r="B10">
        <f>Cuartos!D25</f>
        <v>0</v>
      </c>
      <c r="C10" s="118">
        <f>IF(Cuartos!DU25="",0,Cuartos!DU25)</f>
        <v>0</v>
      </c>
      <c r="D10" s="118">
        <f>IF(Cuartos!DX25="",0,Cuartos!DX25)</f>
        <v>0</v>
      </c>
      <c r="E10" s="118">
        <f>IF(Cuartos!DY25="",0,Cuartos!DY25)</f>
        <v>0</v>
      </c>
      <c r="F10" s="118">
        <f>IF(Cuartos!DZ25="",0,Cuartos!DZ25)</f>
        <v>0</v>
      </c>
      <c r="G10" s="118">
        <f>IF(Cuartos!EA25="",0,Cuartos!EA25)</f>
        <v>0</v>
      </c>
    </row>
    <row r="11" spans="1:7" x14ac:dyDescent="0.3">
      <c r="A11">
        <f>Cuartos!B26</f>
        <v>10</v>
      </c>
      <c r="B11">
        <f>Cuartos!D26</f>
        <v>0</v>
      </c>
      <c r="C11" s="118">
        <f>IF(Cuartos!DU26="",0,Cuartos!DU26)</f>
        <v>0</v>
      </c>
      <c r="D11" s="118">
        <f>IF(Cuartos!DX26="",0,Cuartos!DX26)</f>
        <v>0</v>
      </c>
      <c r="E11" s="118">
        <f>IF(Cuartos!DY26="",0,Cuartos!DY26)</f>
        <v>0</v>
      </c>
      <c r="F11" s="118">
        <f>IF(Cuartos!DZ26="",0,Cuartos!DZ26)</f>
        <v>0</v>
      </c>
      <c r="G11" s="118">
        <f>IF(Cuartos!EA26="",0,Cuartos!EA26)</f>
        <v>0</v>
      </c>
    </row>
    <row r="12" spans="1:7" x14ac:dyDescent="0.3">
      <c r="A12">
        <f>Cuartos!B27</f>
        <v>11</v>
      </c>
      <c r="B12">
        <f>Cuartos!D27</f>
        <v>0</v>
      </c>
      <c r="C12" s="118">
        <f>IF(Cuartos!DU27="",0,Cuartos!DU27)</f>
        <v>0</v>
      </c>
      <c r="D12" s="118">
        <f>IF(Cuartos!DX27="",0,Cuartos!DX27)</f>
        <v>0</v>
      </c>
      <c r="E12" s="118">
        <f>IF(Cuartos!DY27="",0,Cuartos!DY27)</f>
        <v>0</v>
      </c>
      <c r="F12" s="118">
        <f>IF(Cuartos!DZ27="",0,Cuartos!DZ27)</f>
        <v>0</v>
      </c>
      <c r="G12" s="118">
        <f>IF(Cuartos!EA27="",0,Cuartos!EA27)</f>
        <v>0</v>
      </c>
    </row>
    <row r="13" spans="1:7" x14ac:dyDescent="0.3">
      <c r="A13">
        <f>Cuartos!B28</f>
        <v>12</v>
      </c>
      <c r="B13">
        <f>Cuartos!D28</f>
        <v>0</v>
      </c>
      <c r="C13" s="118">
        <f>IF(Cuartos!DU28="",0,Cuartos!DU28)</f>
        <v>0</v>
      </c>
      <c r="D13" s="118">
        <f>IF(Cuartos!DX28="",0,Cuartos!DX28)</f>
        <v>0</v>
      </c>
      <c r="E13" s="118">
        <f>IF(Cuartos!DY28="",0,Cuartos!DY28)</f>
        <v>0</v>
      </c>
      <c r="F13" s="118">
        <f>IF(Cuartos!DZ28="",0,Cuartos!DZ28)</f>
        <v>0</v>
      </c>
      <c r="G13" s="118">
        <f>IF(Cuartos!EA28="",0,Cuartos!EA28)</f>
        <v>0</v>
      </c>
    </row>
    <row r="14" spans="1:7" x14ac:dyDescent="0.3">
      <c r="A14">
        <f>Cuartos!B29</f>
        <v>13</v>
      </c>
      <c r="B14">
        <f>Cuartos!D29</f>
        <v>0</v>
      </c>
      <c r="C14" s="118">
        <f>IF(Cuartos!DU29="",0,Cuartos!DU29)</f>
        <v>0</v>
      </c>
      <c r="D14" s="118">
        <f>IF(Cuartos!DX29="",0,Cuartos!DX29)</f>
        <v>0</v>
      </c>
      <c r="E14" s="118">
        <f>IF(Cuartos!DY29="",0,Cuartos!DY29)</f>
        <v>0</v>
      </c>
      <c r="F14" s="118">
        <f>IF(Cuartos!DZ29="",0,Cuartos!DZ29)</f>
        <v>0</v>
      </c>
      <c r="G14" s="118">
        <f>IF(Cuartos!EA29="",0,Cuartos!EA29)</f>
        <v>0</v>
      </c>
    </row>
    <row r="15" spans="1:7" x14ac:dyDescent="0.3">
      <c r="A15">
        <f>Cuartos!B30</f>
        <v>14</v>
      </c>
      <c r="B15">
        <f>Cuartos!D30</f>
        <v>0</v>
      </c>
      <c r="C15" s="118">
        <f>IF(Cuartos!DU30="",0,Cuartos!DU30)</f>
        <v>0</v>
      </c>
      <c r="D15" s="118">
        <f>IF(Cuartos!DX30="",0,Cuartos!DX30)</f>
        <v>0</v>
      </c>
      <c r="E15" s="118">
        <f>IF(Cuartos!DY30="",0,Cuartos!DY30)</f>
        <v>0</v>
      </c>
      <c r="F15" s="118">
        <f>IF(Cuartos!DZ30="",0,Cuartos!DZ30)</f>
        <v>0</v>
      </c>
      <c r="G15" s="118">
        <f>IF(Cuartos!EA30="",0,Cuartos!EA30)</f>
        <v>0</v>
      </c>
    </row>
    <row r="16" spans="1:7" x14ac:dyDescent="0.3">
      <c r="A16">
        <f>Cuartos!B31</f>
        <v>15</v>
      </c>
      <c r="B16">
        <f>Cuartos!D31</f>
        <v>0</v>
      </c>
      <c r="C16" s="118">
        <f>IF(Cuartos!DU31="",0,Cuartos!DU31)</f>
        <v>0</v>
      </c>
      <c r="D16" s="118">
        <f>IF(Cuartos!DX31="",0,Cuartos!DX31)</f>
        <v>0</v>
      </c>
      <c r="E16" s="118">
        <f>IF(Cuartos!DY31="",0,Cuartos!DY31)</f>
        <v>0</v>
      </c>
      <c r="F16" s="118">
        <f>IF(Cuartos!DZ31="",0,Cuartos!DZ31)</f>
        <v>0</v>
      </c>
      <c r="G16" s="118">
        <f>IF(Cuartos!EA31="",0,Cuartos!EA31)</f>
        <v>0</v>
      </c>
    </row>
    <row r="17" spans="1:7" x14ac:dyDescent="0.3">
      <c r="A17">
        <f>Cuartos!B32</f>
        <v>16</v>
      </c>
      <c r="B17">
        <f>Cuartos!D32</f>
        <v>0</v>
      </c>
      <c r="C17" s="118">
        <f>IF(Cuartos!DU32="",0,Cuartos!DU32)</f>
        <v>0</v>
      </c>
      <c r="D17" s="118">
        <f>IF(Cuartos!DX32="",0,Cuartos!DX32)</f>
        <v>0</v>
      </c>
      <c r="E17" s="118">
        <f>IF(Cuartos!DY32="",0,Cuartos!DY32)</f>
        <v>0</v>
      </c>
      <c r="F17" s="118">
        <f>IF(Cuartos!DZ32="",0,Cuartos!DZ32)</f>
        <v>0</v>
      </c>
      <c r="G17" s="118">
        <f>IF(Cuartos!EA32="",0,Cuartos!EA32)</f>
        <v>0</v>
      </c>
    </row>
    <row r="18" spans="1:7" x14ac:dyDescent="0.3">
      <c r="A18">
        <f>Cuartos!B33</f>
        <v>17</v>
      </c>
      <c r="B18">
        <f>Cuartos!D33</f>
        <v>0</v>
      </c>
      <c r="C18" s="118">
        <f>IF(Cuartos!DU33="",0,Cuartos!DU33)</f>
        <v>0</v>
      </c>
      <c r="D18" s="118">
        <f>IF(Cuartos!DX33="",0,Cuartos!DX33)</f>
        <v>0</v>
      </c>
      <c r="E18" s="118">
        <f>IF(Cuartos!DY33="",0,Cuartos!DY33)</f>
        <v>0</v>
      </c>
      <c r="F18" s="118">
        <f>IF(Cuartos!DZ33="",0,Cuartos!DZ33)</f>
        <v>0</v>
      </c>
      <c r="G18" s="118">
        <f>IF(Cuartos!EA33="",0,Cuartos!EA33)</f>
        <v>0</v>
      </c>
    </row>
    <row r="19" spans="1:7" x14ac:dyDescent="0.3">
      <c r="A19">
        <f>Cuartos!B34</f>
        <v>18</v>
      </c>
      <c r="B19">
        <f>Cuartos!D34</f>
        <v>0</v>
      </c>
      <c r="C19" s="118">
        <f>IF(Cuartos!DU34="",0,Cuartos!DU34)</f>
        <v>0</v>
      </c>
      <c r="D19" s="118">
        <f>IF(Cuartos!DX34="",0,Cuartos!DX34)</f>
        <v>0</v>
      </c>
      <c r="E19" s="118">
        <f>IF(Cuartos!DY34="",0,Cuartos!DY34)</f>
        <v>0</v>
      </c>
      <c r="F19" s="118">
        <f>IF(Cuartos!DZ34="",0,Cuartos!DZ34)</f>
        <v>0</v>
      </c>
      <c r="G19" s="118">
        <f>IF(Cuartos!EA34="",0,Cuartos!EA34)</f>
        <v>0</v>
      </c>
    </row>
    <row r="20" spans="1:7" x14ac:dyDescent="0.3">
      <c r="A20">
        <f>Cuartos!B35</f>
        <v>19</v>
      </c>
      <c r="B20">
        <f>Cuartos!D35</f>
        <v>0</v>
      </c>
      <c r="C20" s="118">
        <f>IF(Cuartos!DU35="",0,Cuartos!DU35)</f>
        <v>0</v>
      </c>
      <c r="D20" s="118">
        <f>IF(Cuartos!DX35="",0,Cuartos!DX35)</f>
        <v>0</v>
      </c>
      <c r="E20" s="118">
        <f>IF(Cuartos!DY35="",0,Cuartos!DY35)</f>
        <v>0</v>
      </c>
      <c r="F20" s="118">
        <f>IF(Cuartos!DZ35="",0,Cuartos!DZ35)</f>
        <v>0</v>
      </c>
      <c r="G20" s="118">
        <f>IF(Cuartos!EA35="",0,Cuartos!EA35)</f>
        <v>0</v>
      </c>
    </row>
    <row r="21" spans="1:7" x14ac:dyDescent="0.3">
      <c r="A21">
        <f>Cuartos!B36</f>
        <v>20</v>
      </c>
      <c r="B21">
        <f>Cuartos!D36</f>
        <v>0</v>
      </c>
      <c r="C21" s="118">
        <f>IF(Cuartos!DU36="",0,Cuartos!DU36)</f>
        <v>0</v>
      </c>
      <c r="D21" s="118">
        <f>IF(Cuartos!DX36="",0,Cuartos!DX36)</f>
        <v>0</v>
      </c>
      <c r="E21" s="118">
        <f>IF(Cuartos!DY36="",0,Cuartos!DY36)</f>
        <v>0</v>
      </c>
      <c r="F21" s="118">
        <f>IF(Cuartos!DZ36="",0,Cuartos!DZ36)</f>
        <v>0</v>
      </c>
      <c r="G21" s="118">
        <f>IF(Cuartos!EA36="",0,Cuartos!EA36)</f>
        <v>0</v>
      </c>
    </row>
    <row r="22" spans="1:7" x14ac:dyDescent="0.3">
      <c r="A22">
        <f>Cuartos!B37</f>
        <v>21</v>
      </c>
      <c r="B22">
        <f>Cuartos!D37</f>
        <v>0</v>
      </c>
      <c r="C22" s="118">
        <f>IF(Cuartos!DU37="",0,Cuartos!DU37)</f>
        <v>0</v>
      </c>
      <c r="D22" s="118">
        <f>IF(Cuartos!DX37="",0,Cuartos!DX37)</f>
        <v>0</v>
      </c>
      <c r="E22" s="118">
        <f>IF(Cuartos!DY37="",0,Cuartos!DY37)</f>
        <v>0</v>
      </c>
      <c r="F22" s="118">
        <f>IF(Cuartos!DZ37="",0,Cuartos!DZ37)</f>
        <v>0</v>
      </c>
      <c r="G22" s="118">
        <f>IF(Cuartos!EA37="",0,Cuartos!EA37)</f>
        <v>0</v>
      </c>
    </row>
    <row r="23" spans="1:7" x14ac:dyDescent="0.3">
      <c r="A23">
        <f>Cuartos!B38</f>
        <v>22</v>
      </c>
      <c r="B23">
        <f>Cuartos!D38</f>
        <v>0</v>
      </c>
      <c r="C23" s="118">
        <f>IF(Cuartos!DU38="",0,Cuartos!DU38)</f>
        <v>0</v>
      </c>
      <c r="D23" s="118">
        <f>IF(Cuartos!DX38="",0,Cuartos!DX38)</f>
        <v>0</v>
      </c>
      <c r="E23" s="118">
        <f>IF(Cuartos!DY38="",0,Cuartos!DY38)</f>
        <v>0</v>
      </c>
      <c r="F23" s="118">
        <f>IF(Cuartos!DZ38="",0,Cuartos!DZ38)</f>
        <v>0</v>
      </c>
      <c r="G23" s="118">
        <f>IF(Cuartos!EA38="",0,Cuartos!EA38)</f>
        <v>0</v>
      </c>
    </row>
    <row r="24" spans="1:7" x14ac:dyDescent="0.3">
      <c r="A24">
        <f>Cuartos!B39</f>
        <v>23</v>
      </c>
      <c r="B24">
        <f>Cuartos!D39</f>
        <v>0</v>
      </c>
      <c r="C24" s="118">
        <f>IF(Cuartos!DU39="",0,Cuartos!DU39)</f>
        <v>0</v>
      </c>
      <c r="D24" s="118">
        <f>IF(Cuartos!DX39="",0,Cuartos!DX39)</f>
        <v>0</v>
      </c>
      <c r="E24" s="118">
        <f>IF(Cuartos!DY39="",0,Cuartos!DY39)</f>
        <v>0</v>
      </c>
      <c r="F24" s="118">
        <f>IF(Cuartos!DZ39="",0,Cuartos!DZ39)</f>
        <v>0</v>
      </c>
      <c r="G24" s="118">
        <f>IF(Cuartos!EA39="",0,Cuartos!EA39)</f>
        <v>0</v>
      </c>
    </row>
    <row r="25" spans="1:7" x14ac:dyDescent="0.3">
      <c r="A25">
        <f>Cuartos!B40</f>
        <v>24</v>
      </c>
      <c r="B25">
        <f>Cuartos!D40</f>
        <v>0</v>
      </c>
      <c r="C25" s="118">
        <f>IF(Cuartos!DU40="",0,Cuartos!DU40)</f>
        <v>0</v>
      </c>
      <c r="D25" s="118">
        <f>IF(Cuartos!DX40="",0,Cuartos!DX40)</f>
        <v>0</v>
      </c>
      <c r="E25" s="118">
        <f>IF(Cuartos!DY40="",0,Cuartos!DY40)</f>
        <v>0</v>
      </c>
      <c r="F25" s="118">
        <f>IF(Cuartos!DZ40="",0,Cuartos!DZ40)</f>
        <v>0</v>
      </c>
      <c r="G25" s="118">
        <f>IF(Cuartos!EA40="",0,Cuartos!EA40)</f>
        <v>0</v>
      </c>
    </row>
    <row r="26" spans="1:7" x14ac:dyDescent="0.3">
      <c r="A26">
        <f>Cuartos!B41</f>
        <v>25</v>
      </c>
      <c r="B26">
        <f>Cuartos!D41</f>
        <v>0</v>
      </c>
      <c r="C26" s="118">
        <f>IF(Cuartos!DU41="",0,Cuartos!DU41)</f>
        <v>0</v>
      </c>
      <c r="D26" s="118">
        <f>IF(Cuartos!DX41="",0,Cuartos!DX41)</f>
        <v>0</v>
      </c>
      <c r="E26" s="118">
        <f>IF(Cuartos!DY41="",0,Cuartos!DY41)</f>
        <v>0</v>
      </c>
      <c r="F26" s="118">
        <f>IF(Cuartos!DZ41="",0,Cuartos!DZ41)</f>
        <v>0</v>
      </c>
      <c r="G26" s="118">
        <f>IF(Cuartos!EA41="",0,Cuartos!EA41)</f>
        <v>0</v>
      </c>
    </row>
    <row r="27" spans="1:7" x14ac:dyDescent="0.3">
      <c r="A27">
        <f>Cuartos!B42</f>
        <v>26</v>
      </c>
      <c r="B27">
        <f>Cuartos!D42</f>
        <v>0</v>
      </c>
      <c r="C27" s="118">
        <f>IF(Cuartos!DU42="",0,Cuartos!DU42)</f>
        <v>0</v>
      </c>
      <c r="D27" s="118">
        <f>IF(Cuartos!DX42="",0,Cuartos!DX42)</f>
        <v>0</v>
      </c>
      <c r="E27" s="118">
        <f>IF(Cuartos!DY42="",0,Cuartos!DY42)</f>
        <v>0</v>
      </c>
      <c r="F27" s="118">
        <f>IF(Cuartos!DZ42="",0,Cuartos!DZ42)</f>
        <v>0</v>
      </c>
      <c r="G27" s="118">
        <f>IF(Cuartos!EA42="",0,Cuartos!EA42)</f>
        <v>0</v>
      </c>
    </row>
    <row r="28" spans="1:7" x14ac:dyDescent="0.3">
      <c r="A28">
        <f>Cuartos!B43</f>
        <v>27</v>
      </c>
      <c r="B28">
        <f>Cuartos!D43</f>
        <v>0</v>
      </c>
      <c r="C28" s="118">
        <f>IF(Cuartos!DU43="",0,Cuartos!DU43)</f>
        <v>0</v>
      </c>
      <c r="D28" s="118">
        <f>IF(Cuartos!DX43="",0,Cuartos!DX43)</f>
        <v>0</v>
      </c>
      <c r="E28" s="118">
        <f>IF(Cuartos!DY43="",0,Cuartos!DY43)</f>
        <v>0</v>
      </c>
      <c r="F28" s="118">
        <f>IF(Cuartos!DZ43="",0,Cuartos!DZ43)</f>
        <v>0</v>
      </c>
      <c r="G28" s="118">
        <f>IF(Cuartos!EA43="",0,Cuartos!EA43)</f>
        <v>0</v>
      </c>
    </row>
    <row r="29" spans="1:7" x14ac:dyDescent="0.3">
      <c r="A29">
        <f>Cuartos!B44</f>
        <v>28</v>
      </c>
      <c r="B29">
        <f>Cuartos!D44</f>
        <v>0</v>
      </c>
      <c r="C29" s="118">
        <f>IF(Cuartos!DU44="",0,Cuartos!DU44)</f>
        <v>0</v>
      </c>
      <c r="D29" s="118">
        <f>IF(Cuartos!DX44="",0,Cuartos!DX44)</f>
        <v>0</v>
      </c>
      <c r="E29" s="118">
        <f>IF(Cuartos!DY44="",0,Cuartos!DY44)</f>
        <v>0</v>
      </c>
      <c r="F29" s="118">
        <f>IF(Cuartos!DZ44="",0,Cuartos!DZ44)</f>
        <v>0</v>
      </c>
      <c r="G29" s="118">
        <f>IF(Cuartos!EA44="",0,Cuartos!EA44)</f>
        <v>0</v>
      </c>
    </row>
    <row r="30" spans="1:7" x14ac:dyDescent="0.3">
      <c r="A30">
        <f>Cuartos!B45</f>
        <v>29</v>
      </c>
      <c r="B30">
        <f>Cuartos!D45</f>
        <v>0</v>
      </c>
      <c r="C30" s="118">
        <f>IF(Cuartos!DU45="",0,Cuartos!DU45)</f>
        <v>0</v>
      </c>
      <c r="D30" s="118">
        <f>IF(Cuartos!DX45="",0,Cuartos!DX45)</f>
        <v>0</v>
      </c>
      <c r="E30" s="118">
        <f>IF(Cuartos!DY45="",0,Cuartos!DY45)</f>
        <v>0</v>
      </c>
      <c r="F30" s="118">
        <f>IF(Cuartos!DZ45="",0,Cuartos!DZ45)</f>
        <v>0</v>
      </c>
      <c r="G30" s="118">
        <f>IF(Cuartos!EA45="",0,Cuartos!EA45)</f>
        <v>0</v>
      </c>
    </row>
    <row r="31" spans="1:7" x14ac:dyDescent="0.3">
      <c r="A31">
        <f>Cuartos!B46</f>
        <v>30</v>
      </c>
      <c r="B31">
        <f>Cuartos!D46</f>
        <v>0</v>
      </c>
      <c r="C31" s="118">
        <f>IF(Cuartos!DU46="",0,Cuartos!DU46)</f>
        <v>0</v>
      </c>
      <c r="D31" s="118">
        <f>IF(Cuartos!DX46="",0,Cuartos!DX46)</f>
        <v>0</v>
      </c>
      <c r="E31" s="118">
        <f>IF(Cuartos!DY46="",0,Cuartos!DY46)</f>
        <v>0</v>
      </c>
      <c r="F31" s="118">
        <f>IF(Cuartos!DZ46="",0,Cuartos!DZ46)</f>
        <v>0</v>
      </c>
      <c r="G31" s="118">
        <f>IF(Cuartos!EA46="",0,Cuartos!EA46)</f>
        <v>0</v>
      </c>
    </row>
    <row r="32" spans="1:7" x14ac:dyDescent="0.3">
      <c r="A32">
        <f>Cuartos!B47</f>
        <v>31</v>
      </c>
      <c r="B32">
        <f>Cuartos!D47</f>
        <v>0</v>
      </c>
      <c r="C32" s="118">
        <f>IF(Cuartos!DU47="",0,Cuartos!DU47)</f>
        <v>0</v>
      </c>
      <c r="D32" s="118">
        <f>IF(Cuartos!DX47="",0,Cuartos!DX47)</f>
        <v>0</v>
      </c>
      <c r="E32" s="118">
        <f>IF(Cuartos!DY47="",0,Cuartos!DY47)</f>
        <v>0</v>
      </c>
      <c r="F32" s="118">
        <f>IF(Cuartos!DZ47="",0,Cuartos!DZ47)</f>
        <v>0</v>
      </c>
      <c r="G32" s="118">
        <f>IF(Cuartos!EA47="",0,Cuartos!EA47)</f>
        <v>0</v>
      </c>
    </row>
    <row r="33" spans="1:7" x14ac:dyDescent="0.3">
      <c r="A33">
        <f>Cuartos!B48</f>
        <v>32</v>
      </c>
      <c r="B33">
        <f>Cuartos!D48</f>
        <v>0</v>
      </c>
      <c r="C33" s="118">
        <f>IF(Cuartos!DU48="",0,Cuartos!DU48)</f>
        <v>0</v>
      </c>
      <c r="D33" s="118">
        <f>IF(Cuartos!DX48="",0,Cuartos!DX48)</f>
        <v>0</v>
      </c>
      <c r="E33" s="118">
        <f>IF(Cuartos!DY48="",0,Cuartos!DY48)</f>
        <v>0</v>
      </c>
      <c r="F33" s="118">
        <f>IF(Cuartos!DZ48="",0,Cuartos!DZ48)</f>
        <v>0</v>
      </c>
      <c r="G33" s="118">
        <f>IF(Cuartos!EA48="",0,Cuartos!EA48)</f>
        <v>0</v>
      </c>
    </row>
    <row r="34" spans="1:7" x14ac:dyDescent="0.3">
      <c r="A34">
        <f>Cuartos!B49</f>
        <v>33</v>
      </c>
      <c r="B34">
        <f>Cuartos!D49</f>
        <v>0</v>
      </c>
      <c r="C34" s="118">
        <f>IF(Cuartos!DU49="",0,Cuartos!DU49)</f>
        <v>0</v>
      </c>
      <c r="D34" s="118">
        <f>IF(Cuartos!DX49="",0,Cuartos!DX49)</f>
        <v>0</v>
      </c>
      <c r="E34" s="118">
        <f>IF(Cuartos!DY49="",0,Cuartos!DY49)</f>
        <v>0</v>
      </c>
      <c r="F34" s="118">
        <f>IF(Cuartos!DZ49="",0,Cuartos!DZ49)</f>
        <v>0</v>
      </c>
      <c r="G34" s="118">
        <f>IF(Cuartos!EA49="",0,Cuartos!EA49)</f>
        <v>0</v>
      </c>
    </row>
    <row r="35" spans="1:7" x14ac:dyDescent="0.3">
      <c r="A35">
        <f>Cuartos!B50</f>
        <v>34</v>
      </c>
      <c r="B35">
        <f>Cuartos!D50</f>
        <v>0</v>
      </c>
      <c r="C35" s="118">
        <f>IF(Cuartos!DU50="",0,Cuartos!DU50)</f>
        <v>0</v>
      </c>
      <c r="D35" s="118">
        <f>IF(Cuartos!DX50="",0,Cuartos!DX50)</f>
        <v>0</v>
      </c>
      <c r="E35" s="118">
        <f>IF(Cuartos!DY50="",0,Cuartos!DY50)</f>
        <v>0</v>
      </c>
      <c r="F35" s="118">
        <f>IF(Cuartos!DZ50="",0,Cuartos!DZ50)</f>
        <v>0</v>
      </c>
      <c r="G35" s="118">
        <f>IF(Cuartos!EA50="",0,Cuartos!EA50)</f>
        <v>0</v>
      </c>
    </row>
    <row r="36" spans="1:7" x14ac:dyDescent="0.3">
      <c r="A36">
        <f>Cuartos!B51</f>
        <v>35</v>
      </c>
      <c r="B36">
        <f>Cuartos!D51</f>
        <v>0</v>
      </c>
      <c r="C36" s="118">
        <f>IF(Cuartos!DU51="",0,Cuartos!DU51)</f>
        <v>0</v>
      </c>
      <c r="D36" s="118">
        <f>IF(Cuartos!DX51="",0,Cuartos!DX51)</f>
        <v>0</v>
      </c>
      <c r="E36" s="118">
        <f>IF(Cuartos!DY51="",0,Cuartos!DY51)</f>
        <v>0</v>
      </c>
      <c r="F36" s="118">
        <f>IF(Cuartos!DZ51="",0,Cuartos!DZ51)</f>
        <v>0</v>
      </c>
      <c r="G36" s="118">
        <f>IF(Cuartos!EA51="",0,Cuartos!EA51)</f>
        <v>0</v>
      </c>
    </row>
    <row r="37" spans="1:7" x14ac:dyDescent="0.3">
      <c r="A37">
        <f>Cuartos!B52</f>
        <v>36</v>
      </c>
      <c r="B37">
        <f>Cuartos!D52</f>
        <v>0</v>
      </c>
      <c r="C37" s="118">
        <f>IF(Cuartos!DU52="",0,Cuartos!DU52)</f>
        <v>0</v>
      </c>
      <c r="D37" s="118">
        <f>IF(Cuartos!DX52="",0,Cuartos!DX52)</f>
        <v>0</v>
      </c>
      <c r="E37" s="118">
        <f>IF(Cuartos!DY52="",0,Cuartos!DY52)</f>
        <v>0</v>
      </c>
      <c r="F37" s="118">
        <f>IF(Cuartos!DZ52="",0,Cuartos!DZ52)</f>
        <v>0</v>
      </c>
      <c r="G37" s="118">
        <f>IF(Cuartos!EA52="",0,Cuartos!EA52)</f>
        <v>0</v>
      </c>
    </row>
    <row r="38" spans="1:7" x14ac:dyDescent="0.3">
      <c r="A38">
        <f>Cuartos!B53</f>
        <v>37</v>
      </c>
      <c r="B38">
        <f>Cuartos!D53</f>
        <v>0</v>
      </c>
      <c r="C38" s="118">
        <f>IF(Cuartos!DU53="",0,Cuartos!DU53)</f>
        <v>0</v>
      </c>
      <c r="D38" s="118">
        <f>IF(Cuartos!DX53="",0,Cuartos!DX53)</f>
        <v>0</v>
      </c>
      <c r="E38" s="118">
        <f>IF(Cuartos!DY53="",0,Cuartos!DY53)</f>
        <v>0</v>
      </c>
      <c r="F38" s="118">
        <f>IF(Cuartos!DZ53="",0,Cuartos!DZ53)</f>
        <v>0</v>
      </c>
      <c r="G38" s="118">
        <f>IF(Cuartos!EA53="",0,Cuartos!EA53)</f>
        <v>0</v>
      </c>
    </row>
    <row r="39" spans="1:7" x14ac:dyDescent="0.3">
      <c r="A39">
        <f>Cuartos!B54</f>
        <v>38</v>
      </c>
      <c r="B39">
        <f>Cuartos!D54</f>
        <v>0</v>
      </c>
      <c r="C39" s="118">
        <f>IF(Cuartos!DU54="",0,Cuartos!DU54)</f>
        <v>0</v>
      </c>
      <c r="D39" s="118">
        <f>IF(Cuartos!DX54="",0,Cuartos!DX54)</f>
        <v>0</v>
      </c>
      <c r="E39" s="118">
        <f>IF(Cuartos!DY54="",0,Cuartos!DY54)</f>
        <v>0</v>
      </c>
      <c r="F39" s="118">
        <f>IF(Cuartos!DZ54="",0,Cuartos!DZ54)</f>
        <v>0</v>
      </c>
      <c r="G39" s="118">
        <f>IF(Cuartos!EA54="",0,Cuartos!EA54)</f>
        <v>0</v>
      </c>
    </row>
    <row r="40" spans="1:7" x14ac:dyDescent="0.3">
      <c r="A40">
        <f>Cuartos!B55</f>
        <v>39</v>
      </c>
      <c r="B40">
        <f>Cuartos!D55</f>
        <v>0</v>
      </c>
      <c r="C40" s="118">
        <f>IF(Cuartos!DU55="",0,Cuartos!DU55)</f>
        <v>0</v>
      </c>
      <c r="D40" s="118">
        <f>IF(Cuartos!DX55="",0,Cuartos!DX55)</f>
        <v>0</v>
      </c>
      <c r="E40" s="118">
        <f>IF(Cuartos!DY55="",0,Cuartos!DY55)</f>
        <v>0</v>
      </c>
      <c r="F40" s="118">
        <f>IF(Cuartos!DZ55="",0,Cuartos!DZ55)</f>
        <v>0</v>
      </c>
      <c r="G40" s="118">
        <f>IF(Cuartos!EA55="",0,Cuartos!EA55)</f>
        <v>0</v>
      </c>
    </row>
    <row r="41" spans="1:7" x14ac:dyDescent="0.3">
      <c r="A41">
        <f>Cuartos!B56</f>
        <v>40</v>
      </c>
      <c r="B41">
        <f>Cuartos!D56</f>
        <v>0</v>
      </c>
      <c r="C41" s="118">
        <f>IF(Cuartos!DU56="",0,Cuartos!DU56)</f>
        <v>0</v>
      </c>
      <c r="D41" s="118">
        <f>IF(Cuartos!DX56="",0,Cuartos!DX56)</f>
        <v>0</v>
      </c>
      <c r="E41" s="118">
        <f>IF(Cuartos!DY56="",0,Cuartos!DY56)</f>
        <v>0</v>
      </c>
      <c r="F41" s="118">
        <f>IF(Cuartos!DZ56="",0,Cuartos!DZ56)</f>
        <v>0</v>
      </c>
      <c r="G41" s="118">
        <f>IF(Cuartos!EA56="",0,Cuartos!EA56)</f>
        <v>0</v>
      </c>
    </row>
    <row r="42" spans="1:7" x14ac:dyDescent="0.3">
      <c r="A42">
        <f>Cuartos!B57</f>
        <v>41</v>
      </c>
      <c r="B42">
        <f>Cuartos!D57</f>
        <v>0</v>
      </c>
      <c r="C42" s="118">
        <f>IF(Cuartos!DU57="",0,Cuartos!DU57)</f>
        <v>0</v>
      </c>
      <c r="D42" s="118">
        <f>IF(Cuartos!DX57="",0,Cuartos!DX57)</f>
        <v>0</v>
      </c>
      <c r="E42" s="118">
        <f>IF(Cuartos!DY57="",0,Cuartos!DY57)</f>
        <v>0</v>
      </c>
      <c r="F42" s="118">
        <f>IF(Cuartos!DZ57="",0,Cuartos!DZ57)</f>
        <v>0</v>
      </c>
      <c r="G42" s="118">
        <f>IF(Cuartos!EA57="",0,Cuartos!EA57)</f>
        <v>0</v>
      </c>
    </row>
    <row r="43" spans="1:7" x14ac:dyDescent="0.3">
      <c r="A43">
        <f>Cuartos!B58</f>
        <v>42</v>
      </c>
      <c r="B43">
        <f>Cuartos!D58</f>
        <v>0</v>
      </c>
      <c r="C43" s="118">
        <f>IF(Cuartos!DU58="",0,Cuartos!DU58)</f>
        <v>0</v>
      </c>
      <c r="D43" s="118">
        <f>IF(Cuartos!DX58="",0,Cuartos!DX58)</f>
        <v>0</v>
      </c>
      <c r="E43" s="118">
        <f>IF(Cuartos!DY58="",0,Cuartos!DY58)</f>
        <v>0</v>
      </c>
      <c r="F43" s="118">
        <f>IF(Cuartos!DZ58="",0,Cuartos!DZ58)</f>
        <v>0</v>
      </c>
      <c r="G43" s="118">
        <f>IF(Cuartos!EA58="",0,Cuartos!EA58)</f>
        <v>0</v>
      </c>
    </row>
    <row r="44" spans="1:7" x14ac:dyDescent="0.3">
      <c r="A44">
        <f>Cuartos!B59</f>
        <v>43</v>
      </c>
      <c r="B44">
        <f>Cuartos!D59</f>
        <v>0</v>
      </c>
      <c r="C44" s="118">
        <f>IF(Cuartos!DU59="",0,Cuartos!DU59)</f>
        <v>0</v>
      </c>
      <c r="D44" s="118">
        <f>IF(Cuartos!DX59="",0,Cuartos!DX59)</f>
        <v>0</v>
      </c>
      <c r="E44" s="118">
        <f>IF(Cuartos!DY59="",0,Cuartos!DY59)</f>
        <v>0</v>
      </c>
      <c r="F44" s="118">
        <f>IF(Cuartos!DZ59="",0,Cuartos!DZ59)</f>
        <v>0</v>
      </c>
      <c r="G44" s="118">
        <f>IF(Cuartos!EA59="",0,Cuartos!EA59)</f>
        <v>0</v>
      </c>
    </row>
    <row r="45" spans="1:7" x14ac:dyDescent="0.3">
      <c r="A45">
        <f>Cuartos!B60</f>
        <v>44</v>
      </c>
      <c r="B45">
        <f>Cuartos!D60</f>
        <v>0</v>
      </c>
      <c r="C45" s="118">
        <f>IF(Cuartos!DU60="",0,Cuartos!DU60)</f>
        <v>0</v>
      </c>
      <c r="D45" s="118">
        <f>IF(Cuartos!DX60="",0,Cuartos!DX60)</f>
        <v>0</v>
      </c>
      <c r="E45" s="118">
        <f>IF(Cuartos!DY60="",0,Cuartos!DY60)</f>
        <v>0</v>
      </c>
      <c r="F45" s="118">
        <f>IF(Cuartos!DZ60="",0,Cuartos!DZ60)</f>
        <v>0</v>
      </c>
      <c r="G45" s="118">
        <f>IF(Cuartos!EA60="",0,Cuartos!EA60)</f>
        <v>0</v>
      </c>
    </row>
    <row r="46" spans="1:7" x14ac:dyDescent="0.3">
      <c r="A46">
        <f>Cuartos!B61</f>
        <v>45</v>
      </c>
      <c r="B46">
        <f>Cuartos!D61</f>
        <v>0</v>
      </c>
      <c r="C46" s="118">
        <f>IF(Cuartos!DU61="",0,Cuartos!DU61)</f>
        <v>0</v>
      </c>
      <c r="D46" s="118">
        <f>IF(Cuartos!DX61="",0,Cuartos!DX61)</f>
        <v>0</v>
      </c>
      <c r="E46" s="118">
        <f>IF(Cuartos!DY61="",0,Cuartos!DY61)</f>
        <v>0</v>
      </c>
      <c r="F46" s="118">
        <f>IF(Cuartos!DZ61="",0,Cuartos!DZ61)</f>
        <v>0</v>
      </c>
      <c r="G46" s="118">
        <f>IF(Cuartos!EA61="",0,Cuartos!EA61)</f>
        <v>0</v>
      </c>
    </row>
    <row r="47" spans="1:7" x14ac:dyDescent="0.3">
      <c r="A47">
        <f>Cuartos!B62</f>
        <v>46</v>
      </c>
      <c r="B47">
        <f>Cuartos!D62</f>
        <v>0</v>
      </c>
      <c r="C47" s="118">
        <f>IF(Cuartos!DU62="",0,Cuartos!DU62)</f>
        <v>0</v>
      </c>
      <c r="D47" s="118">
        <f>IF(Cuartos!DX62="",0,Cuartos!DX62)</f>
        <v>0</v>
      </c>
      <c r="E47" s="118">
        <f>IF(Cuartos!DY62="",0,Cuartos!DY62)</f>
        <v>0</v>
      </c>
      <c r="F47" s="118">
        <f>IF(Cuartos!DZ62="",0,Cuartos!DZ62)</f>
        <v>0</v>
      </c>
      <c r="G47" s="118">
        <f>IF(Cuartos!EA62="",0,Cuartos!EA62)</f>
        <v>0</v>
      </c>
    </row>
    <row r="48" spans="1:7" x14ac:dyDescent="0.3">
      <c r="A48">
        <f>Cuartos!B63</f>
        <v>47</v>
      </c>
      <c r="B48">
        <f>Cuartos!D63</f>
        <v>0</v>
      </c>
      <c r="C48" s="118">
        <f>IF(Cuartos!DU63="",0,Cuartos!DU63)</f>
        <v>0</v>
      </c>
      <c r="D48" s="118">
        <f>IF(Cuartos!DX63="",0,Cuartos!DX63)</f>
        <v>0</v>
      </c>
      <c r="E48" s="118">
        <f>IF(Cuartos!DY63="",0,Cuartos!DY63)</f>
        <v>0</v>
      </c>
      <c r="F48" s="118">
        <f>IF(Cuartos!DZ63="",0,Cuartos!DZ63)</f>
        <v>0</v>
      </c>
      <c r="G48" s="118">
        <f>IF(Cuartos!EA63="",0,Cuartos!EA63)</f>
        <v>0</v>
      </c>
    </row>
    <row r="49" spans="1:7" x14ac:dyDescent="0.3">
      <c r="A49">
        <f>Cuartos!B64</f>
        <v>48</v>
      </c>
      <c r="B49">
        <f>Cuartos!D64</f>
        <v>0</v>
      </c>
      <c r="C49" s="118">
        <f>IF(Cuartos!DU64="",0,Cuartos!DU64)</f>
        <v>0</v>
      </c>
      <c r="D49" s="118">
        <f>IF(Cuartos!DX64="",0,Cuartos!DX64)</f>
        <v>0</v>
      </c>
      <c r="E49" s="118">
        <f>IF(Cuartos!DY64="",0,Cuartos!DY64)</f>
        <v>0</v>
      </c>
      <c r="F49" s="118">
        <f>IF(Cuartos!DZ64="",0,Cuartos!DZ64)</f>
        <v>0</v>
      </c>
      <c r="G49" s="118">
        <f>IF(Cuartos!EA64="",0,Cuartos!EA64)</f>
        <v>0</v>
      </c>
    </row>
    <row r="50" spans="1:7" x14ac:dyDescent="0.3">
      <c r="A50">
        <f>Cuartos!B65</f>
        <v>49</v>
      </c>
      <c r="B50">
        <f>Cuartos!D65</f>
        <v>0</v>
      </c>
      <c r="C50" s="118">
        <f>IF(Cuartos!DU65="",0,Cuartos!DU65)</f>
        <v>0</v>
      </c>
      <c r="D50" s="118">
        <f>IF(Cuartos!DX65="",0,Cuartos!DX65)</f>
        <v>0</v>
      </c>
      <c r="E50" s="118">
        <f>IF(Cuartos!DY65="",0,Cuartos!DY65)</f>
        <v>0</v>
      </c>
      <c r="F50" s="118">
        <f>IF(Cuartos!DZ65="",0,Cuartos!DZ65)</f>
        <v>0</v>
      </c>
      <c r="G50" s="118">
        <f>IF(Cuartos!EA65="",0,Cuartos!EA65)</f>
        <v>0</v>
      </c>
    </row>
    <row r="51" spans="1:7" x14ac:dyDescent="0.3">
      <c r="A51">
        <f>Cuartos!B66</f>
        <v>50</v>
      </c>
      <c r="B51">
        <f>Cuartos!D66</f>
        <v>0</v>
      </c>
      <c r="C51" s="118">
        <f>IF(Cuartos!DU66="",0,Cuartos!DU66)</f>
        <v>0</v>
      </c>
      <c r="D51" s="118">
        <f>IF(Cuartos!DX66="",0,Cuartos!DX66)</f>
        <v>0</v>
      </c>
      <c r="E51" s="118">
        <f>IF(Cuartos!DY66="",0,Cuartos!DY66)</f>
        <v>0</v>
      </c>
      <c r="F51" s="118">
        <f>IF(Cuartos!DZ66="",0,Cuartos!DZ66)</f>
        <v>0</v>
      </c>
      <c r="G51" s="118">
        <f>IF(Cuartos!EA66="",0,Cuartos!EA66)</f>
        <v>0</v>
      </c>
    </row>
    <row r="52" spans="1:7" x14ac:dyDescent="0.3">
      <c r="A52">
        <f>Cuartos!B67</f>
        <v>51</v>
      </c>
      <c r="B52">
        <f>Cuartos!D67</f>
        <v>0</v>
      </c>
      <c r="C52" s="118">
        <f>IF(Cuartos!DU67="",0,Cuartos!DU67)</f>
        <v>0</v>
      </c>
      <c r="D52" s="118">
        <f>IF(Cuartos!DX67="",0,Cuartos!DX67)</f>
        <v>0</v>
      </c>
      <c r="E52" s="118">
        <f>IF(Cuartos!DY67="",0,Cuartos!DY67)</f>
        <v>0</v>
      </c>
      <c r="F52" s="118">
        <f>IF(Cuartos!DZ67="",0,Cuartos!DZ67)</f>
        <v>0</v>
      </c>
      <c r="G52" s="118">
        <f>IF(Cuartos!EA67="",0,Cuartos!EA67)</f>
        <v>0</v>
      </c>
    </row>
    <row r="53" spans="1:7" x14ac:dyDescent="0.3">
      <c r="A53">
        <f>Cuartos!B68</f>
        <v>52</v>
      </c>
      <c r="B53">
        <f>Cuartos!D68</f>
        <v>0</v>
      </c>
      <c r="C53" s="118">
        <f>IF(Cuartos!DU68="",0,Cuartos!DU68)</f>
        <v>0</v>
      </c>
      <c r="D53" s="118">
        <f>IF(Cuartos!DX68="",0,Cuartos!DX68)</f>
        <v>0</v>
      </c>
      <c r="E53" s="118">
        <f>IF(Cuartos!DY68="",0,Cuartos!DY68)</f>
        <v>0</v>
      </c>
      <c r="F53" s="118">
        <f>IF(Cuartos!DZ68="",0,Cuartos!DZ68)</f>
        <v>0</v>
      </c>
      <c r="G53" s="118">
        <f>IF(Cuartos!EA68="",0,Cuartos!EA68)</f>
        <v>0</v>
      </c>
    </row>
    <row r="54" spans="1:7" x14ac:dyDescent="0.3">
      <c r="A54">
        <f>Cuartos!B69</f>
        <v>53</v>
      </c>
      <c r="B54">
        <f>Cuartos!D69</f>
        <v>0</v>
      </c>
      <c r="C54" s="118">
        <f>IF(Cuartos!DU69="",0,Cuartos!DU69)</f>
        <v>0</v>
      </c>
      <c r="D54" s="118">
        <f>IF(Cuartos!DX69="",0,Cuartos!DX69)</f>
        <v>0</v>
      </c>
      <c r="E54" s="118">
        <f>IF(Cuartos!DY69="",0,Cuartos!DY69)</f>
        <v>0</v>
      </c>
      <c r="F54" s="118">
        <f>IF(Cuartos!DZ69="",0,Cuartos!DZ69)</f>
        <v>0</v>
      </c>
      <c r="G54" s="118">
        <f>IF(Cuartos!EA69="",0,Cuartos!EA69)</f>
        <v>0</v>
      </c>
    </row>
    <row r="55" spans="1:7" x14ac:dyDescent="0.3">
      <c r="A55">
        <f>Cuartos!B70</f>
        <v>54</v>
      </c>
      <c r="B55">
        <f>Cuartos!D70</f>
        <v>0</v>
      </c>
      <c r="C55" s="118">
        <f>IF(Cuartos!DU70="",0,Cuartos!DU70)</f>
        <v>0</v>
      </c>
      <c r="D55" s="118">
        <f>IF(Cuartos!DX70="",0,Cuartos!DX70)</f>
        <v>0</v>
      </c>
      <c r="E55" s="118">
        <f>IF(Cuartos!DY70="",0,Cuartos!DY70)</f>
        <v>0</v>
      </c>
      <c r="F55" s="118">
        <f>IF(Cuartos!DZ70="",0,Cuartos!DZ70)</f>
        <v>0</v>
      </c>
      <c r="G55" s="118">
        <f>IF(Cuartos!EA70="",0,Cuartos!EA70)</f>
        <v>0</v>
      </c>
    </row>
    <row r="56" spans="1:7" x14ac:dyDescent="0.3">
      <c r="A56">
        <f>Cuartos!B71</f>
        <v>55</v>
      </c>
      <c r="B56">
        <f>Cuartos!D71</f>
        <v>0</v>
      </c>
      <c r="C56" s="118">
        <f>IF(Cuartos!DU71="",0,Cuartos!DU71)</f>
        <v>0</v>
      </c>
      <c r="D56" s="118">
        <f>IF(Cuartos!DX71="",0,Cuartos!DX71)</f>
        <v>0</v>
      </c>
      <c r="E56" s="118">
        <f>IF(Cuartos!DY71="",0,Cuartos!DY71)</f>
        <v>0</v>
      </c>
      <c r="F56" s="118">
        <f>IF(Cuartos!DZ71="",0,Cuartos!DZ71)</f>
        <v>0</v>
      </c>
      <c r="G56" s="118">
        <f>IF(Cuartos!EA71="",0,Cuartos!EA71)</f>
        <v>0</v>
      </c>
    </row>
    <row r="57" spans="1:7" x14ac:dyDescent="0.3">
      <c r="A57">
        <f>Cuartos!B72</f>
        <v>56</v>
      </c>
      <c r="B57">
        <f>Cuartos!D72</f>
        <v>0</v>
      </c>
      <c r="C57" s="118">
        <f>IF(Cuartos!DU72="",0,Cuartos!DU72)</f>
        <v>0</v>
      </c>
      <c r="D57" s="118">
        <f>IF(Cuartos!DX72="",0,Cuartos!DX72)</f>
        <v>0</v>
      </c>
      <c r="E57" s="118">
        <f>IF(Cuartos!DY72="",0,Cuartos!DY72)</f>
        <v>0</v>
      </c>
      <c r="F57" s="118">
        <f>IF(Cuartos!DZ72="",0,Cuartos!DZ72)</f>
        <v>0</v>
      </c>
      <c r="G57" s="118">
        <f>IF(Cuartos!EA72="",0,Cuartos!EA72)</f>
        <v>0</v>
      </c>
    </row>
    <row r="58" spans="1:7" x14ac:dyDescent="0.3">
      <c r="A58">
        <f>Cuartos!B73</f>
        <v>57</v>
      </c>
      <c r="B58">
        <f>Cuartos!D73</f>
        <v>0</v>
      </c>
      <c r="C58" s="118">
        <f>IF(Cuartos!DU73="",0,Cuartos!DU73)</f>
        <v>0</v>
      </c>
      <c r="D58" s="118">
        <f>IF(Cuartos!DX73="",0,Cuartos!DX73)</f>
        <v>0</v>
      </c>
      <c r="E58" s="118">
        <f>IF(Cuartos!DY73="",0,Cuartos!DY73)</f>
        <v>0</v>
      </c>
      <c r="F58" s="118">
        <f>IF(Cuartos!DZ73="",0,Cuartos!DZ73)</f>
        <v>0</v>
      </c>
      <c r="G58" s="118">
        <f>IF(Cuartos!EA73="",0,Cuartos!EA73)</f>
        <v>0</v>
      </c>
    </row>
    <row r="59" spans="1:7" x14ac:dyDescent="0.3">
      <c r="A59">
        <f>Cuartos!B74</f>
        <v>58</v>
      </c>
      <c r="B59">
        <f>Cuartos!D74</f>
        <v>0</v>
      </c>
      <c r="C59" s="118">
        <f>IF(Cuartos!DU74="",0,Cuartos!DU74)</f>
        <v>0</v>
      </c>
      <c r="D59" s="118">
        <f>IF(Cuartos!DX74="",0,Cuartos!DX74)</f>
        <v>0</v>
      </c>
      <c r="E59" s="118">
        <f>IF(Cuartos!DY74="",0,Cuartos!DY74)</f>
        <v>0</v>
      </c>
      <c r="F59" s="118">
        <f>IF(Cuartos!DZ74="",0,Cuartos!DZ74)</f>
        <v>0</v>
      </c>
      <c r="G59" s="118">
        <f>IF(Cuartos!EA74="",0,Cuartos!EA74)</f>
        <v>0</v>
      </c>
    </row>
    <row r="60" spans="1:7" x14ac:dyDescent="0.3">
      <c r="A60">
        <f>Cuartos!B75</f>
        <v>59</v>
      </c>
      <c r="B60">
        <f>Cuartos!D75</f>
        <v>0</v>
      </c>
      <c r="C60" s="118">
        <f>IF(Cuartos!DU75="",0,Cuartos!DU75)</f>
        <v>0</v>
      </c>
      <c r="D60" s="118">
        <f>IF(Cuartos!DX75="",0,Cuartos!DX75)</f>
        <v>0</v>
      </c>
      <c r="E60" s="118">
        <f>IF(Cuartos!DY75="",0,Cuartos!DY75)</f>
        <v>0</v>
      </c>
      <c r="F60" s="118">
        <f>IF(Cuartos!DZ75="",0,Cuartos!DZ75)</f>
        <v>0</v>
      </c>
      <c r="G60" s="118">
        <f>IF(Cuartos!EA75="",0,Cuartos!EA75)</f>
        <v>0</v>
      </c>
    </row>
    <row r="61" spans="1:7" x14ac:dyDescent="0.3">
      <c r="A61">
        <f>Cuartos!B76</f>
        <v>60</v>
      </c>
      <c r="B61">
        <f>Cuartos!D76</f>
        <v>0</v>
      </c>
      <c r="C61" s="118">
        <f>IF(Cuartos!DU76="",0,Cuartos!DU76)</f>
        <v>0</v>
      </c>
      <c r="D61" s="118">
        <f>IF(Cuartos!DX76="",0,Cuartos!DX76)</f>
        <v>0</v>
      </c>
      <c r="E61" s="118">
        <f>IF(Cuartos!DY76="",0,Cuartos!DY76)</f>
        <v>0</v>
      </c>
      <c r="F61" s="118">
        <f>IF(Cuartos!DZ76="",0,Cuartos!DZ76)</f>
        <v>0</v>
      </c>
      <c r="G61" s="118">
        <f>IF(Cuartos!EA76="",0,Cuartos!EA76)</f>
        <v>0</v>
      </c>
    </row>
    <row r="62" spans="1:7" x14ac:dyDescent="0.3">
      <c r="A62">
        <f>Cuartos!B77</f>
        <v>61</v>
      </c>
      <c r="B62">
        <f>Cuartos!D77</f>
        <v>0</v>
      </c>
      <c r="C62" s="118">
        <f>IF(Cuartos!DU77="",0,Cuartos!DU77)</f>
        <v>0</v>
      </c>
      <c r="D62" s="118">
        <f>IF(Cuartos!DX77="",0,Cuartos!DX77)</f>
        <v>0</v>
      </c>
      <c r="E62" s="118">
        <f>IF(Cuartos!DY77="",0,Cuartos!DY77)</f>
        <v>0</v>
      </c>
      <c r="F62" s="118">
        <f>IF(Cuartos!DZ77="",0,Cuartos!DZ77)</f>
        <v>0</v>
      </c>
      <c r="G62" s="118">
        <f>IF(Cuartos!EA77="",0,Cuartos!EA77)</f>
        <v>0</v>
      </c>
    </row>
    <row r="63" spans="1:7" x14ac:dyDescent="0.3">
      <c r="A63">
        <f>Cuartos!B78</f>
        <v>62</v>
      </c>
      <c r="B63">
        <f>Cuartos!D78</f>
        <v>0</v>
      </c>
      <c r="C63" s="118">
        <f>IF(Cuartos!DU78="",0,Cuartos!DU78)</f>
        <v>0</v>
      </c>
      <c r="D63" s="118">
        <f>IF(Cuartos!DX78="",0,Cuartos!DX78)</f>
        <v>0</v>
      </c>
      <c r="E63" s="118">
        <f>IF(Cuartos!DY78="",0,Cuartos!DY78)</f>
        <v>0</v>
      </c>
      <c r="F63" s="118">
        <f>IF(Cuartos!DZ78="",0,Cuartos!DZ78)</f>
        <v>0</v>
      </c>
      <c r="G63" s="118">
        <f>IF(Cuartos!EA78="",0,Cuartos!EA78)</f>
        <v>0</v>
      </c>
    </row>
    <row r="64" spans="1:7" x14ac:dyDescent="0.3">
      <c r="A64">
        <f>Cuartos!B79</f>
        <v>63</v>
      </c>
      <c r="B64">
        <f>Cuartos!D79</f>
        <v>0</v>
      </c>
      <c r="C64" s="118">
        <f>IF(Cuartos!DU79="",0,Cuartos!DU79)</f>
        <v>0</v>
      </c>
      <c r="D64" s="118">
        <f>IF(Cuartos!DX79="",0,Cuartos!DX79)</f>
        <v>0</v>
      </c>
      <c r="E64" s="118">
        <f>IF(Cuartos!DY79="",0,Cuartos!DY79)</f>
        <v>0</v>
      </c>
      <c r="F64" s="118">
        <f>IF(Cuartos!DZ79="",0,Cuartos!DZ79)</f>
        <v>0</v>
      </c>
      <c r="G64" s="118">
        <f>IF(Cuartos!EA79="",0,Cuartos!EA79)</f>
        <v>0</v>
      </c>
    </row>
    <row r="65" spans="1:7" x14ac:dyDescent="0.3">
      <c r="A65">
        <f>Cuartos!B80</f>
        <v>64</v>
      </c>
      <c r="B65">
        <f>Cuartos!D80</f>
        <v>0</v>
      </c>
      <c r="C65" s="118">
        <f>IF(Cuartos!DU80="",0,Cuartos!DU80)</f>
        <v>0</v>
      </c>
      <c r="D65" s="118">
        <f>IF(Cuartos!DX80="",0,Cuartos!DX80)</f>
        <v>0</v>
      </c>
      <c r="E65" s="118">
        <f>IF(Cuartos!DY80="",0,Cuartos!DY80)</f>
        <v>0</v>
      </c>
      <c r="F65" s="118">
        <f>IF(Cuartos!DZ80="",0,Cuartos!DZ80)</f>
        <v>0</v>
      </c>
      <c r="G65" s="118">
        <f>IF(Cuartos!EA80="",0,Cuartos!EA80)</f>
        <v>0</v>
      </c>
    </row>
    <row r="66" spans="1:7" x14ac:dyDescent="0.3">
      <c r="A66">
        <f>Cuartos!B81</f>
        <v>65</v>
      </c>
      <c r="B66">
        <f>Cuartos!D81</f>
        <v>0</v>
      </c>
      <c r="C66" s="118">
        <f>IF(Cuartos!DU81="",0,Cuartos!DU81)</f>
        <v>0</v>
      </c>
      <c r="D66" s="118">
        <f>IF(Cuartos!DX81="",0,Cuartos!DX81)</f>
        <v>0</v>
      </c>
      <c r="E66" s="118">
        <f>IF(Cuartos!DY81="",0,Cuartos!DY81)</f>
        <v>0</v>
      </c>
      <c r="F66" s="118">
        <f>IF(Cuartos!DZ81="",0,Cuartos!DZ81)</f>
        <v>0</v>
      </c>
      <c r="G66" s="118">
        <f>IF(Cuartos!EA81="",0,Cuartos!EA81)</f>
        <v>0</v>
      </c>
    </row>
    <row r="67" spans="1:7" x14ac:dyDescent="0.3">
      <c r="A67">
        <f>Cuartos!B82</f>
        <v>66</v>
      </c>
      <c r="B67">
        <f>Cuartos!D82</f>
        <v>0</v>
      </c>
      <c r="C67" s="118">
        <f>IF(Cuartos!DU82="",0,Cuartos!DU82)</f>
        <v>0</v>
      </c>
      <c r="D67" s="118">
        <f>IF(Cuartos!DX82="",0,Cuartos!DX82)</f>
        <v>0</v>
      </c>
      <c r="E67" s="118">
        <f>IF(Cuartos!DY82="",0,Cuartos!DY82)</f>
        <v>0</v>
      </c>
      <c r="F67" s="118">
        <f>IF(Cuartos!DZ82="",0,Cuartos!DZ82)</f>
        <v>0</v>
      </c>
      <c r="G67" s="118">
        <f>IF(Cuartos!EA82="",0,Cuartos!EA82)</f>
        <v>0</v>
      </c>
    </row>
    <row r="68" spans="1:7" x14ac:dyDescent="0.3">
      <c r="A68">
        <f>Cuartos!B83</f>
        <v>67</v>
      </c>
      <c r="B68">
        <f>Cuartos!D83</f>
        <v>0</v>
      </c>
      <c r="C68" s="118">
        <f>IF(Cuartos!DU83="",0,Cuartos!DU83)</f>
        <v>0</v>
      </c>
      <c r="D68" s="118">
        <f>IF(Cuartos!DX83="",0,Cuartos!DX83)</f>
        <v>0</v>
      </c>
      <c r="E68" s="118">
        <f>IF(Cuartos!DY83="",0,Cuartos!DY83)</f>
        <v>0</v>
      </c>
      <c r="F68" s="118">
        <f>IF(Cuartos!DZ83="",0,Cuartos!DZ83)</f>
        <v>0</v>
      </c>
      <c r="G68" s="118">
        <f>IF(Cuartos!EA83="",0,Cuartos!EA83)</f>
        <v>0</v>
      </c>
    </row>
    <row r="69" spans="1:7" x14ac:dyDescent="0.3">
      <c r="A69">
        <f>Cuartos!B84</f>
        <v>68</v>
      </c>
      <c r="B69">
        <f>Cuartos!D84</f>
        <v>0</v>
      </c>
      <c r="C69" s="118">
        <f>IF(Cuartos!DU84="",0,Cuartos!DU84)</f>
        <v>0</v>
      </c>
      <c r="D69" s="118">
        <f>IF(Cuartos!DX84="",0,Cuartos!DX84)</f>
        <v>0</v>
      </c>
      <c r="E69" s="118">
        <f>IF(Cuartos!DY84="",0,Cuartos!DY84)</f>
        <v>0</v>
      </c>
      <c r="F69" s="118">
        <f>IF(Cuartos!DZ84="",0,Cuartos!DZ84)</f>
        <v>0</v>
      </c>
      <c r="G69" s="118">
        <f>IF(Cuartos!EA84="",0,Cuartos!EA84)</f>
        <v>0</v>
      </c>
    </row>
    <row r="70" spans="1:7" x14ac:dyDescent="0.3">
      <c r="A70">
        <f>Cuartos!B85</f>
        <v>69</v>
      </c>
      <c r="B70">
        <f>Cuartos!D85</f>
        <v>0</v>
      </c>
      <c r="C70" s="118">
        <f>IF(Cuartos!DU85="",0,Cuartos!DU85)</f>
        <v>0</v>
      </c>
      <c r="D70" s="118">
        <f>IF(Cuartos!DX85="",0,Cuartos!DX85)</f>
        <v>0</v>
      </c>
      <c r="E70" s="118">
        <f>IF(Cuartos!DY85="",0,Cuartos!DY85)</f>
        <v>0</v>
      </c>
      <c r="F70" s="118">
        <f>IF(Cuartos!DZ85="",0,Cuartos!DZ85)</f>
        <v>0</v>
      </c>
      <c r="G70" s="118">
        <f>IF(Cuartos!EA85="",0,Cuartos!EA85)</f>
        <v>0</v>
      </c>
    </row>
    <row r="71" spans="1:7" x14ac:dyDescent="0.3">
      <c r="A71">
        <f>Cuartos!B86</f>
        <v>70</v>
      </c>
      <c r="B71">
        <f>Cuartos!D86</f>
        <v>0</v>
      </c>
      <c r="C71" s="118">
        <f>IF(Cuartos!DU86="",0,Cuartos!DU86)</f>
        <v>0</v>
      </c>
      <c r="D71" s="118">
        <f>IF(Cuartos!DX86="",0,Cuartos!DX86)</f>
        <v>0</v>
      </c>
      <c r="E71" s="118">
        <f>IF(Cuartos!DY86="",0,Cuartos!DY86)</f>
        <v>0</v>
      </c>
      <c r="F71" s="118">
        <f>IF(Cuartos!DZ86="",0,Cuartos!DZ86)</f>
        <v>0</v>
      </c>
      <c r="G71" s="118">
        <f>IF(Cuartos!EA86="",0,Cuartos!EA86)</f>
        <v>0</v>
      </c>
    </row>
    <row r="72" spans="1:7" x14ac:dyDescent="0.3">
      <c r="A72">
        <f>Cuartos!B87</f>
        <v>71</v>
      </c>
      <c r="B72">
        <f>Cuartos!D87</f>
        <v>0</v>
      </c>
      <c r="C72" s="118">
        <f>IF(Cuartos!DU87="",0,Cuartos!DU87)</f>
        <v>0</v>
      </c>
      <c r="D72" s="118">
        <f>IF(Cuartos!DX87="",0,Cuartos!DX87)</f>
        <v>0</v>
      </c>
      <c r="E72" s="118">
        <f>IF(Cuartos!DY87="",0,Cuartos!DY87)</f>
        <v>0</v>
      </c>
      <c r="F72" s="118">
        <f>IF(Cuartos!DZ87="",0,Cuartos!DZ87)</f>
        <v>0</v>
      </c>
      <c r="G72" s="118">
        <f>IF(Cuartos!EA87="",0,Cuartos!EA87)</f>
        <v>0</v>
      </c>
    </row>
    <row r="73" spans="1:7" x14ac:dyDescent="0.3">
      <c r="A73">
        <f>Cuartos!B88</f>
        <v>72</v>
      </c>
      <c r="B73">
        <f>Cuartos!D88</f>
        <v>0</v>
      </c>
      <c r="C73" s="118">
        <f>IF(Cuartos!DU88="",0,Cuartos!DU88)</f>
        <v>0</v>
      </c>
      <c r="D73" s="118">
        <f>IF(Cuartos!DX88="",0,Cuartos!DX88)</f>
        <v>0</v>
      </c>
      <c r="E73" s="118">
        <f>IF(Cuartos!DY88="",0,Cuartos!DY88)</f>
        <v>0</v>
      </c>
      <c r="F73" s="118">
        <f>IF(Cuartos!DZ88="",0,Cuartos!DZ88)</f>
        <v>0</v>
      </c>
      <c r="G73" s="118">
        <f>IF(Cuartos!EA88="",0,Cuartos!EA88)</f>
        <v>0</v>
      </c>
    </row>
    <row r="74" spans="1:7" x14ac:dyDescent="0.3">
      <c r="A74">
        <f>Cuartos!B89</f>
        <v>73</v>
      </c>
      <c r="B74">
        <f>Cuartos!D89</f>
        <v>0</v>
      </c>
      <c r="C74" s="118">
        <f>IF(Cuartos!DU89="",0,Cuartos!DU89)</f>
        <v>0</v>
      </c>
      <c r="D74" s="118">
        <f>IF(Cuartos!DX89="",0,Cuartos!DX89)</f>
        <v>0</v>
      </c>
      <c r="E74" s="118">
        <f>IF(Cuartos!DY89="",0,Cuartos!DY89)</f>
        <v>0</v>
      </c>
      <c r="F74" s="118">
        <f>IF(Cuartos!DZ89="",0,Cuartos!DZ89)</f>
        <v>0</v>
      </c>
      <c r="G74" s="118">
        <f>IF(Cuartos!EA89="",0,Cuartos!EA89)</f>
        <v>0</v>
      </c>
    </row>
    <row r="75" spans="1:7" x14ac:dyDescent="0.3">
      <c r="A75">
        <f>Cuartos!B90</f>
        <v>74</v>
      </c>
      <c r="B75">
        <f>Cuartos!D90</f>
        <v>0</v>
      </c>
      <c r="C75" s="118">
        <f>IF(Cuartos!DU90="",0,Cuartos!DU90)</f>
        <v>0</v>
      </c>
      <c r="D75" s="118">
        <f>IF(Cuartos!DX90="",0,Cuartos!DX90)</f>
        <v>0</v>
      </c>
      <c r="E75" s="118">
        <f>IF(Cuartos!DY90="",0,Cuartos!DY90)</f>
        <v>0</v>
      </c>
      <c r="F75" s="118">
        <f>IF(Cuartos!DZ90="",0,Cuartos!DZ90)</f>
        <v>0</v>
      </c>
      <c r="G75" s="118">
        <f>IF(Cuartos!EA90="",0,Cuartos!EA90)</f>
        <v>0</v>
      </c>
    </row>
    <row r="76" spans="1:7" x14ac:dyDescent="0.3">
      <c r="A76">
        <f>Cuartos!B91</f>
        <v>75</v>
      </c>
      <c r="B76">
        <f>Cuartos!D91</f>
        <v>0</v>
      </c>
      <c r="C76" s="118">
        <f>IF(Cuartos!DU91="",0,Cuartos!DU91)</f>
        <v>0</v>
      </c>
      <c r="D76" s="118">
        <f>IF(Cuartos!DX91="",0,Cuartos!DX91)</f>
        <v>0</v>
      </c>
      <c r="E76" s="118">
        <f>IF(Cuartos!DY91="",0,Cuartos!DY91)</f>
        <v>0</v>
      </c>
      <c r="F76" s="118">
        <f>IF(Cuartos!DZ91="",0,Cuartos!DZ91)</f>
        <v>0</v>
      </c>
      <c r="G76" s="118">
        <f>IF(Cuartos!EA91="",0,Cuartos!EA91)</f>
        <v>0</v>
      </c>
    </row>
    <row r="77" spans="1:7" x14ac:dyDescent="0.3">
      <c r="A77">
        <f>Cuartos!B92</f>
        <v>76</v>
      </c>
      <c r="B77">
        <f>Cuartos!D92</f>
        <v>0</v>
      </c>
      <c r="C77" s="118">
        <f>IF(Cuartos!DU92="",0,Cuartos!DU92)</f>
        <v>0</v>
      </c>
      <c r="D77" s="118">
        <f>IF(Cuartos!DX92="",0,Cuartos!DX92)</f>
        <v>0</v>
      </c>
      <c r="E77" s="118">
        <f>IF(Cuartos!DY92="",0,Cuartos!DY92)</f>
        <v>0</v>
      </c>
      <c r="F77" s="118">
        <f>IF(Cuartos!DZ92="",0,Cuartos!DZ92)</f>
        <v>0</v>
      </c>
      <c r="G77" s="118">
        <f>IF(Cuartos!EA92="",0,Cuartos!EA92)</f>
        <v>0</v>
      </c>
    </row>
    <row r="78" spans="1:7" x14ac:dyDescent="0.3">
      <c r="A78">
        <f>Cuartos!B93</f>
        <v>77</v>
      </c>
      <c r="B78">
        <f>Cuartos!D93</f>
        <v>0</v>
      </c>
      <c r="C78" s="118">
        <f>IF(Cuartos!DU93="",0,Cuartos!DU93)</f>
        <v>0</v>
      </c>
      <c r="D78" s="118">
        <f>IF(Cuartos!DX93="",0,Cuartos!DX93)</f>
        <v>0</v>
      </c>
      <c r="E78" s="118">
        <f>IF(Cuartos!DY93="",0,Cuartos!DY93)</f>
        <v>0</v>
      </c>
      <c r="F78" s="118">
        <f>IF(Cuartos!DZ93="",0,Cuartos!DZ93)</f>
        <v>0</v>
      </c>
      <c r="G78" s="118">
        <f>IF(Cuartos!EA93="",0,Cuartos!EA93)</f>
        <v>0</v>
      </c>
    </row>
    <row r="79" spans="1:7" x14ac:dyDescent="0.3">
      <c r="A79">
        <f>Cuartos!B94</f>
        <v>78</v>
      </c>
      <c r="B79">
        <f>Cuartos!D94</f>
        <v>0</v>
      </c>
      <c r="C79" s="118">
        <f>IF(Cuartos!DU94="",0,Cuartos!DU94)</f>
        <v>0</v>
      </c>
      <c r="D79" s="118">
        <f>IF(Cuartos!DX94="",0,Cuartos!DX94)</f>
        <v>0</v>
      </c>
      <c r="E79" s="118">
        <f>IF(Cuartos!DY94="",0,Cuartos!DY94)</f>
        <v>0</v>
      </c>
      <c r="F79" s="118">
        <f>IF(Cuartos!DZ94="",0,Cuartos!DZ94)</f>
        <v>0</v>
      </c>
      <c r="G79" s="118">
        <f>IF(Cuartos!EA94="",0,Cuartos!EA94)</f>
        <v>0</v>
      </c>
    </row>
    <row r="80" spans="1:7" x14ac:dyDescent="0.3">
      <c r="A80">
        <f>Cuartos!B95</f>
        <v>79</v>
      </c>
      <c r="B80">
        <f>Cuartos!D95</f>
        <v>0</v>
      </c>
      <c r="C80" s="118">
        <f>IF(Cuartos!DU95="",0,Cuartos!DU95)</f>
        <v>0</v>
      </c>
      <c r="D80" s="118">
        <f>IF(Cuartos!DX95="",0,Cuartos!DX95)</f>
        <v>0</v>
      </c>
      <c r="E80" s="118">
        <f>IF(Cuartos!DY95="",0,Cuartos!DY95)</f>
        <v>0</v>
      </c>
      <c r="F80" s="118">
        <f>IF(Cuartos!DZ95="",0,Cuartos!DZ95)</f>
        <v>0</v>
      </c>
      <c r="G80" s="118">
        <f>IF(Cuartos!EA95="",0,Cuartos!EA95)</f>
        <v>0</v>
      </c>
    </row>
    <row r="81" spans="1:7" x14ac:dyDescent="0.3">
      <c r="A81">
        <f>Cuartos!B96</f>
        <v>80</v>
      </c>
      <c r="B81">
        <f>Cuartos!D96</f>
        <v>0</v>
      </c>
      <c r="C81" s="118">
        <f>IF(Cuartos!DU96="",0,Cuartos!DU96)</f>
        <v>0</v>
      </c>
      <c r="D81" s="118">
        <f>IF(Cuartos!DX96="",0,Cuartos!DX96)</f>
        <v>0</v>
      </c>
      <c r="E81" s="118">
        <f>IF(Cuartos!DY96="",0,Cuartos!DY96)</f>
        <v>0</v>
      </c>
      <c r="F81" s="118">
        <f>IF(Cuartos!DZ96="",0,Cuartos!DZ96)</f>
        <v>0</v>
      </c>
      <c r="G81" s="118">
        <f>IF(Cuartos!EA96="",0,Cuartos!EA96)</f>
        <v>0</v>
      </c>
    </row>
    <row r="82" spans="1:7" x14ac:dyDescent="0.3">
      <c r="A82">
        <f>Cuartos!B97</f>
        <v>81</v>
      </c>
      <c r="B82">
        <f>Cuartos!D97</f>
        <v>0</v>
      </c>
      <c r="C82" s="118">
        <f>IF(Cuartos!DU97="",0,Cuartos!DU97)</f>
        <v>0</v>
      </c>
      <c r="D82" s="118">
        <f>IF(Cuartos!DX97="",0,Cuartos!DX97)</f>
        <v>0</v>
      </c>
      <c r="E82" s="118">
        <f>IF(Cuartos!DY97="",0,Cuartos!DY97)</f>
        <v>0</v>
      </c>
      <c r="F82" s="118">
        <f>IF(Cuartos!DZ97="",0,Cuartos!DZ97)</f>
        <v>0</v>
      </c>
      <c r="G82" s="118">
        <f>IF(Cuartos!EA97="",0,Cuartos!EA97)</f>
        <v>0</v>
      </c>
    </row>
    <row r="83" spans="1:7" x14ac:dyDescent="0.3">
      <c r="A83">
        <f>Cuartos!B98</f>
        <v>82</v>
      </c>
      <c r="B83">
        <f>Cuartos!D98</f>
        <v>0</v>
      </c>
      <c r="C83" s="118">
        <f>IF(Cuartos!DU98="",0,Cuartos!DU98)</f>
        <v>0</v>
      </c>
      <c r="D83" s="118">
        <f>IF(Cuartos!DX98="",0,Cuartos!DX98)</f>
        <v>0</v>
      </c>
      <c r="E83" s="118">
        <f>IF(Cuartos!DY98="",0,Cuartos!DY98)</f>
        <v>0</v>
      </c>
      <c r="F83" s="118">
        <f>IF(Cuartos!DZ98="",0,Cuartos!DZ98)</f>
        <v>0</v>
      </c>
      <c r="G83" s="118">
        <f>IF(Cuartos!EA98="",0,Cuartos!EA98)</f>
        <v>0</v>
      </c>
    </row>
    <row r="84" spans="1:7" x14ac:dyDescent="0.3">
      <c r="A84">
        <f>Cuartos!B99</f>
        <v>83</v>
      </c>
      <c r="B84">
        <f>Cuartos!D99</f>
        <v>0</v>
      </c>
      <c r="C84" s="118">
        <f>IF(Cuartos!DU99="",0,Cuartos!DU99)</f>
        <v>0</v>
      </c>
      <c r="D84" s="118">
        <f>IF(Cuartos!DX99="",0,Cuartos!DX99)</f>
        <v>0</v>
      </c>
      <c r="E84" s="118">
        <f>IF(Cuartos!DY99="",0,Cuartos!DY99)</f>
        <v>0</v>
      </c>
      <c r="F84" s="118">
        <f>IF(Cuartos!DZ99="",0,Cuartos!DZ99)</f>
        <v>0</v>
      </c>
      <c r="G84" s="118">
        <f>IF(Cuartos!EA99="",0,Cuartos!EA99)</f>
        <v>0</v>
      </c>
    </row>
    <row r="85" spans="1:7" x14ac:dyDescent="0.3">
      <c r="A85">
        <f>Cuartos!B100</f>
        <v>84</v>
      </c>
      <c r="B85">
        <f>Cuartos!D100</f>
        <v>0</v>
      </c>
      <c r="C85" s="118">
        <f>IF(Cuartos!DU100="",0,Cuartos!DU100)</f>
        <v>0</v>
      </c>
      <c r="D85" s="118">
        <f>IF(Cuartos!DX100="",0,Cuartos!DX100)</f>
        <v>0</v>
      </c>
      <c r="E85" s="118">
        <f>IF(Cuartos!DY100="",0,Cuartos!DY100)</f>
        <v>0</v>
      </c>
      <c r="F85" s="118">
        <f>IF(Cuartos!DZ100="",0,Cuartos!DZ100)</f>
        <v>0</v>
      </c>
      <c r="G85" s="118">
        <f>IF(Cuartos!EA100="",0,Cuartos!EA100)</f>
        <v>0</v>
      </c>
    </row>
    <row r="86" spans="1:7" x14ac:dyDescent="0.3">
      <c r="A86">
        <f>Cuartos!B101</f>
        <v>85</v>
      </c>
      <c r="B86">
        <f>Cuartos!D101</f>
        <v>0</v>
      </c>
      <c r="C86" s="118">
        <f>IF(Cuartos!DU101="",0,Cuartos!DU101)</f>
        <v>0</v>
      </c>
      <c r="D86" s="118">
        <f>IF(Cuartos!DX101="",0,Cuartos!DX101)</f>
        <v>0</v>
      </c>
      <c r="E86" s="118">
        <f>IF(Cuartos!DY101="",0,Cuartos!DY101)</f>
        <v>0</v>
      </c>
      <c r="F86" s="118">
        <f>IF(Cuartos!DZ101="",0,Cuartos!DZ101)</f>
        <v>0</v>
      </c>
      <c r="G86" s="118">
        <f>IF(Cuartos!EA101="",0,Cuartos!EA101)</f>
        <v>0</v>
      </c>
    </row>
    <row r="87" spans="1:7" x14ac:dyDescent="0.3">
      <c r="A87">
        <f>Cuartos!B102</f>
        <v>86</v>
      </c>
      <c r="B87">
        <f>Cuartos!D102</f>
        <v>0</v>
      </c>
      <c r="C87" s="118">
        <f>IF(Cuartos!DU102="",0,Cuartos!DU102)</f>
        <v>0</v>
      </c>
      <c r="D87" s="118">
        <f>IF(Cuartos!DX102="",0,Cuartos!DX102)</f>
        <v>0</v>
      </c>
      <c r="E87" s="118">
        <f>IF(Cuartos!DY102="",0,Cuartos!DY102)</f>
        <v>0</v>
      </c>
      <c r="F87" s="118">
        <f>IF(Cuartos!DZ102="",0,Cuartos!DZ102)</f>
        <v>0</v>
      </c>
      <c r="G87" s="118">
        <f>IF(Cuartos!EA102="",0,Cuartos!EA102)</f>
        <v>0</v>
      </c>
    </row>
    <row r="88" spans="1:7" x14ac:dyDescent="0.3">
      <c r="A88">
        <f>Cuartos!B103</f>
        <v>87</v>
      </c>
      <c r="B88">
        <f>Cuartos!D103</f>
        <v>0</v>
      </c>
      <c r="C88" s="118">
        <f>IF(Cuartos!DU103="",0,Cuartos!DU103)</f>
        <v>0</v>
      </c>
      <c r="D88" s="118">
        <f>IF(Cuartos!DX103="",0,Cuartos!DX103)</f>
        <v>0</v>
      </c>
      <c r="E88" s="118">
        <f>IF(Cuartos!DY103="",0,Cuartos!DY103)</f>
        <v>0</v>
      </c>
      <c r="F88" s="118">
        <f>IF(Cuartos!DZ103="",0,Cuartos!DZ103)</f>
        <v>0</v>
      </c>
      <c r="G88" s="118">
        <f>IF(Cuartos!EA103="",0,Cuartos!EA103)</f>
        <v>0</v>
      </c>
    </row>
    <row r="89" spans="1:7" x14ac:dyDescent="0.3">
      <c r="A89">
        <f>Cuartos!B104</f>
        <v>88</v>
      </c>
      <c r="B89">
        <f>Cuartos!D104</f>
        <v>0</v>
      </c>
      <c r="C89" s="118">
        <f>IF(Cuartos!DU104="",0,Cuartos!DU104)</f>
        <v>0</v>
      </c>
      <c r="D89" s="118">
        <f>IF(Cuartos!DX104="",0,Cuartos!DX104)</f>
        <v>0</v>
      </c>
      <c r="E89" s="118">
        <f>IF(Cuartos!DY104="",0,Cuartos!DY104)</f>
        <v>0</v>
      </c>
      <c r="F89" s="118">
        <f>IF(Cuartos!DZ104="",0,Cuartos!DZ104)</f>
        <v>0</v>
      </c>
      <c r="G89" s="118">
        <f>IF(Cuartos!EA104="",0,Cuartos!EA104)</f>
        <v>0</v>
      </c>
    </row>
    <row r="90" spans="1:7" x14ac:dyDescent="0.3">
      <c r="A90">
        <f>Cuartos!B105</f>
        <v>89</v>
      </c>
      <c r="B90">
        <f>Cuartos!D105</f>
        <v>0</v>
      </c>
      <c r="C90" s="118">
        <f>IF(Cuartos!DU105="",0,Cuartos!DU105)</f>
        <v>0</v>
      </c>
      <c r="D90" s="118">
        <f>IF(Cuartos!DX105="",0,Cuartos!DX105)</f>
        <v>0</v>
      </c>
      <c r="E90" s="118">
        <f>IF(Cuartos!DY105="",0,Cuartos!DY105)</f>
        <v>0</v>
      </c>
      <c r="F90" s="118">
        <f>IF(Cuartos!DZ105="",0,Cuartos!DZ105)</f>
        <v>0</v>
      </c>
      <c r="G90" s="118">
        <f>IF(Cuartos!EA105="",0,Cuartos!EA105)</f>
        <v>0</v>
      </c>
    </row>
    <row r="91" spans="1:7" x14ac:dyDescent="0.3">
      <c r="A91">
        <f>Cuartos!B106</f>
        <v>90</v>
      </c>
      <c r="B91">
        <f>Cuartos!D106</f>
        <v>0</v>
      </c>
      <c r="C91" s="118">
        <f>IF(Cuartos!DU106="",0,Cuartos!DU106)</f>
        <v>0</v>
      </c>
      <c r="D91" s="118">
        <f>IF(Cuartos!DX106="",0,Cuartos!DX106)</f>
        <v>0</v>
      </c>
      <c r="E91" s="118">
        <f>IF(Cuartos!DY106="",0,Cuartos!DY106)</f>
        <v>0</v>
      </c>
      <c r="F91" s="118">
        <f>IF(Cuartos!DZ106="",0,Cuartos!DZ106)</f>
        <v>0</v>
      </c>
      <c r="G91" s="118">
        <f>IF(Cuartos!EA106="",0,Cuartos!EA106)</f>
        <v>0</v>
      </c>
    </row>
    <row r="92" spans="1:7" x14ac:dyDescent="0.3">
      <c r="A92">
        <f>Cuartos!B107</f>
        <v>91</v>
      </c>
      <c r="B92">
        <f>Cuartos!D107</f>
        <v>0</v>
      </c>
      <c r="C92" s="118">
        <f>IF(Cuartos!DU107="",0,Cuartos!DU107)</f>
        <v>0</v>
      </c>
      <c r="D92" s="118">
        <f>IF(Cuartos!DX107="",0,Cuartos!DX107)</f>
        <v>0</v>
      </c>
      <c r="E92" s="118">
        <f>IF(Cuartos!DY107="",0,Cuartos!DY107)</f>
        <v>0</v>
      </c>
      <c r="F92" s="118">
        <f>IF(Cuartos!DZ107="",0,Cuartos!DZ107)</f>
        <v>0</v>
      </c>
      <c r="G92" s="118">
        <f>IF(Cuartos!EA107="",0,Cuartos!EA107)</f>
        <v>0</v>
      </c>
    </row>
    <row r="93" spans="1:7" x14ac:dyDescent="0.3">
      <c r="A93">
        <f>Cuartos!B108</f>
        <v>92</v>
      </c>
      <c r="B93">
        <f>Cuartos!D108</f>
        <v>0</v>
      </c>
      <c r="C93" s="118">
        <f>IF(Cuartos!DU108="",0,Cuartos!DU108)</f>
        <v>0</v>
      </c>
      <c r="D93" s="118">
        <f>IF(Cuartos!DX108="",0,Cuartos!DX108)</f>
        <v>0</v>
      </c>
      <c r="E93" s="118">
        <f>IF(Cuartos!DY108="",0,Cuartos!DY108)</f>
        <v>0</v>
      </c>
      <c r="F93" s="118">
        <f>IF(Cuartos!DZ108="",0,Cuartos!DZ108)</f>
        <v>0</v>
      </c>
      <c r="G93" s="118">
        <f>IF(Cuartos!EA108="",0,Cuartos!EA108)</f>
        <v>0</v>
      </c>
    </row>
    <row r="94" spans="1:7" x14ac:dyDescent="0.3">
      <c r="A94">
        <f>Cuartos!B109</f>
        <v>93</v>
      </c>
      <c r="B94">
        <f>Cuartos!D109</f>
        <v>0</v>
      </c>
      <c r="C94" s="118">
        <f>IF(Cuartos!DU109="",0,Cuartos!DU109)</f>
        <v>0</v>
      </c>
      <c r="D94" s="118">
        <f>IF(Cuartos!DX109="",0,Cuartos!DX109)</f>
        <v>0</v>
      </c>
      <c r="E94" s="118">
        <f>IF(Cuartos!DY109="",0,Cuartos!DY109)</f>
        <v>0</v>
      </c>
      <c r="F94" s="118">
        <f>IF(Cuartos!DZ109="",0,Cuartos!DZ109)</f>
        <v>0</v>
      </c>
      <c r="G94" s="118">
        <f>IF(Cuartos!EA109="",0,Cuartos!EA109)</f>
        <v>0</v>
      </c>
    </row>
    <row r="95" spans="1:7" x14ac:dyDescent="0.3">
      <c r="A95">
        <f>Cuartos!B110</f>
        <v>94</v>
      </c>
      <c r="B95">
        <f>Cuartos!D110</f>
        <v>0</v>
      </c>
      <c r="C95" s="118">
        <f>IF(Cuartos!DU110="",0,Cuartos!DU110)</f>
        <v>0</v>
      </c>
      <c r="D95" s="118">
        <f>IF(Cuartos!DX110="",0,Cuartos!DX110)</f>
        <v>0</v>
      </c>
      <c r="E95" s="118">
        <f>IF(Cuartos!DY110="",0,Cuartos!DY110)</f>
        <v>0</v>
      </c>
      <c r="F95" s="118">
        <f>IF(Cuartos!DZ110="",0,Cuartos!DZ110)</f>
        <v>0</v>
      </c>
      <c r="G95" s="118">
        <f>IF(Cuartos!EA110="",0,Cuartos!EA110)</f>
        <v>0</v>
      </c>
    </row>
    <row r="96" spans="1:7" x14ac:dyDescent="0.3">
      <c r="A96">
        <f>Cuartos!B111</f>
        <v>95</v>
      </c>
      <c r="B96">
        <f>Cuartos!D111</f>
        <v>0</v>
      </c>
      <c r="C96" s="118">
        <f>IF(Cuartos!DU111="",0,Cuartos!DU111)</f>
        <v>0</v>
      </c>
      <c r="D96" s="118">
        <f>IF(Cuartos!DX111="",0,Cuartos!DX111)</f>
        <v>0</v>
      </c>
      <c r="E96" s="118">
        <f>IF(Cuartos!DY111="",0,Cuartos!DY111)</f>
        <v>0</v>
      </c>
      <c r="F96" s="118">
        <f>IF(Cuartos!DZ111="",0,Cuartos!DZ111)</f>
        <v>0</v>
      </c>
      <c r="G96" s="118">
        <f>IF(Cuartos!EA111="",0,Cuartos!EA111)</f>
        <v>0</v>
      </c>
    </row>
    <row r="97" spans="1:7" x14ac:dyDescent="0.3">
      <c r="A97">
        <f>Cuartos!B112</f>
        <v>96</v>
      </c>
      <c r="B97">
        <f>Cuartos!D112</f>
        <v>0</v>
      </c>
      <c r="C97" s="118">
        <f>IF(Cuartos!DU112="",0,Cuartos!DU112)</f>
        <v>0</v>
      </c>
      <c r="D97" s="118">
        <f>IF(Cuartos!DX112="",0,Cuartos!DX112)</f>
        <v>0</v>
      </c>
      <c r="E97" s="118">
        <f>IF(Cuartos!DY112="",0,Cuartos!DY112)</f>
        <v>0</v>
      </c>
      <c r="F97" s="118">
        <f>IF(Cuartos!DZ112="",0,Cuartos!DZ112)</f>
        <v>0</v>
      </c>
      <c r="G97" s="118">
        <f>IF(Cuartos!EA112="",0,Cuartos!EA112)</f>
        <v>0</v>
      </c>
    </row>
    <row r="98" spans="1:7" x14ac:dyDescent="0.3">
      <c r="A98">
        <f>Cuartos!B113</f>
        <v>97</v>
      </c>
      <c r="B98">
        <f>Cuartos!D113</f>
        <v>0</v>
      </c>
      <c r="C98" s="118">
        <f>IF(Cuartos!DU113="",0,Cuartos!DU113)</f>
        <v>0</v>
      </c>
      <c r="D98" s="118">
        <f>IF(Cuartos!DX113="",0,Cuartos!DX113)</f>
        <v>0</v>
      </c>
      <c r="E98" s="118">
        <f>IF(Cuartos!DY113="",0,Cuartos!DY113)</f>
        <v>0</v>
      </c>
      <c r="F98" s="118">
        <f>IF(Cuartos!DZ113="",0,Cuartos!DZ113)</f>
        <v>0</v>
      </c>
      <c r="G98" s="118">
        <f>IF(Cuartos!EA113="",0,Cuartos!EA113)</f>
        <v>0</v>
      </c>
    </row>
    <row r="99" spans="1:7" x14ac:dyDescent="0.3">
      <c r="A99">
        <f>Cuartos!B114</f>
        <v>98</v>
      </c>
      <c r="B99">
        <f>Cuartos!D114</f>
        <v>0</v>
      </c>
      <c r="C99" s="118">
        <f>IF(Cuartos!DU114="",0,Cuartos!DU114)</f>
        <v>0</v>
      </c>
      <c r="D99" s="118">
        <f>IF(Cuartos!DX114="",0,Cuartos!DX114)</f>
        <v>0</v>
      </c>
      <c r="E99" s="118">
        <f>IF(Cuartos!DY114="",0,Cuartos!DY114)</f>
        <v>0</v>
      </c>
      <c r="F99" s="118">
        <f>IF(Cuartos!DZ114="",0,Cuartos!DZ114)</f>
        <v>0</v>
      </c>
      <c r="G99" s="118">
        <f>IF(Cuartos!EA114="",0,Cuartos!EA114)</f>
        <v>0</v>
      </c>
    </row>
    <row r="100" spans="1:7" x14ac:dyDescent="0.3">
      <c r="A100">
        <f>Cuartos!B115</f>
        <v>99</v>
      </c>
      <c r="B100">
        <f>Cuartos!D115</f>
        <v>0</v>
      </c>
      <c r="C100" s="118">
        <f>IF(Cuartos!DU115="",0,Cuartos!DU115)</f>
        <v>0</v>
      </c>
      <c r="D100" s="118">
        <f>IF(Cuartos!DX115="",0,Cuartos!DX115)</f>
        <v>0</v>
      </c>
      <c r="E100" s="118">
        <f>IF(Cuartos!DY115="",0,Cuartos!DY115)</f>
        <v>0</v>
      </c>
      <c r="F100" s="118">
        <f>IF(Cuartos!DZ115="",0,Cuartos!DZ115)</f>
        <v>0</v>
      </c>
      <c r="G100" s="118">
        <f>IF(Cuartos!EA115="",0,Cuartos!EA115)</f>
        <v>0</v>
      </c>
    </row>
    <row r="101" spans="1:7" x14ac:dyDescent="0.3">
      <c r="A101">
        <f>Cuartos!B116</f>
        <v>100</v>
      </c>
      <c r="B101">
        <f>Cuartos!D116</f>
        <v>0</v>
      </c>
      <c r="C101" s="118">
        <f>IF(Cuartos!DU116="",0,Cuartos!DU116)</f>
        <v>0</v>
      </c>
      <c r="D101" s="118">
        <f>IF(Cuartos!DX116="",0,Cuartos!DX116)</f>
        <v>0</v>
      </c>
      <c r="E101" s="118">
        <f>IF(Cuartos!DY116="",0,Cuartos!DY116)</f>
        <v>0</v>
      </c>
      <c r="F101" s="118">
        <f>IF(Cuartos!DZ116="",0,Cuartos!DZ116)</f>
        <v>0</v>
      </c>
      <c r="G101" s="118">
        <f>IF(Cuartos!EA116="",0,Cuartos!EA116)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pageSetUpPr fitToPage="1"/>
  </sheetPr>
  <dimension ref="A1:T183"/>
  <sheetViews>
    <sheetView showGridLines="0" showRowColHeaders="0" zoomScaleNormal="100" workbookViewId="0">
      <pane ySplit="33" topLeftCell="A34" activePane="bottomLeft" state="frozen"/>
      <selection pane="bottomLeft" activeCell="B34" sqref="B34"/>
    </sheetView>
  </sheetViews>
  <sheetFormatPr defaultColWidth="12" defaultRowHeight="13.8" x14ac:dyDescent="0.3"/>
  <cols>
    <col min="1" max="1" width="4.125" style="3" bestFit="1" customWidth="1"/>
    <col min="2" max="2" width="13" style="3" customWidth="1"/>
    <col min="3" max="3" width="10.875" style="3" hidden="1" customWidth="1"/>
    <col min="4" max="4" width="10.875" style="3" customWidth="1"/>
    <col min="5" max="5" width="7.125" style="3" bestFit="1" customWidth="1"/>
    <col min="6" max="6" width="30.875" style="3" customWidth="1"/>
    <col min="7" max="7" width="7.875" style="3" customWidth="1"/>
    <col min="8" max="8" width="33.125" style="119" hidden="1" customWidth="1"/>
    <col min="9" max="9" width="12" style="3"/>
    <col min="10" max="10" width="12" style="3" customWidth="1"/>
    <col min="11" max="11" width="12" style="3" hidden="1" customWidth="1"/>
    <col min="12" max="12" width="12" style="3" customWidth="1"/>
    <col min="13" max="13" width="12" style="3" hidden="1" customWidth="1"/>
    <col min="14" max="14" width="4.875" style="119" customWidth="1"/>
    <col min="15" max="15" width="2.125" style="119" customWidth="1"/>
    <col min="16" max="16" width="4.875" style="119" customWidth="1"/>
    <col min="17" max="17" width="12" style="3"/>
    <col min="18" max="18" width="13.625" style="3" bestFit="1" customWidth="1"/>
    <col min="19" max="19" width="13.625" style="3" customWidth="1"/>
    <col min="20" max="16384" width="12" style="3"/>
  </cols>
  <sheetData>
    <row r="1" spans="1:20" x14ac:dyDescent="0.3">
      <c r="A1" s="616" t="s">
        <v>221</v>
      </c>
      <c r="B1" s="616"/>
      <c r="C1" s="616"/>
      <c r="D1" s="616"/>
      <c r="E1" s="616"/>
      <c r="F1" s="616"/>
      <c r="G1" s="616"/>
      <c r="H1" s="616"/>
      <c r="I1" s="616"/>
      <c r="J1" s="258"/>
      <c r="K1" s="171"/>
      <c r="L1" s="616" t="s">
        <v>252</v>
      </c>
      <c r="M1" s="616"/>
      <c r="N1" s="616"/>
      <c r="O1" s="616"/>
      <c r="P1" s="616"/>
      <c r="Q1" s="367"/>
      <c r="R1" s="616" t="s">
        <v>228</v>
      </c>
      <c r="S1" s="616"/>
      <c r="T1" s="616"/>
    </row>
    <row r="2" spans="1:20" x14ac:dyDescent="0.3">
      <c r="R2" s="6"/>
    </row>
    <row r="4" spans="1:20" x14ac:dyDescent="0.3">
      <c r="G4" s="5"/>
      <c r="H4" s="3"/>
      <c r="N4" s="124"/>
      <c r="O4" s="124"/>
      <c r="P4" s="124"/>
    </row>
    <row r="5" spans="1:20" x14ac:dyDescent="0.3">
      <c r="G5" s="5"/>
      <c r="H5" s="3"/>
      <c r="N5" s="124"/>
      <c r="O5" s="124"/>
      <c r="P5" s="124"/>
    </row>
    <row r="6" spans="1:20" x14ac:dyDescent="0.3">
      <c r="G6" s="5"/>
      <c r="H6" s="3"/>
      <c r="N6" s="124"/>
      <c r="O6" s="124"/>
      <c r="P6" s="124"/>
    </row>
    <row r="7" spans="1:20" x14ac:dyDescent="0.3">
      <c r="G7" s="5"/>
      <c r="H7" s="3"/>
      <c r="N7" s="124"/>
      <c r="O7" s="124"/>
      <c r="P7" s="124"/>
    </row>
    <row r="8" spans="1:20" x14ac:dyDescent="0.3">
      <c r="G8" s="5"/>
      <c r="H8" s="3"/>
      <c r="N8" s="124"/>
      <c r="O8" s="124"/>
      <c r="P8" s="124"/>
    </row>
    <row r="9" spans="1:20" x14ac:dyDescent="0.3">
      <c r="G9" s="5"/>
      <c r="H9" s="3"/>
      <c r="N9" s="124"/>
      <c r="O9" s="124"/>
      <c r="P9" s="124"/>
    </row>
    <row r="10" spans="1:20" ht="13.8" hidden="1" customHeight="1" x14ac:dyDescent="0.3">
      <c r="G10" s="5"/>
      <c r="H10" s="3"/>
      <c r="N10" s="124"/>
      <c r="O10" s="124"/>
      <c r="P10" s="124"/>
    </row>
    <row r="11" spans="1:20" ht="13.8" hidden="1" customHeight="1" x14ac:dyDescent="0.3">
      <c r="G11" s="5"/>
      <c r="H11" s="3"/>
      <c r="N11" s="124"/>
      <c r="O11" s="124"/>
      <c r="P11" s="124"/>
    </row>
    <row r="12" spans="1:20" ht="13.8" hidden="1" customHeight="1" x14ac:dyDescent="0.3">
      <c r="G12" s="5"/>
      <c r="H12" s="3"/>
      <c r="N12" s="124"/>
      <c r="O12" s="124"/>
      <c r="P12" s="124"/>
    </row>
    <row r="13" spans="1:20" ht="13.8" hidden="1" customHeight="1" x14ac:dyDescent="0.3">
      <c r="G13" s="5"/>
      <c r="H13" s="3"/>
      <c r="N13" s="124"/>
      <c r="O13" s="124"/>
      <c r="P13" s="124"/>
    </row>
    <row r="14" spans="1:20" ht="12.75" customHeight="1" x14ac:dyDescent="0.3">
      <c r="A14" s="624" t="s">
        <v>215</v>
      </c>
      <c r="B14" s="624"/>
      <c r="C14" s="624"/>
      <c r="D14" s="624"/>
      <c r="E14" s="624"/>
      <c r="F14" s="620" t="s">
        <v>232</v>
      </c>
      <c r="G14" s="620"/>
      <c r="H14" s="3"/>
      <c r="I14" s="624" t="s">
        <v>216</v>
      </c>
      <c r="J14" s="624"/>
      <c r="L14" s="629" t="s">
        <v>530</v>
      </c>
      <c r="N14" s="124"/>
      <c r="O14" s="124"/>
      <c r="P14" s="124"/>
      <c r="Q14" s="624" t="s">
        <v>217</v>
      </c>
      <c r="R14" s="624"/>
      <c r="S14" s="624"/>
    </row>
    <row r="15" spans="1:20" x14ac:dyDescent="0.3">
      <c r="A15" s="624"/>
      <c r="B15" s="624"/>
      <c r="C15" s="624"/>
      <c r="D15" s="624"/>
      <c r="E15" s="624"/>
      <c r="F15" s="620"/>
      <c r="G15" s="620"/>
      <c r="H15" s="3"/>
      <c r="I15" s="624"/>
      <c r="J15" s="624"/>
      <c r="L15" s="629"/>
      <c r="N15" s="124"/>
      <c r="O15" s="124"/>
      <c r="P15" s="124"/>
      <c r="Q15" s="628" t="s">
        <v>190</v>
      </c>
      <c r="R15" s="622"/>
      <c r="S15" s="161" t="s">
        <v>203</v>
      </c>
    </row>
    <row r="16" spans="1:20" x14ac:dyDescent="0.3">
      <c r="A16" s="622" t="s">
        <v>190</v>
      </c>
      <c r="B16" s="623"/>
      <c r="C16" s="623"/>
      <c r="D16" s="158">
        <v>500</v>
      </c>
      <c r="E16" s="157" t="s">
        <v>175</v>
      </c>
      <c r="F16" s="620"/>
      <c r="G16" s="620"/>
      <c r="H16" s="3"/>
      <c r="I16" s="159" t="s">
        <v>190</v>
      </c>
      <c r="J16" s="161">
        <v>3</v>
      </c>
      <c r="L16" s="161">
        <v>9</v>
      </c>
      <c r="N16" s="124"/>
      <c r="O16" s="124"/>
      <c r="P16" s="124"/>
      <c r="Q16" s="169" t="s">
        <v>218</v>
      </c>
      <c r="R16" s="170" t="s">
        <v>201</v>
      </c>
      <c r="S16" s="161">
        <v>1224</v>
      </c>
    </row>
    <row r="17" spans="1:20" ht="13.8" customHeight="1" x14ac:dyDescent="0.3">
      <c r="A17" s="622" t="s">
        <v>191</v>
      </c>
      <c r="B17" s="623"/>
      <c r="C17" s="623"/>
      <c r="D17" s="158">
        <v>500</v>
      </c>
      <c r="E17" s="157" t="s">
        <v>175</v>
      </c>
      <c r="F17" s="621" t="str">
        <f>TEXT(AS-SUM($I$34:$I$183),"#,##0.0")&amp;" PCM"</f>
        <v>0.0 PCM</v>
      </c>
      <c r="G17" s="620"/>
      <c r="H17" s="3"/>
      <c r="I17" s="159" t="s">
        <v>222</v>
      </c>
      <c r="J17" s="161">
        <v>2</v>
      </c>
      <c r="L17" s="161">
        <v>8</v>
      </c>
      <c r="N17" s="124"/>
      <c r="O17" s="124"/>
      <c r="P17" s="124"/>
      <c r="Q17" s="169" t="s">
        <v>219</v>
      </c>
      <c r="R17" s="170" t="s">
        <v>202</v>
      </c>
      <c r="S17" s="161">
        <v>2424</v>
      </c>
    </row>
    <row r="18" spans="1:20" ht="13.8" customHeight="1" x14ac:dyDescent="0.3">
      <c r="A18" s="622" t="s">
        <v>192</v>
      </c>
      <c r="B18" s="623"/>
      <c r="C18" s="623"/>
      <c r="D18" s="158">
        <v>500</v>
      </c>
      <c r="E18" s="157" t="s">
        <v>175</v>
      </c>
      <c r="F18" s="620"/>
      <c r="G18" s="620"/>
      <c r="H18" s="3"/>
      <c r="I18" s="159" t="s">
        <v>223</v>
      </c>
      <c r="J18" s="161">
        <v>12</v>
      </c>
      <c r="L18" s="161">
        <v>12</v>
      </c>
      <c r="N18" s="124"/>
      <c r="O18" s="124"/>
      <c r="P18" s="124"/>
      <c r="Q18" s="169" t="s">
        <v>220</v>
      </c>
      <c r="R18" s="170" t="s">
        <v>224</v>
      </c>
      <c r="S18" s="161">
        <v>2448</v>
      </c>
    </row>
    <row r="19" spans="1:20" ht="13.8" customHeight="1" x14ac:dyDescent="0.3">
      <c r="G19" s="5"/>
      <c r="H19" s="3"/>
      <c r="N19" s="124"/>
      <c r="O19" s="124"/>
      <c r="P19" s="124"/>
    </row>
    <row r="20" spans="1:20" hidden="1" x14ac:dyDescent="0.3">
      <c r="G20" s="5"/>
      <c r="H20" s="3"/>
      <c r="N20" s="124"/>
      <c r="O20" s="124"/>
      <c r="P20" s="124"/>
    </row>
    <row r="21" spans="1:20" hidden="1" x14ac:dyDescent="0.3">
      <c r="G21" s="5"/>
      <c r="H21" s="3"/>
      <c r="N21" s="124"/>
      <c r="O21" s="124"/>
      <c r="P21" s="124"/>
    </row>
    <row r="22" spans="1:20" hidden="1" x14ac:dyDescent="0.3">
      <c r="G22" s="5"/>
      <c r="H22" s="3"/>
      <c r="N22" s="124"/>
      <c r="O22" s="124"/>
      <c r="P22" s="124"/>
    </row>
    <row r="23" spans="1:20" hidden="1" x14ac:dyDescent="0.3">
      <c r="H23" s="124"/>
      <c r="N23" s="124"/>
      <c r="O23" s="124"/>
      <c r="P23" s="124"/>
    </row>
    <row r="24" spans="1:20" hidden="1" x14ac:dyDescent="0.3">
      <c r="A24" s="103"/>
      <c r="B24" s="103"/>
      <c r="C24" s="120"/>
      <c r="H24" s="120"/>
      <c r="K24" s="120"/>
      <c r="M24" s="120"/>
      <c r="R24" s="122">
        <v>1</v>
      </c>
      <c r="S24" s="122"/>
    </row>
    <row r="25" spans="1:20" hidden="1" x14ac:dyDescent="0.3">
      <c r="A25" s="103"/>
      <c r="B25" s="103"/>
      <c r="C25" s="120"/>
      <c r="H25" s="123"/>
      <c r="K25" s="120"/>
      <c r="M25" s="120"/>
      <c r="R25" s="122">
        <v>2</v>
      </c>
      <c r="S25" s="122"/>
    </row>
    <row r="26" spans="1:20" hidden="1" x14ac:dyDescent="0.3">
      <c r="A26" s="103"/>
      <c r="B26" s="103"/>
      <c r="C26" s="120"/>
      <c r="H26" s="123"/>
      <c r="K26" s="120"/>
      <c r="M26" s="120"/>
      <c r="R26" s="122">
        <v>3</v>
      </c>
      <c r="S26" s="122"/>
    </row>
    <row r="27" spans="1:20" hidden="1" x14ac:dyDescent="0.3">
      <c r="A27" s="103"/>
      <c r="B27" s="103" t="s">
        <v>186</v>
      </c>
      <c r="C27" s="120"/>
      <c r="H27" s="123"/>
      <c r="K27" s="120"/>
      <c r="M27" s="120"/>
      <c r="R27" s="122">
        <v>4</v>
      </c>
      <c r="S27" s="122"/>
      <c r="T27" s="3" t="str">
        <f>IFERROR(IF(C34=1,(0.000000468)*Q34^2.0001,IF(C34=2,(0.000000275)*Q34^1.993,IF(C34=3,1,"---"))),"")</f>
        <v>---</v>
      </c>
    </row>
    <row r="28" spans="1:20" hidden="1" x14ac:dyDescent="0.3">
      <c r="A28" s="103"/>
      <c r="B28" s="103" t="s">
        <v>187</v>
      </c>
      <c r="C28" s="120"/>
      <c r="H28" s="123"/>
      <c r="K28" s="120"/>
      <c r="M28" s="120"/>
      <c r="R28" s="122" t="s">
        <v>176</v>
      </c>
      <c r="S28" s="122"/>
    </row>
    <row r="29" spans="1:20" ht="13.8" hidden="1" customHeight="1" x14ac:dyDescent="0.3">
      <c r="A29" s="103"/>
      <c r="B29" s="103" t="s">
        <v>188</v>
      </c>
      <c r="C29" s="120"/>
      <c r="E29" s="3">
        <v>1</v>
      </c>
      <c r="F29" s="3">
        <v>2</v>
      </c>
      <c r="G29" s="3">
        <v>3</v>
      </c>
      <c r="H29" s="123"/>
      <c r="K29" s="120"/>
      <c r="M29" s="120"/>
      <c r="R29" s="122" t="s">
        <v>534</v>
      </c>
      <c r="S29" s="122"/>
    </row>
    <row r="30" spans="1:20" ht="12.75" customHeight="1" x14ac:dyDescent="0.3">
      <c r="A30" s="626" t="s">
        <v>0</v>
      </c>
      <c r="B30" s="627" t="s">
        <v>185</v>
      </c>
      <c r="C30" s="162"/>
      <c r="D30" s="618" t="s">
        <v>184</v>
      </c>
      <c r="E30" s="625" t="s">
        <v>34</v>
      </c>
      <c r="F30" s="625" t="s">
        <v>3</v>
      </c>
      <c r="G30" s="617" t="s">
        <v>168</v>
      </c>
      <c r="H30" s="163"/>
      <c r="I30" s="618" t="s">
        <v>197</v>
      </c>
      <c r="J30" s="618" t="s">
        <v>172</v>
      </c>
      <c r="K30" s="618" t="s">
        <v>195</v>
      </c>
      <c r="L30" s="618" t="s">
        <v>194</v>
      </c>
      <c r="M30" s="618" t="s">
        <v>194</v>
      </c>
      <c r="N30" s="617" t="s">
        <v>173</v>
      </c>
      <c r="O30" s="617"/>
      <c r="P30" s="617"/>
      <c r="Q30" s="617" t="s">
        <v>174</v>
      </c>
      <c r="R30" s="618" t="s">
        <v>204</v>
      </c>
      <c r="S30" s="618" t="s">
        <v>196</v>
      </c>
      <c r="T30" s="619" t="s">
        <v>180</v>
      </c>
    </row>
    <row r="31" spans="1:20" ht="12.75" customHeight="1" x14ac:dyDescent="0.3">
      <c r="A31" s="626"/>
      <c r="B31" s="627"/>
      <c r="C31" s="162"/>
      <c r="D31" s="618"/>
      <c r="E31" s="625"/>
      <c r="F31" s="625"/>
      <c r="G31" s="617"/>
      <c r="H31" s="163"/>
      <c r="I31" s="618"/>
      <c r="J31" s="618"/>
      <c r="K31" s="618"/>
      <c r="L31" s="618"/>
      <c r="M31" s="618"/>
      <c r="N31" s="617"/>
      <c r="O31" s="617"/>
      <c r="P31" s="617"/>
      <c r="Q31" s="617"/>
      <c r="R31" s="618"/>
      <c r="S31" s="618"/>
      <c r="T31" s="619"/>
    </row>
    <row r="32" spans="1:20" ht="12.75" customHeight="1" x14ac:dyDescent="0.3">
      <c r="A32" s="626"/>
      <c r="B32" s="627"/>
      <c r="C32" s="162"/>
      <c r="D32" s="618"/>
      <c r="E32" s="625"/>
      <c r="F32" s="625"/>
      <c r="G32" s="617"/>
      <c r="H32" s="163"/>
      <c r="I32" s="618"/>
      <c r="J32" s="618"/>
      <c r="K32" s="618"/>
      <c r="L32" s="618"/>
      <c r="M32" s="618"/>
      <c r="N32" s="166" t="s">
        <v>198</v>
      </c>
      <c r="O32" s="167"/>
      <c r="P32" s="168" t="s">
        <v>199</v>
      </c>
      <c r="Q32" s="617"/>
      <c r="R32" s="618"/>
      <c r="S32" s="618"/>
      <c r="T32" s="619"/>
    </row>
    <row r="33" spans="1:20" ht="13.8" customHeight="1" x14ac:dyDescent="0.3">
      <c r="A33" s="626"/>
      <c r="B33" s="627"/>
      <c r="C33" s="164" t="s">
        <v>189</v>
      </c>
      <c r="D33" s="618"/>
      <c r="E33" s="625"/>
      <c r="F33" s="625"/>
      <c r="G33" s="163" t="s">
        <v>42</v>
      </c>
      <c r="H33" s="165" t="s">
        <v>183</v>
      </c>
      <c r="I33" s="163" t="s">
        <v>42</v>
      </c>
      <c r="J33" s="618"/>
      <c r="K33" s="618"/>
      <c r="L33" s="618"/>
      <c r="M33" s="618"/>
      <c r="N33" s="166" t="s">
        <v>181</v>
      </c>
      <c r="O33" s="167" t="s">
        <v>182</v>
      </c>
      <c r="P33" s="168" t="s">
        <v>181</v>
      </c>
      <c r="Q33" s="163" t="s">
        <v>175</v>
      </c>
      <c r="R33" s="618"/>
      <c r="S33" s="618"/>
      <c r="T33" s="166" t="s">
        <v>15</v>
      </c>
    </row>
    <row r="34" spans="1:20" x14ac:dyDescent="0.3">
      <c r="A34" s="255">
        <v>1</v>
      </c>
      <c r="B34" s="260"/>
      <c r="C34" s="261">
        <f t="shared" ref="C34:C65" si="0">IF(B34="DI",1,IF(B34="RI",2,IF(B34="FT",3,4)))</f>
        <v>4</v>
      </c>
      <c r="D34" s="371"/>
      <c r="E34" s="262"/>
      <c r="F34" s="261" t="str">
        <f t="shared" ref="F34:G53" si="1">IFERROR(VLOOKUP($E34,DMFA,F$29,FALSE),"")</f>
        <v/>
      </c>
      <c r="G34" s="263" t="str">
        <f t="shared" si="1"/>
        <v/>
      </c>
      <c r="H34" s="264" t="str">
        <f t="shared" ref="H34:H65" si="2">IF(COUNTIF($E$34:$E$183,E34)=0,"",COUNTIF($E$34:$E$183,E34))</f>
        <v/>
      </c>
      <c r="I34" s="265" t="str">
        <f t="shared" ref="I34:I98" si="3">IF(OR(G34="",H34=""),"",G34/H34)</f>
        <v/>
      </c>
      <c r="J34" s="264" t="str">
        <f t="shared" ref="J34:J65" si="4">IF(I34="","",TEXT(I34/G34,"0.0 %"))</f>
        <v/>
      </c>
      <c r="K34" s="264">
        <f t="shared" ref="K34:K65" si="5">IF(C34=1,$J$16,IF(C34=2,$J$17,IF(C34=3,$J$18,0)))</f>
        <v>0</v>
      </c>
      <c r="L34" s="266"/>
      <c r="M34" s="267">
        <f t="shared" ref="M34:M98" si="6">IF(OR(L34=0,C34=1,C34=4),1,L34)</f>
        <v>1</v>
      </c>
      <c r="N34" s="465" t="str">
        <f t="shared" ref="N34:N65" si="7">IFERROR(MAX(_xlfn.CEILING.MATH(SQRT(I34/(M34*INDEX($D$16:$D$18,C34)))*12,INDEX($J$16:$J$18,C34)),INDEX($L$16:$L$18,C34)),"")</f>
        <v/>
      </c>
      <c r="O34" s="297" t="str">
        <f t="shared" ref="O34" si="8">IF(I34="","","×")</f>
        <v/>
      </c>
      <c r="P34" s="467" t="str">
        <f t="shared" ref="P34:P65" si="9">IFERROR(MAX(_xlfn.CEILING.MATH(SQRT((I34*M34)/INDEX($D$16:$D$18,C34))*12,INDEX($J$16:$J$18,C34)),INDEX($L$16:$L$18,C34)),"")</f>
        <v/>
      </c>
      <c r="Q34" s="268" t="str">
        <f>IF(I34="","",IF(N34="---","---",I34/(N34/12*P34/12)))</f>
        <v/>
      </c>
      <c r="R34" s="269"/>
      <c r="S34" s="270" t="str">
        <f t="shared" ref="S34:S65" si="10">IF(C34=1,$S$15,IF(C34=2,IF(N34&gt;=P34,"FL","FS"),IF(C34=3,IF(OR(N34=12,P34=12),$S$16,IF(AND(N34=24,P34=24),$S$17,IF(OR(AND(N34=24,P34=48),AND(N34=48,P34=24)),$S$18,IF(I34="","","N/A")))),"")))</f>
        <v/>
      </c>
      <c r="T34" s="271" t="str">
        <f>IFERROR(IF(C34=1,(0.000000468)*Q34^2.0001,IF(C34=2,(0.000000275)*Q34^1.993,IF(C34=3,1,IF(AND(I34&lt;&gt;"",C34=4),"---","")))),"")</f>
        <v/>
      </c>
    </row>
    <row r="35" spans="1:20" x14ac:dyDescent="0.3">
      <c r="A35" s="255">
        <v>2</v>
      </c>
      <c r="B35" s="272"/>
      <c r="C35" s="273">
        <f t="shared" si="0"/>
        <v>4</v>
      </c>
      <c r="D35" s="372"/>
      <c r="E35" s="274"/>
      <c r="F35" s="273" t="str">
        <f t="shared" si="1"/>
        <v/>
      </c>
      <c r="G35" s="275" t="str">
        <f t="shared" si="1"/>
        <v/>
      </c>
      <c r="H35" s="276" t="str">
        <f>IF(COUNTIF($E$34:$E$183,E35)=0,"",COUNTIF($E$34:$E$183,E35))</f>
        <v/>
      </c>
      <c r="I35" s="277" t="str">
        <f t="shared" si="3"/>
        <v/>
      </c>
      <c r="J35" s="276" t="str">
        <f t="shared" si="4"/>
        <v/>
      </c>
      <c r="K35" s="276">
        <f t="shared" si="5"/>
        <v>0</v>
      </c>
      <c r="L35" s="278"/>
      <c r="M35" s="279">
        <f t="shared" si="6"/>
        <v>1</v>
      </c>
      <c r="N35" s="360" t="str">
        <f t="shared" si="7"/>
        <v/>
      </c>
      <c r="O35" s="117" t="str">
        <f t="shared" ref="O35:O98" si="11">IF(I35="","","×")</f>
        <v/>
      </c>
      <c r="P35" s="359" t="str">
        <f t="shared" si="9"/>
        <v/>
      </c>
      <c r="Q35" s="280" t="str">
        <f t="shared" ref="Q35:Q98" si="12">IF(I35="","",IF(N35="---","---",I35/(N35/12*P35/12)))</f>
        <v/>
      </c>
      <c r="R35" s="281"/>
      <c r="S35" s="282" t="str">
        <f t="shared" si="10"/>
        <v/>
      </c>
      <c r="T35" s="283" t="str">
        <f t="shared" ref="T35:T98" si="13">IFERROR(IF(C35=1,(0.000000468)*Q35^2.0001,IF(C35=2,(0.000000275)*Q35^1.993,IF(C35=3,1,IF(AND(I35&lt;&gt;"",C35=4),"---","")))),"")</f>
        <v/>
      </c>
    </row>
    <row r="36" spans="1:20" x14ac:dyDescent="0.3">
      <c r="A36" s="255">
        <v>3</v>
      </c>
      <c r="B36" s="284"/>
      <c r="C36" s="285">
        <f t="shared" si="0"/>
        <v>4</v>
      </c>
      <c r="D36" s="373"/>
      <c r="E36" s="286"/>
      <c r="F36" s="285" t="str">
        <f t="shared" si="1"/>
        <v/>
      </c>
      <c r="G36" s="287" t="str">
        <f t="shared" si="1"/>
        <v/>
      </c>
      <c r="H36" s="288" t="str">
        <f t="shared" si="2"/>
        <v/>
      </c>
      <c r="I36" s="289" t="str">
        <f t="shared" si="3"/>
        <v/>
      </c>
      <c r="J36" s="288" t="str">
        <f t="shared" si="4"/>
        <v/>
      </c>
      <c r="K36" s="288">
        <f t="shared" si="5"/>
        <v>0</v>
      </c>
      <c r="L36" s="290"/>
      <c r="M36" s="291">
        <f t="shared" si="6"/>
        <v>1</v>
      </c>
      <c r="N36" s="466" t="str">
        <f t="shared" si="7"/>
        <v/>
      </c>
      <c r="O36" s="302" t="str">
        <f t="shared" si="11"/>
        <v/>
      </c>
      <c r="P36" s="468" t="str">
        <f t="shared" si="9"/>
        <v/>
      </c>
      <c r="Q36" s="292" t="str">
        <f t="shared" si="12"/>
        <v/>
      </c>
      <c r="R36" s="293"/>
      <c r="S36" s="294" t="str">
        <f t="shared" si="10"/>
        <v/>
      </c>
      <c r="T36" s="295" t="str">
        <f t="shared" si="13"/>
        <v/>
      </c>
    </row>
    <row r="37" spans="1:20" x14ac:dyDescent="0.3">
      <c r="A37" s="255">
        <v>4</v>
      </c>
      <c r="B37" s="260"/>
      <c r="C37" s="261">
        <f t="shared" si="0"/>
        <v>4</v>
      </c>
      <c r="D37" s="371"/>
      <c r="E37" s="262"/>
      <c r="F37" s="261" t="str">
        <f t="shared" si="1"/>
        <v/>
      </c>
      <c r="G37" s="263" t="str">
        <f t="shared" si="1"/>
        <v/>
      </c>
      <c r="H37" s="264" t="str">
        <f t="shared" si="2"/>
        <v/>
      </c>
      <c r="I37" s="265" t="str">
        <f t="shared" si="3"/>
        <v/>
      </c>
      <c r="J37" s="264" t="str">
        <f t="shared" si="4"/>
        <v/>
      </c>
      <c r="K37" s="264">
        <f t="shared" si="5"/>
        <v>0</v>
      </c>
      <c r="L37" s="266"/>
      <c r="M37" s="267">
        <f t="shared" si="6"/>
        <v>1</v>
      </c>
      <c r="N37" s="465" t="str">
        <f t="shared" si="7"/>
        <v/>
      </c>
      <c r="O37" s="297" t="str">
        <f t="shared" si="11"/>
        <v/>
      </c>
      <c r="P37" s="467" t="str">
        <f t="shared" si="9"/>
        <v/>
      </c>
      <c r="Q37" s="268" t="str">
        <f t="shared" si="12"/>
        <v/>
      </c>
      <c r="R37" s="269"/>
      <c r="S37" s="270" t="str">
        <f t="shared" si="10"/>
        <v/>
      </c>
      <c r="T37" s="271" t="str">
        <f t="shared" si="13"/>
        <v/>
      </c>
    </row>
    <row r="38" spans="1:20" x14ac:dyDescent="0.3">
      <c r="A38" s="255">
        <v>5</v>
      </c>
      <c r="B38" s="272"/>
      <c r="C38" s="273">
        <f t="shared" si="0"/>
        <v>4</v>
      </c>
      <c r="D38" s="372"/>
      <c r="E38" s="274"/>
      <c r="F38" s="273" t="str">
        <f t="shared" si="1"/>
        <v/>
      </c>
      <c r="G38" s="275" t="str">
        <f t="shared" si="1"/>
        <v/>
      </c>
      <c r="H38" s="276" t="str">
        <f t="shared" si="2"/>
        <v/>
      </c>
      <c r="I38" s="277" t="str">
        <f t="shared" si="3"/>
        <v/>
      </c>
      <c r="J38" s="276" t="str">
        <f t="shared" si="4"/>
        <v/>
      </c>
      <c r="K38" s="276">
        <f t="shared" si="5"/>
        <v>0</v>
      </c>
      <c r="L38" s="278"/>
      <c r="M38" s="279">
        <f t="shared" si="6"/>
        <v>1</v>
      </c>
      <c r="N38" s="360" t="str">
        <f t="shared" si="7"/>
        <v/>
      </c>
      <c r="O38" s="117" t="str">
        <f t="shared" si="11"/>
        <v/>
      </c>
      <c r="P38" s="359" t="str">
        <f t="shared" si="9"/>
        <v/>
      </c>
      <c r="Q38" s="280" t="str">
        <f t="shared" si="12"/>
        <v/>
      </c>
      <c r="R38" s="281"/>
      <c r="S38" s="282" t="str">
        <f t="shared" si="10"/>
        <v/>
      </c>
      <c r="T38" s="283" t="str">
        <f t="shared" si="13"/>
        <v/>
      </c>
    </row>
    <row r="39" spans="1:20" x14ac:dyDescent="0.3">
      <c r="A39" s="255">
        <v>6</v>
      </c>
      <c r="B39" s="284"/>
      <c r="C39" s="285">
        <f t="shared" si="0"/>
        <v>4</v>
      </c>
      <c r="D39" s="373"/>
      <c r="E39" s="286"/>
      <c r="F39" s="285" t="str">
        <f t="shared" si="1"/>
        <v/>
      </c>
      <c r="G39" s="287" t="str">
        <f t="shared" si="1"/>
        <v/>
      </c>
      <c r="H39" s="288" t="str">
        <f t="shared" si="2"/>
        <v/>
      </c>
      <c r="I39" s="289" t="str">
        <f t="shared" si="3"/>
        <v/>
      </c>
      <c r="J39" s="288" t="str">
        <f t="shared" si="4"/>
        <v/>
      </c>
      <c r="K39" s="288">
        <f t="shared" si="5"/>
        <v>0</v>
      </c>
      <c r="L39" s="290"/>
      <c r="M39" s="291">
        <f t="shared" si="6"/>
        <v>1</v>
      </c>
      <c r="N39" s="466" t="str">
        <f t="shared" si="7"/>
        <v/>
      </c>
      <c r="O39" s="302" t="str">
        <f t="shared" si="11"/>
        <v/>
      </c>
      <c r="P39" s="468" t="str">
        <f t="shared" si="9"/>
        <v/>
      </c>
      <c r="Q39" s="292" t="str">
        <f t="shared" si="12"/>
        <v/>
      </c>
      <c r="R39" s="293"/>
      <c r="S39" s="294" t="str">
        <f t="shared" si="10"/>
        <v/>
      </c>
      <c r="T39" s="295" t="str">
        <f t="shared" si="13"/>
        <v/>
      </c>
    </row>
    <row r="40" spans="1:20" x14ac:dyDescent="0.3">
      <c r="A40" s="255">
        <v>7</v>
      </c>
      <c r="B40" s="260"/>
      <c r="C40" s="261">
        <f t="shared" si="0"/>
        <v>4</v>
      </c>
      <c r="D40" s="371"/>
      <c r="E40" s="262"/>
      <c r="F40" s="261" t="str">
        <f t="shared" si="1"/>
        <v/>
      </c>
      <c r="G40" s="263" t="str">
        <f t="shared" si="1"/>
        <v/>
      </c>
      <c r="H40" s="264" t="str">
        <f t="shared" si="2"/>
        <v/>
      </c>
      <c r="I40" s="265" t="str">
        <f t="shared" si="3"/>
        <v/>
      </c>
      <c r="J40" s="264" t="str">
        <f t="shared" si="4"/>
        <v/>
      </c>
      <c r="K40" s="264">
        <f t="shared" si="5"/>
        <v>0</v>
      </c>
      <c r="L40" s="266"/>
      <c r="M40" s="267">
        <f t="shared" si="6"/>
        <v>1</v>
      </c>
      <c r="N40" s="465" t="str">
        <f t="shared" si="7"/>
        <v/>
      </c>
      <c r="O40" s="297" t="str">
        <f t="shared" si="11"/>
        <v/>
      </c>
      <c r="P40" s="467" t="str">
        <f t="shared" si="9"/>
        <v/>
      </c>
      <c r="Q40" s="268" t="str">
        <f t="shared" si="12"/>
        <v/>
      </c>
      <c r="R40" s="269"/>
      <c r="S40" s="270" t="str">
        <f t="shared" si="10"/>
        <v/>
      </c>
      <c r="T40" s="271" t="str">
        <f t="shared" si="13"/>
        <v/>
      </c>
    </row>
    <row r="41" spans="1:20" x14ac:dyDescent="0.3">
      <c r="A41" s="255">
        <v>8</v>
      </c>
      <c r="B41" s="272"/>
      <c r="C41" s="273">
        <f t="shared" si="0"/>
        <v>4</v>
      </c>
      <c r="D41" s="372"/>
      <c r="E41" s="274"/>
      <c r="F41" s="273" t="str">
        <f t="shared" si="1"/>
        <v/>
      </c>
      <c r="G41" s="275" t="str">
        <f t="shared" si="1"/>
        <v/>
      </c>
      <c r="H41" s="276" t="str">
        <f t="shared" si="2"/>
        <v/>
      </c>
      <c r="I41" s="277" t="str">
        <f t="shared" si="3"/>
        <v/>
      </c>
      <c r="J41" s="276" t="str">
        <f t="shared" si="4"/>
        <v/>
      </c>
      <c r="K41" s="276">
        <f t="shared" si="5"/>
        <v>0</v>
      </c>
      <c r="L41" s="278"/>
      <c r="M41" s="279">
        <f t="shared" si="6"/>
        <v>1</v>
      </c>
      <c r="N41" s="360" t="str">
        <f t="shared" si="7"/>
        <v/>
      </c>
      <c r="O41" s="117" t="str">
        <f t="shared" si="11"/>
        <v/>
      </c>
      <c r="P41" s="359" t="str">
        <f t="shared" si="9"/>
        <v/>
      </c>
      <c r="Q41" s="280" t="str">
        <f t="shared" si="12"/>
        <v/>
      </c>
      <c r="R41" s="281"/>
      <c r="S41" s="282" t="str">
        <f t="shared" si="10"/>
        <v/>
      </c>
      <c r="T41" s="283" t="str">
        <f t="shared" si="13"/>
        <v/>
      </c>
    </row>
    <row r="42" spans="1:20" x14ac:dyDescent="0.3">
      <c r="A42" s="255">
        <v>9</v>
      </c>
      <c r="B42" s="284"/>
      <c r="C42" s="285">
        <f t="shared" si="0"/>
        <v>4</v>
      </c>
      <c r="D42" s="373"/>
      <c r="E42" s="286"/>
      <c r="F42" s="285" t="str">
        <f t="shared" si="1"/>
        <v/>
      </c>
      <c r="G42" s="287" t="str">
        <f t="shared" si="1"/>
        <v/>
      </c>
      <c r="H42" s="288" t="str">
        <f>IF(COUNTIF($E$34:$E$183,E42)=0,"",COUNTIF($E$34:$E$183,E42))</f>
        <v/>
      </c>
      <c r="I42" s="289" t="str">
        <f t="shared" si="3"/>
        <v/>
      </c>
      <c r="J42" s="288" t="str">
        <f t="shared" si="4"/>
        <v/>
      </c>
      <c r="K42" s="288">
        <f t="shared" si="5"/>
        <v>0</v>
      </c>
      <c r="L42" s="290"/>
      <c r="M42" s="291">
        <f t="shared" si="6"/>
        <v>1</v>
      </c>
      <c r="N42" s="466" t="str">
        <f t="shared" si="7"/>
        <v/>
      </c>
      <c r="O42" s="302" t="str">
        <f t="shared" si="11"/>
        <v/>
      </c>
      <c r="P42" s="468" t="str">
        <f t="shared" si="9"/>
        <v/>
      </c>
      <c r="Q42" s="292" t="str">
        <f t="shared" si="12"/>
        <v/>
      </c>
      <c r="R42" s="293"/>
      <c r="S42" s="294" t="str">
        <f t="shared" si="10"/>
        <v/>
      </c>
      <c r="T42" s="295" t="str">
        <f t="shared" si="13"/>
        <v/>
      </c>
    </row>
    <row r="43" spans="1:20" x14ac:dyDescent="0.3">
      <c r="A43" s="255">
        <v>10</v>
      </c>
      <c r="B43" s="260"/>
      <c r="C43" s="261">
        <f t="shared" si="0"/>
        <v>4</v>
      </c>
      <c r="D43" s="371"/>
      <c r="E43" s="262"/>
      <c r="F43" s="261" t="str">
        <f t="shared" si="1"/>
        <v/>
      </c>
      <c r="G43" s="263" t="str">
        <f t="shared" si="1"/>
        <v/>
      </c>
      <c r="H43" s="264" t="str">
        <f t="shared" si="2"/>
        <v/>
      </c>
      <c r="I43" s="265" t="str">
        <f t="shared" si="3"/>
        <v/>
      </c>
      <c r="J43" s="264" t="str">
        <f t="shared" si="4"/>
        <v/>
      </c>
      <c r="K43" s="264">
        <f t="shared" si="5"/>
        <v>0</v>
      </c>
      <c r="L43" s="266"/>
      <c r="M43" s="267">
        <f t="shared" si="6"/>
        <v>1</v>
      </c>
      <c r="N43" s="465" t="str">
        <f t="shared" si="7"/>
        <v/>
      </c>
      <c r="O43" s="297" t="str">
        <f t="shared" si="11"/>
        <v/>
      </c>
      <c r="P43" s="467" t="str">
        <f t="shared" si="9"/>
        <v/>
      </c>
      <c r="Q43" s="268" t="str">
        <f t="shared" si="12"/>
        <v/>
      </c>
      <c r="R43" s="269"/>
      <c r="S43" s="270" t="str">
        <f t="shared" si="10"/>
        <v/>
      </c>
      <c r="T43" s="271" t="str">
        <f t="shared" si="13"/>
        <v/>
      </c>
    </row>
    <row r="44" spans="1:20" x14ac:dyDescent="0.3">
      <c r="A44" s="255">
        <v>11</v>
      </c>
      <c r="B44" s="272"/>
      <c r="C44" s="273">
        <f t="shared" si="0"/>
        <v>4</v>
      </c>
      <c r="D44" s="372"/>
      <c r="E44" s="274"/>
      <c r="F44" s="273" t="str">
        <f t="shared" si="1"/>
        <v/>
      </c>
      <c r="G44" s="275" t="str">
        <f t="shared" si="1"/>
        <v/>
      </c>
      <c r="H44" s="276" t="str">
        <f t="shared" si="2"/>
        <v/>
      </c>
      <c r="I44" s="277" t="str">
        <f t="shared" si="3"/>
        <v/>
      </c>
      <c r="J44" s="276" t="str">
        <f t="shared" si="4"/>
        <v/>
      </c>
      <c r="K44" s="276">
        <f t="shared" si="5"/>
        <v>0</v>
      </c>
      <c r="L44" s="278"/>
      <c r="M44" s="279">
        <f t="shared" si="6"/>
        <v>1</v>
      </c>
      <c r="N44" s="360" t="str">
        <f t="shared" si="7"/>
        <v/>
      </c>
      <c r="O44" s="117" t="str">
        <f t="shared" si="11"/>
        <v/>
      </c>
      <c r="P44" s="359" t="str">
        <f t="shared" si="9"/>
        <v/>
      </c>
      <c r="Q44" s="280" t="str">
        <f t="shared" si="12"/>
        <v/>
      </c>
      <c r="R44" s="281"/>
      <c r="S44" s="282" t="str">
        <f t="shared" si="10"/>
        <v/>
      </c>
      <c r="T44" s="283" t="str">
        <f t="shared" si="13"/>
        <v/>
      </c>
    </row>
    <row r="45" spans="1:20" x14ac:dyDescent="0.3">
      <c r="A45" s="255">
        <v>12</v>
      </c>
      <c r="B45" s="284"/>
      <c r="C45" s="285">
        <f t="shared" si="0"/>
        <v>4</v>
      </c>
      <c r="D45" s="373"/>
      <c r="E45" s="286"/>
      <c r="F45" s="285" t="str">
        <f t="shared" si="1"/>
        <v/>
      </c>
      <c r="G45" s="287" t="str">
        <f t="shared" si="1"/>
        <v/>
      </c>
      <c r="H45" s="288" t="str">
        <f t="shared" si="2"/>
        <v/>
      </c>
      <c r="I45" s="289" t="str">
        <f t="shared" si="3"/>
        <v/>
      </c>
      <c r="J45" s="288" t="str">
        <f t="shared" si="4"/>
        <v/>
      </c>
      <c r="K45" s="288">
        <f t="shared" si="5"/>
        <v>0</v>
      </c>
      <c r="L45" s="290"/>
      <c r="M45" s="291">
        <f t="shared" si="6"/>
        <v>1</v>
      </c>
      <c r="N45" s="466" t="str">
        <f t="shared" si="7"/>
        <v/>
      </c>
      <c r="O45" s="302" t="str">
        <f t="shared" si="11"/>
        <v/>
      </c>
      <c r="P45" s="468" t="str">
        <f t="shared" si="9"/>
        <v/>
      </c>
      <c r="Q45" s="292" t="str">
        <f t="shared" si="12"/>
        <v/>
      </c>
      <c r="R45" s="293"/>
      <c r="S45" s="294" t="str">
        <f t="shared" si="10"/>
        <v/>
      </c>
      <c r="T45" s="295" t="str">
        <f t="shared" si="13"/>
        <v/>
      </c>
    </row>
    <row r="46" spans="1:20" x14ac:dyDescent="0.3">
      <c r="A46" s="255">
        <v>13</v>
      </c>
      <c r="B46" s="260"/>
      <c r="C46" s="261">
        <f t="shared" si="0"/>
        <v>4</v>
      </c>
      <c r="D46" s="371"/>
      <c r="E46" s="262"/>
      <c r="F46" s="261" t="str">
        <f t="shared" si="1"/>
        <v/>
      </c>
      <c r="G46" s="263" t="str">
        <f t="shared" si="1"/>
        <v/>
      </c>
      <c r="H46" s="264" t="str">
        <f t="shared" si="2"/>
        <v/>
      </c>
      <c r="I46" s="265" t="str">
        <f t="shared" si="3"/>
        <v/>
      </c>
      <c r="J46" s="264" t="str">
        <f t="shared" si="4"/>
        <v/>
      </c>
      <c r="K46" s="264">
        <f t="shared" si="5"/>
        <v>0</v>
      </c>
      <c r="L46" s="266"/>
      <c r="M46" s="267">
        <f t="shared" si="6"/>
        <v>1</v>
      </c>
      <c r="N46" s="465" t="str">
        <f t="shared" si="7"/>
        <v/>
      </c>
      <c r="O46" s="297" t="str">
        <f t="shared" si="11"/>
        <v/>
      </c>
      <c r="P46" s="467" t="str">
        <f t="shared" si="9"/>
        <v/>
      </c>
      <c r="Q46" s="268" t="str">
        <f t="shared" si="12"/>
        <v/>
      </c>
      <c r="R46" s="269"/>
      <c r="S46" s="270" t="str">
        <f t="shared" si="10"/>
        <v/>
      </c>
      <c r="T46" s="271" t="str">
        <f t="shared" si="13"/>
        <v/>
      </c>
    </row>
    <row r="47" spans="1:20" x14ac:dyDescent="0.3">
      <c r="A47" s="255">
        <v>14</v>
      </c>
      <c r="B47" s="272"/>
      <c r="C47" s="273">
        <f t="shared" si="0"/>
        <v>4</v>
      </c>
      <c r="D47" s="372"/>
      <c r="E47" s="274"/>
      <c r="F47" s="273" t="str">
        <f t="shared" si="1"/>
        <v/>
      </c>
      <c r="G47" s="275" t="str">
        <f t="shared" si="1"/>
        <v/>
      </c>
      <c r="H47" s="276" t="str">
        <f t="shared" si="2"/>
        <v/>
      </c>
      <c r="I47" s="277" t="str">
        <f t="shared" si="3"/>
        <v/>
      </c>
      <c r="J47" s="276" t="str">
        <f t="shared" si="4"/>
        <v/>
      </c>
      <c r="K47" s="276">
        <f t="shared" si="5"/>
        <v>0</v>
      </c>
      <c r="L47" s="278"/>
      <c r="M47" s="279">
        <f t="shared" si="6"/>
        <v>1</v>
      </c>
      <c r="N47" s="360" t="str">
        <f t="shared" si="7"/>
        <v/>
      </c>
      <c r="O47" s="117" t="str">
        <f t="shared" si="11"/>
        <v/>
      </c>
      <c r="P47" s="359" t="str">
        <f t="shared" si="9"/>
        <v/>
      </c>
      <c r="Q47" s="280" t="str">
        <f t="shared" si="12"/>
        <v/>
      </c>
      <c r="R47" s="281"/>
      <c r="S47" s="282" t="str">
        <f t="shared" si="10"/>
        <v/>
      </c>
      <c r="T47" s="283" t="str">
        <f t="shared" si="13"/>
        <v/>
      </c>
    </row>
    <row r="48" spans="1:20" x14ac:dyDescent="0.3">
      <c r="A48" s="255">
        <v>15</v>
      </c>
      <c r="B48" s="284"/>
      <c r="C48" s="285">
        <f t="shared" si="0"/>
        <v>4</v>
      </c>
      <c r="D48" s="373"/>
      <c r="E48" s="286"/>
      <c r="F48" s="285" t="str">
        <f t="shared" si="1"/>
        <v/>
      </c>
      <c r="G48" s="287" t="str">
        <f t="shared" si="1"/>
        <v/>
      </c>
      <c r="H48" s="288" t="str">
        <f t="shared" si="2"/>
        <v/>
      </c>
      <c r="I48" s="289" t="str">
        <f t="shared" si="3"/>
        <v/>
      </c>
      <c r="J48" s="288" t="str">
        <f t="shared" si="4"/>
        <v/>
      </c>
      <c r="K48" s="288">
        <f t="shared" si="5"/>
        <v>0</v>
      </c>
      <c r="L48" s="290"/>
      <c r="M48" s="291">
        <f t="shared" si="6"/>
        <v>1</v>
      </c>
      <c r="N48" s="466" t="str">
        <f t="shared" si="7"/>
        <v/>
      </c>
      <c r="O48" s="302" t="str">
        <f t="shared" si="11"/>
        <v/>
      </c>
      <c r="P48" s="468" t="str">
        <f t="shared" si="9"/>
        <v/>
      </c>
      <c r="Q48" s="292" t="str">
        <f t="shared" si="12"/>
        <v/>
      </c>
      <c r="R48" s="293"/>
      <c r="S48" s="294" t="str">
        <f t="shared" si="10"/>
        <v/>
      </c>
      <c r="T48" s="295" t="str">
        <f t="shared" si="13"/>
        <v/>
      </c>
    </row>
    <row r="49" spans="1:20" x14ac:dyDescent="0.3">
      <c r="A49" s="255">
        <v>16</v>
      </c>
      <c r="B49" s="260"/>
      <c r="C49" s="261">
        <f t="shared" si="0"/>
        <v>4</v>
      </c>
      <c r="D49" s="371"/>
      <c r="E49" s="262"/>
      <c r="F49" s="261" t="str">
        <f t="shared" si="1"/>
        <v/>
      </c>
      <c r="G49" s="263" t="str">
        <f t="shared" si="1"/>
        <v/>
      </c>
      <c r="H49" s="264" t="str">
        <f t="shared" si="2"/>
        <v/>
      </c>
      <c r="I49" s="265" t="str">
        <f t="shared" si="3"/>
        <v/>
      </c>
      <c r="J49" s="264" t="str">
        <f t="shared" si="4"/>
        <v/>
      </c>
      <c r="K49" s="264">
        <f t="shared" si="5"/>
        <v>0</v>
      </c>
      <c r="L49" s="266"/>
      <c r="M49" s="267">
        <f t="shared" si="6"/>
        <v>1</v>
      </c>
      <c r="N49" s="465" t="str">
        <f t="shared" si="7"/>
        <v/>
      </c>
      <c r="O49" s="297" t="str">
        <f t="shared" si="11"/>
        <v/>
      </c>
      <c r="P49" s="467" t="str">
        <f t="shared" si="9"/>
        <v/>
      </c>
      <c r="Q49" s="268" t="str">
        <f t="shared" si="12"/>
        <v/>
      </c>
      <c r="R49" s="269"/>
      <c r="S49" s="270" t="str">
        <f t="shared" si="10"/>
        <v/>
      </c>
      <c r="T49" s="271" t="str">
        <f t="shared" si="13"/>
        <v/>
      </c>
    </row>
    <row r="50" spans="1:20" x14ac:dyDescent="0.3">
      <c r="A50" s="255">
        <v>17</v>
      </c>
      <c r="B50" s="272"/>
      <c r="C50" s="273">
        <f t="shared" si="0"/>
        <v>4</v>
      </c>
      <c r="D50" s="372"/>
      <c r="E50" s="274"/>
      <c r="F50" s="273" t="str">
        <f t="shared" si="1"/>
        <v/>
      </c>
      <c r="G50" s="275" t="str">
        <f t="shared" si="1"/>
        <v/>
      </c>
      <c r="H50" s="276" t="str">
        <f t="shared" si="2"/>
        <v/>
      </c>
      <c r="I50" s="277" t="str">
        <f t="shared" si="3"/>
        <v/>
      </c>
      <c r="J50" s="276" t="str">
        <f t="shared" si="4"/>
        <v/>
      </c>
      <c r="K50" s="276">
        <f t="shared" si="5"/>
        <v>0</v>
      </c>
      <c r="L50" s="278"/>
      <c r="M50" s="279">
        <f t="shared" si="6"/>
        <v>1</v>
      </c>
      <c r="N50" s="360" t="str">
        <f t="shared" si="7"/>
        <v/>
      </c>
      <c r="O50" s="117" t="str">
        <f t="shared" si="11"/>
        <v/>
      </c>
      <c r="P50" s="359" t="str">
        <f t="shared" si="9"/>
        <v/>
      </c>
      <c r="Q50" s="280" t="str">
        <f t="shared" si="12"/>
        <v/>
      </c>
      <c r="R50" s="281"/>
      <c r="S50" s="282" t="str">
        <f t="shared" si="10"/>
        <v/>
      </c>
      <c r="T50" s="283" t="str">
        <f t="shared" si="13"/>
        <v/>
      </c>
    </row>
    <row r="51" spans="1:20" x14ac:dyDescent="0.3">
      <c r="A51" s="255">
        <v>18</v>
      </c>
      <c r="B51" s="284"/>
      <c r="C51" s="285">
        <f t="shared" si="0"/>
        <v>4</v>
      </c>
      <c r="D51" s="373"/>
      <c r="E51" s="286"/>
      <c r="F51" s="285" t="str">
        <f t="shared" si="1"/>
        <v/>
      </c>
      <c r="G51" s="287" t="str">
        <f t="shared" si="1"/>
        <v/>
      </c>
      <c r="H51" s="288" t="str">
        <f t="shared" si="2"/>
        <v/>
      </c>
      <c r="I51" s="289" t="str">
        <f t="shared" si="3"/>
        <v/>
      </c>
      <c r="J51" s="288" t="str">
        <f t="shared" si="4"/>
        <v/>
      </c>
      <c r="K51" s="288">
        <f t="shared" si="5"/>
        <v>0</v>
      </c>
      <c r="L51" s="290"/>
      <c r="M51" s="291">
        <f t="shared" si="6"/>
        <v>1</v>
      </c>
      <c r="N51" s="466" t="str">
        <f t="shared" si="7"/>
        <v/>
      </c>
      <c r="O51" s="302" t="str">
        <f t="shared" si="11"/>
        <v/>
      </c>
      <c r="P51" s="468" t="str">
        <f t="shared" si="9"/>
        <v/>
      </c>
      <c r="Q51" s="292" t="str">
        <f t="shared" si="12"/>
        <v/>
      </c>
      <c r="R51" s="293"/>
      <c r="S51" s="294" t="str">
        <f t="shared" si="10"/>
        <v/>
      </c>
      <c r="T51" s="295" t="str">
        <f t="shared" si="13"/>
        <v/>
      </c>
    </row>
    <row r="52" spans="1:20" x14ac:dyDescent="0.3">
      <c r="A52" s="255">
        <v>19</v>
      </c>
      <c r="B52" s="260"/>
      <c r="C52" s="261">
        <f t="shared" si="0"/>
        <v>4</v>
      </c>
      <c r="D52" s="371"/>
      <c r="E52" s="262"/>
      <c r="F52" s="261" t="str">
        <f t="shared" si="1"/>
        <v/>
      </c>
      <c r="G52" s="263" t="str">
        <f t="shared" si="1"/>
        <v/>
      </c>
      <c r="H52" s="264" t="str">
        <f t="shared" si="2"/>
        <v/>
      </c>
      <c r="I52" s="265" t="str">
        <f t="shared" si="3"/>
        <v/>
      </c>
      <c r="J52" s="264" t="str">
        <f t="shared" si="4"/>
        <v/>
      </c>
      <c r="K52" s="264">
        <f t="shared" si="5"/>
        <v>0</v>
      </c>
      <c r="L52" s="266"/>
      <c r="M52" s="267">
        <f t="shared" si="6"/>
        <v>1</v>
      </c>
      <c r="N52" s="465" t="str">
        <f t="shared" si="7"/>
        <v/>
      </c>
      <c r="O52" s="297" t="str">
        <f t="shared" si="11"/>
        <v/>
      </c>
      <c r="P52" s="467" t="str">
        <f t="shared" si="9"/>
        <v/>
      </c>
      <c r="Q52" s="268" t="str">
        <f t="shared" si="12"/>
        <v/>
      </c>
      <c r="R52" s="269"/>
      <c r="S52" s="270" t="str">
        <f t="shared" si="10"/>
        <v/>
      </c>
      <c r="T52" s="271" t="str">
        <f t="shared" si="13"/>
        <v/>
      </c>
    </row>
    <row r="53" spans="1:20" x14ac:dyDescent="0.3">
      <c r="A53" s="255">
        <v>20</v>
      </c>
      <c r="B53" s="272"/>
      <c r="C53" s="273">
        <f t="shared" si="0"/>
        <v>4</v>
      </c>
      <c r="D53" s="372"/>
      <c r="E53" s="274"/>
      <c r="F53" s="273" t="str">
        <f t="shared" si="1"/>
        <v/>
      </c>
      <c r="G53" s="275" t="str">
        <f t="shared" si="1"/>
        <v/>
      </c>
      <c r="H53" s="276" t="str">
        <f t="shared" si="2"/>
        <v/>
      </c>
      <c r="I53" s="277" t="str">
        <f t="shared" si="3"/>
        <v/>
      </c>
      <c r="J53" s="276" t="str">
        <f t="shared" si="4"/>
        <v/>
      </c>
      <c r="K53" s="276">
        <f t="shared" si="5"/>
        <v>0</v>
      </c>
      <c r="L53" s="278"/>
      <c r="M53" s="279">
        <f t="shared" si="6"/>
        <v>1</v>
      </c>
      <c r="N53" s="360" t="str">
        <f t="shared" si="7"/>
        <v/>
      </c>
      <c r="O53" s="117" t="str">
        <f t="shared" si="11"/>
        <v/>
      </c>
      <c r="P53" s="359" t="str">
        <f t="shared" si="9"/>
        <v/>
      </c>
      <c r="Q53" s="280" t="str">
        <f t="shared" si="12"/>
        <v/>
      </c>
      <c r="R53" s="281"/>
      <c r="S53" s="282" t="str">
        <f t="shared" si="10"/>
        <v/>
      </c>
      <c r="T53" s="283" t="str">
        <f t="shared" si="13"/>
        <v/>
      </c>
    </row>
    <row r="54" spans="1:20" x14ac:dyDescent="0.3">
      <c r="A54" s="255">
        <v>21</v>
      </c>
      <c r="B54" s="284"/>
      <c r="C54" s="285">
        <f t="shared" si="0"/>
        <v>4</v>
      </c>
      <c r="D54" s="373"/>
      <c r="E54" s="286"/>
      <c r="F54" s="285" t="str">
        <f t="shared" ref="F54:G73" si="14">IFERROR(VLOOKUP($E54,DMFA,F$29,FALSE),"")</f>
        <v/>
      </c>
      <c r="G54" s="287" t="str">
        <f t="shared" si="14"/>
        <v/>
      </c>
      <c r="H54" s="288" t="str">
        <f t="shared" si="2"/>
        <v/>
      </c>
      <c r="I54" s="289" t="str">
        <f t="shared" si="3"/>
        <v/>
      </c>
      <c r="J54" s="288" t="str">
        <f t="shared" si="4"/>
        <v/>
      </c>
      <c r="K54" s="288">
        <f t="shared" si="5"/>
        <v>0</v>
      </c>
      <c r="L54" s="290"/>
      <c r="M54" s="291">
        <f t="shared" si="6"/>
        <v>1</v>
      </c>
      <c r="N54" s="466" t="str">
        <f t="shared" si="7"/>
        <v/>
      </c>
      <c r="O54" s="302" t="str">
        <f t="shared" si="11"/>
        <v/>
      </c>
      <c r="P54" s="468" t="str">
        <f t="shared" si="9"/>
        <v/>
      </c>
      <c r="Q54" s="292" t="str">
        <f t="shared" si="12"/>
        <v/>
      </c>
      <c r="R54" s="293"/>
      <c r="S54" s="294" t="str">
        <f t="shared" si="10"/>
        <v/>
      </c>
      <c r="T54" s="295" t="str">
        <f t="shared" si="13"/>
        <v/>
      </c>
    </row>
    <row r="55" spans="1:20" x14ac:dyDescent="0.3">
      <c r="A55" s="255">
        <v>22</v>
      </c>
      <c r="B55" s="260"/>
      <c r="C55" s="261">
        <f t="shared" si="0"/>
        <v>4</v>
      </c>
      <c r="D55" s="371"/>
      <c r="E55" s="262"/>
      <c r="F55" s="261" t="str">
        <f t="shared" si="14"/>
        <v/>
      </c>
      <c r="G55" s="263" t="str">
        <f t="shared" si="14"/>
        <v/>
      </c>
      <c r="H55" s="264" t="str">
        <f t="shared" si="2"/>
        <v/>
      </c>
      <c r="I55" s="265" t="str">
        <f t="shared" si="3"/>
        <v/>
      </c>
      <c r="J55" s="264" t="str">
        <f t="shared" si="4"/>
        <v/>
      </c>
      <c r="K55" s="264">
        <f t="shared" si="5"/>
        <v>0</v>
      </c>
      <c r="L55" s="266"/>
      <c r="M55" s="267">
        <f t="shared" si="6"/>
        <v>1</v>
      </c>
      <c r="N55" s="465" t="str">
        <f t="shared" si="7"/>
        <v/>
      </c>
      <c r="O55" s="297" t="str">
        <f t="shared" si="11"/>
        <v/>
      </c>
      <c r="P55" s="467" t="str">
        <f t="shared" si="9"/>
        <v/>
      </c>
      <c r="Q55" s="268" t="str">
        <f t="shared" si="12"/>
        <v/>
      </c>
      <c r="R55" s="269"/>
      <c r="S55" s="270" t="str">
        <f t="shared" si="10"/>
        <v/>
      </c>
      <c r="T55" s="271" t="str">
        <f t="shared" si="13"/>
        <v/>
      </c>
    </row>
    <row r="56" spans="1:20" ht="13.8" customHeight="1" x14ac:dyDescent="0.3">
      <c r="A56" s="255">
        <v>23</v>
      </c>
      <c r="B56" s="272"/>
      <c r="C56" s="273">
        <f t="shared" si="0"/>
        <v>4</v>
      </c>
      <c r="D56" s="372"/>
      <c r="E56" s="274"/>
      <c r="F56" s="273" t="str">
        <f t="shared" si="14"/>
        <v/>
      </c>
      <c r="G56" s="275" t="str">
        <f t="shared" si="14"/>
        <v/>
      </c>
      <c r="H56" s="276" t="str">
        <f t="shared" si="2"/>
        <v/>
      </c>
      <c r="I56" s="277" t="str">
        <f t="shared" si="3"/>
        <v/>
      </c>
      <c r="J56" s="276" t="str">
        <f t="shared" si="4"/>
        <v/>
      </c>
      <c r="K56" s="276">
        <f t="shared" si="5"/>
        <v>0</v>
      </c>
      <c r="L56" s="278"/>
      <c r="M56" s="279">
        <f t="shared" si="6"/>
        <v>1</v>
      </c>
      <c r="N56" s="360" t="str">
        <f t="shared" si="7"/>
        <v/>
      </c>
      <c r="O56" s="117" t="str">
        <f t="shared" si="11"/>
        <v/>
      </c>
      <c r="P56" s="359" t="str">
        <f t="shared" si="9"/>
        <v/>
      </c>
      <c r="Q56" s="280" t="str">
        <f t="shared" si="12"/>
        <v/>
      </c>
      <c r="R56" s="281"/>
      <c r="S56" s="282" t="str">
        <f t="shared" si="10"/>
        <v/>
      </c>
      <c r="T56" s="283" t="str">
        <f t="shared" si="13"/>
        <v/>
      </c>
    </row>
    <row r="57" spans="1:20" ht="13.8" customHeight="1" x14ac:dyDescent="0.3">
      <c r="A57" s="255">
        <v>24</v>
      </c>
      <c r="B57" s="284"/>
      <c r="C57" s="285">
        <f t="shared" si="0"/>
        <v>4</v>
      </c>
      <c r="D57" s="373"/>
      <c r="E57" s="286"/>
      <c r="F57" s="285" t="str">
        <f t="shared" si="14"/>
        <v/>
      </c>
      <c r="G57" s="287" t="str">
        <f t="shared" si="14"/>
        <v/>
      </c>
      <c r="H57" s="288" t="str">
        <f t="shared" si="2"/>
        <v/>
      </c>
      <c r="I57" s="289" t="str">
        <f t="shared" si="3"/>
        <v/>
      </c>
      <c r="J57" s="288" t="str">
        <f t="shared" si="4"/>
        <v/>
      </c>
      <c r="K57" s="288">
        <f t="shared" si="5"/>
        <v>0</v>
      </c>
      <c r="L57" s="290"/>
      <c r="M57" s="291">
        <f t="shared" si="6"/>
        <v>1</v>
      </c>
      <c r="N57" s="466" t="str">
        <f t="shared" si="7"/>
        <v/>
      </c>
      <c r="O57" s="302" t="str">
        <f t="shared" si="11"/>
        <v/>
      </c>
      <c r="P57" s="468" t="str">
        <f t="shared" si="9"/>
        <v/>
      </c>
      <c r="Q57" s="292" t="str">
        <f t="shared" si="12"/>
        <v/>
      </c>
      <c r="R57" s="293"/>
      <c r="S57" s="294" t="str">
        <f t="shared" si="10"/>
        <v/>
      </c>
      <c r="T57" s="295" t="str">
        <f t="shared" si="13"/>
        <v/>
      </c>
    </row>
    <row r="58" spans="1:20" x14ac:dyDescent="0.3">
      <c r="A58" s="255">
        <v>25</v>
      </c>
      <c r="B58" s="260"/>
      <c r="C58" s="261">
        <f t="shared" si="0"/>
        <v>4</v>
      </c>
      <c r="D58" s="371"/>
      <c r="E58" s="262"/>
      <c r="F58" s="261" t="str">
        <f t="shared" si="14"/>
        <v/>
      </c>
      <c r="G58" s="263" t="str">
        <f t="shared" si="14"/>
        <v/>
      </c>
      <c r="H58" s="264" t="str">
        <f t="shared" si="2"/>
        <v/>
      </c>
      <c r="I58" s="265" t="str">
        <f t="shared" si="3"/>
        <v/>
      </c>
      <c r="J58" s="264" t="str">
        <f t="shared" si="4"/>
        <v/>
      </c>
      <c r="K58" s="264">
        <f t="shared" si="5"/>
        <v>0</v>
      </c>
      <c r="L58" s="266"/>
      <c r="M58" s="267">
        <f t="shared" si="6"/>
        <v>1</v>
      </c>
      <c r="N58" s="465" t="str">
        <f t="shared" si="7"/>
        <v/>
      </c>
      <c r="O58" s="297" t="str">
        <f t="shared" si="11"/>
        <v/>
      </c>
      <c r="P58" s="467" t="str">
        <f t="shared" si="9"/>
        <v/>
      </c>
      <c r="Q58" s="268" t="str">
        <f t="shared" si="12"/>
        <v/>
      </c>
      <c r="R58" s="269"/>
      <c r="S58" s="270" t="str">
        <f t="shared" si="10"/>
        <v/>
      </c>
      <c r="T58" s="271" t="str">
        <f t="shared" si="13"/>
        <v/>
      </c>
    </row>
    <row r="59" spans="1:20" x14ac:dyDescent="0.3">
      <c r="A59" s="255">
        <v>26</v>
      </c>
      <c r="B59" s="272"/>
      <c r="C59" s="273">
        <f t="shared" si="0"/>
        <v>4</v>
      </c>
      <c r="D59" s="372"/>
      <c r="E59" s="274"/>
      <c r="F59" s="273" t="str">
        <f t="shared" si="14"/>
        <v/>
      </c>
      <c r="G59" s="275" t="str">
        <f t="shared" si="14"/>
        <v/>
      </c>
      <c r="H59" s="276" t="str">
        <f t="shared" si="2"/>
        <v/>
      </c>
      <c r="I59" s="277" t="str">
        <f t="shared" si="3"/>
        <v/>
      </c>
      <c r="J59" s="276" t="str">
        <f t="shared" si="4"/>
        <v/>
      </c>
      <c r="K59" s="276">
        <f t="shared" si="5"/>
        <v>0</v>
      </c>
      <c r="L59" s="278"/>
      <c r="M59" s="279">
        <f t="shared" si="6"/>
        <v>1</v>
      </c>
      <c r="N59" s="360" t="str">
        <f t="shared" si="7"/>
        <v/>
      </c>
      <c r="O59" s="117" t="str">
        <f t="shared" si="11"/>
        <v/>
      </c>
      <c r="P59" s="359" t="str">
        <f t="shared" si="9"/>
        <v/>
      </c>
      <c r="Q59" s="280" t="str">
        <f t="shared" si="12"/>
        <v/>
      </c>
      <c r="R59" s="281"/>
      <c r="S59" s="282" t="str">
        <f t="shared" si="10"/>
        <v/>
      </c>
      <c r="T59" s="283" t="str">
        <f t="shared" si="13"/>
        <v/>
      </c>
    </row>
    <row r="60" spans="1:20" x14ac:dyDescent="0.3">
      <c r="A60" s="255">
        <v>27</v>
      </c>
      <c r="B60" s="284"/>
      <c r="C60" s="285">
        <f t="shared" si="0"/>
        <v>4</v>
      </c>
      <c r="D60" s="373"/>
      <c r="E60" s="286"/>
      <c r="F60" s="285" t="str">
        <f t="shared" si="14"/>
        <v/>
      </c>
      <c r="G60" s="287" t="str">
        <f t="shared" si="14"/>
        <v/>
      </c>
      <c r="H60" s="288" t="str">
        <f t="shared" si="2"/>
        <v/>
      </c>
      <c r="I60" s="289" t="str">
        <f t="shared" si="3"/>
        <v/>
      </c>
      <c r="J60" s="288" t="str">
        <f t="shared" si="4"/>
        <v/>
      </c>
      <c r="K60" s="288">
        <f t="shared" si="5"/>
        <v>0</v>
      </c>
      <c r="L60" s="290"/>
      <c r="M60" s="291">
        <f t="shared" si="6"/>
        <v>1</v>
      </c>
      <c r="N60" s="466" t="str">
        <f t="shared" si="7"/>
        <v/>
      </c>
      <c r="O60" s="302" t="str">
        <f t="shared" si="11"/>
        <v/>
      </c>
      <c r="P60" s="468" t="str">
        <f t="shared" si="9"/>
        <v/>
      </c>
      <c r="Q60" s="292" t="str">
        <f t="shared" si="12"/>
        <v/>
      </c>
      <c r="R60" s="293"/>
      <c r="S60" s="294" t="str">
        <f t="shared" si="10"/>
        <v/>
      </c>
      <c r="T60" s="295" t="str">
        <f t="shared" si="13"/>
        <v/>
      </c>
    </row>
    <row r="61" spans="1:20" x14ac:dyDescent="0.3">
      <c r="A61" s="255">
        <v>28</v>
      </c>
      <c r="B61" s="260"/>
      <c r="C61" s="261">
        <f t="shared" si="0"/>
        <v>4</v>
      </c>
      <c r="D61" s="371"/>
      <c r="E61" s="262"/>
      <c r="F61" s="261" t="str">
        <f t="shared" si="14"/>
        <v/>
      </c>
      <c r="G61" s="263" t="str">
        <f t="shared" si="14"/>
        <v/>
      </c>
      <c r="H61" s="264" t="str">
        <f t="shared" si="2"/>
        <v/>
      </c>
      <c r="I61" s="265" t="str">
        <f t="shared" si="3"/>
        <v/>
      </c>
      <c r="J61" s="264" t="str">
        <f t="shared" si="4"/>
        <v/>
      </c>
      <c r="K61" s="264">
        <f t="shared" si="5"/>
        <v>0</v>
      </c>
      <c r="L61" s="266"/>
      <c r="M61" s="267">
        <f t="shared" si="6"/>
        <v>1</v>
      </c>
      <c r="N61" s="465" t="str">
        <f t="shared" si="7"/>
        <v/>
      </c>
      <c r="O61" s="297" t="str">
        <f t="shared" si="11"/>
        <v/>
      </c>
      <c r="P61" s="467" t="str">
        <f t="shared" si="9"/>
        <v/>
      </c>
      <c r="Q61" s="268" t="str">
        <f t="shared" si="12"/>
        <v/>
      </c>
      <c r="R61" s="269"/>
      <c r="S61" s="270" t="str">
        <f t="shared" si="10"/>
        <v/>
      </c>
      <c r="T61" s="271" t="str">
        <f t="shared" si="13"/>
        <v/>
      </c>
    </row>
    <row r="62" spans="1:20" x14ac:dyDescent="0.3">
      <c r="A62" s="255">
        <v>29</v>
      </c>
      <c r="B62" s="272"/>
      <c r="C62" s="273">
        <f t="shared" si="0"/>
        <v>4</v>
      </c>
      <c r="D62" s="372"/>
      <c r="E62" s="274"/>
      <c r="F62" s="273" t="str">
        <f t="shared" si="14"/>
        <v/>
      </c>
      <c r="G62" s="275" t="str">
        <f t="shared" si="14"/>
        <v/>
      </c>
      <c r="H62" s="276" t="str">
        <f t="shared" si="2"/>
        <v/>
      </c>
      <c r="I62" s="277" t="str">
        <f t="shared" si="3"/>
        <v/>
      </c>
      <c r="J62" s="276" t="str">
        <f t="shared" si="4"/>
        <v/>
      </c>
      <c r="K62" s="276">
        <f t="shared" si="5"/>
        <v>0</v>
      </c>
      <c r="L62" s="278"/>
      <c r="M62" s="279">
        <f t="shared" si="6"/>
        <v>1</v>
      </c>
      <c r="N62" s="360" t="str">
        <f t="shared" si="7"/>
        <v/>
      </c>
      <c r="O62" s="117" t="str">
        <f t="shared" si="11"/>
        <v/>
      </c>
      <c r="P62" s="359" t="str">
        <f t="shared" si="9"/>
        <v/>
      </c>
      <c r="Q62" s="280" t="str">
        <f t="shared" si="12"/>
        <v/>
      </c>
      <c r="R62" s="281"/>
      <c r="S62" s="282" t="str">
        <f t="shared" si="10"/>
        <v/>
      </c>
      <c r="T62" s="283" t="str">
        <f t="shared" si="13"/>
        <v/>
      </c>
    </row>
    <row r="63" spans="1:20" x14ac:dyDescent="0.3">
      <c r="A63" s="255">
        <v>30</v>
      </c>
      <c r="B63" s="284"/>
      <c r="C63" s="285">
        <f t="shared" si="0"/>
        <v>4</v>
      </c>
      <c r="D63" s="373"/>
      <c r="E63" s="286"/>
      <c r="F63" s="285" t="str">
        <f t="shared" si="14"/>
        <v/>
      </c>
      <c r="G63" s="287" t="str">
        <f t="shared" si="14"/>
        <v/>
      </c>
      <c r="H63" s="288" t="str">
        <f t="shared" si="2"/>
        <v/>
      </c>
      <c r="I63" s="289" t="str">
        <f t="shared" si="3"/>
        <v/>
      </c>
      <c r="J63" s="288" t="str">
        <f t="shared" si="4"/>
        <v/>
      </c>
      <c r="K63" s="288">
        <f t="shared" si="5"/>
        <v>0</v>
      </c>
      <c r="L63" s="290"/>
      <c r="M63" s="291">
        <f t="shared" si="6"/>
        <v>1</v>
      </c>
      <c r="N63" s="466" t="str">
        <f t="shared" si="7"/>
        <v/>
      </c>
      <c r="O63" s="302" t="str">
        <f t="shared" si="11"/>
        <v/>
      </c>
      <c r="P63" s="468" t="str">
        <f t="shared" si="9"/>
        <v/>
      </c>
      <c r="Q63" s="292" t="str">
        <f t="shared" si="12"/>
        <v/>
      </c>
      <c r="R63" s="293"/>
      <c r="S63" s="294" t="str">
        <f t="shared" si="10"/>
        <v/>
      </c>
      <c r="T63" s="295" t="str">
        <f t="shared" si="13"/>
        <v/>
      </c>
    </row>
    <row r="64" spans="1:20" x14ac:dyDescent="0.3">
      <c r="A64" s="255">
        <v>31</v>
      </c>
      <c r="B64" s="260"/>
      <c r="C64" s="261">
        <f t="shared" si="0"/>
        <v>4</v>
      </c>
      <c r="D64" s="371"/>
      <c r="E64" s="262"/>
      <c r="F64" s="261" t="str">
        <f t="shared" si="14"/>
        <v/>
      </c>
      <c r="G64" s="263" t="str">
        <f t="shared" si="14"/>
        <v/>
      </c>
      <c r="H64" s="264" t="str">
        <f t="shared" si="2"/>
        <v/>
      </c>
      <c r="I64" s="265" t="str">
        <f t="shared" si="3"/>
        <v/>
      </c>
      <c r="J64" s="264" t="str">
        <f t="shared" si="4"/>
        <v/>
      </c>
      <c r="K64" s="264">
        <f t="shared" si="5"/>
        <v>0</v>
      </c>
      <c r="L64" s="266"/>
      <c r="M64" s="267">
        <f t="shared" si="6"/>
        <v>1</v>
      </c>
      <c r="N64" s="465" t="str">
        <f t="shared" si="7"/>
        <v/>
      </c>
      <c r="O64" s="297" t="str">
        <f t="shared" si="11"/>
        <v/>
      </c>
      <c r="P64" s="467" t="str">
        <f t="shared" si="9"/>
        <v/>
      </c>
      <c r="Q64" s="268" t="str">
        <f t="shared" si="12"/>
        <v/>
      </c>
      <c r="R64" s="269"/>
      <c r="S64" s="270" t="str">
        <f t="shared" si="10"/>
        <v/>
      </c>
      <c r="T64" s="271" t="str">
        <f t="shared" si="13"/>
        <v/>
      </c>
    </row>
    <row r="65" spans="1:20" x14ac:dyDescent="0.3">
      <c r="A65" s="255">
        <v>32</v>
      </c>
      <c r="B65" s="272"/>
      <c r="C65" s="273">
        <f t="shared" si="0"/>
        <v>4</v>
      </c>
      <c r="D65" s="372"/>
      <c r="E65" s="274"/>
      <c r="F65" s="273" t="str">
        <f t="shared" si="14"/>
        <v/>
      </c>
      <c r="G65" s="275" t="str">
        <f t="shared" si="14"/>
        <v/>
      </c>
      <c r="H65" s="276" t="str">
        <f t="shared" si="2"/>
        <v/>
      </c>
      <c r="I65" s="277" t="str">
        <f t="shared" si="3"/>
        <v/>
      </c>
      <c r="J65" s="276" t="str">
        <f t="shared" si="4"/>
        <v/>
      </c>
      <c r="K65" s="276">
        <f t="shared" si="5"/>
        <v>0</v>
      </c>
      <c r="L65" s="278"/>
      <c r="M65" s="279">
        <f t="shared" si="6"/>
        <v>1</v>
      </c>
      <c r="N65" s="360" t="str">
        <f t="shared" si="7"/>
        <v/>
      </c>
      <c r="O65" s="117" t="str">
        <f t="shared" si="11"/>
        <v/>
      </c>
      <c r="P65" s="359" t="str">
        <f t="shared" si="9"/>
        <v/>
      </c>
      <c r="Q65" s="280" t="str">
        <f t="shared" si="12"/>
        <v/>
      </c>
      <c r="R65" s="281"/>
      <c r="S65" s="282" t="str">
        <f t="shared" si="10"/>
        <v/>
      </c>
      <c r="T65" s="283" t="str">
        <f t="shared" si="13"/>
        <v/>
      </c>
    </row>
    <row r="66" spans="1:20" x14ac:dyDescent="0.3">
      <c r="A66" s="255">
        <v>33</v>
      </c>
      <c r="B66" s="284"/>
      <c r="C66" s="285">
        <f t="shared" ref="C66:C97" si="15">IF(B66="DI",1,IF(B66="RI",2,IF(B66="FT",3,4)))</f>
        <v>4</v>
      </c>
      <c r="D66" s="373"/>
      <c r="E66" s="286"/>
      <c r="F66" s="285" t="str">
        <f t="shared" si="14"/>
        <v/>
      </c>
      <c r="G66" s="287" t="str">
        <f t="shared" si="14"/>
        <v/>
      </c>
      <c r="H66" s="288" t="str">
        <f t="shared" ref="H66:H97" si="16">IF(COUNTIF($E$34:$E$183,E66)=0,"",COUNTIF($E$34:$E$183,E66))</f>
        <v/>
      </c>
      <c r="I66" s="289" t="str">
        <f t="shared" si="3"/>
        <v/>
      </c>
      <c r="J66" s="288" t="str">
        <f t="shared" ref="J66:J97" si="17">IF(I66="","",TEXT(I66/G66,"0.0 %"))</f>
        <v/>
      </c>
      <c r="K66" s="288">
        <f t="shared" ref="K66:K97" si="18">IF(C66=1,$J$16,IF(C66=2,$J$17,IF(C66=3,$J$18,0)))</f>
        <v>0</v>
      </c>
      <c r="L66" s="290"/>
      <c r="M66" s="291">
        <f t="shared" si="6"/>
        <v>1</v>
      </c>
      <c r="N66" s="466" t="str">
        <f t="shared" ref="N66:N97" si="19">IFERROR(MAX(_xlfn.CEILING.MATH(SQRT(I66/(M66*INDEX($D$16:$D$18,C66)))*12,INDEX($J$16:$J$18,C66)),INDEX($L$16:$L$18,C66)),"")</f>
        <v/>
      </c>
      <c r="O66" s="302" t="str">
        <f t="shared" si="11"/>
        <v/>
      </c>
      <c r="P66" s="468" t="str">
        <f t="shared" ref="P66:P97" si="20">IFERROR(MAX(_xlfn.CEILING.MATH(SQRT((I66*M66)/INDEX($D$16:$D$18,C66))*12,INDEX($J$16:$J$18,C66)),INDEX($L$16:$L$18,C66)),"")</f>
        <v/>
      </c>
      <c r="Q66" s="292" t="str">
        <f t="shared" si="12"/>
        <v/>
      </c>
      <c r="R66" s="293"/>
      <c r="S66" s="294" t="str">
        <f t="shared" ref="S66:S97" si="21">IF(C66=1,$S$15,IF(C66=2,IF(N66&gt;=P66,"FL","FS"),IF(C66=3,IF(OR(N66=12,P66=12),$S$16,IF(AND(N66=24,P66=24),$S$17,IF(OR(AND(N66=24,P66=48),AND(N66=48,P66=24)),$S$18,IF(I66="","","N/A")))),"")))</f>
        <v/>
      </c>
      <c r="T66" s="295" t="str">
        <f t="shared" si="13"/>
        <v/>
      </c>
    </row>
    <row r="67" spans="1:20" x14ac:dyDescent="0.3">
      <c r="A67" s="255">
        <v>34</v>
      </c>
      <c r="B67" s="260"/>
      <c r="C67" s="261">
        <f t="shared" si="15"/>
        <v>4</v>
      </c>
      <c r="D67" s="371"/>
      <c r="E67" s="262"/>
      <c r="F67" s="261" t="str">
        <f t="shared" si="14"/>
        <v/>
      </c>
      <c r="G67" s="263" t="str">
        <f t="shared" si="14"/>
        <v/>
      </c>
      <c r="H67" s="264" t="str">
        <f t="shared" si="16"/>
        <v/>
      </c>
      <c r="I67" s="265" t="str">
        <f t="shared" si="3"/>
        <v/>
      </c>
      <c r="J67" s="264" t="str">
        <f t="shared" si="17"/>
        <v/>
      </c>
      <c r="K67" s="264">
        <f t="shared" si="18"/>
        <v>0</v>
      </c>
      <c r="L67" s="266"/>
      <c r="M67" s="267">
        <f t="shared" si="6"/>
        <v>1</v>
      </c>
      <c r="N67" s="465" t="str">
        <f t="shared" si="19"/>
        <v/>
      </c>
      <c r="O67" s="297" t="str">
        <f t="shared" si="11"/>
        <v/>
      </c>
      <c r="P67" s="467" t="str">
        <f t="shared" si="20"/>
        <v/>
      </c>
      <c r="Q67" s="268" t="str">
        <f t="shared" si="12"/>
        <v/>
      </c>
      <c r="R67" s="269"/>
      <c r="S67" s="270" t="str">
        <f t="shared" si="21"/>
        <v/>
      </c>
      <c r="T67" s="271" t="str">
        <f t="shared" si="13"/>
        <v/>
      </c>
    </row>
    <row r="68" spans="1:20" x14ac:dyDescent="0.3">
      <c r="A68" s="255">
        <v>35</v>
      </c>
      <c r="B68" s="272"/>
      <c r="C68" s="273">
        <f t="shared" si="15"/>
        <v>4</v>
      </c>
      <c r="D68" s="372"/>
      <c r="E68" s="274"/>
      <c r="F68" s="273" t="str">
        <f t="shared" si="14"/>
        <v/>
      </c>
      <c r="G68" s="275" t="str">
        <f t="shared" si="14"/>
        <v/>
      </c>
      <c r="H68" s="276" t="str">
        <f t="shared" si="16"/>
        <v/>
      </c>
      <c r="I68" s="277" t="str">
        <f t="shared" si="3"/>
        <v/>
      </c>
      <c r="J68" s="276" t="str">
        <f t="shared" si="17"/>
        <v/>
      </c>
      <c r="K68" s="276">
        <f t="shared" si="18"/>
        <v>0</v>
      </c>
      <c r="L68" s="278"/>
      <c r="M68" s="279">
        <f t="shared" si="6"/>
        <v>1</v>
      </c>
      <c r="N68" s="360" t="str">
        <f t="shared" si="19"/>
        <v/>
      </c>
      <c r="O68" s="117" t="str">
        <f t="shared" si="11"/>
        <v/>
      </c>
      <c r="P68" s="359" t="str">
        <f t="shared" si="20"/>
        <v/>
      </c>
      <c r="Q68" s="280" t="str">
        <f t="shared" si="12"/>
        <v/>
      </c>
      <c r="R68" s="281"/>
      <c r="S68" s="282" t="str">
        <f t="shared" si="21"/>
        <v/>
      </c>
      <c r="T68" s="283" t="str">
        <f t="shared" si="13"/>
        <v/>
      </c>
    </row>
    <row r="69" spans="1:20" x14ac:dyDescent="0.3">
      <c r="A69" s="255">
        <v>36</v>
      </c>
      <c r="B69" s="284"/>
      <c r="C69" s="285">
        <f t="shared" si="15"/>
        <v>4</v>
      </c>
      <c r="D69" s="373"/>
      <c r="E69" s="286"/>
      <c r="F69" s="285" t="str">
        <f t="shared" si="14"/>
        <v/>
      </c>
      <c r="G69" s="287" t="str">
        <f t="shared" si="14"/>
        <v/>
      </c>
      <c r="H69" s="288" t="str">
        <f t="shared" si="16"/>
        <v/>
      </c>
      <c r="I69" s="289" t="str">
        <f t="shared" si="3"/>
        <v/>
      </c>
      <c r="J69" s="288" t="str">
        <f t="shared" si="17"/>
        <v/>
      </c>
      <c r="K69" s="288">
        <f t="shared" si="18"/>
        <v>0</v>
      </c>
      <c r="L69" s="290"/>
      <c r="M69" s="291">
        <f t="shared" si="6"/>
        <v>1</v>
      </c>
      <c r="N69" s="466" t="str">
        <f t="shared" si="19"/>
        <v/>
      </c>
      <c r="O69" s="302" t="str">
        <f t="shared" si="11"/>
        <v/>
      </c>
      <c r="P69" s="468" t="str">
        <f t="shared" si="20"/>
        <v/>
      </c>
      <c r="Q69" s="292" t="str">
        <f t="shared" si="12"/>
        <v/>
      </c>
      <c r="R69" s="293"/>
      <c r="S69" s="294" t="str">
        <f t="shared" si="21"/>
        <v/>
      </c>
      <c r="T69" s="295" t="str">
        <f t="shared" si="13"/>
        <v/>
      </c>
    </row>
    <row r="70" spans="1:20" x14ac:dyDescent="0.3">
      <c r="A70" s="255">
        <v>37</v>
      </c>
      <c r="B70" s="260"/>
      <c r="C70" s="261">
        <f t="shared" si="15"/>
        <v>4</v>
      </c>
      <c r="D70" s="371"/>
      <c r="E70" s="262"/>
      <c r="F70" s="261" t="str">
        <f t="shared" si="14"/>
        <v/>
      </c>
      <c r="G70" s="263" t="str">
        <f t="shared" si="14"/>
        <v/>
      </c>
      <c r="H70" s="264" t="str">
        <f t="shared" si="16"/>
        <v/>
      </c>
      <c r="I70" s="265" t="str">
        <f t="shared" si="3"/>
        <v/>
      </c>
      <c r="J70" s="264" t="str">
        <f t="shared" si="17"/>
        <v/>
      </c>
      <c r="K70" s="264">
        <f t="shared" si="18"/>
        <v>0</v>
      </c>
      <c r="L70" s="266"/>
      <c r="M70" s="267">
        <f t="shared" si="6"/>
        <v>1</v>
      </c>
      <c r="N70" s="465" t="str">
        <f t="shared" si="19"/>
        <v/>
      </c>
      <c r="O70" s="297" t="str">
        <f t="shared" si="11"/>
        <v/>
      </c>
      <c r="P70" s="467" t="str">
        <f t="shared" si="20"/>
        <v/>
      </c>
      <c r="Q70" s="268" t="str">
        <f t="shared" si="12"/>
        <v/>
      </c>
      <c r="R70" s="269"/>
      <c r="S70" s="270" t="str">
        <f t="shared" si="21"/>
        <v/>
      </c>
      <c r="T70" s="271" t="str">
        <f t="shared" si="13"/>
        <v/>
      </c>
    </row>
    <row r="71" spans="1:20" x14ac:dyDescent="0.3">
      <c r="A71" s="255">
        <v>38</v>
      </c>
      <c r="B71" s="272"/>
      <c r="C71" s="273">
        <f t="shared" si="15"/>
        <v>4</v>
      </c>
      <c r="D71" s="372"/>
      <c r="E71" s="274"/>
      <c r="F71" s="273" t="str">
        <f t="shared" si="14"/>
        <v/>
      </c>
      <c r="G71" s="275" t="str">
        <f t="shared" si="14"/>
        <v/>
      </c>
      <c r="H71" s="276" t="str">
        <f t="shared" si="16"/>
        <v/>
      </c>
      <c r="I71" s="277" t="str">
        <f t="shared" si="3"/>
        <v/>
      </c>
      <c r="J71" s="276" t="str">
        <f t="shared" si="17"/>
        <v/>
      </c>
      <c r="K71" s="276">
        <f t="shared" si="18"/>
        <v>0</v>
      </c>
      <c r="L71" s="278"/>
      <c r="M71" s="279">
        <f t="shared" si="6"/>
        <v>1</v>
      </c>
      <c r="N71" s="360" t="str">
        <f t="shared" si="19"/>
        <v/>
      </c>
      <c r="O71" s="117" t="str">
        <f t="shared" si="11"/>
        <v/>
      </c>
      <c r="P71" s="359" t="str">
        <f t="shared" si="20"/>
        <v/>
      </c>
      <c r="Q71" s="280" t="str">
        <f t="shared" si="12"/>
        <v/>
      </c>
      <c r="R71" s="281"/>
      <c r="S71" s="282" t="str">
        <f t="shared" si="21"/>
        <v/>
      </c>
      <c r="T71" s="283" t="str">
        <f t="shared" si="13"/>
        <v/>
      </c>
    </row>
    <row r="72" spans="1:20" x14ac:dyDescent="0.3">
      <c r="A72" s="255">
        <v>39</v>
      </c>
      <c r="B72" s="284"/>
      <c r="C72" s="285">
        <f t="shared" si="15"/>
        <v>4</v>
      </c>
      <c r="D72" s="373"/>
      <c r="E72" s="286"/>
      <c r="F72" s="285" t="str">
        <f t="shared" si="14"/>
        <v/>
      </c>
      <c r="G72" s="287" t="str">
        <f t="shared" si="14"/>
        <v/>
      </c>
      <c r="H72" s="288" t="str">
        <f t="shared" si="16"/>
        <v/>
      </c>
      <c r="I72" s="289" t="str">
        <f t="shared" si="3"/>
        <v/>
      </c>
      <c r="J72" s="288" t="str">
        <f t="shared" si="17"/>
        <v/>
      </c>
      <c r="K72" s="288">
        <f t="shared" si="18"/>
        <v>0</v>
      </c>
      <c r="L72" s="290"/>
      <c r="M72" s="291">
        <f t="shared" si="6"/>
        <v>1</v>
      </c>
      <c r="N72" s="466" t="str">
        <f t="shared" si="19"/>
        <v/>
      </c>
      <c r="O72" s="302" t="str">
        <f t="shared" si="11"/>
        <v/>
      </c>
      <c r="P72" s="468" t="str">
        <f t="shared" si="20"/>
        <v/>
      </c>
      <c r="Q72" s="292" t="str">
        <f t="shared" si="12"/>
        <v/>
      </c>
      <c r="R72" s="293"/>
      <c r="S72" s="294" t="str">
        <f t="shared" si="21"/>
        <v/>
      </c>
      <c r="T72" s="295" t="str">
        <f t="shared" si="13"/>
        <v/>
      </c>
    </row>
    <row r="73" spans="1:20" x14ac:dyDescent="0.3">
      <c r="A73" s="255">
        <v>40</v>
      </c>
      <c r="B73" s="260"/>
      <c r="C73" s="261">
        <f t="shared" si="15"/>
        <v>4</v>
      </c>
      <c r="D73" s="371"/>
      <c r="E73" s="262"/>
      <c r="F73" s="261" t="str">
        <f t="shared" si="14"/>
        <v/>
      </c>
      <c r="G73" s="263" t="str">
        <f t="shared" si="14"/>
        <v/>
      </c>
      <c r="H73" s="264" t="str">
        <f t="shared" si="16"/>
        <v/>
      </c>
      <c r="I73" s="265" t="str">
        <f t="shared" si="3"/>
        <v/>
      </c>
      <c r="J73" s="264" t="str">
        <f t="shared" si="17"/>
        <v/>
      </c>
      <c r="K73" s="264">
        <f t="shared" si="18"/>
        <v>0</v>
      </c>
      <c r="L73" s="266"/>
      <c r="M73" s="267">
        <f t="shared" si="6"/>
        <v>1</v>
      </c>
      <c r="N73" s="465" t="str">
        <f t="shared" si="19"/>
        <v/>
      </c>
      <c r="O73" s="297" t="str">
        <f t="shared" si="11"/>
        <v/>
      </c>
      <c r="P73" s="467" t="str">
        <f t="shared" si="20"/>
        <v/>
      </c>
      <c r="Q73" s="268" t="str">
        <f t="shared" si="12"/>
        <v/>
      </c>
      <c r="R73" s="269"/>
      <c r="S73" s="270" t="str">
        <f t="shared" si="21"/>
        <v/>
      </c>
      <c r="T73" s="271" t="str">
        <f t="shared" si="13"/>
        <v/>
      </c>
    </row>
    <row r="74" spans="1:20" x14ac:dyDescent="0.3">
      <c r="A74" s="255">
        <v>41</v>
      </c>
      <c r="B74" s="272"/>
      <c r="C74" s="273">
        <f t="shared" si="15"/>
        <v>4</v>
      </c>
      <c r="D74" s="372"/>
      <c r="E74" s="274"/>
      <c r="F74" s="273" t="str">
        <f t="shared" ref="F74:G93" si="22">IFERROR(VLOOKUP($E74,DMFA,F$29,FALSE),"")</f>
        <v/>
      </c>
      <c r="G74" s="275" t="str">
        <f t="shared" si="22"/>
        <v/>
      </c>
      <c r="H74" s="276" t="str">
        <f t="shared" si="16"/>
        <v/>
      </c>
      <c r="I74" s="277" t="str">
        <f t="shared" si="3"/>
        <v/>
      </c>
      <c r="J74" s="276" t="str">
        <f t="shared" si="17"/>
        <v/>
      </c>
      <c r="K74" s="276">
        <f t="shared" si="18"/>
        <v>0</v>
      </c>
      <c r="L74" s="278"/>
      <c r="M74" s="279">
        <f t="shared" si="6"/>
        <v>1</v>
      </c>
      <c r="N74" s="360" t="str">
        <f t="shared" si="19"/>
        <v/>
      </c>
      <c r="O74" s="117" t="str">
        <f t="shared" si="11"/>
        <v/>
      </c>
      <c r="P74" s="359" t="str">
        <f t="shared" si="20"/>
        <v/>
      </c>
      <c r="Q74" s="280" t="str">
        <f t="shared" si="12"/>
        <v/>
      </c>
      <c r="R74" s="281"/>
      <c r="S74" s="282" t="str">
        <f t="shared" si="21"/>
        <v/>
      </c>
      <c r="T74" s="283" t="str">
        <f t="shared" si="13"/>
        <v/>
      </c>
    </row>
    <row r="75" spans="1:20" x14ac:dyDescent="0.3">
      <c r="A75" s="255">
        <v>42</v>
      </c>
      <c r="B75" s="284"/>
      <c r="C75" s="285">
        <f t="shared" si="15"/>
        <v>4</v>
      </c>
      <c r="D75" s="373"/>
      <c r="E75" s="286"/>
      <c r="F75" s="285" t="str">
        <f t="shared" si="22"/>
        <v/>
      </c>
      <c r="G75" s="287" t="str">
        <f t="shared" si="22"/>
        <v/>
      </c>
      <c r="H75" s="288" t="str">
        <f t="shared" si="16"/>
        <v/>
      </c>
      <c r="I75" s="289" t="str">
        <f t="shared" si="3"/>
        <v/>
      </c>
      <c r="J75" s="288" t="str">
        <f t="shared" si="17"/>
        <v/>
      </c>
      <c r="K75" s="288">
        <f t="shared" si="18"/>
        <v>0</v>
      </c>
      <c r="L75" s="290"/>
      <c r="M75" s="291">
        <f t="shared" si="6"/>
        <v>1</v>
      </c>
      <c r="N75" s="466" t="str">
        <f t="shared" si="19"/>
        <v/>
      </c>
      <c r="O75" s="302" t="str">
        <f t="shared" si="11"/>
        <v/>
      </c>
      <c r="P75" s="468" t="str">
        <f t="shared" si="20"/>
        <v/>
      </c>
      <c r="Q75" s="292" t="str">
        <f t="shared" si="12"/>
        <v/>
      </c>
      <c r="R75" s="293"/>
      <c r="S75" s="294" t="str">
        <f t="shared" si="21"/>
        <v/>
      </c>
      <c r="T75" s="295" t="str">
        <f t="shared" si="13"/>
        <v/>
      </c>
    </row>
    <row r="76" spans="1:20" x14ac:dyDescent="0.3">
      <c r="A76" s="255">
        <v>43</v>
      </c>
      <c r="B76" s="260"/>
      <c r="C76" s="261">
        <f t="shared" si="15"/>
        <v>4</v>
      </c>
      <c r="D76" s="371"/>
      <c r="E76" s="262"/>
      <c r="F76" s="261" t="str">
        <f t="shared" si="22"/>
        <v/>
      </c>
      <c r="G76" s="263" t="str">
        <f t="shared" si="22"/>
        <v/>
      </c>
      <c r="H76" s="264" t="str">
        <f t="shared" si="16"/>
        <v/>
      </c>
      <c r="I76" s="265" t="str">
        <f t="shared" si="3"/>
        <v/>
      </c>
      <c r="J76" s="264" t="str">
        <f t="shared" si="17"/>
        <v/>
      </c>
      <c r="K76" s="264">
        <f t="shared" si="18"/>
        <v>0</v>
      </c>
      <c r="L76" s="266"/>
      <c r="M76" s="267">
        <f t="shared" si="6"/>
        <v>1</v>
      </c>
      <c r="N76" s="465" t="str">
        <f t="shared" si="19"/>
        <v/>
      </c>
      <c r="O76" s="297" t="str">
        <f t="shared" si="11"/>
        <v/>
      </c>
      <c r="P76" s="467" t="str">
        <f t="shared" si="20"/>
        <v/>
      </c>
      <c r="Q76" s="268" t="str">
        <f t="shared" si="12"/>
        <v/>
      </c>
      <c r="R76" s="269"/>
      <c r="S76" s="270" t="str">
        <f t="shared" si="21"/>
        <v/>
      </c>
      <c r="T76" s="271" t="str">
        <f t="shared" si="13"/>
        <v/>
      </c>
    </row>
    <row r="77" spans="1:20" x14ac:dyDescent="0.3">
      <c r="A77" s="255">
        <v>44</v>
      </c>
      <c r="B77" s="272"/>
      <c r="C77" s="273">
        <f t="shared" si="15"/>
        <v>4</v>
      </c>
      <c r="D77" s="372"/>
      <c r="E77" s="274"/>
      <c r="F77" s="273" t="str">
        <f t="shared" si="22"/>
        <v/>
      </c>
      <c r="G77" s="275" t="str">
        <f t="shared" si="22"/>
        <v/>
      </c>
      <c r="H77" s="276" t="str">
        <f t="shared" si="16"/>
        <v/>
      </c>
      <c r="I77" s="277" t="str">
        <f t="shared" si="3"/>
        <v/>
      </c>
      <c r="J77" s="276" t="str">
        <f t="shared" si="17"/>
        <v/>
      </c>
      <c r="K77" s="276">
        <f t="shared" si="18"/>
        <v>0</v>
      </c>
      <c r="L77" s="278"/>
      <c r="M77" s="279">
        <f t="shared" si="6"/>
        <v>1</v>
      </c>
      <c r="N77" s="360" t="str">
        <f t="shared" si="19"/>
        <v/>
      </c>
      <c r="O77" s="117" t="str">
        <f t="shared" si="11"/>
        <v/>
      </c>
      <c r="P77" s="359" t="str">
        <f t="shared" si="20"/>
        <v/>
      </c>
      <c r="Q77" s="280" t="str">
        <f t="shared" si="12"/>
        <v/>
      </c>
      <c r="R77" s="281"/>
      <c r="S77" s="282" t="str">
        <f t="shared" si="21"/>
        <v/>
      </c>
      <c r="T77" s="283" t="str">
        <f t="shared" si="13"/>
        <v/>
      </c>
    </row>
    <row r="78" spans="1:20" x14ac:dyDescent="0.3">
      <c r="A78" s="255">
        <v>45</v>
      </c>
      <c r="B78" s="284"/>
      <c r="C78" s="285">
        <f t="shared" si="15"/>
        <v>4</v>
      </c>
      <c r="D78" s="373"/>
      <c r="E78" s="286"/>
      <c r="F78" s="285" t="str">
        <f t="shared" si="22"/>
        <v/>
      </c>
      <c r="G78" s="287" t="str">
        <f t="shared" si="22"/>
        <v/>
      </c>
      <c r="H78" s="288" t="str">
        <f t="shared" si="16"/>
        <v/>
      </c>
      <c r="I78" s="289" t="str">
        <f t="shared" si="3"/>
        <v/>
      </c>
      <c r="J78" s="288" t="str">
        <f t="shared" si="17"/>
        <v/>
      </c>
      <c r="K78" s="288">
        <f t="shared" si="18"/>
        <v>0</v>
      </c>
      <c r="L78" s="290"/>
      <c r="M78" s="291">
        <f t="shared" si="6"/>
        <v>1</v>
      </c>
      <c r="N78" s="466" t="str">
        <f t="shared" si="19"/>
        <v/>
      </c>
      <c r="O78" s="302" t="str">
        <f t="shared" si="11"/>
        <v/>
      </c>
      <c r="P78" s="468" t="str">
        <f t="shared" si="20"/>
        <v/>
      </c>
      <c r="Q78" s="292" t="str">
        <f t="shared" si="12"/>
        <v/>
      </c>
      <c r="R78" s="293"/>
      <c r="S78" s="294" t="str">
        <f t="shared" si="21"/>
        <v/>
      </c>
      <c r="T78" s="295" t="str">
        <f t="shared" si="13"/>
        <v/>
      </c>
    </row>
    <row r="79" spans="1:20" x14ac:dyDescent="0.3">
      <c r="A79" s="255">
        <v>46</v>
      </c>
      <c r="B79" s="260"/>
      <c r="C79" s="261">
        <f t="shared" si="15"/>
        <v>4</v>
      </c>
      <c r="D79" s="371"/>
      <c r="E79" s="262"/>
      <c r="F79" s="261" t="str">
        <f t="shared" si="22"/>
        <v/>
      </c>
      <c r="G79" s="263" t="str">
        <f t="shared" si="22"/>
        <v/>
      </c>
      <c r="H79" s="264" t="str">
        <f t="shared" si="16"/>
        <v/>
      </c>
      <c r="I79" s="265" t="str">
        <f t="shared" si="3"/>
        <v/>
      </c>
      <c r="J79" s="264" t="str">
        <f t="shared" si="17"/>
        <v/>
      </c>
      <c r="K79" s="264">
        <f t="shared" si="18"/>
        <v>0</v>
      </c>
      <c r="L79" s="266"/>
      <c r="M79" s="267">
        <f t="shared" si="6"/>
        <v>1</v>
      </c>
      <c r="N79" s="465" t="str">
        <f t="shared" si="19"/>
        <v/>
      </c>
      <c r="O79" s="297" t="str">
        <f t="shared" si="11"/>
        <v/>
      </c>
      <c r="P79" s="467" t="str">
        <f t="shared" si="20"/>
        <v/>
      </c>
      <c r="Q79" s="268" t="str">
        <f t="shared" si="12"/>
        <v/>
      </c>
      <c r="R79" s="269"/>
      <c r="S79" s="270" t="str">
        <f t="shared" si="21"/>
        <v/>
      </c>
      <c r="T79" s="271" t="str">
        <f t="shared" si="13"/>
        <v/>
      </c>
    </row>
    <row r="80" spans="1:20" x14ac:dyDescent="0.3">
      <c r="A80" s="255">
        <v>47</v>
      </c>
      <c r="B80" s="272"/>
      <c r="C80" s="273">
        <f t="shared" si="15"/>
        <v>4</v>
      </c>
      <c r="D80" s="372"/>
      <c r="E80" s="274"/>
      <c r="F80" s="273" t="str">
        <f t="shared" si="22"/>
        <v/>
      </c>
      <c r="G80" s="275" t="str">
        <f t="shared" si="22"/>
        <v/>
      </c>
      <c r="H80" s="276" t="str">
        <f t="shared" si="16"/>
        <v/>
      </c>
      <c r="I80" s="277" t="str">
        <f t="shared" si="3"/>
        <v/>
      </c>
      <c r="J80" s="276" t="str">
        <f t="shared" si="17"/>
        <v/>
      </c>
      <c r="K80" s="276">
        <f t="shared" si="18"/>
        <v>0</v>
      </c>
      <c r="L80" s="278"/>
      <c r="M80" s="279">
        <f t="shared" si="6"/>
        <v>1</v>
      </c>
      <c r="N80" s="360" t="str">
        <f t="shared" si="19"/>
        <v/>
      </c>
      <c r="O80" s="117" t="str">
        <f t="shared" si="11"/>
        <v/>
      </c>
      <c r="P80" s="359" t="str">
        <f t="shared" si="20"/>
        <v/>
      </c>
      <c r="Q80" s="280" t="str">
        <f t="shared" si="12"/>
        <v/>
      </c>
      <c r="R80" s="281"/>
      <c r="S80" s="282" t="str">
        <f t="shared" si="21"/>
        <v/>
      </c>
      <c r="T80" s="283" t="str">
        <f t="shared" si="13"/>
        <v/>
      </c>
    </row>
    <row r="81" spans="1:20" x14ac:dyDescent="0.3">
      <c r="A81" s="255">
        <v>48</v>
      </c>
      <c r="B81" s="284"/>
      <c r="C81" s="285">
        <f t="shared" si="15"/>
        <v>4</v>
      </c>
      <c r="D81" s="373"/>
      <c r="E81" s="286"/>
      <c r="F81" s="285" t="str">
        <f t="shared" si="22"/>
        <v/>
      </c>
      <c r="G81" s="287" t="str">
        <f t="shared" si="22"/>
        <v/>
      </c>
      <c r="H81" s="288" t="str">
        <f t="shared" si="16"/>
        <v/>
      </c>
      <c r="I81" s="289" t="str">
        <f t="shared" si="3"/>
        <v/>
      </c>
      <c r="J81" s="288" t="str">
        <f t="shared" si="17"/>
        <v/>
      </c>
      <c r="K81" s="288">
        <f t="shared" si="18"/>
        <v>0</v>
      </c>
      <c r="L81" s="290"/>
      <c r="M81" s="291">
        <f t="shared" si="6"/>
        <v>1</v>
      </c>
      <c r="N81" s="466" t="str">
        <f t="shared" si="19"/>
        <v/>
      </c>
      <c r="O81" s="302" t="str">
        <f t="shared" si="11"/>
        <v/>
      </c>
      <c r="P81" s="468" t="str">
        <f t="shared" si="20"/>
        <v/>
      </c>
      <c r="Q81" s="292" t="str">
        <f t="shared" si="12"/>
        <v/>
      </c>
      <c r="R81" s="293"/>
      <c r="S81" s="294" t="str">
        <f t="shared" si="21"/>
        <v/>
      </c>
      <c r="T81" s="295" t="str">
        <f t="shared" si="13"/>
        <v/>
      </c>
    </row>
    <row r="82" spans="1:20" x14ac:dyDescent="0.3">
      <c r="A82" s="255">
        <v>49</v>
      </c>
      <c r="B82" s="260"/>
      <c r="C82" s="261">
        <f t="shared" si="15"/>
        <v>4</v>
      </c>
      <c r="D82" s="371"/>
      <c r="E82" s="262"/>
      <c r="F82" s="261" t="str">
        <f t="shared" si="22"/>
        <v/>
      </c>
      <c r="G82" s="263" t="str">
        <f t="shared" si="22"/>
        <v/>
      </c>
      <c r="H82" s="264" t="str">
        <f t="shared" si="16"/>
        <v/>
      </c>
      <c r="I82" s="265" t="str">
        <f t="shared" si="3"/>
        <v/>
      </c>
      <c r="J82" s="264" t="str">
        <f t="shared" si="17"/>
        <v/>
      </c>
      <c r="K82" s="264">
        <f t="shared" si="18"/>
        <v>0</v>
      </c>
      <c r="L82" s="266"/>
      <c r="M82" s="267">
        <f t="shared" si="6"/>
        <v>1</v>
      </c>
      <c r="N82" s="465" t="str">
        <f t="shared" si="19"/>
        <v/>
      </c>
      <c r="O82" s="297" t="str">
        <f t="shared" si="11"/>
        <v/>
      </c>
      <c r="P82" s="467" t="str">
        <f t="shared" si="20"/>
        <v/>
      </c>
      <c r="Q82" s="268" t="str">
        <f t="shared" si="12"/>
        <v/>
      </c>
      <c r="R82" s="269"/>
      <c r="S82" s="270" t="str">
        <f t="shared" si="21"/>
        <v/>
      </c>
      <c r="T82" s="271" t="str">
        <f t="shared" si="13"/>
        <v/>
      </c>
    </row>
    <row r="83" spans="1:20" x14ac:dyDescent="0.3">
      <c r="A83" s="255">
        <v>50</v>
      </c>
      <c r="B83" s="272"/>
      <c r="C83" s="273">
        <f t="shared" si="15"/>
        <v>4</v>
      </c>
      <c r="D83" s="372"/>
      <c r="E83" s="274"/>
      <c r="F83" s="273" t="str">
        <f t="shared" si="22"/>
        <v/>
      </c>
      <c r="G83" s="275" t="str">
        <f t="shared" si="22"/>
        <v/>
      </c>
      <c r="H83" s="276" t="str">
        <f t="shared" si="16"/>
        <v/>
      </c>
      <c r="I83" s="277" t="str">
        <f t="shared" si="3"/>
        <v/>
      </c>
      <c r="J83" s="276" t="str">
        <f t="shared" si="17"/>
        <v/>
      </c>
      <c r="K83" s="276">
        <f t="shared" si="18"/>
        <v>0</v>
      </c>
      <c r="L83" s="278"/>
      <c r="M83" s="279">
        <f t="shared" si="6"/>
        <v>1</v>
      </c>
      <c r="N83" s="360" t="str">
        <f t="shared" si="19"/>
        <v/>
      </c>
      <c r="O83" s="117" t="str">
        <f t="shared" si="11"/>
        <v/>
      </c>
      <c r="P83" s="359" t="str">
        <f t="shared" si="20"/>
        <v/>
      </c>
      <c r="Q83" s="280" t="str">
        <f t="shared" si="12"/>
        <v/>
      </c>
      <c r="R83" s="281"/>
      <c r="S83" s="282" t="str">
        <f t="shared" si="21"/>
        <v/>
      </c>
      <c r="T83" s="283" t="str">
        <f t="shared" si="13"/>
        <v/>
      </c>
    </row>
    <row r="84" spans="1:20" x14ac:dyDescent="0.3">
      <c r="A84" s="255">
        <v>51</v>
      </c>
      <c r="B84" s="284"/>
      <c r="C84" s="285">
        <f t="shared" si="15"/>
        <v>4</v>
      </c>
      <c r="D84" s="373"/>
      <c r="E84" s="286"/>
      <c r="F84" s="285" t="str">
        <f t="shared" si="22"/>
        <v/>
      </c>
      <c r="G84" s="287" t="str">
        <f t="shared" si="22"/>
        <v/>
      </c>
      <c r="H84" s="288" t="str">
        <f t="shared" si="16"/>
        <v/>
      </c>
      <c r="I84" s="289" t="str">
        <f t="shared" si="3"/>
        <v/>
      </c>
      <c r="J84" s="288" t="str">
        <f t="shared" si="17"/>
        <v/>
      </c>
      <c r="K84" s="288">
        <f t="shared" si="18"/>
        <v>0</v>
      </c>
      <c r="L84" s="290"/>
      <c r="M84" s="291">
        <f t="shared" si="6"/>
        <v>1</v>
      </c>
      <c r="N84" s="466" t="str">
        <f t="shared" si="19"/>
        <v/>
      </c>
      <c r="O84" s="302" t="str">
        <f t="shared" si="11"/>
        <v/>
      </c>
      <c r="P84" s="468" t="str">
        <f t="shared" si="20"/>
        <v/>
      </c>
      <c r="Q84" s="292" t="str">
        <f t="shared" si="12"/>
        <v/>
      </c>
      <c r="R84" s="293"/>
      <c r="S84" s="294" t="str">
        <f t="shared" si="21"/>
        <v/>
      </c>
      <c r="T84" s="295" t="str">
        <f t="shared" si="13"/>
        <v/>
      </c>
    </row>
    <row r="85" spans="1:20" x14ac:dyDescent="0.3">
      <c r="A85" s="255">
        <v>52</v>
      </c>
      <c r="B85" s="260"/>
      <c r="C85" s="261">
        <f t="shared" si="15"/>
        <v>4</v>
      </c>
      <c r="D85" s="371"/>
      <c r="E85" s="262"/>
      <c r="F85" s="261" t="str">
        <f t="shared" si="22"/>
        <v/>
      </c>
      <c r="G85" s="263" t="str">
        <f t="shared" si="22"/>
        <v/>
      </c>
      <c r="H85" s="264" t="str">
        <f t="shared" si="16"/>
        <v/>
      </c>
      <c r="I85" s="265" t="str">
        <f t="shared" si="3"/>
        <v/>
      </c>
      <c r="J85" s="264" t="str">
        <f t="shared" si="17"/>
        <v/>
      </c>
      <c r="K85" s="264">
        <f t="shared" si="18"/>
        <v>0</v>
      </c>
      <c r="L85" s="266"/>
      <c r="M85" s="267">
        <f t="shared" si="6"/>
        <v>1</v>
      </c>
      <c r="N85" s="465" t="str">
        <f t="shared" si="19"/>
        <v/>
      </c>
      <c r="O85" s="297" t="str">
        <f t="shared" si="11"/>
        <v/>
      </c>
      <c r="P85" s="467" t="str">
        <f t="shared" si="20"/>
        <v/>
      </c>
      <c r="Q85" s="268" t="str">
        <f t="shared" si="12"/>
        <v/>
      </c>
      <c r="R85" s="269"/>
      <c r="S85" s="270" t="str">
        <f t="shared" si="21"/>
        <v/>
      </c>
      <c r="T85" s="271" t="str">
        <f t="shared" si="13"/>
        <v/>
      </c>
    </row>
    <row r="86" spans="1:20" x14ac:dyDescent="0.3">
      <c r="A86" s="255">
        <v>53</v>
      </c>
      <c r="B86" s="272"/>
      <c r="C86" s="273">
        <f t="shared" si="15"/>
        <v>4</v>
      </c>
      <c r="D86" s="372"/>
      <c r="E86" s="274"/>
      <c r="F86" s="273" t="str">
        <f t="shared" si="22"/>
        <v/>
      </c>
      <c r="G86" s="275" t="str">
        <f t="shared" si="22"/>
        <v/>
      </c>
      <c r="H86" s="276" t="str">
        <f t="shared" si="16"/>
        <v/>
      </c>
      <c r="I86" s="277" t="str">
        <f t="shared" si="3"/>
        <v/>
      </c>
      <c r="J86" s="276" t="str">
        <f t="shared" si="17"/>
        <v/>
      </c>
      <c r="K86" s="276">
        <f t="shared" si="18"/>
        <v>0</v>
      </c>
      <c r="L86" s="278"/>
      <c r="M86" s="279">
        <f t="shared" si="6"/>
        <v>1</v>
      </c>
      <c r="N86" s="360" t="str">
        <f t="shared" si="19"/>
        <v/>
      </c>
      <c r="O86" s="117" t="str">
        <f t="shared" si="11"/>
        <v/>
      </c>
      <c r="P86" s="359" t="str">
        <f t="shared" si="20"/>
        <v/>
      </c>
      <c r="Q86" s="280" t="str">
        <f t="shared" si="12"/>
        <v/>
      </c>
      <c r="R86" s="281"/>
      <c r="S86" s="282" t="str">
        <f t="shared" si="21"/>
        <v/>
      </c>
      <c r="T86" s="283" t="str">
        <f t="shared" si="13"/>
        <v/>
      </c>
    </row>
    <row r="87" spans="1:20" x14ac:dyDescent="0.3">
      <c r="A87" s="255">
        <v>54</v>
      </c>
      <c r="B87" s="284"/>
      <c r="C87" s="285">
        <f t="shared" si="15"/>
        <v>4</v>
      </c>
      <c r="D87" s="373"/>
      <c r="E87" s="286"/>
      <c r="F87" s="285" t="str">
        <f t="shared" si="22"/>
        <v/>
      </c>
      <c r="G87" s="287" t="str">
        <f t="shared" si="22"/>
        <v/>
      </c>
      <c r="H87" s="288" t="str">
        <f t="shared" si="16"/>
        <v/>
      </c>
      <c r="I87" s="289" t="str">
        <f t="shared" si="3"/>
        <v/>
      </c>
      <c r="J87" s="288" t="str">
        <f t="shared" si="17"/>
        <v/>
      </c>
      <c r="K87" s="288">
        <f t="shared" si="18"/>
        <v>0</v>
      </c>
      <c r="L87" s="290"/>
      <c r="M87" s="291">
        <f t="shared" si="6"/>
        <v>1</v>
      </c>
      <c r="N87" s="466" t="str">
        <f t="shared" si="19"/>
        <v/>
      </c>
      <c r="O87" s="302" t="str">
        <f t="shared" si="11"/>
        <v/>
      </c>
      <c r="P87" s="468" t="str">
        <f t="shared" si="20"/>
        <v/>
      </c>
      <c r="Q87" s="292" t="str">
        <f t="shared" si="12"/>
        <v/>
      </c>
      <c r="R87" s="293"/>
      <c r="S87" s="294" t="str">
        <f t="shared" si="21"/>
        <v/>
      </c>
      <c r="T87" s="295" t="str">
        <f t="shared" si="13"/>
        <v/>
      </c>
    </row>
    <row r="88" spans="1:20" x14ac:dyDescent="0.3">
      <c r="A88" s="255">
        <v>55</v>
      </c>
      <c r="B88" s="260"/>
      <c r="C88" s="261">
        <f t="shared" si="15"/>
        <v>4</v>
      </c>
      <c r="D88" s="371"/>
      <c r="E88" s="262"/>
      <c r="F88" s="261" t="str">
        <f t="shared" si="22"/>
        <v/>
      </c>
      <c r="G88" s="263" t="str">
        <f t="shared" si="22"/>
        <v/>
      </c>
      <c r="H88" s="264" t="str">
        <f t="shared" si="16"/>
        <v/>
      </c>
      <c r="I88" s="265" t="str">
        <f t="shared" si="3"/>
        <v/>
      </c>
      <c r="J88" s="264" t="str">
        <f t="shared" si="17"/>
        <v/>
      </c>
      <c r="K88" s="264">
        <f t="shared" si="18"/>
        <v>0</v>
      </c>
      <c r="L88" s="266"/>
      <c r="M88" s="267">
        <f t="shared" si="6"/>
        <v>1</v>
      </c>
      <c r="N88" s="465" t="str">
        <f t="shared" si="19"/>
        <v/>
      </c>
      <c r="O88" s="297" t="str">
        <f t="shared" si="11"/>
        <v/>
      </c>
      <c r="P88" s="467" t="str">
        <f t="shared" si="20"/>
        <v/>
      </c>
      <c r="Q88" s="268" t="str">
        <f t="shared" si="12"/>
        <v/>
      </c>
      <c r="R88" s="269"/>
      <c r="S88" s="270" t="str">
        <f t="shared" si="21"/>
        <v/>
      </c>
      <c r="T88" s="271" t="str">
        <f t="shared" si="13"/>
        <v/>
      </c>
    </row>
    <row r="89" spans="1:20" x14ac:dyDescent="0.3">
      <c r="A89" s="255">
        <v>56</v>
      </c>
      <c r="B89" s="272"/>
      <c r="C89" s="273">
        <f t="shared" si="15"/>
        <v>4</v>
      </c>
      <c r="D89" s="372"/>
      <c r="E89" s="274"/>
      <c r="F89" s="273" t="str">
        <f t="shared" si="22"/>
        <v/>
      </c>
      <c r="G89" s="275" t="str">
        <f t="shared" si="22"/>
        <v/>
      </c>
      <c r="H89" s="276" t="str">
        <f t="shared" si="16"/>
        <v/>
      </c>
      <c r="I89" s="277" t="str">
        <f t="shared" si="3"/>
        <v/>
      </c>
      <c r="J89" s="276" t="str">
        <f t="shared" si="17"/>
        <v/>
      </c>
      <c r="K89" s="276">
        <f t="shared" si="18"/>
        <v>0</v>
      </c>
      <c r="L89" s="278"/>
      <c r="M89" s="279">
        <f t="shared" si="6"/>
        <v>1</v>
      </c>
      <c r="N89" s="360" t="str">
        <f t="shared" si="19"/>
        <v/>
      </c>
      <c r="O89" s="117" t="str">
        <f t="shared" si="11"/>
        <v/>
      </c>
      <c r="P89" s="359" t="str">
        <f t="shared" si="20"/>
        <v/>
      </c>
      <c r="Q89" s="280" t="str">
        <f t="shared" si="12"/>
        <v/>
      </c>
      <c r="R89" s="281"/>
      <c r="S89" s="282" t="str">
        <f t="shared" si="21"/>
        <v/>
      </c>
      <c r="T89" s="283" t="str">
        <f t="shared" si="13"/>
        <v/>
      </c>
    </row>
    <row r="90" spans="1:20" x14ac:dyDescent="0.3">
      <c r="A90" s="255">
        <v>57</v>
      </c>
      <c r="B90" s="284"/>
      <c r="C90" s="285">
        <f t="shared" si="15"/>
        <v>4</v>
      </c>
      <c r="D90" s="373"/>
      <c r="E90" s="286"/>
      <c r="F90" s="285" t="str">
        <f t="shared" si="22"/>
        <v/>
      </c>
      <c r="G90" s="287" t="str">
        <f t="shared" si="22"/>
        <v/>
      </c>
      <c r="H90" s="288" t="str">
        <f t="shared" si="16"/>
        <v/>
      </c>
      <c r="I90" s="289" t="str">
        <f t="shared" si="3"/>
        <v/>
      </c>
      <c r="J90" s="288" t="str">
        <f t="shared" si="17"/>
        <v/>
      </c>
      <c r="K90" s="288">
        <f t="shared" si="18"/>
        <v>0</v>
      </c>
      <c r="L90" s="290"/>
      <c r="M90" s="291">
        <f t="shared" si="6"/>
        <v>1</v>
      </c>
      <c r="N90" s="466" t="str">
        <f t="shared" si="19"/>
        <v/>
      </c>
      <c r="O90" s="302" t="str">
        <f t="shared" si="11"/>
        <v/>
      </c>
      <c r="P90" s="468" t="str">
        <f t="shared" si="20"/>
        <v/>
      </c>
      <c r="Q90" s="292" t="str">
        <f t="shared" si="12"/>
        <v/>
      </c>
      <c r="R90" s="293"/>
      <c r="S90" s="294" t="str">
        <f t="shared" si="21"/>
        <v/>
      </c>
      <c r="T90" s="295" t="str">
        <f t="shared" si="13"/>
        <v/>
      </c>
    </row>
    <row r="91" spans="1:20" x14ac:dyDescent="0.3">
      <c r="A91" s="255">
        <v>58</v>
      </c>
      <c r="B91" s="260"/>
      <c r="C91" s="261">
        <f t="shared" si="15"/>
        <v>4</v>
      </c>
      <c r="D91" s="371"/>
      <c r="E91" s="262"/>
      <c r="F91" s="261" t="str">
        <f t="shared" si="22"/>
        <v/>
      </c>
      <c r="G91" s="263" t="str">
        <f t="shared" si="22"/>
        <v/>
      </c>
      <c r="H91" s="264" t="str">
        <f t="shared" si="16"/>
        <v/>
      </c>
      <c r="I91" s="265" t="str">
        <f t="shared" si="3"/>
        <v/>
      </c>
      <c r="J91" s="264" t="str">
        <f t="shared" si="17"/>
        <v/>
      </c>
      <c r="K91" s="264">
        <f t="shared" si="18"/>
        <v>0</v>
      </c>
      <c r="L91" s="266"/>
      <c r="M91" s="267">
        <f t="shared" si="6"/>
        <v>1</v>
      </c>
      <c r="N91" s="465" t="str">
        <f t="shared" si="19"/>
        <v/>
      </c>
      <c r="O91" s="297" t="str">
        <f t="shared" si="11"/>
        <v/>
      </c>
      <c r="P91" s="467" t="str">
        <f t="shared" si="20"/>
        <v/>
      </c>
      <c r="Q91" s="268" t="str">
        <f t="shared" si="12"/>
        <v/>
      </c>
      <c r="R91" s="269"/>
      <c r="S91" s="270" t="str">
        <f t="shared" si="21"/>
        <v/>
      </c>
      <c r="T91" s="271" t="str">
        <f t="shared" si="13"/>
        <v/>
      </c>
    </row>
    <row r="92" spans="1:20" x14ac:dyDescent="0.3">
      <c r="A92" s="255">
        <v>59</v>
      </c>
      <c r="B92" s="272"/>
      <c r="C92" s="273">
        <f t="shared" si="15"/>
        <v>4</v>
      </c>
      <c r="D92" s="372"/>
      <c r="E92" s="274"/>
      <c r="F92" s="273" t="str">
        <f t="shared" si="22"/>
        <v/>
      </c>
      <c r="G92" s="275" t="str">
        <f t="shared" si="22"/>
        <v/>
      </c>
      <c r="H92" s="276" t="str">
        <f t="shared" si="16"/>
        <v/>
      </c>
      <c r="I92" s="277" t="str">
        <f t="shared" si="3"/>
        <v/>
      </c>
      <c r="J92" s="276" t="str">
        <f t="shared" si="17"/>
        <v/>
      </c>
      <c r="K92" s="276">
        <f t="shared" si="18"/>
        <v>0</v>
      </c>
      <c r="L92" s="278"/>
      <c r="M92" s="279">
        <f t="shared" si="6"/>
        <v>1</v>
      </c>
      <c r="N92" s="360" t="str">
        <f t="shared" si="19"/>
        <v/>
      </c>
      <c r="O92" s="117" t="str">
        <f t="shared" si="11"/>
        <v/>
      </c>
      <c r="P92" s="359" t="str">
        <f t="shared" si="20"/>
        <v/>
      </c>
      <c r="Q92" s="280" t="str">
        <f t="shared" si="12"/>
        <v/>
      </c>
      <c r="R92" s="281"/>
      <c r="S92" s="282" t="str">
        <f t="shared" si="21"/>
        <v/>
      </c>
      <c r="T92" s="283" t="str">
        <f t="shared" si="13"/>
        <v/>
      </c>
    </row>
    <row r="93" spans="1:20" x14ac:dyDescent="0.3">
      <c r="A93" s="255">
        <v>60</v>
      </c>
      <c r="B93" s="284"/>
      <c r="C93" s="285">
        <f t="shared" si="15"/>
        <v>4</v>
      </c>
      <c r="D93" s="373"/>
      <c r="E93" s="286"/>
      <c r="F93" s="285" t="str">
        <f t="shared" si="22"/>
        <v/>
      </c>
      <c r="G93" s="287" t="str">
        <f t="shared" si="22"/>
        <v/>
      </c>
      <c r="H93" s="288" t="str">
        <f t="shared" si="16"/>
        <v/>
      </c>
      <c r="I93" s="289" t="str">
        <f t="shared" si="3"/>
        <v/>
      </c>
      <c r="J93" s="288" t="str">
        <f t="shared" si="17"/>
        <v/>
      </c>
      <c r="K93" s="288">
        <f t="shared" si="18"/>
        <v>0</v>
      </c>
      <c r="L93" s="290"/>
      <c r="M93" s="291">
        <f t="shared" si="6"/>
        <v>1</v>
      </c>
      <c r="N93" s="466" t="str">
        <f t="shared" si="19"/>
        <v/>
      </c>
      <c r="O93" s="302" t="str">
        <f t="shared" si="11"/>
        <v/>
      </c>
      <c r="P93" s="468" t="str">
        <f t="shared" si="20"/>
        <v/>
      </c>
      <c r="Q93" s="292" t="str">
        <f t="shared" si="12"/>
        <v/>
      </c>
      <c r="R93" s="293"/>
      <c r="S93" s="294" t="str">
        <f t="shared" si="21"/>
        <v/>
      </c>
      <c r="T93" s="295" t="str">
        <f t="shared" si="13"/>
        <v/>
      </c>
    </row>
    <row r="94" spans="1:20" x14ac:dyDescent="0.3">
      <c r="A94" s="255">
        <v>61</v>
      </c>
      <c r="B94" s="260"/>
      <c r="C94" s="261">
        <f t="shared" si="15"/>
        <v>4</v>
      </c>
      <c r="D94" s="371"/>
      <c r="E94" s="262"/>
      <c r="F94" s="261" t="str">
        <f t="shared" ref="F94:G113" si="23">IFERROR(VLOOKUP($E94,DMFA,F$29,FALSE),"")</f>
        <v/>
      </c>
      <c r="G94" s="263" t="str">
        <f t="shared" si="23"/>
        <v/>
      </c>
      <c r="H94" s="264" t="str">
        <f t="shared" si="16"/>
        <v/>
      </c>
      <c r="I94" s="265" t="str">
        <f t="shared" si="3"/>
        <v/>
      </c>
      <c r="J94" s="264" t="str">
        <f t="shared" si="17"/>
        <v/>
      </c>
      <c r="K94" s="264">
        <f t="shared" si="18"/>
        <v>0</v>
      </c>
      <c r="L94" s="266"/>
      <c r="M94" s="267">
        <f t="shared" si="6"/>
        <v>1</v>
      </c>
      <c r="N94" s="465" t="str">
        <f t="shared" si="19"/>
        <v/>
      </c>
      <c r="O94" s="297" t="str">
        <f t="shared" si="11"/>
        <v/>
      </c>
      <c r="P94" s="467" t="str">
        <f t="shared" si="20"/>
        <v/>
      </c>
      <c r="Q94" s="268" t="str">
        <f t="shared" si="12"/>
        <v/>
      </c>
      <c r="R94" s="269"/>
      <c r="S94" s="270" t="str">
        <f t="shared" si="21"/>
        <v/>
      </c>
      <c r="T94" s="271" t="str">
        <f t="shared" si="13"/>
        <v/>
      </c>
    </row>
    <row r="95" spans="1:20" x14ac:dyDescent="0.3">
      <c r="A95" s="255">
        <v>62</v>
      </c>
      <c r="B95" s="272"/>
      <c r="C95" s="273">
        <f t="shared" si="15"/>
        <v>4</v>
      </c>
      <c r="D95" s="372"/>
      <c r="E95" s="274"/>
      <c r="F95" s="273" t="str">
        <f t="shared" si="23"/>
        <v/>
      </c>
      <c r="G95" s="275" t="str">
        <f t="shared" si="23"/>
        <v/>
      </c>
      <c r="H95" s="276" t="str">
        <f t="shared" si="16"/>
        <v/>
      </c>
      <c r="I95" s="277" t="str">
        <f t="shared" si="3"/>
        <v/>
      </c>
      <c r="J95" s="276" t="str">
        <f t="shared" si="17"/>
        <v/>
      </c>
      <c r="K95" s="276">
        <f t="shared" si="18"/>
        <v>0</v>
      </c>
      <c r="L95" s="278"/>
      <c r="M95" s="279">
        <f t="shared" si="6"/>
        <v>1</v>
      </c>
      <c r="N95" s="360" t="str">
        <f t="shared" si="19"/>
        <v/>
      </c>
      <c r="O95" s="117" t="str">
        <f t="shared" si="11"/>
        <v/>
      </c>
      <c r="P95" s="359" t="str">
        <f t="shared" si="20"/>
        <v/>
      </c>
      <c r="Q95" s="280" t="str">
        <f t="shared" si="12"/>
        <v/>
      </c>
      <c r="R95" s="281"/>
      <c r="S95" s="282" t="str">
        <f t="shared" si="21"/>
        <v/>
      </c>
      <c r="T95" s="283" t="str">
        <f t="shared" si="13"/>
        <v/>
      </c>
    </row>
    <row r="96" spans="1:20" x14ac:dyDescent="0.3">
      <c r="A96" s="255">
        <v>63</v>
      </c>
      <c r="B96" s="284"/>
      <c r="C96" s="285">
        <f t="shared" si="15"/>
        <v>4</v>
      </c>
      <c r="D96" s="373"/>
      <c r="E96" s="286"/>
      <c r="F96" s="285" t="str">
        <f t="shared" si="23"/>
        <v/>
      </c>
      <c r="G96" s="287" t="str">
        <f t="shared" si="23"/>
        <v/>
      </c>
      <c r="H96" s="288" t="str">
        <f t="shared" si="16"/>
        <v/>
      </c>
      <c r="I96" s="289" t="str">
        <f t="shared" si="3"/>
        <v/>
      </c>
      <c r="J96" s="288" t="str">
        <f t="shared" si="17"/>
        <v/>
      </c>
      <c r="K96" s="288">
        <f t="shared" si="18"/>
        <v>0</v>
      </c>
      <c r="L96" s="290"/>
      <c r="M96" s="291">
        <f t="shared" si="6"/>
        <v>1</v>
      </c>
      <c r="N96" s="466" t="str">
        <f t="shared" si="19"/>
        <v/>
      </c>
      <c r="O96" s="302" t="str">
        <f t="shared" si="11"/>
        <v/>
      </c>
      <c r="P96" s="468" t="str">
        <f t="shared" si="20"/>
        <v/>
      </c>
      <c r="Q96" s="292" t="str">
        <f t="shared" si="12"/>
        <v/>
      </c>
      <c r="R96" s="293"/>
      <c r="S96" s="294" t="str">
        <f t="shared" si="21"/>
        <v/>
      </c>
      <c r="T96" s="295" t="str">
        <f t="shared" si="13"/>
        <v/>
      </c>
    </row>
    <row r="97" spans="1:20" x14ac:dyDescent="0.3">
      <c r="A97" s="255">
        <v>64</v>
      </c>
      <c r="B97" s="260"/>
      <c r="C97" s="261">
        <f t="shared" si="15"/>
        <v>4</v>
      </c>
      <c r="D97" s="371"/>
      <c r="E97" s="262"/>
      <c r="F97" s="261" t="str">
        <f t="shared" si="23"/>
        <v/>
      </c>
      <c r="G97" s="263" t="str">
        <f t="shared" si="23"/>
        <v/>
      </c>
      <c r="H97" s="264" t="str">
        <f t="shared" si="16"/>
        <v/>
      </c>
      <c r="I97" s="265" t="str">
        <f t="shared" si="3"/>
        <v/>
      </c>
      <c r="J97" s="264" t="str">
        <f t="shared" si="17"/>
        <v/>
      </c>
      <c r="K97" s="264">
        <f t="shared" si="18"/>
        <v>0</v>
      </c>
      <c r="L97" s="266"/>
      <c r="M97" s="267">
        <f t="shared" si="6"/>
        <v>1</v>
      </c>
      <c r="N97" s="465" t="str">
        <f t="shared" si="19"/>
        <v/>
      </c>
      <c r="O97" s="297" t="str">
        <f t="shared" si="11"/>
        <v/>
      </c>
      <c r="P97" s="467" t="str">
        <f t="shared" si="20"/>
        <v/>
      </c>
      <c r="Q97" s="268" t="str">
        <f t="shared" si="12"/>
        <v/>
      </c>
      <c r="R97" s="269"/>
      <c r="S97" s="270" t="str">
        <f t="shared" si="21"/>
        <v/>
      </c>
      <c r="T97" s="271" t="str">
        <f t="shared" si="13"/>
        <v/>
      </c>
    </row>
    <row r="98" spans="1:20" x14ac:dyDescent="0.3">
      <c r="A98" s="255">
        <v>65</v>
      </c>
      <c r="B98" s="272"/>
      <c r="C98" s="273">
        <f t="shared" ref="C98:C129" si="24">IF(B98="DI",1,IF(B98="RI",2,IF(B98="FT",3,4)))</f>
        <v>4</v>
      </c>
      <c r="D98" s="372"/>
      <c r="E98" s="274"/>
      <c r="F98" s="273" t="str">
        <f t="shared" si="23"/>
        <v/>
      </c>
      <c r="G98" s="275" t="str">
        <f t="shared" si="23"/>
        <v/>
      </c>
      <c r="H98" s="276" t="str">
        <f t="shared" ref="H98:H129" si="25">IF(COUNTIF($E$34:$E$183,E98)=0,"",COUNTIF($E$34:$E$183,E98))</f>
        <v/>
      </c>
      <c r="I98" s="277" t="str">
        <f t="shared" si="3"/>
        <v/>
      </c>
      <c r="J98" s="276" t="str">
        <f t="shared" ref="J98:J129" si="26">IF(I98="","",TEXT(I98/G98,"0.0 %"))</f>
        <v/>
      </c>
      <c r="K98" s="276">
        <f t="shared" ref="K98:K129" si="27">IF(C98=1,$J$16,IF(C98=2,$J$17,IF(C98=3,$J$18,0)))</f>
        <v>0</v>
      </c>
      <c r="L98" s="278"/>
      <c r="M98" s="279">
        <f t="shared" si="6"/>
        <v>1</v>
      </c>
      <c r="N98" s="360" t="str">
        <f t="shared" ref="N98:N129" si="28">IFERROR(MAX(_xlfn.CEILING.MATH(SQRT(I98/(M98*INDEX($D$16:$D$18,C98)))*12,INDEX($J$16:$J$18,C98)),INDEX($L$16:$L$18,C98)),"")</f>
        <v/>
      </c>
      <c r="O98" s="117" t="str">
        <f t="shared" si="11"/>
        <v/>
      </c>
      <c r="P98" s="359" t="str">
        <f t="shared" ref="P98:P129" si="29">IFERROR(MAX(_xlfn.CEILING.MATH(SQRT((I98*M98)/INDEX($D$16:$D$18,C98))*12,INDEX($J$16:$J$18,C98)),INDEX($L$16:$L$18,C98)),"")</f>
        <v/>
      </c>
      <c r="Q98" s="280" t="str">
        <f t="shared" si="12"/>
        <v/>
      </c>
      <c r="R98" s="281"/>
      <c r="S98" s="282" t="str">
        <f t="shared" ref="S98:S129" si="30">IF(C98=1,$S$15,IF(C98=2,IF(N98&gt;=P98,"FL","FS"),IF(C98=3,IF(OR(N98=12,P98=12),$S$16,IF(AND(N98=24,P98=24),$S$17,IF(OR(AND(N98=24,P98=48),AND(N98=48,P98=24)),$S$18,IF(I98="","","N/A")))),"")))</f>
        <v/>
      </c>
      <c r="T98" s="283" t="str">
        <f t="shared" si="13"/>
        <v/>
      </c>
    </row>
    <row r="99" spans="1:20" x14ac:dyDescent="0.3">
      <c r="A99" s="255">
        <v>66</v>
      </c>
      <c r="B99" s="284"/>
      <c r="C99" s="285">
        <f t="shared" si="24"/>
        <v>4</v>
      </c>
      <c r="D99" s="373"/>
      <c r="E99" s="286"/>
      <c r="F99" s="285" t="str">
        <f t="shared" si="23"/>
        <v/>
      </c>
      <c r="G99" s="287" t="str">
        <f t="shared" si="23"/>
        <v/>
      </c>
      <c r="H99" s="288" t="str">
        <f t="shared" si="25"/>
        <v/>
      </c>
      <c r="I99" s="289" t="str">
        <f t="shared" ref="I99:I162" si="31">IF(OR(G99="",H99=""),"",G99/H99)</f>
        <v/>
      </c>
      <c r="J99" s="288" t="str">
        <f t="shared" si="26"/>
        <v/>
      </c>
      <c r="K99" s="288">
        <f t="shared" si="27"/>
        <v>0</v>
      </c>
      <c r="L99" s="290"/>
      <c r="M99" s="291">
        <f t="shared" ref="M99:M162" si="32">IF(OR(L99=0,C99=1,C99=4),1,L99)</f>
        <v>1</v>
      </c>
      <c r="N99" s="466" t="str">
        <f t="shared" si="28"/>
        <v/>
      </c>
      <c r="O99" s="302" t="str">
        <f t="shared" ref="O99:O162" si="33">IF(I99="","","×")</f>
        <v/>
      </c>
      <c r="P99" s="468" t="str">
        <f t="shared" si="29"/>
        <v/>
      </c>
      <c r="Q99" s="292" t="str">
        <f t="shared" ref="Q99:Q162" si="34">IF(I99="","",IF(N99="---","---",I99/(N99/12*P99/12)))</f>
        <v/>
      </c>
      <c r="R99" s="293"/>
      <c r="S99" s="294" t="str">
        <f t="shared" si="30"/>
        <v/>
      </c>
      <c r="T99" s="295" t="str">
        <f t="shared" ref="T99:T162" si="35">IFERROR(IF(C99=1,(0.000000468)*Q99^2.0001,IF(C99=2,(0.000000275)*Q99^1.993,IF(C99=3,1,IF(AND(I99&lt;&gt;"",C99=4),"---","")))),"")</f>
        <v/>
      </c>
    </row>
    <row r="100" spans="1:20" x14ac:dyDescent="0.3">
      <c r="A100" s="255">
        <v>67</v>
      </c>
      <c r="B100" s="260"/>
      <c r="C100" s="261">
        <f t="shared" si="24"/>
        <v>4</v>
      </c>
      <c r="D100" s="371"/>
      <c r="E100" s="262"/>
      <c r="F100" s="261" t="str">
        <f t="shared" si="23"/>
        <v/>
      </c>
      <c r="G100" s="263" t="str">
        <f t="shared" si="23"/>
        <v/>
      </c>
      <c r="H100" s="264" t="str">
        <f t="shared" si="25"/>
        <v/>
      </c>
      <c r="I100" s="265" t="str">
        <f t="shared" si="31"/>
        <v/>
      </c>
      <c r="J100" s="264" t="str">
        <f t="shared" si="26"/>
        <v/>
      </c>
      <c r="K100" s="264">
        <f t="shared" si="27"/>
        <v>0</v>
      </c>
      <c r="L100" s="266"/>
      <c r="M100" s="267">
        <f t="shared" si="32"/>
        <v>1</v>
      </c>
      <c r="N100" s="465" t="str">
        <f t="shared" si="28"/>
        <v/>
      </c>
      <c r="O100" s="297" t="str">
        <f t="shared" si="33"/>
        <v/>
      </c>
      <c r="P100" s="467" t="str">
        <f t="shared" si="29"/>
        <v/>
      </c>
      <c r="Q100" s="268" t="str">
        <f t="shared" si="34"/>
        <v/>
      </c>
      <c r="R100" s="269"/>
      <c r="S100" s="270" t="str">
        <f t="shared" si="30"/>
        <v/>
      </c>
      <c r="T100" s="271" t="str">
        <f t="shared" si="35"/>
        <v/>
      </c>
    </row>
    <row r="101" spans="1:20" x14ac:dyDescent="0.3">
      <c r="A101" s="255">
        <v>68</v>
      </c>
      <c r="B101" s="272"/>
      <c r="C101" s="273">
        <f t="shared" si="24"/>
        <v>4</v>
      </c>
      <c r="D101" s="372"/>
      <c r="E101" s="274"/>
      <c r="F101" s="273" t="str">
        <f t="shared" si="23"/>
        <v/>
      </c>
      <c r="G101" s="275" t="str">
        <f t="shared" si="23"/>
        <v/>
      </c>
      <c r="H101" s="276" t="str">
        <f t="shared" si="25"/>
        <v/>
      </c>
      <c r="I101" s="277" t="str">
        <f t="shared" si="31"/>
        <v/>
      </c>
      <c r="J101" s="276" t="str">
        <f t="shared" si="26"/>
        <v/>
      </c>
      <c r="K101" s="276">
        <f t="shared" si="27"/>
        <v>0</v>
      </c>
      <c r="L101" s="278"/>
      <c r="M101" s="279">
        <f t="shared" si="32"/>
        <v>1</v>
      </c>
      <c r="N101" s="360" t="str">
        <f t="shared" si="28"/>
        <v/>
      </c>
      <c r="O101" s="117" t="str">
        <f t="shared" si="33"/>
        <v/>
      </c>
      <c r="P101" s="359" t="str">
        <f t="shared" si="29"/>
        <v/>
      </c>
      <c r="Q101" s="280" t="str">
        <f t="shared" si="34"/>
        <v/>
      </c>
      <c r="R101" s="281"/>
      <c r="S101" s="282" t="str">
        <f t="shared" si="30"/>
        <v/>
      </c>
      <c r="T101" s="283" t="str">
        <f t="shared" si="35"/>
        <v/>
      </c>
    </row>
    <row r="102" spans="1:20" x14ac:dyDescent="0.3">
      <c r="A102" s="255">
        <v>69</v>
      </c>
      <c r="B102" s="284"/>
      <c r="C102" s="285">
        <f t="shared" si="24"/>
        <v>4</v>
      </c>
      <c r="D102" s="373"/>
      <c r="E102" s="286"/>
      <c r="F102" s="285" t="str">
        <f t="shared" si="23"/>
        <v/>
      </c>
      <c r="G102" s="287" t="str">
        <f t="shared" si="23"/>
        <v/>
      </c>
      <c r="H102" s="288" t="str">
        <f t="shared" si="25"/>
        <v/>
      </c>
      <c r="I102" s="289" t="str">
        <f t="shared" si="31"/>
        <v/>
      </c>
      <c r="J102" s="288" t="str">
        <f t="shared" si="26"/>
        <v/>
      </c>
      <c r="K102" s="288">
        <f t="shared" si="27"/>
        <v>0</v>
      </c>
      <c r="L102" s="290"/>
      <c r="M102" s="291">
        <f t="shared" si="32"/>
        <v>1</v>
      </c>
      <c r="N102" s="466" t="str">
        <f t="shared" si="28"/>
        <v/>
      </c>
      <c r="O102" s="302" t="str">
        <f t="shared" si="33"/>
        <v/>
      </c>
      <c r="P102" s="468" t="str">
        <f t="shared" si="29"/>
        <v/>
      </c>
      <c r="Q102" s="292" t="str">
        <f t="shared" si="34"/>
        <v/>
      </c>
      <c r="R102" s="293"/>
      <c r="S102" s="294" t="str">
        <f t="shared" si="30"/>
        <v/>
      </c>
      <c r="T102" s="295" t="str">
        <f t="shared" si="35"/>
        <v/>
      </c>
    </row>
    <row r="103" spans="1:20" x14ac:dyDescent="0.3">
      <c r="A103" s="255">
        <v>70</v>
      </c>
      <c r="B103" s="260"/>
      <c r="C103" s="261">
        <f t="shared" si="24"/>
        <v>4</v>
      </c>
      <c r="D103" s="371"/>
      <c r="E103" s="262"/>
      <c r="F103" s="261" t="str">
        <f t="shared" si="23"/>
        <v/>
      </c>
      <c r="G103" s="263" t="str">
        <f t="shared" si="23"/>
        <v/>
      </c>
      <c r="H103" s="264" t="str">
        <f t="shared" si="25"/>
        <v/>
      </c>
      <c r="I103" s="265" t="str">
        <f t="shared" si="31"/>
        <v/>
      </c>
      <c r="J103" s="264" t="str">
        <f t="shared" si="26"/>
        <v/>
      </c>
      <c r="K103" s="264">
        <f t="shared" si="27"/>
        <v>0</v>
      </c>
      <c r="L103" s="266"/>
      <c r="M103" s="267">
        <f t="shared" si="32"/>
        <v>1</v>
      </c>
      <c r="N103" s="465" t="str">
        <f t="shared" si="28"/>
        <v/>
      </c>
      <c r="O103" s="297" t="str">
        <f t="shared" si="33"/>
        <v/>
      </c>
      <c r="P103" s="467" t="str">
        <f t="shared" si="29"/>
        <v/>
      </c>
      <c r="Q103" s="268" t="str">
        <f t="shared" si="34"/>
        <v/>
      </c>
      <c r="R103" s="269"/>
      <c r="S103" s="270" t="str">
        <f t="shared" si="30"/>
        <v/>
      </c>
      <c r="T103" s="271" t="str">
        <f t="shared" si="35"/>
        <v/>
      </c>
    </row>
    <row r="104" spans="1:20" x14ac:dyDescent="0.3">
      <c r="A104" s="255">
        <v>71</v>
      </c>
      <c r="B104" s="272"/>
      <c r="C104" s="273">
        <f t="shared" si="24"/>
        <v>4</v>
      </c>
      <c r="D104" s="372"/>
      <c r="E104" s="274"/>
      <c r="F104" s="273" t="str">
        <f t="shared" si="23"/>
        <v/>
      </c>
      <c r="G104" s="275" t="str">
        <f t="shared" si="23"/>
        <v/>
      </c>
      <c r="H104" s="276" t="str">
        <f t="shared" si="25"/>
        <v/>
      </c>
      <c r="I104" s="277" t="str">
        <f t="shared" si="31"/>
        <v/>
      </c>
      <c r="J104" s="276" t="str">
        <f t="shared" si="26"/>
        <v/>
      </c>
      <c r="K104" s="276">
        <f t="shared" si="27"/>
        <v>0</v>
      </c>
      <c r="L104" s="278"/>
      <c r="M104" s="279">
        <f t="shared" si="32"/>
        <v>1</v>
      </c>
      <c r="N104" s="360" t="str">
        <f t="shared" si="28"/>
        <v/>
      </c>
      <c r="O104" s="117" t="str">
        <f t="shared" si="33"/>
        <v/>
      </c>
      <c r="P104" s="359" t="str">
        <f t="shared" si="29"/>
        <v/>
      </c>
      <c r="Q104" s="280" t="str">
        <f t="shared" si="34"/>
        <v/>
      </c>
      <c r="R104" s="281"/>
      <c r="S104" s="282" t="str">
        <f t="shared" si="30"/>
        <v/>
      </c>
      <c r="T104" s="283" t="str">
        <f t="shared" si="35"/>
        <v/>
      </c>
    </row>
    <row r="105" spans="1:20" x14ac:dyDescent="0.3">
      <c r="A105" s="255">
        <v>72</v>
      </c>
      <c r="B105" s="284"/>
      <c r="C105" s="285">
        <f t="shared" si="24"/>
        <v>4</v>
      </c>
      <c r="D105" s="373"/>
      <c r="E105" s="286"/>
      <c r="F105" s="285" t="str">
        <f t="shared" si="23"/>
        <v/>
      </c>
      <c r="G105" s="287" t="str">
        <f t="shared" si="23"/>
        <v/>
      </c>
      <c r="H105" s="288" t="str">
        <f t="shared" si="25"/>
        <v/>
      </c>
      <c r="I105" s="289" t="str">
        <f t="shared" si="31"/>
        <v/>
      </c>
      <c r="J105" s="288" t="str">
        <f t="shared" si="26"/>
        <v/>
      </c>
      <c r="K105" s="288">
        <f t="shared" si="27"/>
        <v>0</v>
      </c>
      <c r="L105" s="290"/>
      <c r="M105" s="291">
        <f t="shared" si="32"/>
        <v>1</v>
      </c>
      <c r="N105" s="466" t="str">
        <f t="shared" si="28"/>
        <v/>
      </c>
      <c r="O105" s="302" t="str">
        <f t="shared" si="33"/>
        <v/>
      </c>
      <c r="P105" s="468" t="str">
        <f t="shared" si="29"/>
        <v/>
      </c>
      <c r="Q105" s="292" t="str">
        <f t="shared" si="34"/>
        <v/>
      </c>
      <c r="R105" s="293"/>
      <c r="S105" s="294" t="str">
        <f t="shared" si="30"/>
        <v/>
      </c>
      <c r="T105" s="295" t="str">
        <f t="shared" si="35"/>
        <v/>
      </c>
    </row>
    <row r="106" spans="1:20" x14ac:dyDescent="0.3">
      <c r="A106" s="255">
        <v>73</v>
      </c>
      <c r="B106" s="260"/>
      <c r="C106" s="261">
        <f t="shared" si="24"/>
        <v>4</v>
      </c>
      <c r="D106" s="371"/>
      <c r="E106" s="262"/>
      <c r="F106" s="261" t="str">
        <f t="shared" si="23"/>
        <v/>
      </c>
      <c r="G106" s="263" t="str">
        <f t="shared" si="23"/>
        <v/>
      </c>
      <c r="H106" s="264" t="str">
        <f t="shared" si="25"/>
        <v/>
      </c>
      <c r="I106" s="265" t="str">
        <f t="shared" si="31"/>
        <v/>
      </c>
      <c r="J106" s="264" t="str">
        <f t="shared" si="26"/>
        <v/>
      </c>
      <c r="K106" s="264">
        <f t="shared" si="27"/>
        <v>0</v>
      </c>
      <c r="L106" s="266"/>
      <c r="M106" s="267">
        <f t="shared" si="32"/>
        <v>1</v>
      </c>
      <c r="N106" s="465" t="str">
        <f t="shared" si="28"/>
        <v/>
      </c>
      <c r="O106" s="297" t="str">
        <f t="shared" si="33"/>
        <v/>
      </c>
      <c r="P106" s="467" t="str">
        <f t="shared" si="29"/>
        <v/>
      </c>
      <c r="Q106" s="268" t="str">
        <f t="shared" si="34"/>
        <v/>
      </c>
      <c r="R106" s="269"/>
      <c r="S106" s="270" t="str">
        <f t="shared" si="30"/>
        <v/>
      </c>
      <c r="T106" s="271" t="str">
        <f t="shared" si="35"/>
        <v/>
      </c>
    </row>
    <row r="107" spans="1:20" x14ac:dyDescent="0.3">
      <c r="A107" s="255">
        <v>74</v>
      </c>
      <c r="B107" s="272"/>
      <c r="C107" s="273">
        <f t="shared" si="24"/>
        <v>4</v>
      </c>
      <c r="D107" s="372"/>
      <c r="E107" s="274"/>
      <c r="F107" s="273" t="str">
        <f t="shared" si="23"/>
        <v/>
      </c>
      <c r="G107" s="275" t="str">
        <f t="shared" si="23"/>
        <v/>
      </c>
      <c r="H107" s="276" t="str">
        <f t="shared" si="25"/>
        <v/>
      </c>
      <c r="I107" s="277" t="str">
        <f t="shared" si="31"/>
        <v/>
      </c>
      <c r="J107" s="276" t="str">
        <f t="shared" si="26"/>
        <v/>
      </c>
      <c r="K107" s="276">
        <f t="shared" si="27"/>
        <v>0</v>
      </c>
      <c r="L107" s="278"/>
      <c r="M107" s="279">
        <f t="shared" si="32"/>
        <v>1</v>
      </c>
      <c r="N107" s="360" t="str">
        <f t="shared" si="28"/>
        <v/>
      </c>
      <c r="O107" s="117" t="str">
        <f t="shared" si="33"/>
        <v/>
      </c>
      <c r="P107" s="359" t="str">
        <f t="shared" si="29"/>
        <v/>
      </c>
      <c r="Q107" s="280" t="str">
        <f t="shared" si="34"/>
        <v/>
      </c>
      <c r="R107" s="281"/>
      <c r="S107" s="282" t="str">
        <f t="shared" si="30"/>
        <v/>
      </c>
      <c r="T107" s="283" t="str">
        <f t="shared" si="35"/>
        <v/>
      </c>
    </row>
    <row r="108" spans="1:20" x14ac:dyDescent="0.3">
      <c r="A108" s="255">
        <v>75</v>
      </c>
      <c r="B108" s="284"/>
      <c r="C108" s="285">
        <f t="shared" si="24"/>
        <v>4</v>
      </c>
      <c r="D108" s="373"/>
      <c r="E108" s="286"/>
      <c r="F108" s="285" t="str">
        <f t="shared" si="23"/>
        <v/>
      </c>
      <c r="G108" s="287" t="str">
        <f t="shared" si="23"/>
        <v/>
      </c>
      <c r="H108" s="288" t="str">
        <f t="shared" si="25"/>
        <v/>
      </c>
      <c r="I108" s="289" t="str">
        <f t="shared" si="31"/>
        <v/>
      </c>
      <c r="J108" s="288" t="str">
        <f t="shared" si="26"/>
        <v/>
      </c>
      <c r="K108" s="288">
        <f t="shared" si="27"/>
        <v>0</v>
      </c>
      <c r="L108" s="290"/>
      <c r="M108" s="291">
        <f t="shared" si="32"/>
        <v>1</v>
      </c>
      <c r="N108" s="466" t="str">
        <f t="shared" si="28"/>
        <v/>
      </c>
      <c r="O108" s="302" t="str">
        <f t="shared" si="33"/>
        <v/>
      </c>
      <c r="P108" s="468" t="str">
        <f t="shared" si="29"/>
        <v/>
      </c>
      <c r="Q108" s="292" t="str">
        <f t="shared" si="34"/>
        <v/>
      </c>
      <c r="R108" s="293"/>
      <c r="S108" s="294" t="str">
        <f t="shared" si="30"/>
        <v/>
      </c>
      <c r="T108" s="295" t="str">
        <f t="shared" si="35"/>
        <v/>
      </c>
    </row>
    <row r="109" spans="1:20" x14ac:dyDescent="0.3">
      <c r="A109" s="255">
        <v>76</v>
      </c>
      <c r="B109" s="260"/>
      <c r="C109" s="261">
        <f t="shared" si="24"/>
        <v>4</v>
      </c>
      <c r="D109" s="371"/>
      <c r="E109" s="262"/>
      <c r="F109" s="261" t="str">
        <f t="shared" si="23"/>
        <v/>
      </c>
      <c r="G109" s="263" t="str">
        <f t="shared" si="23"/>
        <v/>
      </c>
      <c r="H109" s="264" t="str">
        <f t="shared" si="25"/>
        <v/>
      </c>
      <c r="I109" s="265" t="str">
        <f t="shared" si="31"/>
        <v/>
      </c>
      <c r="J109" s="264" t="str">
        <f t="shared" si="26"/>
        <v/>
      </c>
      <c r="K109" s="264">
        <f t="shared" si="27"/>
        <v>0</v>
      </c>
      <c r="L109" s="266"/>
      <c r="M109" s="267">
        <f t="shared" si="32"/>
        <v>1</v>
      </c>
      <c r="N109" s="465" t="str">
        <f t="shared" si="28"/>
        <v/>
      </c>
      <c r="O109" s="297" t="str">
        <f t="shared" si="33"/>
        <v/>
      </c>
      <c r="P109" s="467" t="str">
        <f t="shared" si="29"/>
        <v/>
      </c>
      <c r="Q109" s="268" t="str">
        <f t="shared" si="34"/>
        <v/>
      </c>
      <c r="R109" s="269"/>
      <c r="S109" s="270" t="str">
        <f t="shared" si="30"/>
        <v/>
      </c>
      <c r="T109" s="271" t="str">
        <f t="shared" si="35"/>
        <v/>
      </c>
    </row>
    <row r="110" spans="1:20" x14ac:dyDescent="0.3">
      <c r="A110" s="255">
        <v>77</v>
      </c>
      <c r="B110" s="272"/>
      <c r="C110" s="273">
        <f t="shared" si="24"/>
        <v>4</v>
      </c>
      <c r="D110" s="372"/>
      <c r="E110" s="274"/>
      <c r="F110" s="273" t="str">
        <f t="shared" si="23"/>
        <v/>
      </c>
      <c r="G110" s="275" t="str">
        <f t="shared" si="23"/>
        <v/>
      </c>
      <c r="H110" s="276" t="str">
        <f t="shared" si="25"/>
        <v/>
      </c>
      <c r="I110" s="277" t="str">
        <f t="shared" si="31"/>
        <v/>
      </c>
      <c r="J110" s="276" t="str">
        <f t="shared" si="26"/>
        <v/>
      </c>
      <c r="K110" s="276">
        <f t="shared" si="27"/>
        <v>0</v>
      </c>
      <c r="L110" s="278"/>
      <c r="M110" s="279">
        <f t="shared" si="32"/>
        <v>1</v>
      </c>
      <c r="N110" s="360" t="str">
        <f t="shared" si="28"/>
        <v/>
      </c>
      <c r="O110" s="117" t="str">
        <f t="shared" si="33"/>
        <v/>
      </c>
      <c r="P110" s="359" t="str">
        <f t="shared" si="29"/>
        <v/>
      </c>
      <c r="Q110" s="280" t="str">
        <f t="shared" si="34"/>
        <v/>
      </c>
      <c r="R110" s="281"/>
      <c r="S110" s="282" t="str">
        <f t="shared" si="30"/>
        <v/>
      </c>
      <c r="T110" s="283" t="str">
        <f t="shared" si="35"/>
        <v/>
      </c>
    </row>
    <row r="111" spans="1:20" x14ac:dyDescent="0.3">
      <c r="A111" s="255">
        <v>78</v>
      </c>
      <c r="B111" s="284"/>
      <c r="C111" s="285">
        <f t="shared" si="24"/>
        <v>4</v>
      </c>
      <c r="D111" s="373"/>
      <c r="E111" s="286"/>
      <c r="F111" s="285" t="str">
        <f t="shared" si="23"/>
        <v/>
      </c>
      <c r="G111" s="287" t="str">
        <f t="shared" si="23"/>
        <v/>
      </c>
      <c r="H111" s="288" t="str">
        <f t="shared" si="25"/>
        <v/>
      </c>
      <c r="I111" s="289" t="str">
        <f t="shared" si="31"/>
        <v/>
      </c>
      <c r="J111" s="288" t="str">
        <f t="shared" si="26"/>
        <v/>
      </c>
      <c r="K111" s="288">
        <f t="shared" si="27"/>
        <v>0</v>
      </c>
      <c r="L111" s="290"/>
      <c r="M111" s="291">
        <f t="shared" si="32"/>
        <v>1</v>
      </c>
      <c r="N111" s="466" t="str">
        <f t="shared" si="28"/>
        <v/>
      </c>
      <c r="O111" s="302" t="str">
        <f t="shared" si="33"/>
        <v/>
      </c>
      <c r="P111" s="468" t="str">
        <f t="shared" si="29"/>
        <v/>
      </c>
      <c r="Q111" s="292" t="str">
        <f t="shared" si="34"/>
        <v/>
      </c>
      <c r="R111" s="293"/>
      <c r="S111" s="294" t="str">
        <f t="shared" si="30"/>
        <v/>
      </c>
      <c r="T111" s="295" t="str">
        <f t="shared" si="35"/>
        <v/>
      </c>
    </row>
    <row r="112" spans="1:20" x14ac:dyDescent="0.3">
      <c r="A112" s="255">
        <v>79</v>
      </c>
      <c r="B112" s="260"/>
      <c r="C112" s="261">
        <f t="shared" si="24"/>
        <v>4</v>
      </c>
      <c r="D112" s="371"/>
      <c r="E112" s="262"/>
      <c r="F112" s="261" t="str">
        <f t="shared" si="23"/>
        <v/>
      </c>
      <c r="G112" s="263" t="str">
        <f t="shared" si="23"/>
        <v/>
      </c>
      <c r="H112" s="264" t="str">
        <f t="shared" si="25"/>
        <v/>
      </c>
      <c r="I112" s="265" t="str">
        <f t="shared" si="31"/>
        <v/>
      </c>
      <c r="J112" s="264" t="str">
        <f t="shared" si="26"/>
        <v/>
      </c>
      <c r="K112" s="264">
        <f t="shared" si="27"/>
        <v>0</v>
      </c>
      <c r="L112" s="266"/>
      <c r="M112" s="267">
        <f t="shared" si="32"/>
        <v>1</v>
      </c>
      <c r="N112" s="465" t="str">
        <f t="shared" si="28"/>
        <v/>
      </c>
      <c r="O112" s="297" t="str">
        <f t="shared" si="33"/>
        <v/>
      </c>
      <c r="P112" s="467" t="str">
        <f t="shared" si="29"/>
        <v/>
      </c>
      <c r="Q112" s="268" t="str">
        <f t="shared" si="34"/>
        <v/>
      </c>
      <c r="R112" s="269"/>
      <c r="S112" s="270" t="str">
        <f t="shared" si="30"/>
        <v/>
      </c>
      <c r="T112" s="271" t="str">
        <f t="shared" si="35"/>
        <v/>
      </c>
    </row>
    <row r="113" spans="1:20" x14ac:dyDescent="0.3">
      <c r="A113" s="255">
        <v>80</v>
      </c>
      <c r="B113" s="272"/>
      <c r="C113" s="273">
        <f t="shared" si="24"/>
        <v>4</v>
      </c>
      <c r="D113" s="372"/>
      <c r="E113" s="274"/>
      <c r="F113" s="273" t="str">
        <f t="shared" si="23"/>
        <v/>
      </c>
      <c r="G113" s="275" t="str">
        <f t="shared" si="23"/>
        <v/>
      </c>
      <c r="H113" s="276" t="str">
        <f t="shared" si="25"/>
        <v/>
      </c>
      <c r="I113" s="277" t="str">
        <f t="shared" si="31"/>
        <v/>
      </c>
      <c r="J113" s="276" t="str">
        <f t="shared" si="26"/>
        <v/>
      </c>
      <c r="K113" s="276">
        <f t="shared" si="27"/>
        <v>0</v>
      </c>
      <c r="L113" s="278"/>
      <c r="M113" s="279">
        <f t="shared" si="32"/>
        <v>1</v>
      </c>
      <c r="N113" s="360" t="str">
        <f t="shared" si="28"/>
        <v/>
      </c>
      <c r="O113" s="117" t="str">
        <f t="shared" si="33"/>
        <v/>
      </c>
      <c r="P113" s="359" t="str">
        <f t="shared" si="29"/>
        <v/>
      </c>
      <c r="Q113" s="280" t="str">
        <f t="shared" si="34"/>
        <v/>
      </c>
      <c r="R113" s="281"/>
      <c r="S113" s="282" t="str">
        <f t="shared" si="30"/>
        <v/>
      </c>
      <c r="T113" s="283" t="str">
        <f t="shared" si="35"/>
        <v/>
      </c>
    </row>
    <row r="114" spans="1:20" x14ac:dyDescent="0.3">
      <c r="A114" s="255">
        <v>81</v>
      </c>
      <c r="B114" s="284"/>
      <c r="C114" s="285">
        <f t="shared" si="24"/>
        <v>4</v>
      </c>
      <c r="D114" s="373"/>
      <c r="E114" s="286"/>
      <c r="F114" s="285" t="str">
        <f t="shared" ref="F114:G133" si="36">IFERROR(VLOOKUP($E114,DMFA,F$29,FALSE),"")</f>
        <v/>
      </c>
      <c r="G114" s="287" t="str">
        <f t="shared" si="36"/>
        <v/>
      </c>
      <c r="H114" s="288" t="str">
        <f t="shared" si="25"/>
        <v/>
      </c>
      <c r="I114" s="289" t="str">
        <f t="shared" si="31"/>
        <v/>
      </c>
      <c r="J114" s="288" t="str">
        <f t="shared" si="26"/>
        <v/>
      </c>
      <c r="K114" s="288">
        <f t="shared" si="27"/>
        <v>0</v>
      </c>
      <c r="L114" s="290"/>
      <c r="M114" s="291">
        <f t="shared" si="32"/>
        <v>1</v>
      </c>
      <c r="N114" s="466" t="str">
        <f t="shared" si="28"/>
        <v/>
      </c>
      <c r="O114" s="302" t="str">
        <f t="shared" si="33"/>
        <v/>
      </c>
      <c r="P114" s="468" t="str">
        <f t="shared" si="29"/>
        <v/>
      </c>
      <c r="Q114" s="292" t="str">
        <f t="shared" si="34"/>
        <v/>
      </c>
      <c r="R114" s="293"/>
      <c r="S114" s="294" t="str">
        <f t="shared" si="30"/>
        <v/>
      </c>
      <c r="T114" s="295" t="str">
        <f t="shared" si="35"/>
        <v/>
      </c>
    </row>
    <row r="115" spans="1:20" x14ac:dyDescent="0.3">
      <c r="A115" s="255">
        <v>82</v>
      </c>
      <c r="B115" s="260"/>
      <c r="C115" s="261">
        <f t="shared" si="24"/>
        <v>4</v>
      </c>
      <c r="D115" s="371"/>
      <c r="E115" s="262"/>
      <c r="F115" s="261" t="str">
        <f t="shared" si="36"/>
        <v/>
      </c>
      <c r="G115" s="263" t="str">
        <f t="shared" si="36"/>
        <v/>
      </c>
      <c r="H115" s="264" t="str">
        <f t="shared" si="25"/>
        <v/>
      </c>
      <c r="I115" s="265" t="str">
        <f t="shared" si="31"/>
        <v/>
      </c>
      <c r="J115" s="264" t="str">
        <f t="shared" si="26"/>
        <v/>
      </c>
      <c r="K115" s="264">
        <f t="shared" si="27"/>
        <v>0</v>
      </c>
      <c r="L115" s="266"/>
      <c r="M115" s="267">
        <f t="shared" si="32"/>
        <v>1</v>
      </c>
      <c r="N115" s="465" t="str">
        <f t="shared" si="28"/>
        <v/>
      </c>
      <c r="O115" s="297" t="str">
        <f t="shared" si="33"/>
        <v/>
      </c>
      <c r="P115" s="467" t="str">
        <f t="shared" si="29"/>
        <v/>
      </c>
      <c r="Q115" s="268" t="str">
        <f t="shared" si="34"/>
        <v/>
      </c>
      <c r="R115" s="269"/>
      <c r="S115" s="270" t="str">
        <f t="shared" si="30"/>
        <v/>
      </c>
      <c r="T115" s="271" t="str">
        <f t="shared" si="35"/>
        <v/>
      </c>
    </row>
    <row r="116" spans="1:20" x14ac:dyDescent="0.3">
      <c r="A116" s="255">
        <v>83</v>
      </c>
      <c r="B116" s="272"/>
      <c r="C116" s="273">
        <f t="shared" si="24"/>
        <v>4</v>
      </c>
      <c r="D116" s="372"/>
      <c r="E116" s="274"/>
      <c r="F116" s="273" t="str">
        <f t="shared" si="36"/>
        <v/>
      </c>
      <c r="G116" s="275" t="str">
        <f t="shared" si="36"/>
        <v/>
      </c>
      <c r="H116" s="276" t="str">
        <f t="shared" si="25"/>
        <v/>
      </c>
      <c r="I116" s="277" t="str">
        <f t="shared" si="31"/>
        <v/>
      </c>
      <c r="J116" s="276" t="str">
        <f t="shared" si="26"/>
        <v/>
      </c>
      <c r="K116" s="276">
        <f t="shared" si="27"/>
        <v>0</v>
      </c>
      <c r="L116" s="278"/>
      <c r="M116" s="279">
        <f t="shared" si="32"/>
        <v>1</v>
      </c>
      <c r="N116" s="360" t="str">
        <f t="shared" si="28"/>
        <v/>
      </c>
      <c r="O116" s="117" t="str">
        <f t="shared" si="33"/>
        <v/>
      </c>
      <c r="P116" s="359" t="str">
        <f t="shared" si="29"/>
        <v/>
      </c>
      <c r="Q116" s="280" t="str">
        <f t="shared" si="34"/>
        <v/>
      </c>
      <c r="R116" s="281"/>
      <c r="S116" s="282" t="str">
        <f t="shared" si="30"/>
        <v/>
      </c>
      <c r="T116" s="283" t="str">
        <f t="shared" si="35"/>
        <v/>
      </c>
    </row>
    <row r="117" spans="1:20" x14ac:dyDescent="0.3">
      <c r="A117" s="255">
        <v>84</v>
      </c>
      <c r="B117" s="284"/>
      <c r="C117" s="285">
        <f t="shared" si="24"/>
        <v>4</v>
      </c>
      <c r="D117" s="373"/>
      <c r="E117" s="286"/>
      <c r="F117" s="285" t="str">
        <f t="shared" si="36"/>
        <v/>
      </c>
      <c r="G117" s="287" t="str">
        <f t="shared" si="36"/>
        <v/>
      </c>
      <c r="H117" s="288" t="str">
        <f t="shared" si="25"/>
        <v/>
      </c>
      <c r="I117" s="289" t="str">
        <f t="shared" si="31"/>
        <v/>
      </c>
      <c r="J117" s="288" t="str">
        <f t="shared" si="26"/>
        <v/>
      </c>
      <c r="K117" s="288">
        <f t="shared" si="27"/>
        <v>0</v>
      </c>
      <c r="L117" s="290"/>
      <c r="M117" s="291">
        <f t="shared" si="32"/>
        <v>1</v>
      </c>
      <c r="N117" s="466" t="str">
        <f t="shared" si="28"/>
        <v/>
      </c>
      <c r="O117" s="302" t="str">
        <f t="shared" si="33"/>
        <v/>
      </c>
      <c r="P117" s="468" t="str">
        <f t="shared" si="29"/>
        <v/>
      </c>
      <c r="Q117" s="292" t="str">
        <f t="shared" si="34"/>
        <v/>
      </c>
      <c r="R117" s="293"/>
      <c r="S117" s="294" t="str">
        <f t="shared" si="30"/>
        <v/>
      </c>
      <c r="T117" s="295" t="str">
        <f t="shared" si="35"/>
        <v/>
      </c>
    </row>
    <row r="118" spans="1:20" x14ac:dyDescent="0.3">
      <c r="A118" s="255">
        <v>85</v>
      </c>
      <c r="B118" s="260"/>
      <c r="C118" s="261">
        <f t="shared" si="24"/>
        <v>4</v>
      </c>
      <c r="D118" s="371"/>
      <c r="E118" s="262"/>
      <c r="F118" s="261" t="str">
        <f t="shared" si="36"/>
        <v/>
      </c>
      <c r="G118" s="263" t="str">
        <f t="shared" si="36"/>
        <v/>
      </c>
      <c r="H118" s="264" t="str">
        <f t="shared" si="25"/>
        <v/>
      </c>
      <c r="I118" s="265" t="str">
        <f t="shared" si="31"/>
        <v/>
      </c>
      <c r="J118" s="264" t="str">
        <f t="shared" si="26"/>
        <v/>
      </c>
      <c r="K118" s="264">
        <f t="shared" si="27"/>
        <v>0</v>
      </c>
      <c r="L118" s="266"/>
      <c r="M118" s="267">
        <f t="shared" si="32"/>
        <v>1</v>
      </c>
      <c r="N118" s="465" t="str">
        <f t="shared" si="28"/>
        <v/>
      </c>
      <c r="O118" s="297" t="str">
        <f t="shared" si="33"/>
        <v/>
      </c>
      <c r="P118" s="467" t="str">
        <f t="shared" si="29"/>
        <v/>
      </c>
      <c r="Q118" s="268" t="str">
        <f t="shared" si="34"/>
        <v/>
      </c>
      <c r="R118" s="269"/>
      <c r="S118" s="270" t="str">
        <f t="shared" si="30"/>
        <v/>
      </c>
      <c r="T118" s="271" t="str">
        <f t="shared" si="35"/>
        <v/>
      </c>
    </row>
    <row r="119" spans="1:20" x14ac:dyDescent="0.3">
      <c r="A119" s="255">
        <v>86</v>
      </c>
      <c r="B119" s="272"/>
      <c r="C119" s="273">
        <f t="shared" si="24"/>
        <v>4</v>
      </c>
      <c r="D119" s="372"/>
      <c r="E119" s="274"/>
      <c r="F119" s="273" t="str">
        <f t="shared" si="36"/>
        <v/>
      </c>
      <c r="G119" s="275" t="str">
        <f t="shared" si="36"/>
        <v/>
      </c>
      <c r="H119" s="276" t="str">
        <f t="shared" si="25"/>
        <v/>
      </c>
      <c r="I119" s="277" t="str">
        <f t="shared" si="31"/>
        <v/>
      </c>
      <c r="J119" s="276" t="str">
        <f t="shared" si="26"/>
        <v/>
      </c>
      <c r="K119" s="276">
        <f t="shared" si="27"/>
        <v>0</v>
      </c>
      <c r="L119" s="278"/>
      <c r="M119" s="279">
        <f t="shared" si="32"/>
        <v>1</v>
      </c>
      <c r="N119" s="360" t="str">
        <f t="shared" si="28"/>
        <v/>
      </c>
      <c r="O119" s="117" t="str">
        <f t="shared" si="33"/>
        <v/>
      </c>
      <c r="P119" s="359" t="str">
        <f t="shared" si="29"/>
        <v/>
      </c>
      <c r="Q119" s="280" t="str">
        <f t="shared" si="34"/>
        <v/>
      </c>
      <c r="R119" s="281"/>
      <c r="S119" s="282" t="str">
        <f t="shared" si="30"/>
        <v/>
      </c>
      <c r="T119" s="283" t="str">
        <f t="shared" si="35"/>
        <v/>
      </c>
    </row>
    <row r="120" spans="1:20" x14ac:dyDescent="0.3">
      <c r="A120" s="259">
        <v>87</v>
      </c>
      <c r="B120" s="284"/>
      <c r="C120" s="285">
        <f t="shared" si="24"/>
        <v>4</v>
      </c>
      <c r="D120" s="373"/>
      <c r="E120" s="286"/>
      <c r="F120" s="285" t="str">
        <f t="shared" si="36"/>
        <v/>
      </c>
      <c r="G120" s="287" t="str">
        <f t="shared" si="36"/>
        <v/>
      </c>
      <c r="H120" s="288" t="str">
        <f t="shared" si="25"/>
        <v/>
      </c>
      <c r="I120" s="289" t="str">
        <f t="shared" si="31"/>
        <v/>
      </c>
      <c r="J120" s="288" t="str">
        <f t="shared" si="26"/>
        <v/>
      </c>
      <c r="K120" s="288">
        <f t="shared" si="27"/>
        <v>0</v>
      </c>
      <c r="L120" s="290"/>
      <c r="M120" s="291">
        <f t="shared" si="32"/>
        <v>1</v>
      </c>
      <c r="N120" s="466" t="str">
        <f t="shared" si="28"/>
        <v/>
      </c>
      <c r="O120" s="302" t="str">
        <f t="shared" si="33"/>
        <v/>
      </c>
      <c r="P120" s="468" t="str">
        <f t="shared" si="29"/>
        <v/>
      </c>
      <c r="Q120" s="292" t="str">
        <f t="shared" si="34"/>
        <v/>
      </c>
      <c r="R120" s="293"/>
      <c r="S120" s="294" t="str">
        <f t="shared" si="30"/>
        <v/>
      </c>
      <c r="T120" s="295" t="str">
        <f t="shared" si="35"/>
        <v/>
      </c>
    </row>
    <row r="121" spans="1:20" x14ac:dyDescent="0.3">
      <c r="A121" s="255">
        <v>88</v>
      </c>
      <c r="B121" s="260"/>
      <c r="C121" s="261">
        <f t="shared" si="24"/>
        <v>4</v>
      </c>
      <c r="D121" s="371"/>
      <c r="E121" s="262"/>
      <c r="F121" s="261" t="str">
        <f t="shared" si="36"/>
        <v/>
      </c>
      <c r="G121" s="263" t="str">
        <f t="shared" si="36"/>
        <v/>
      </c>
      <c r="H121" s="264" t="str">
        <f t="shared" si="25"/>
        <v/>
      </c>
      <c r="I121" s="265" t="str">
        <f t="shared" si="31"/>
        <v/>
      </c>
      <c r="J121" s="264" t="str">
        <f t="shared" si="26"/>
        <v/>
      </c>
      <c r="K121" s="264">
        <f t="shared" si="27"/>
        <v>0</v>
      </c>
      <c r="L121" s="266"/>
      <c r="M121" s="267">
        <f t="shared" si="32"/>
        <v>1</v>
      </c>
      <c r="N121" s="465" t="str">
        <f t="shared" si="28"/>
        <v/>
      </c>
      <c r="O121" s="297" t="str">
        <f t="shared" si="33"/>
        <v/>
      </c>
      <c r="P121" s="467" t="str">
        <f t="shared" si="29"/>
        <v/>
      </c>
      <c r="Q121" s="268" t="str">
        <f t="shared" si="34"/>
        <v/>
      </c>
      <c r="R121" s="269"/>
      <c r="S121" s="270" t="str">
        <f t="shared" si="30"/>
        <v/>
      </c>
      <c r="T121" s="271" t="str">
        <f t="shared" si="35"/>
        <v/>
      </c>
    </row>
    <row r="122" spans="1:20" x14ac:dyDescent="0.3">
      <c r="A122" s="255">
        <v>89</v>
      </c>
      <c r="B122" s="272"/>
      <c r="C122" s="273">
        <f t="shared" si="24"/>
        <v>4</v>
      </c>
      <c r="D122" s="372"/>
      <c r="E122" s="274"/>
      <c r="F122" s="273" t="str">
        <f t="shared" si="36"/>
        <v/>
      </c>
      <c r="G122" s="275" t="str">
        <f t="shared" si="36"/>
        <v/>
      </c>
      <c r="H122" s="276" t="str">
        <f t="shared" si="25"/>
        <v/>
      </c>
      <c r="I122" s="277" t="str">
        <f t="shared" si="31"/>
        <v/>
      </c>
      <c r="J122" s="276" t="str">
        <f t="shared" si="26"/>
        <v/>
      </c>
      <c r="K122" s="276">
        <f t="shared" si="27"/>
        <v>0</v>
      </c>
      <c r="L122" s="278"/>
      <c r="M122" s="279">
        <f t="shared" si="32"/>
        <v>1</v>
      </c>
      <c r="N122" s="360" t="str">
        <f t="shared" si="28"/>
        <v/>
      </c>
      <c r="O122" s="117" t="str">
        <f t="shared" si="33"/>
        <v/>
      </c>
      <c r="P122" s="359" t="str">
        <f t="shared" si="29"/>
        <v/>
      </c>
      <c r="Q122" s="280" t="str">
        <f t="shared" si="34"/>
        <v/>
      </c>
      <c r="R122" s="281"/>
      <c r="S122" s="282" t="str">
        <f t="shared" si="30"/>
        <v/>
      </c>
      <c r="T122" s="283" t="str">
        <f t="shared" si="35"/>
        <v/>
      </c>
    </row>
    <row r="123" spans="1:20" x14ac:dyDescent="0.3">
      <c r="A123" s="255">
        <v>90</v>
      </c>
      <c r="B123" s="284"/>
      <c r="C123" s="285">
        <f t="shared" si="24"/>
        <v>4</v>
      </c>
      <c r="D123" s="373"/>
      <c r="E123" s="286"/>
      <c r="F123" s="285" t="str">
        <f t="shared" si="36"/>
        <v/>
      </c>
      <c r="G123" s="287" t="str">
        <f t="shared" si="36"/>
        <v/>
      </c>
      <c r="H123" s="288" t="str">
        <f t="shared" si="25"/>
        <v/>
      </c>
      <c r="I123" s="289" t="str">
        <f t="shared" si="31"/>
        <v/>
      </c>
      <c r="J123" s="288" t="str">
        <f t="shared" si="26"/>
        <v/>
      </c>
      <c r="K123" s="288">
        <f t="shared" si="27"/>
        <v>0</v>
      </c>
      <c r="L123" s="290"/>
      <c r="M123" s="291">
        <f t="shared" si="32"/>
        <v>1</v>
      </c>
      <c r="N123" s="466" t="str">
        <f t="shared" si="28"/>
        <v/>
      </c>
      <c r="O123" s="302" t="str">
        <f t="shared" si="33"/>
        <v/>
      </c>
      <c r="P123" s="468" t="str">
        <f t="shared" si="29"/>
        <v/>
      </c>
      <c r="Q123" s="292" t="str">
        <f t="shared" si="34"/>
        <v/>
      </c>
      <c r="R123" s="293"/>
      <c r="S123" s="294" t="str">
        <f t="shared" si="30"/>
        <v/>
      </c>
      <c r="T123" s="295" t="str">
        <f t="shared" si="35"/>
        <v/>
      </c>
    </row>
    <row r="124" spans="1:20" x14ac:dyDescent="0.3">
      <c r="A124" s="255">
        <v>91</v>
      </c>
      <c r="B124" s="260"/>
      <c r="C124" s="261">
        <f t="shared" si="24"/>
        <v>4</v>
      </c>
      <c r="D124" s="371"/>
      <c r="E124" s="262"/>
      <c r="F124" s="261" t="str">
        <f t="shared" si="36"/>
        <v/>
      </c>
      <c r="G124" s="263" t="str">
        <f t="shared" si="36"/>
        <v/>
      </c>
      <c r="H124" s="264" t="str">
        <f t="shared" si="25"/>
        <v/>
      </c>
      <c r="I124" s="265" t="str">
        <f t="shared" si="31"/>
        <v/>
      </c>
      <c r="J124" s="264" t="str">
        <f t="shared" si="26"/>
        <v/>
      </c>
      <c r="K124" s="264">
        <f t="shared" si="27"/>
        <v>0</v>
      </c>
      <c r="L124" s="266"/>
      <c r="M124" s="267">
        <f t="shared" si="32"/>
        <v>1</v>
      </c>
      <c r="N124" s="465" t="str">
        <f t="shared" si="28"/>
        <v/>
      </c>
      <c r="O124" s="297" t="str">
        <f t="shared" si="33"/>
        <v/>
      </c>
      <c r="P124" s="467" t="str">
        <f t="shared" si="29"/>
        <v/>
      </c>
      <c r="Q124" s="268" t="str">
        <f t="shared" si="34"/>
        <v/>
      </c>
      <c r="R124" s="269"/>
      <c r="S124" s="270" t="str">
        <f t="shared" si="30"/>
        <v/>
      </c>
      <c r="T124" s="271" t="str">
        <f t="shared" si="35"/>
        <v/>
      </c>
    </row>
    <row r="125" spans="1:20" x14ac:dyDescent="0.3">
      <c r="A125" s="255">
        <v>92</v>
      </c>
      <c r="B125" s="272"/>
      <c r="C125" s="273">
        <f t="shared" si="24"/>
        <v>4</v>
      </c>
      <c r="D125" s="372"/>
      <c r="E125" s="274"/>
      <c r="F125" s="273" t="str">
        <f t="shared" si="36"/>
        <v/>
      </c>
      <c r="G125" s="275" t="str">
        <f t="shared" si="36"/>
        <v/>
      </c>
      <c r="H125" s="276" t="str">
        <f t="shared" si="25"/>
        <v/>
      </c>
      <c r="I125" s="277" t="str">
        <f t="shared" si="31"/>
        <v/>
      </c>
      <c r="J125" s="276" t="str">
        <f t="shared" si="26"/>
        <v/>
      </c>
      <c r="K125" s="276">
        <f t="shared" si="27"/>
        <v>0</v>
      </c>
      <c r="L125" s="278"/>
      <c r="M125" s="279">
        <f t="shared" si="32"/>
        <v>1</v>
      </c>
      <c r="N125" s="360" t="str">
        <f t="shared" si="28"/>
        <v/>
      </c>
      <c r="O125" s="117" t="str">
        <f t="shared" si="33"/>
        <v/>
      </c>
      <c r="P125" s="359" t="str">
        <f t="shared" si="29"/>
        <v/>
      </c>
      <c r="Q125" s="280" t="str">
        <f t="shared" si="34"/>
        <v/>
      </c>
      <c r="R125" s="281"/>
      <c r="S125" s="282" t="str">
        <f t="shared" si="30"/>
        <v/>
      </c>
      <c r="T125" s="283" t="str">
        <f t="shared" si="35"/>
        <v/>
      </c>
    </row>
    <row r="126" spans="1:20" x14ac:dyDescent="0.3">
      <c r="A126" s="255">
        <v>93</v>
      </c>
      <c r="B126" s="284"/>
      <c r="C126" s="285">
        <f t="shared" si="24"/>
        <v>4</v>
      </c>
      <c r="D126" s="373"/>
      <c r="E126" s="286"/>
      <c r="F126" s="285" t="str">
        <f t="shared" si="36"/>
        <v/>
      </c>
      <c r="G126" s="287" t="str">
        <f t="shared" si="36"/>
        <v/>
      </c>
      <c r="H126" s="288" t="str">
        <f t="shared" si="25"/>
        <v/>
      </c>
      <c r="I126" s="289" t="str">
        <f t="shared" si="31"/>
        <v/>
      </c>
      <c r="J126" s="288" t="str">
        <f t="shared" si="26"/>
        <v/>
      </c>
      <c r="K126" s="288">
        <f t="shared" si="27"/>
        <v>0</v>
      </c>
      <c r="L126" s="290"/>
      <c r="M126" s="291">
        <f t="shared" si="32"/>
        <v>1</v>
      </c>
      <c r="N126" s="466" t="str">
        <f t="shared" si="28"/>
        <v/>
      </c>
      <c r="O126" s="302" t="str">
        <f t="shared" si="33"/>
        <v/>
      </c>
      <c r="P126" s="468" t="str">
        <f t="shared" si="29"/>
        <v/>
      </c>
      <c r="Q126" s="292" t="str">
        <f t="shared" si="34"/>
        <v/>
      </c>
      <c r="R126" s="293"/>
      <c r="S126" s="294" t="str">
        <f t="shared" si="30"/>
        <v/>
      </c>
      <c r="T126" s="295" t="str">
        <f t="shared" si="35"/>
        <v/>
      </c>
    </row>
    <row r="127" spans="1:20" x14ac:dyDescent="0.3">
      <c r="A127" s="255">
        <v>94</v>
      </c>
      <c r="B127" s="260"/>
      <c r="C127" s="261">
        <f t="shared" si="24"/>
        <v>4</v>
      </c>
      <c r="D127" s="371"/>
      <c r="E127" s="262"/>
      <c r="F127" s="261" t="str">
        <f t="shared" si="36"/>
        <v/>
      </c>
      <c r="G127" s="263" t="str">
        <f t="shared" si="36"/>
        <v/>
      </c>
      <c r="H127" s="264" t="str">
        <f t="shared" si="25"/>
        <v/>
      </c>
      <c r="I127" s="265" t="str">
        <f t="shared" si="31"/>
        <v/>
      </c>
      <c r="J127" s="264" t="str">
        <f t="shared" si="26"/>
        <v/>
      </c>
      <c r="K127" s="264">
        <f t="shared" si="27"/>
        <v>0</v>
      </c>
      <c r="L127" s="266"/>
      <c r="M127" s="267">
        <f t="shared" si="32"/>
        <v>1</v>
      </c>
      <c r="N127" s="465" t="str">
        <f t="shared" si="28"/>
        <v/>
      </c>
      <c r="O127" s="297" t="str">
        <f t="shared" si="33"/>
        <v/>
      </c>
      <c r="P127" s="467" t="str">
        <f t="shared" si="29"/>
        <v/>
      </c>
      <c r="Q127" s="268" t="str">
        <f t="shared" si="34"/>
        <v/>
      </c>
      <c r="R127" s="269"/>
      <c r="S127" s="270" t="str">
        <f t="shared" si="30"/>
        <v/>
      </c>
      <c r="T127" s="271" t="str">
        <f t="shared" si="35"/>
        <v/>
      </c>
    </row>
    <row r="128" spans="1:20" x14ac:dyDescent="0.3">
      <c r="A128" s="255">
        <v>95</v>
      </c>
      <c r="B128" s="272"/>
      <c r="C128" s="273">
        <f t="shared" si="24"/>
        <v>4</v>
      </c>
      <c r="D128" s="372"/>
      <c r="E128" s="274"/>
      <c r="F128" s="273" t="str">
        <f t="shared" si="36"/>
        <v/>
      </c>
      <c r="G128" s="275" t="str">
        <f t="shared" si="36"/>
        <v/>
      </c>
      <c r="H128" s="276" t="str">
        <f t="shared" si="25"/>
        <v/>
      </c>
      <c r="I128" s="277" t="str">
        <f t="shared" si="31"/>
        <v/>
      </c>
      <c r="J128" s="276" t="str">
        <f t="shared" si="26"/>
        <v/>
      </c>
      <c r="K128" s="276">
        <f t="shared" si="27"/>
        <v>0</v>
      </c>
      <c r="L128" s="278"/>
      <c r="M128" s="279">
        <f t="shared" si="32"/>
        <v>1</v>
      </c>
      <c r="N128" s="360" t="str">
        <f t="shared" si="28"/>
        <v/>
      </c>
      <c r="O128" s="117" t="str">
        <f t="shared" si="33"/>
        <v/>
      </c>
      <c r="P128" s="359" t="str">
        <f t="shared" si="29"/>
        <v/>
      </c>
      <c r="Q128" s="280" t="str">
        <f t="shared" si="34"/>
        <v/>
      </c>
      <c r="R128" s="281"/>
      <c r="S128" s="282" t="str">
        <f t="shared" si="30"/>
        <v/>
      </c>
      <c r="T128" s="283" t="str">
        <f t="shared" si="35"/>
        <v/>
      </c>
    </row>
    <row r="129" spans="1:20" x14ac:dyDescent="0.3">
      <c r="A129" s="255">
        <v>96</v>
      </c>
      <c r="B129" s="284"/>
      <c r="C129" s="285">
        <f t="shared" si="24"/>
        <v>4</v>
      </c>
      <c r="D129" s="373"/>
      <c r="E129" s="286"/>
      <c r="F129" s="285" t="str">
        <f t="shared" si="36"/>
        <v/>
      </c>
      <c r="G129" s="287" t="str">
        <f t="shared" si="36"/>
        <v/>
      </c>
      <c r="H129" s="288" t="str">
        <f t="shared" si="25"/>
        <v/>
      </c>
      <c r="I129" s="289" t="str">
        <f t="shared" si="31"/>
        <v/>
      </c>
      <c r="J129" s="288" t="str">
        <f t="shared" si="26"/>
        <v/>
      </c>
      <c r="K129" s="288">
        <f t="shared" si="27"/>
        <v>0</v>
      </c>
      <c r="L129" s="290"/>
      <c r="M129" s="291">
        <f t="shared" si="32"/>
        <v>1</v>
      </c>
      <c r="N129" s="466" t="str">
        <f t="shared" si="28"/>
        <v/>
      </c>
      <c r="O129" s="302" t="str">
        <f t="shared" si="33"/>
        <v/>
      </c>
      <c r="P129" s="468" t="str">
        <f t="shared" si="29"/>
        <v/>
      </c>
      <c r="Q129" s="292" t="str">
        <f t="shared" si="34"/>
        <v/>
      </c>
      <c r="R129" s="293"/>
      <c r="S129" s="294" t="str">
        <f t="shared" si="30"/>
        <v/>
      </c>
      <c r="T129" s="295" t="str">
        <f t="shared" si="35"/>
        <v/>
      </c>
    </row>
    <row r="130" spans="1:20" x14ac:dyDescent="0.3">
      <c r="A130" s="255">
        <v>97</v>
      </c>
      <c r="B130" s="260"/>
      <c r="C130" s="261">
        <f t="shared" ref="C130:C161" si="37">IF(B130="DI",1,IF(B130="RI",2,IF(B130="FT",3,4)))</f>
        <v>4</v>
      </c>
      <c r="D130" s="371"/>
      <c r="E130" s="262"/>
      <c r="F130" s="261" t="str">
        <f t="shared" si="36"/>
        <v/>
      </c>
      <c r="G130" s="263" t="str">
        <f t="shared" si="36"/>
        <v/>
      </c>
      <c r="H130" s="264" t="str">
        <f t="shared" ref="H130:H161" si="38">IF(COUNTIF($E$34:$E$183,E130)=0,"",COUNTIF($E$34:$E$183,E130))</f>
        <v/>
      </c>
      <c r="I130" s="265" t="str">
        <f t="shared" si="31"/>
        <v/>
      </c>
      <c r="J130" s="264" t="str">
        <f t="shared" ref="J130:J161" si="39">IF(I130="","",TEXT(I130/G130,"0.0 %"))</f>
        <v/>
      </c>
      <c r="K130" s="264">
        <f t="shared" ref="K130:K161" si="40">IF(C130=1,$J$16,IF(C130=2,$J$17,IF(C130=3,$J$18,0)))</f>
        <v>0</v>
      </c>
      <c r="L130" s="266"/>
      <c r="M130" s="267">
        <f t="shared" si="32"/>
        <v>1</v>
      </c>
      <c r="N130" s="465" t="str">
        <f t="shared" ref="N130:N161" si="41">IFERROR(MAX(_xlfn.CEILING.MATH(SQRT(I130/(M130*INDEX($D$16:$D$18,C130)))*12,INDEX($J$16:$J$18,C130)),INDEX($L$16:$L$18,C130)),"")</f>
        <v/>
      </c>
      <c r="O130" s="297" t="str">
        <f t="shared" si="33"/>
        <v/>
      </c>
      <c r="P130" s="467" t="str">
        <f t="shared" ref="P130:P161" si="42">IFERROR(MAX(_xlfn.CEILING.MATH(SQRT((I130*M130)/INDEX($D$16:$D$18,C130))*12,INDEX($J$16:$J$18,C130)),INDEX($L$16:$L$18,C130)),"")</f>
        <v/>
      </c>
      <c r="Q130" s="268" t="str">
        <f t="shared" si="34"/>
        <v/>
      </c>
      <c r="R130" s="269"/>
      <c r="S130" s="270" t="str">
        <f t="shared" ref="S130:S161" si="43">IF(C130=1,$S$15,IF(C130=2,IF(N130&gt;=P130,"FL","FS"),IF(C130=3,IF(OR(N130=12,P130=12),$S$16,IF(AND(N130=24,P130=24),$S$17,IF(OR(AND(N130=24,P130=48),AND(N130=48,P130=24)),$S$18,IF(I130="","","N/A")))),"")))</f>
        <v/>
      </c>
      <c r="T130" s="271" t="str">
        <f t="shared" si="35"/>
        <v/>
      </c>
    </row>
    <row r="131" spans="1:20" x14ac:dyDescent="0.3">
      <c r="A131" s="255">
        <v>98</v>
      </c>
      <c r="B131" s="272"/>
      <c r="C131" s="273">
        <f t="shared" si="37"/>
        <v>4</v>
      </c>
      <c r="D131" s="372"/>
      <c r="E131" s="274"/>
      <c r="F131" s="273" t="str">
        <f t="shared" si="36"/>
        <v/>
      </c>
      <c r="G131" s="275" t="str">
        <f t="shared" si="36"/>
        <v/>
      </c>
      <c r="H131" s="276" t="str">
        <f t="shared" si="38"/>
        <v/>
      </c>
      <c r="I131" s="277" t="str">
        <f t="shared" si="31"/>
        <v/>
      </c>
      <c r="J131" s="276" t="str">
        <f t="shared" si="39"/>
        <v/>
      </c>
      <c r="K131" s="276">
        <f t="shared" si="40"/>
        <v>0</v>
      </c>
      <c r="L131" s="278"/>
      <c r="M131" s="279">
        <f t="shared" si="32"/>
        <v>1</v>
      </c>
      <c r="N131" s="360" t="str">
        <f t="shared" si="41"/>
        <v/>
      </c>
      <c r="O131" s="117" t="str">
        <f t="shared" si="33"/>
        <v/>
      </c>
      <c r="P131" s="359" t="str">
        <f t="shared" si="42"/>
        <v/>
      </c>
      <c r="Q131" s="280" t="str">
        <f t="shared" si="34"/>
        <v/>
      </c>
      <c r="R131" s="281"/>
      <c r="S131" s="282" t="str">
        <f t="shared" si="43"/>
        <v/>
      </c>
      <c r="T131" s="283" t="str">
        <f t="shared" si="35"/>
        <v/>
      </c>
    </row>
    <row r="132" spans="1:20" x14ac:dyDescent="0.3">
      <c r="A132" s="255">
        <v>99</v>
      </c>
      <c r="B132" s="284"/>
      <c r="C132" s="285">
        <f t="shared" si="37"/>
        <v>4</v>
      </c>
      <c r="D132" s="373"/>
      <c r="E132" s="286"/>
      <c r="F132" s="285" t="str">
        <f t="shared" si="36"/>
        <v/>
      </c>
      <c r="G132" s="287" t="str">
        <f t="shared" si="36"/>
        <v/>
      </c>
      <c r="H132" s="288" t="str">
        <f t="shared" si="38"/>
        <v/>
      </c>
      <c r="I132" s="289" t="str">
        <f t="shared" si="31"/>
        <v/>
      </c>
      <c r="J132" s="288" t="str">
        <f t="shared" si="39"/>
        <v/>
      </c>
      <c r="K132" s="288">
        <f t="shared" si="40"/>
        <v>0</v>
      </c>
      <c r="L132" s="290"/>
      <c r="M132" s="291">
        <f t="shared" si="32"/>
        <v>1</v>
      </c>
      <c r="N132" s="466" t="str">
        <f t="shared" si="41"/>
        <v/>
      </c>
      <c r="O132" s="302" t="str">
        <f t="shared" si="33"/>
        <v/>
      </c>
      <c r="P132" s="468" t="str">
        <f t="shared" si="42"/>
        <v/>
      </c>
      <c r="Q132" s="292" t="str">
        <f t="shared" si="34"/>
        <v/>
      </c>
      <c r="R132" s="293"/>
      <c r="S132" s="294" t="str">
        <f t="shared" si="43"/>
        <v/>
      </c>
      <c r="T132" s="295" t="str">
        <f t="shared" si="35"/>
        <v/>
      </c>
    </row>
    <row r="133" spans="1:20" x14ac:dyDescent="0.3">
      <c r="A133" s="255">
        <v>100</v>
      </c>
      <c r="B133" s="260"/>
      <c r="C133" s="261">
        <f t="shared" si="37"/>
        <v>4</v>
      </c>
      <c r="D133" s="371"/>
      <c r="E133" s="262"/>
      <c r="F133" s="261" t="str">
        <f t="shared" si="36"/>
        <v/>
      </c>
      <c r="G133" s="263" t="str">
        <f t="shared" si="36"/>
        <v/>
      </c>
      <c r="H133" s="264" t="str">
        <f t="shared" si="38"/>
        <v/>
      </c>
      <c r="I133" s="265" t="str">
        <f t="shared" si="31"/>
        <v/>
      </c>
      <c r="J133" s="264" t="str">
        <f t="shared" si="39"/>
        <v/>
      </c>
      <c r="K133" s="264">
        <f t="shared" si="40"/>
        <v>0</v>
      </c>
      <c r="L133" s="266"/>
      <c r="M133" s="267">
        <f t="shared" si="32"/>
        <v>1</v>
      </c>
      <c r="N133" s="465" t="str">
        <f t="shared" si="41"/>
        <v/>
      </c>
      <c r="O133" s="297" t="str">
        <f t="shared" si="33"/>
        <v/>
      </c>
      <c r="P133" s="467" t="str">
        <f t="shared" si="42"/>
        <v/>
      </c>
      <c r="Q133" s="268" t="str">
        <f t="shared" si="34"/>
        <v/>
      </c>
      <c r="R133" s="269"/>
      <c r="S133" s="270" t="str">
        <f t="shared" si="43"/>
        <v/>
      </c>
      <c r="T133" s="271" t="str">
        <f t="shared" si="35"/>
        <v/>
      </c>
    </row>
    <row r="134" spans="1:20" x14ac:dyDescent="0.3">
      <c r="A134" s="255">
        <v>101</v>
      </c>
      <c r="B134" s="272"/>
      <c r="C134" s="273">
        <f t="shared" si="37"/>
        <v>4</v>
      </c>
      <c r="D134" s="372"/>
      <c r="E134" s="274"/>
      <c r="F134" s="273" t="str">
        <f t="shared" ref="F134:G153" si="44">IFERROR(VLOOKUP($E134,DMFA,F$29,FALSE),"")</f>
        <v/>
      </c>
      <c r="G134" s="275" t="str">
        <f t="shared" si="44"/>
        <v/>
      </c>
      <c r="H134" s="276" t="str">
        <f t="shared" si="38"/>
        <v/>
      </c>
      <c r="I134" s="277" t="str">
        <f t="shared" si="31"/>
        <v/>
      </c>
      <c r="J134" s="276" t="str">
        <f t="shared" si="39"/>
        <v/>
      </c>
      <c r="K134" s="276">
        <f t="shared" si="40"/>
        <v>0</v>
      </c>
      <c r="L134" s="278"/>
      <c r="M134" s="279">
        <f t="shared" si="32"/>
        <v>1</v>
      </c>
      <c r="N134" s="360" t="str">
        <f t="shared" si="41"/>
        <v/>
      </c>
      <c r="O134" s="117" t="str">
        <f t="shared" si="33"/>
        <v/>
      </c>
      <c r="P134" s="359" t="str">
        <f t="shared" si="42"/>
        <v/>
      </c>
      <c r="Q134" s="280" t="str">
        <f t="shared" si="34"/>
        <v/>
      </c>
      <c r="R134" s="281"/>
      <c r="S134" s="282" t="str">
        <f t="shared" si="43"/>
        <v/>
      </c>
      <c r="T134" s="283" t="str">
        <f t="shared" si="35"/>
        <v/>
      </c>
    </row>
    <row r="135" spans="1:20" x14ac:dyDescent="0.3">
      <c r="A135" s="255">
        <v>102</v>
      </c>
      <c r="B135" s="284"/>
      <c r="C135" s="285">
        <f t="shared" si="37"/>
        <v>4</v>
      </c>
      <c r="D135" s="373"/>
      <c r="E135" s="286"/>
      <c r="F135" s="285" t="str">
        <f t="shared" si="44"/>
        <v/>
      </c>
      <c r="G135" s="287" t="str">
        <f t="shared" si="44"/>
        <v/>
      </c>
      <c r="H135" s="288" t="str">
        <f t="shared" si="38"/>
        <v/>
      </c>
      <c r="I135" s="289" t="str">
        <f t="shared" si="31"/>
        <v/>
      </c>
      <c r="J135" s="288" t="str">
        <f t="shared" si="39"/>
        <v/>
      </c>
      <c r="K135" s="288">
        <f t="shared" si="40"/>
        <v>0</v>
      </c>
      <c r="L135" s="290"/>
      <c r="M135" s="291">
        <f t="shared" si="32"/>
        <v>1</v>
      </c>
      <c r="N135" s="466" t="str">
        <f t="shared" si="41"/>
        <v/>
      </c>
      <c r="O135" s="302" t="str">
        <f t="shared" si="33"/>
        <v/>
      </c>
      <c r="P135" s="468" t="str">
        <f t="shared" si="42"/>
        <v/>
      </c>
      <c r="Q135" s="292" t="str">
        <f t="shared" si="34"/>
        <v/>
      </c>
      <c r="R135" s="293"/>
      <c r="S135" s="294" t="str">
        <f t="shared" si="43"/>
        <v/>
      </c>
      <c r="T135" s="295" t="str">
        <f t="shared" si="35"/>
        <v/>
      </c>
    </row>
    <row r="136" spans="1:20" x14ac:dyDescent="0.3">
      <c r="A136" s="255">
        <v>103</v>
      </c>
      <c r="B136" s="260"/>
      <c r="C136" s="261">
        <f t="shared" si="37"/>
        <v>4</v>
      </c>
      <c r="D136" s="371"/>
      <c r="E136" s="262"/>
      <c r="F136" s="261" t="str">
        <f t="shared" si="44"/>
        <v/>
      </c>
      <c r="G136" s="263" t="str">
        <f t="shared" si="44"/>
        <v/>
      </c>
      <c r="H136" s="264" t="str">
        <f t="shared" si="38"/>
        <v/>
      </c>
      <c r="I136" s="265" t="str">
        <f t="shared" si="31"/>
        <v/>
      </c>
      <c r="J136" s="264" t="str">
        <f t="shared" si="39"/>
        <v/>
      </c>
      <c r="K136" s="264">
        <f t="shared" si="40"/>
        <v>0</v>
      </c>
      <c r="L136" s="266"/>
      <c r="M136" s="267">
        <f t="shared" si="32"/>
        <v>1</v>
      </c>
      <c r="N136" s="465" t="str">
        <f t="shared" si="41"/>
        <v/>
      </c>
      <c r="O136" s="297" t="str">
        <f t="shared" si="33"/>
        <v/>
      </c>
      <c r="P136" s="467" t="str">
        <f t="shared" si="42"/>
        <v/>
      </c>
      <c r="Q136" s="268" t="str">
        <f t="shared" si="34"/>
        <v/>
      </c>
      <c r="R136" s="269"/>
      <c r="S136" s="270" t="str">
        <f t="shared" si="43"/>
        <v/>
      </c>
      <c r="T136" s="271" t="str">
        <f t="shared" si="35"/>
        <v/>
      </c>
    </row>
    <row r="137" spans="1:20" x14ac:dyDescent="0.3">
      <c r="A137" s="255">
        <v>104</v>
      </c>
      <c r="B137" s="272"/>
      <c r="C137" s="273">
        <f t="shared" si="37"/>
        <v>4</v>
      </c>
      <c r="D137" s="372"/>
      <c r="E137" s="274"/>
      <c r="F137" s="273" t="str">
        <f t="shared" si="44"/>
        <v/>
      </c>
      <c r="G137" s="275" t="str">
        <f t="shared" si="44"/>
        <v/>
      </c>
      <c r="H137" s="276" t="str">
        <f t="shared" si="38"/>
        <v/>
      </c>
      <c r="I137" s="277" t="str">
        <f t="shared" si="31"/>
        <v/>
      </c>
      <c r="J137" s="276" t="str">
        <f t="shared" si="39"/>
        <v/>
      </c>
      <c r="K137" s="276">
        <f t="shared" si="40"/>
        <v>0</v>
      </c>
      <c r="L137" s="278"/>
      <c r="M137" s="279">
        <f t="shared" si="32"/>
        <v>1</v>
      </c>
      <c r="N137" s="360" t="str">
        <f t="shared" si="41"/>
        <v/>
      </c>
      <c r="O137" s="117" t="str">
        <f t="shared" si="33"/>
        <v/>
      </c>
      <c r="P137" s="359" t="str">
        <f t="shared" si="42"/>
        <v/>
      </c>
      <c r="Q137" s="280" t="str">
        <f t="shared" si="34"/>
        <v/>
      </c>
      <c r="R137" s="281"/>
      <c r="S137" s="282" t="str">
        <f t="shared" si="43"/>
        <v/>
      </c>
      <c r="T137" s="283" t="str">
        <f t="shared" si="35"/>
        <v/>
      </c>
    </row>
    <row r="138" spans="1:20" x14ac:dyDescent="0.3">
      <c r="A138" s="255">
        <v>105</v>
      </c>
      <c r="B138" s="284"/>
      <c r="C138" s="285">
        <f t="shared" si="37"/>
        <v>4</v>
      </c>
      <c r="D138" s="373"/>
      <c r="E138" s="286"/>
      <c r="F138" s="285" t="str">
        <f t="shared" si="44"/>
        <v/>
      </c>
      <c r="G138" s="287" t="str">
        <f t="shared" si="44"/>
        <v/>
      </c>
      <c r="H138" s="288" t="str">
        <f t="shared" si="38"/>
        <v/>
      </c>
      <c r="I138" s="289" t="str">
        <f t="shared" si="31"/>
        <v/>
      </c>
      <c r="J138" s="288" t="str">
        <f t="shared" si="39"/>
        <v/>
      </c>
      <c r="K138" s="288">
        <f t="shared" si="40"/>
        <v>0</v>
      </c>
      <c r="L138" s="290"/>
      <c r="M138" s="291">
        <f t="shared" si="32"/>
        <v>1</v>
      </c>
      <c r="N138" s="466" t="str">
        <f t="shared" si="41"/>
        <v/>
      </c>
      <c r="O138" s="302" t="str">
        <f t="shared" si="33"/>
        <v/>
      </c>
      <c r="P138" s="468" t="str">
        <f t="shared" si="42"/>
        <v/>
      </c>
      <c r="Q138" s="292" t="str">
        <f t="shared" si="34"/>
        <v/>
      </c>
      <c r="R138" s="293"/>
      <c r="S138" s="294" t="str">
        <f t="shared" si="43"/>
        <v/>
      </c>
      <c r="T138" s="295" t="str">
        <f t="shared" si="35"/>
        <v/>
      </c>
    </row>
    <row r="139" spans="1:20" x14ac:dyDescent="0.3">
      <c r="A139" s="255">
        <v>106</v>
      </c>
      <c r="B139" s="260"/>
      <c r="C139" s="261">
        <f t="shared" si="37"/>
        <v>4</v>
      </c>
      <c r="D139" s="371"/>
      <c r="E139" s="262"/>
      <c r="F139" s="261" t="str">
        <f t="shared" si="44"/>
        <v/>
      </c>
      <c r="G139" s="263" t="str">
        <f t="shared" si="44"/>
        <v/>
      </c>
      <c r="H139" s="264" t="str">
        <f t="shared" si="38"/>
        <v/>
      </c>
      <c r="I139" s="265" t="str">
        <f t="shared" si="31"/>
        <v/>
      </c>
      <c r="J139" s="264" t="str">
        <f t="shared" si="39"/>
        <v/>
      </c>
      <c r="K139" s="264">
        <f t="shared" si="40"/>
        <v>0</v>
      </c>
      <c r="L139" s="266"/>
      <c r="M139" s="267">
        <f t="shared" si="32"/>
        <v>1</v>
      </c>
      <c r="N139" s="465" t="str">
        <f t="shared" si="41"/>
        <v/>
      </c>
      <c r="O139" s="297" t="str">
        <f t="shared" si="33"/>
        <v/>
      </c>
      <c r="P139" s="467" t="str">
        <f t="shared" si="42"/>
        <v/>
      </c>
      <c r="Q139" s="268" t="str">
        <f t="shared" si="34"/>
        <v/>
      </c>
      <c r="R139" s="269"/>
      <c r="S139" s="270" t="str">
        <f t="shared" si="43"/>
        <v/>
      </c>
      <c r="T139" s="271" t="str">
        <f t="shared" si="35"/>
        <v/>
      </c>
    </row>
    <row r="140" spans="1:20" x14ac:dyDescent="0.3">
      <c r="A140" s="255">
        <v>107</v>
      </c>
      <c r="B140" s="272"/>
      <c r="C140" s="273">
        <f t="shared" si="37"/>
        <v>4</v>
      </c>
      <c r="D140" s="372"/>
      <c r="E140" s="274"/>
      <c r="F140" s="273" t="str">
        <f t="shared" si="44"/>
        <v/>
      </c>
      <c r="G140" s="275" t="str">
        <f t="shared" si="44"/>
        <v/>
      </c>
      <c r="H140" s="276" t="str">
        <f t="shared" si="38"/>
        <v/>
      </c>
      <c r="I140" s="277" t="str">
        <f t="shared" si="31"/>
        <v/>
      </c>
      <c r="J140" s="276" t="str">
        <f t="shared" si="39"/>
        <v/>
      </c>
      <c r="K140" s="276">
        <f t="shared" si="40"/>
        <v>0</v>
      </c>
      <c r="L140" s="278"/>
      <c r="M140" s="279">
        <f t="shared" si="32"/>
        <v>1</v>
      </c>
      <c r="N140" s="360" t="str">
        <f t="shared" si="41"/>
        <v/>
      </c>
      <c r="O140" s="117" t="str">
        <f t="shared" si="33"/>
        <v/>
      </c>
      <c r="P140" s="359" t="str">
        <f t="shared" si="42"/>
        <v/>
      </c>
      <c r="Q140" s="280" t="str">
        <f t="shared" si="34"/>
        <v/>
      </c>
      <c r="R140" s="281"/>
      <c r="S140" s="282" t="str">
        <f t="shared" si="43"/>
        <v/>
      </c>
      <c r="T140" s="283" t="str">
        <f t="shared" si="35"/>
        <v/>
      </c>
    </row>
    <row r="141" spans="1:20" x14ac:dyDescent="0.3">
      <c r="A141" s="255">
        <v>108</v>
      </c>
      <c r="B141" s="284"/>
      <c r="C141" s="285">
        <f t="shared" si="37"/>
        <v>4</v>
      </c>
      <c r="D141" s="373"/>
      <c r="E141" s="286"/>
      <c r="F141" s="285" t="str">
        <f t="shared" si="44"/>
        <v/>
      </c>
      <c r="G141" s="287" t="str">
        <f t="shared" si="44"/>
        <v/>
      </c>
      <c r="H141" s="288" t="str">
        <f t="shared" si="38"/>
        <v/>
      </c>
      <c r="I141" s="289" t="str">
        <f t="shared" si="31"/>
        <v/>
      </c>
      <c r="J141" s="288" t="str">
        <f t="shared" si="39"/>
        <v/>
      </c>
      <c r="K141" s="288">
        <f t="shared" si="40"/>
        <v>0</v>
      </c>
      <c r="L141" s="290"/>
      <c r="M141" s="291">
        <f t="shared" si="32"/>
        <v>1</v>
      </c>
      <c r="N141" s="466" t="str">
        <f t="shared" si="41"/>
        <v/>
      </c>
      <c r="O141" s="302" t="str">
        <f t="shared" si="33"/>
        <v/>
      </c>
      <c r="P141" s="468" t="str">
        <f t="shared" si="42"/>
        <v/>
      </c>
      <c r="Q141" s="292" t="str">
        <f t="shared" si="34"/>
        <v/>
      </c>
      <c r="R141" s="293"/>
      <c r="S141" s="294" t="str">
        <f t="shared" si="43"/>
        <v/>
      </c>
      <c r="T141" s="295" t="str">
        <f t="shared" si="35"/>
        <v/>
      </c>
    </row>
    <row r="142" spans="1:20" x14ac:dyDescent="0.3">
      <c r="A142" s="255">
        <v>109</v>
      </c>
      <c r="B142" s="260"/>
      <c r="C142" s="261">
        <f t="shared" si="37"/>
        <v>4</v>
      </c>
      <c r="D142" s="371"/>
      <c r="E142" s="262"/>
      <c r="F142" s="261" t="str">
        <f t="shared" si="44"/>
        <v/>
      </c>
      <c r="G142" s="263" t="str">
        <f t="shared" si="44"/>
        <v/>
      </c>
      <c r="H142" s="264" t="str">
        <f t="shared" si="38"/>
        <v/>
      </c>
      <c r="I142" s="265" t="str">
        <f t="shared" si="31"/>
        <v/>
      </c>
      <c r="J142" s="264" t="str">
        <f t="shared" si="39"/>
        <v/>
      </c>
      <c r="K142" s="264">
        <f t="shared" si="40"/>
        <v>0</v>
      </c>
      <c r="L142" s="266"/>
      <c r="M142" s="267">
        <f t="shared" si="32"/>
        <v>1</v>
      </c>
      <c r="N142" s="465" t="str">
        <f t="shared" si="41"/>
        <v/>
      </c>
      <c r="O142" s="297" t="str">
        <f t="shared" si="33"/>
        <v/>
      </c>
      <c r="P142" s="467" t="str">
        <f t="shared" si="42"/>
        <v/>
      </c>
      <c r="Q142" s="268" t="str">
        <f t="shared" si="34"/>
        <v/>
      </c>
      <c r="R142" s="269"/>
      <c r="S142" s="270" t="str">
        <f t="shared" si="43"/>
        <v/>
      </c>
      <c r="T142" s="271" t="str">
        <f t="shared" si="35"/>
        <v/>
      </c>
    </row>
    <row r="143" spans="1:20" x14ac:dyDescent="0.3">
      <c r="A143" s="255">
        <v>110</v>
      </c>
      <c r="B143" s="272"/>
      <c r="C143" s="273">
        <f t="shared" si="37"/>
        <v>4</v>
      </c>
      <c r="D143" s="372"/>
      <c r="E143" s="274"/>
      <c r="F143" s="273" t="str">
        <f t="shared" si="44"/>
        <v/>
      </c>
      <c r="G143" s="275" t="str">
        <f t="shared" si="44"/>
        <v/>
      </c>
      <c r="H143" s="276" t="str">
        <f t="shared" si="38"/>
        <v/>
      </c>
      <c r="I143" s="277" t="str">
        <f t="shared" si="31"/>
        <v/>
      </c>
      <c r="J143" s="276" t="str">
        <f t="shared" si="39"/>
        <v/>
      </c>
      <c r="K143" s="276">
        <f t="shared" si="40"/>
        <v>0</v>
      </c>
      <c r="L143" s="278"/>
      <c r="M143" s="279">
        <f t="shared" si="32"/>
        <v>1</v>
      </c>
      <c r="N143" s="360" t="str">
        <f t="shared" si="41"/>
        <v/>
      </c>
      <c r="O143" s="117" t="str">
        <f t="shared" si="33"/>
        <v/>
      </c>
      <c r="P143" s="359" t="str">
        <f t="shared" si="42"/>
        <v/>
      </c>
      <c r="Q143" s="280" t="str">
        <f t="shared" si="34"/>
        <v/>
      </c>
      <c r="R143" s="281"/>
      <c r="S143" s="282" t="str">
        <f t="shared" si="43"/>
        <v/>
      </c>
      <c r="T143" s="283" t="str">
        <f t="shared" si="35"/>
        <v/>
      </c>
    </row>
    <row r="144" spans="1:20" x14ac:dyDescent="0.3">
      <c r="A144" s="255">
        <v>111</v>
      </c>
      <c r="B144" s="284"/>
      <c r="C144" s="285">
        <f t="shared" si="37"/>
        <v>4</v>
      </c>
      <c r="D144" s="373"/>
      <c r="E144" s="286"/>
      <c r="F144" s="285" t="str">
        <f t="shared" si="44"/>
        <v/>
      </c>
      <c r="G144" s="287" t="str">
        <f t="shared" si="44"/>
        <v/>
      </c>
      <c r="H144" s="288" t="str">
        <f t="shared" si="38"/>
        <v/>
      </c>
      <c r="I144" s="289" t="str">
        <f t="shared" si="31"/>
        <v/>
      </c>
      <c r="J144" s="288" t="str">
        <f t="shared" si="39"/>
        <v/>
      </c>
      <c r="K144" s="288">
        <f t="shared" si="40"/>
        <v>0</v>
      </c>
      <c r="L144" s="290"/>
      <c r="M144" s="291">
        <f t="shared" si="32"/>
        <v>1</v>
      </c>
      <c r="N144" s="466" t="str">
        <f t="shared" si="41"/>
        <v/>
      </c>
      <c r="O144" s="302" t="str">
        <f t="shared" si="33"/>
        <v/>
      </c>
      <c r="P144" s="468" t="str">
        <f t="shared" si="42"/>
        <v/>
      </c>
      <c r="Q144" s="292" t="str">
        <f t="shared" si="34"/>
        <v/>
      </c>
      <c r="R144" s="293"/>
      <c r="S144" s="294" t="str">
        <f t="shared" si="43"/>
        <v/>
      </c>
      <c r="T144" s="295" t="str">
        <f t="shared" si="35"/>
        <v/>
      </c>
    </row>
    <row r="145" spans="1:20" x14ac:dyDescent="0.3">
      <c r="A145" s="255">
        <v>112</v>
      </c>
      <c r="B145" s="260"/>
      <c r="C145" s="261">
        <f t="shared" si="37"/>
        <v>4</v>
      </c>
      <c r="D145" s="371"/>
      <c r="E145" s="262"/>
      <c r="F145" s="261" t="str">
        <f t="shared" si="44"/>
        <v/>
      </c>
      <c r="G145" s="263" t="str">
        <f t="shared" si="44"/>
        <v/>
      </c>
      <c r="H145" s="264" t="str">
        <f t="shared" si="38"/>
        <v/>
      </c>
      <c r="I145" s="265" t="str">
        <f t="shared" si="31"/>
        <v/>
      </c>
      <c r="J145" s="264" t="str">
        <f t="shared" si="39"/>
        <v/>
      </c>
      <c r="K145" s="264">
        <f t="shared" si="40"/>
        <v>0</v>
      </c>
      <c r="L145" s="266"/>
      <c r="M145" s="267">
        <f t="shared" si="32"/>
        <v>1</v>
      </c>
      <c r="N145" s="465" t="str">
        <f t="shared" si="41"/>
        <v/>
      </c>
      <c r="O145" s="297" t="str">
        <f t="shared" si="33"/>
        <v/>
      </c>
      <c r="P145" s="467" t="str">
        <f t="shared" si="42"/>
        <v/>
      </c>
      <c r="Q145" s="268" t="str">
        <f t="shared" si="34"/>
        <v/>
      </c>
      <c r="R145" s="269"/>
      <c r="S145" s="270" t="str">
        <f t="shared" si="43"/>
        <v/>
      </c>
      <c r="T145" s="271" t="str">
        <f t="shared" si="35"/>
        <v/>
      </c>
    </row>
    <row r="146" spans="1:20" x14ac:dyDescent="0.3">
      <c r="A146" s="255">
        <v>113</v>
      </c>
      <c r="B146" s="272"/>
      <c r="C146" s="273">
        <f t="shared" si="37"/>
        <v>4</v>
      </c>
      <c r="D146" s="372"/>
      <c r="E146" s="274"/>
      <c r="F146" s="273" t="str">
        <f t="shared" si="44"/>
        <v/>
      </c>
      <c r="G146" s="275" t="str">
        <f t="shared" si="44"/>
        <v/>
      </c>
      <c r="H146" s="276" t="str">
        <f t="shared" si="38"/>
        <v/>
      </c>
      <c r="I146" s="277" t="str">
        <f t="shared" si="31"/>
        <v/>
      </c>
      <c r="J146" s="276" t="str">
        <f t="shared" si="39"/>
        <v/>
      </c>
      <c r="K146" s="276">
        <f t="shared" si="40"/>
        <v>0</v>
      </c>
      <c r="L146" s="278"/>
      <c r="M146" s="279">
        <f t="shared" si="32"/>
        <v>1</v>
      </c>
      <c r="N146" s="360" t="str">
        <f t="shared" si="41"/>
        <v/>
      </c>
      <c r="O146" s="117" t="str">
        <f t="shared" si="33"/>
        <v/>
      </c>
      <c r="P146" s="359" t="str">
        <f t="shared" si="42"/>
        <v/>
      </c>
      <c r="Q146" s="280" t="str">
        <f t="shared" si="34"/>
        <v/>
      </c>
      <c r="R146" s="281"/>
      <c r="S146" s="282" t="str">
        <f t="shared" si="43"/>
        <v/>
      </c>
      <c r="T146" s="283" t="str">
        <f t="shared" si="35"/>
        <v/>
      </c>
    </row>
    <row r="147" spans="1:20" x14ac:dyDescent="0.3">
      <c r="A147" s="255">
        <v>114</v>
      </c>
      <c r="B147" s="284"/>
      <c r="C147" s="285">
        <f t="shared" si="37"/>
        <v>4</v>
      </c>
      <c r="D147" s="373"/>
      <c r="E147" s="286"/>
      <c r="F147" s="285" t="str">
        <f t="shared" si="44"/>
        <v/>
      </c>
      <c r="G147" s="287" t="str">
        <f t="shared" si="44"/>
        <v/>
      </c>
      <c r="H147" s="288" t="str">
        <f t="shared" si="38"/>
        <v/>
      </c>
      <c r="I147" s="289" t="str">
        <f t="shared" si="31"/>
        <v/>
      </c>
      <c r="J147" s="288" t="str">
        <f t="shared" si="39"/>
        <v/>
      </c>
      <c r="K147" s="288">
        <f t="shared" si="40"/>
        <v>0</v>
      </c>
      <c r="L147" s="290"/>
      <c r="M147" s="291">
        <f t="shared" si="32"/>
        <v>1</v>
      </c>
      <c r="N147" s="466" t="str">
        <f t="shared" si="41"/>
        <v/>
      </c>
      <c r="O147" s="302" t="str">
        <f t="shared" si="33"/>
        <v/>
      </c>
      <c r="P147" s="468" t="str">
        <f t="shared" si="42"/>
        <v/>
      </c>
      <c r="Q147" s="292" t="str">
        <f t="shared" si="34"/>
        <v/>
      </c>
      <c r="R147" s="293"/>
      <c r="S147" s="294" t="str">
        <f t="shared" si="43"/>
        <v/>
      </c>
      <c r="T147" s="295" t="str">
        <f t="shared" si="35"/>
        <v/>
      </c>
    </row>
    <row r="148" spans="1:20" x14ac:dyDescent="0.3">
      <c r="A148" s="255">
        <v>115</v>
      </c>
      <c r="B148" s="260"/>
      <c r="C148" s="261">
        <f t="shared" si="37"/>
        <v>4</v>
      </c>
      <c r="D148" s="371"/>
      <c r="E148" s="262"/>
      <c r="F148" s="261" t="str">
        <f t="shared" si="44"/>
        <v/>
      </c>
      <c r="G148" s="263" t="str">
        <f t="shared" si="44"/>
        <v/>
      </c>
      <c r="H148" s="264" t="str">
        <f t="shared" si="38"/>
        <v/>
      </c>
      <c r="I148" s="265" t="str">
        <f t="shared" si="31"/>
        <v/>
      </c>
      <c r="J148" s="264" t="str">
        <f t="shared" si="39"/>
        <v/>
      </c>
      <c r="K148" s="264">
        <f t="shared" si="40"/>
        <v>0</v>
      </c>
      <c r="L148" s="266"/>
      <c r="M148" s="267">
        <f t="shared" si="32"/>
        <v>1</v>
      </c>
      <c r="N148" s="465" t="str">
        <f t="shared" si="41"/>
        <v/>
      </c>
      <c r="O148" s="297" t="str">
        <f t="shared" si="33"/>
        <v/>
      </c>
      <c r="P148" s="467" t="str">
        <f t="shared" si="42"/>
        <v/>
      </c>
      <c r="Q148" s="268" t="str">
        <f t="shared" si="34"/>
        <v/>
      </c>
      <c r="R148" s="269"/>
      <c r="S148" s="270" t="str">
        <f t="shared" si="43"/>
        <v/>
      </c>
      <c r="T148" s="271" t="str">
        <f t="shared" si="35"/>
        <v/>
      </c>
    </row>
    <row r="149" spans="1:20" x14ac:dyDescent="0.3">
      <c r="A149" s="255">
        <v>116</v>
      </c>
      <c r="B149" s="272"/>
      <c r="C149" s="273">
        <f t="shared" si="37"/>
        <v>4</v>
      </c>
      <c r="D149" s="372"/>
      <c r="E149" s="274"/>
      <c r="F149" s="273" t="str">
        <f t="shared" si="44"/>
        <v/>
      </c>
      <c r="G149" s="275" t="str">
        <f t="shared" si="44"/>
        <v/>
      </c>
      <c r="H149" s="276" t="str">
        <f t="shared" si="38"/>
        <v/>
      </c>
      <c r="I149" s="277" t="str">
        <f t="shared" si="31"/>
        <v/>
      </c>
      <c r="J149" s="276" t="str">
        <f t="shared" si="39"/>
        <v/>
      </c>
      <c r="K149" s="276">
        <f t="shared" si="40"/>
        <v>0</v>
      </c>
      <c r="L149" s="278"/>
      <c r="M149" s="279">
        <f t="shared" si="32"/>
        <v>1</v>
      </c>
      <c r="N149" s="360" t="str">
        <f t="shared" si="41"/>
        <v/>
      </c>
      <c r="O149" s="117" t="str">
        <f t="shared" si="33"/>
        <v/>
      </c>
      <c r="P149" s="359" t="str">
        <f t="shared" si="42"/>
        <v/>
      </c>
      <c r="Q149" s="280" t="str">
        <f t="shared" si="34"/>
        <v/>
      </c>
      <c r="R149" s="281"/>
      <c r="S149" s="282" t="str">
        <f t="shared" si="43"/>
        <v/>
      </c>
      <c r="T149" s="283" t="str">
        <f t="shared" si="35"/>
        <v/>
      </c>
    </row>
    <row r="150" spans="1:20" x14ac:dyDescent="0.3">
      <c r="A150" s="255">
        <v>117</v>
      </c>
      <c r="B150" s="284"/>
      <c r="C150" s="285">
        <f t="shared" si="37"/>
        <v>4</v>
      </c>
      <c r="D150" s="373"/>
      <c r="E150" s="286"/>
      <c r="F150" s="285" t="str">
        <f t="shared" si="44"/>
        <v/>
      </c>
      <c r="G150" s="287" t="str">
        <f t="shared" si="44"/>
        <v/>
      </c>
      <c r="H150" s="288" t="str">
        <f t="shared" si="38"/>
        <v/>
      </c>
      <c r="I150" s="289" t="str">
        <f t="shared" si="31"/>
        <v/>
      </c>
      <c r="J150" s="288" t="str">
        <f t="shared" si="39"/>
        <v/>
      </c>
      <c r="K150" s="288">
        <f t="shared" si="40"/>
        <v>0</v>
      </c>
      <c r="L150" s="290"/>
      <c r="M150" s="291">
        <f t="shared" si="32"/>
        <v>1</v>
      </c>
      <c r="N150" s="466" t="str">
        <f t="shared" si="41"/>
        <v/>
      </c>
      <c r="O150" s="302" t="str">
        <f t="shared" si="33"/>
        <v/>
      </c>
      <c r="P150" s="468" t="str">
        <f t="shared" si="42"/>
        <v/>
      </c>
      <c r="Q150" s="292" t="str">
        <f t="shared" si="34"/>
        <v/>
      </c>
      <c r="R150" s="293"/>
      <c r="S150" s="294" t="str">
        <f t="shared" si="43"/>
        <v/>
      </c>
      <c r="T150" s="295" t="str">
        <f t="shared" si="35"/>
        <v/>
      </c>
    </row>
    <row r="151" spans="1:20" x14ac:dyDescent="0.3">
      <c r="A151" s="255">
        <v>118</v>
      </c>
      <c r="B151" s="260"/>
      <c r="C151" s="261">
        <f t="shared" si="37"/>
        <v>4</v>
      </c>
      <c r="D151" s="371"/>
      <c r="E151" s="262"/>
      <c r="F151" s="261" t="str">
        <f t="shared" si="44"/>
        <v/>
      </c>
      <c r="G151" s="263" t="str">
        <f t="shared" si="44"/>
        <v/>
      </c>
      <c r="H151" s="264" t="str">
        <f t="shared" si="38"/>
        <v/>
      </c>
      <c r="I151" s="265" t="str">
        <f t="shared" si="31"/>
        <v/>
      </c>
      <c r="J151" s="264" t="str">
        <f t="shared" si="39"/>
        <v/>
      </c>
      <c r="K151" s="264">
        <f t="shared" si="40"/>
        <v>0</v>
      </c>
      <c r="L151" s="266"/>
      <c r="M151" s="267">
        <f t="shared" si="32"/>
        <v>1</v>
      </c>
      <c r="N151" s="465" t="str">
        <f t="shared" si="41"/>
        <v/>
      </c>
      <c r="O151" s="297" t="str">
        <f t="shared" si="33"/>
        <v/>
      </c>
      <c r="P151" s="467" t="str">
        <f t="shared" si="42"/>
        <v/>
      </c>
      <c r="Q151" s="268" t="str">
        <f t="shared" si="34"/>
        <v/>
      </c>
      <c r="R151" s="269"/>
      <c r="S151" s="270" t="str">
        <f t="shared" si="43"/>
        <v/>
      </c>
      <c r="T151" s="271" t="str">
        <f t="shared" si="35"/>
        <v/>
      </c>
    </row>
    <row r="152" spans="1:20" x14ac:dyDescent="0.3">
      <c r="A152" s="255">
        <v>119</v>
      </c>
      <c r="B152" s="272"/>
      <c r="C152" s="273">
        <f t="shared" si="37"/>
        <v>4</v>
      </c>
      <c r="D152" s="372"/>
      <c r="E152" s="274"/>
      <c r="F152" s="273" t="str">
        <f t="shared" si="44"/>
        <v/>
      </c>
      <c r="G152" s="275" t="str">
        <f t="shared" si="44"/>
        <v/>
      </c>
      <c r="H152" s="276" t="str">
        <f t="shared" si="38"/>
        <v/>
      </c>
      <c r="I152" s="277" t="str">
        <f t="shared" si="31"/>
        <v/>
      </c>
      <c r="J152" s="276" t="str">
        <f t="shared" si="39"/>
        <v/>
      </c>
      <c r="K152" s="276">
        <f t="shared" si="40"/>
        <v>0</v>
      </c>
      <c r="L152" s="278"/>
      <c r="M152" s="279">
        <f t="shared" si="32"/>
        <v>1</v>
      </c>
      <c r="N152" s="360" t="str">
        <f t="shared" si="41"/>
        <v/>
      </c>
      <c r="O152" s="117" t="str">
        <f t="shared" si="33"/>
        <v/>
      </c>
      <c r="P152" s="359" t="str">
        <f t="shared" si="42"/>
        <v/>
      </c>
      <c r="Q152" s="280" t="str">
        <f t="shared" si="34"/>
        <v/>
      </c>
      <c r="R152" s="281"/>
      <c r="S152" s="282" t="str">
        <f t="shared" si="43"/>
        <v/>
      </c>
      <c r="T152" s="283" t="str">
        <f t="shared" si="35"/>
        <v/>
      </c>
    </row>
    <row r="153" spans="1:20" x14ac:dyDescent="0.3">
      <c r="A153" s="255">
        <v>120</v>
      </c>
      <c r="B153" s="284"/>
      <c r="C153" s="285">
        <f t="shared" si="37"/>
        <v>4</v>
      </c>
      <c r="D153" s="373"/>
      <c r="E153" s="286"/>
      <c r="F153" s="285" t="str">
        <f t="shared" si="44"/>
        <v/>
      </c>
      <c r="G153" s="287" t="str">
        <f t="shared" si="44"/>
        <v/>
      </c>
      <c r="H153" s="288" t="str">
        <f t="shared" si="38"/>
        <v/>
      </c>
      <c r="I153" s="289" t="str">
        <f t="shared" si="31"/>
        <v/>
      </c>
      <c r="J153" s="288" t="str">
        <f t="shared" si="39"/>
        <v/>
      </c>
      <c r="K153" s="288">
        <f t="shared" si="40"/>
        <v>0</v>
      </c>
      <c r="L153" s="290"/>
      <c r="M153" s="291">
        <f t="shared" si="32"/>
        <v>1</v>
      </c>
      <c r="N153" s="466" t="str">
        <f t="shared" si="41"/>
        <v/>
      </c>
      <c r="O153" s="302" t="str">
        <f t="shared" si="33"/>
        <v/>
      </c>
      <c r="P153" s="468" t="str">
        <f t="shared" si="42"/>
        <v/>
      </c>
      <c r="Q153" s="292" t="str">
        <f t="shared" si="34"/>
        <v/>
      </c>
      <c r="R153" s="293"/>
      <c r="S153" s="294" t="str">
        <f t="shared" si="43"/>
        <v/>
      </c>
      <c r="T153" s="295" t="str">
        <f t="shared" si="35"/>
        <v/>
      </c>
    </row>
    <row r="154" spans="1:20" x14ac:dyDescent="0.3">
      <c r="A154" s="255">
        <v>121</v>
      </c>
      <c r="B154" s="260"/>
      <c r="C154" s="261">
        <f t="shared" si="37"/>
        <v>4</v>
      </c>
      <c r="D154" s="371"/>
      <c r="E154" s="262"/>
      <c r="F154" s="261" t="str">
        <f t="shared" ref="F154:G173" si="45">IFERROR(VLOOKUP($E154,DMFA,F$29,FALSE),"")</f>
        <v/>
      </c>
      <c r="G154" s="263" t="str">
        <f t="shared" si="45"/>
        <v/>
      </c>
      <c r="H154" s="264" t="str">
        <f t="shared" si="38"/>
        <v/>
      </c>
      <c r="I154" s="265" t="str">
        <f t="shared" si="31"/>
        <v/>
      </c>
      <c r="J154" s="264" t="str">
        <f t="shared" si="39"/>
        <v/>
      </c>
      <c r="K154" s="264">
        <f t="shared" si="40"/>
        <v>0</v>
      </c>
      <c r="L154" s="266"/>
      <c r="M154" s="267">
        <f t="shared" si="32"/>
        <v>1</v>
      </c>
      <c r="N154" s="465" t="str">
        <f t="shared" si="41"/>
        <v/>
      </c>
      <c r="O154" s="297" t="str">
        <f t="shared" si="33"/>
        <v/>
      </c>
      <c r="P154" s="467" t="str">
        <f t="shared" si="42"/>
        <v/>
      </c>
      <c r="Q154" s="268" t="str">
        <f t="shared" si="34"/>
        <v/>
      </c>
      <c r="R154" s="269"/>
      <c r="S154" s="270" t="str">
        <f t="shared" si="43"/>
        <v/>
      </c>
      <c r="T154" s="271" t="str">
        <f t="shared" si="35"/>
        <v/>
      </c>
    </row>
    <row r="155" spans="1:20" x14ac:dyDescent="0.3">
      <c r="A155" s="255">
        <v>122</v>
      </c>
      <c r="B155" s="272"/>
      <c r="C155" s="273">
        <f t="shared" si="37"/>
        <v>4</v>
      </c>
      <c r="D155" s="372"/>
      <c r="E155" s="274"/>
      <c r="F155" s="273" t="str">
        <f t="shared" si="45"/>
        <v/>
      </c>
      <c r="G155" s="275" t="str">
        <f t="shared" si="45"/>
        <v/>
      </c>
      <c r="H155" s="276" t="str">
        <f t="shared" si="38"/>
        <v/>
      </c>
      <c r="I155" s="277" t="str">
        <f t="shared" si="31"/>
        <v/>
      </c>
      <c r="J155" s="276" t="str">
        <f t="shared" si="39"/>
        <v/>
      </c>
      <c r="K155" s="276">
        <f t="shared" si="40"/>
        <v>0</v>
      </c>
      <c r="L155" s="278"/>
      <c r="M155" s="279">
        <f t="shared" si="32"/>
        <v>1</v>
      </c>
      <c r="N155" s="360" t="str">
        <f t="shared" si="41"/>
        <v/>
      </c>
      <c r="O155" s="117" t="str">
        <f t="shared" si="33"/>
        <v/>
      </c>
      <c r="P155" s="359" t="str">
        <f t="shared" si="42"/>
        <v/>
      </c>
      <c r="Q155" s="280" t="str">
        <f t="shared" si="34"/>
        <v/>
      </c>
      <c r="R155" s="281"/>
      <c r="S155" s="282" t="str">
        <f t="shared" si="43"/>
        <v/>
      </c>
      <c r="T155" s="283" t="str">
        <f t="shared" si="35"/>
        <v/>
      </c>
    </row>
    <row r="156" spans="1:20" x14ac:dyDescent="0.3">
      <c r="A156" s="255">
        <v>123</v>
      </c>
      <c r="B156" s="284"/>
      <c r="C156" s="285">
        <f t="shared" si="37"/>
        <v>4</v>
      </c>
      <c r="D156" s="373"/>
      <c r="E156" s="286"/>
      <c r="F156" s="285" t="str">
        <f t="shared" si="45"/>
        <v/>
      </c>
      <c r="G156" s="287" t="str">
        <f t="shared" si="45"/>
        <v/>
      </c>
      <c r="H156" s="288" t="str">
        <f t="shared" si="38"/>
        <v/>
      </c>
      <c r="I156" s="289" t="str">
        <f t="shared" si="31"/>
        <v/>
      </c>
      <c r="J156" s="288" t="str">
        <f t="shared" si="39"/>
        <v/>
      </c>
      <c r="K156" s="288">
        <f t="shared" si="40"/>
        <v>0</v>
      </c>
      <c r="L156" s="290"/>
      <c r="M156" s="291">
        <f t="shared" si="32"/>
        <v>1</v>
      </c>
      <c r="N156" s="466" t="str">
        <f t="shared" si="41"/>
        <v/>
      </c>
      <c r="O156" s="302" t="str">
        <f t="shared" si="33"/>
        <v/>
      </c>
      <c r="P156" s="468" t="str">
        <f t="shared" si="42"/>
        <v/>
      </c>
      <c r="Q156" s="292" t="str">
        <f t="shared" si="34"/>
        <v/>
      </c>
      <c r="R156" s="293"/>
      <c r="S156" s="294" t="str">
        <f t="shared" si="43"/>
        <v/>
      </c>
      <c r="T156" s="295" t="str">
        <f t="shared" si="35"/>
        <v/>
      </c>
    </row>
    <row r="157" spans="1:20" x14ac:dyDescent="0.3">
      <c r="A157" s="255">
        <v>124</v>
      </c>
      <c r="B157" s="260"/>
      <c r="C157" s="261">
        <f t="shared" si="37"/>
        <v>4</v>
      </c>
      <c r="D157" s="371"/>
      <c r="E157" s="262"/>
      <c r="F157" s="261" t="str">
        <f t="shared" si="45"/>
        <v/>
      </c>
      <c r="G157" s="263" t="str">
        <f t="shared" si="45"/>
        <v/>
      </c>
      <c r="H157" s="264" t="str">
        <f t="shared" si="38"/>
        <v/>
      </c>
      <c r="I157" s="265" t="str">
        <f t="shared" si="31"/>
        <v/>
      </c>
      <c r="J157" s="264" t="str">
        <f t="shared" si="39"/>
        <v/>
      </c>
      <c r="K157" s="264">
        <f t="shared" si="40"/>
        <v>0</v>
      </c>
      <c r="L157" s="266"/>
      <c r="M157" s="267">
        <f t="shared" si="32"/>
        <v>1</v>
      </c>
      <c r="N157" s="465" t="str">
        <f t="shared" si="41"/>
        <v/>
      </c>
      <c r="O157" s="297" t="str">
        <f t="shared" si="33"/>
        <v/>
      </c>
      <c r="P157" s="467" t="str">
        <f t="shared" si="42"/>
        <v/>
      </c>
      <c r="Q157" s="268" t="str">
        <f t="shared" si="34"/>
        <v/>
      </c>
      <c r="R157" s="269"/>
      <c r="S157" s="270" t="str">
        <f t="shared" si="43"/>
        <v/>
      </c>
      <c r="T157" s="271" t="str">
        <f t="shared" si="35"/>
        <v/>
      </c>
    </row>
    <row r="158" spans="1:20" x14ac:dyDescent="0.3">
      <c r="A158" s="255">
        <v>125</v>
      </c>
      <c r="B158" s="272"/>
      <c r="C158" s="273">
        <f t="shared" si="37"/>
        <v>4</v>
      </c>
      <c r="D158" s="372"/>
      <c r="E158" s="274"/>
      <c r="F158" s="273" t="str">
        <f t="shared" si="45"/>
        <v/>
      </c>
      <c r="G158" s="275" t="str">
        <f t="shared" si="45"/>
        <v/>
      </c>
      <c r="H158" s="276" t="str">
        <f t="shared" si="38"/>
        <v/>
      </c>
      <c r="I158" s="277" t="str">
        <f t="shared" si="31"/>
        <v/>
      </c>
      <c r="J158" s="276" t="str">
        <f t="shared" si="39"/>
        <v/>
      </c>
      <c r="K158" s="276">
        <f t="shared" si="40"/>
        <v>0</v>
      </c>
      <c r="L158" s="278"/>
      <c r="M158" s="279">
        <f t="shared" si="32"/>
        <v>1</v>
      </c>
      <c r="N158" s="360" t="str">
        <f t="shared" si="41"/>
        <v/>
      </c>
      <c r="O158" s="117" t="str">
        <f t="shared" si="33"/>
        <v/>
      </c>
      <c r="P158" s="359" t="str">
        <f t="shared" si="42"/>
        <v/>
      </c>
      <c r="Q158" s="280" t="str">
        <f t="shared" si="34"/>
        <v/>
      </c>
      <c r="R158" s="281"/>
      <c r="S158" s="282" t="str">
        <f t="shared" si="43"/>
        <v/>
      </c>
      <c r="T158" s="283" t="str">
        <f t="shared" si="35"/>
        <v/>
      </c>
    </row>
    <row r="159" spans="1:20" x14ac:dyDescent="0.3">
      <c r="A159" s="255">
        <v>126</v>
      </c>
      <c r="B159" s="284"/>
      <c r="C159" s="285">
        <f t="shared" si="37"/>
        <v>4</v>
      </c>
      <c r="D159" s="373"/>
      <c r="E159" s="286"/>
      <c r="F159" s="285" t="str">
        <f t="shared" si="45"/>
        <v/>
      </c>
      <c r="G159" s="287" t="str">
        <f t="shared" si="45"/>
        <v/>
      </c>
      <c r="H159" s="288" t="str">
        <f t="shared" si="38"/>
        <v/>
      </c>
      <c r="I159" s="289" t="str">
        <f t="shared" si="31"/>
        <v/>
      </c>
      <c r="J159" s="288" t="str">
        <f t="shared" si="39"/>
        <v/>
      </c>
      <c r="K159" s="288">
        <f t="shared" si="40"/>
        <v>0</v>
      </c>
      <c r="L159" s="290"/>
      <c r="M159" s="291">
        <f t="shared" si="32"/>
        <v>1</v>
      </c>
      <c r="N159" s="466" t="str">
        <f t="shared" si="41"/>
        <v/>
      </c>
      <c r="O159" s="302" t="str">
        <f t="shared" si="33"/>
        <v/>
      </c>
      <c r="P159" s="468" t="str">
        <f t="shared" si="42"/>
        <v/>
      </c>
      <c r="Q159" s="292" t="str">
        <f t="shared" si="34"/>
        <v/>
      </c>
      <c r="R159" s="293"/>
      <c r="S159" s="294" t="str">
        <f t="shared" si="43"/>
        <v/>
      </c>
      <c r="T159" s="295" t="str">
        <f t="shared" si="35"/>
        <v/>
      </c>
    </row>
    <row r="160" spans="1:20" x14ac:dyDescent="0.3">
      <c r="A160" s="255">
        <v>127</v>
      </c>
      <c r="B160" s="260"/>
      <c r="C160" s="261">
        <f t="shared" si="37"/>
        <v>4</v>
      </c>
      <c r="D160" s="371"/>
      <c r="E160" s="262"/>
      <c r="F160" s="261" t="str">
        <f t="shared" si="45"/>
        <v/>
      </c>
      <c r="G160" s="263" t="str">
        <f t="shared" si="45"/>
        <v/>
      </c>
      <c r="H160" s="264" t="str">
        <f t="shared" si="38"/>
        <v/>
      </c>
      <c r="I160" s="265" t="str">
        <f t="shared" si="31"/>
        <v/>
      </c>
      <c r="J160" s="264" t="str">
        <f t="shared" si="39"/>
        <v/>
      </c>
      <c r="K160" s="264">
        <f t="shared" si="40"/>
        <v>0</v>
      </c>
      <c r="L160" s="266"/>
      <c r="M160" s="267">
        <f t="shared" si="32"/>
        <v>1</v>
      </c>
      <c r="N160" s="465" t="str">
        <f t="shared" si="41"/>
        <v/>
      </c>
      <c r="O160" s="297" t="str">
        <f t="shared" si="33"/>
        <v/>
      </c>
      <c r="P160" s="467" t="str">
        <f t="shared" si="42"/>
        <v/>
      </c>
      <c r="Q160" s="268" t="str">
        <f t="shared" si="34"/>
        <v/>
      </c>
      <c r="R160" s="269"/>
      <c r="S160" s="270" t="str">
        <f t="shared" si="43"/>
        <v/>
      </c>
      <c r="T160" s="271" t="str">
        <f t="shared" si="35"/>
        <v/>
      </c>
    </row>
    <row r="161" spans="1:20" x14ac:dyDescent="0.3">
      <c r="A161" s="255">
        <v>128</v>
      </c>
      <c r="B161" s="272"/>
      <c r="C161" s="273">
        <f t="shared" si="37"/>
        <v>4</v>
      </c>
      <c r="D161" s="372"/>
      <c r="E161" s="274"/>
      <c r="F161" s="273" t="str">
        <f t="shared" si="45"/>
        <v/>
      </c>
      <c r="G161" s="275" t="str">
        <f t="shared" si="45"/>
        <v/>
      </c>
      <c r="H161" s="276" t="str">
        <f t="shared" si="38"/>
        <v/>
      </c>
      <c r="I161" s="277" t="str">
        <f t="shared" si="31"/>
        <v/>
      </c>
      <c r="J161" s="276" t="str">
        <f t="shared" si="39"/>
        <v/>
      </c>
      <c r="K161" s="276">
        <f t="shared" si="40"/>
        <v>0</v>
      </c>
      <c r="L161" s="278"/>
      <c r="M161" s="279">
        <f t="shared" si="32"/>
        <v>1</v>
      </c>
      <c r="N161" s="360" t="str">
        <f t="shared" si="41"/>
        <v/>
      </c>
      <c r="O161" s="117" t="str">
        <f t="shared" si="33"/>
        <v/>
      </c>
      <c r="P161" s="359" t="str">
        <f t="shared" si="42"/>
        <v/>
      </c>
      <c r="Q161" s="280" t="str">
        <f t="shared" si="34"/>
        <v/>
      </c>
      <c r="R161" s="281"/>
      <c r="S161" s="282" t="str">
        <f t="shared" si="43"/>
        <v/>
      </c>
      <c r="T161" s="283" t="str">
        <f t="shared" si="35"/>
        <v/>
      </c>
    </row>
    <row r="162" spans="1:20" x14ac:dyDescent="0.3">
      <c r="A162" s="255">
        <v>129</v>
      </c>
      <c r="B162" s="284"/>
      <c r="C162" s="285">
        <f t="shared" ref="C162:C183" si="46">IF(B162="DI",1,IF(B162="RI",2,IF(B162="FT",3,4)))</f>
        <v>4</v>
      </c>
      <c r="D162" s="373"/>
      <c r="E162" s="286"/>
      <c r="F162" s="285" t="str">
        <f t="shared" si="45"/>
        <v/>
      </c>
      <c r="G162" s="287" t="str">
        <f t="shared" si="45"/>
        <v/>
      </c>
      <c r="H162" s="288" t="str">
        <f t="shared" ref="H162:H183" si="47">IF(COUNTIF($E$34:$E$183,E162)=0,"",COUNTIF($E$34:$E$183,E162))</f>
        <v/>
      </c>
      <c r="I162" s="289" t="str">
        <f t="shared" si="31"/>
        <v/>
      </c>
      <c r="J162" s="288" t="str">
        <f t="shared" ref="J162:J183" si="48">IF(I162="","",TEXT(I162/G162,"0.0 %"))</f>
        <v/>
      </c>
      <c r="K162" s="288">
        <f t="shared" ref="K162:K183" si="49">IF(C162=1,$J$16,IF(C162=2,$J$17,IF(C162=3,$J$18,0)))</f>
        <v>0</v>
      </c>
      <c r="L162" s="290"/>
      <c r="M162" s="291">
        <f t="shared" si="32"/>
        <v>1</v>
      </c>
      <c r="N162" s="466" t="str">
        <f t="shared" ref="N162:N183" si="50">IFERROR(MAX(_xlfn.CEILING.MATH(SQRT(I162/(M162*INDEX($D$16:$D$18,C162)))*12,INDEX($J$16:$J$18,C162)),INDEX($L$16:$L$18,C162)),"")</f>
        <v/>
      </c>
      <c r="O162" s="302" t="str">
        <f t="shared" si="33"/>
        <v/>
      </c>
      <c r="P162" s="468" t="str">
        <f t="shared" ref="P162:P183" si="51">IFERROR(MAX(_xlfn.CEILING.MATH(SQRT((I162*M162)/INDEX($D$16:$D$18,C162))*12,INDEX($J$16:$J$18,C162)),INDEX($L$16:$L$18,C162)),"")</f>
        <v/>
      </c>
      <c r="Q162" s="292" t="str">
        <f t="shared" si="34"/>
        <v/>
      </c>
      <c r="R162" s="293"/>
      <c r="S162" s="294" t="str">
        <f t="shared" ref="S162:S183" si="52">IF(C162=1,$S$15,IF(C162=2,IF(N162&gt;=P162,"FL","FS"),IF(C162=3,IF(OR(N162=12,P162=12),$S$16,IF(AND(N162=24,P162=24),$S$17,IF(OR(AND(N162=24,P162=48),AND(N162=48,P162=24)),$S$18,IF(I162="","","N/A")))),"")))</f>
        <v/>
      </c>
      <c r="T162" s="295" t="str">
        <f t="shared" si="35"/>
        <v/>
      </c>
    </row>
    <row r="163" spans="1:20" x14ac:dyDescent="0.3">
      <c r="A163" s="255">
        <v>130</v>
      </c>
      <c r="B163" s="260"/>
      <c r="C163" s="261">
        <f t="shared" si="46"/>
        <v>4</v>
      </c>
      <c r="D163" s="371"/>
      <c r="E163" s="262"/>
      <c r="F163" s="261" t="str">
        <f t="shared" si="45"/>
        <v/>
      </c>
      <c r="G163" s="263" t="str">
        <f t="shared" si="45"/>
        <v/>
      </c>
      <c r="H163" s="264" t="str">
        <f t="shared" si="47"/>
        <v/>
      </c>
      <c r="I163" s="265" t="str">
        <f t="shared" ref="I163:I183" si="53">IF(OR(G163="",H163=""),"",G163/H163)</f>
        <v/>
      </c>
      <c r="J163" s="264" t="str">
        <f t="shared" si="48"/>
        <v/>
      </c>
      <c r="K163" s="264">
        <f t="shared" si="49"/>
        <v>0</v>
      </c>
      <c r="L163" s="266"/>
      <c r="M163" s="267">
        <f t="shared" ref="M163:M183" si="54">IF(OR(L163=0,C163=1,C163=4),1,L163)</f>
        <v>1</v>
      </c>
      <c r="N163" s="465" t="str">
        <f t="shared" si="50"/>
        <v/>
      </c>
      <c r="O163" s="297" t="str">
        <f t="shared" ref="O163:O183" si="55">IF(I163="","","×")</f>
        <v/>
      </c>
      <c r="P163" s="467" t="str">
        <f t="shared" si="51"/>
        <v/>
      </c>
      <c r="Q163" s="268" t="str">
        <f t="shared" ref="Q163:Q183" si="56">IF(I163="","",IF(N163="---","---",I163/(N163/12*P163/12)))</f>
        <v/>
      </c>
      <c r="R163" s="269"/>
      <c r="S163" s="270" t="str">
        <f t="shared" si="52"/>
        <v/>
      </c>
      <c r="T163" s="271" t="str">
        <f t="shared" ref="T163:T183" si="57">IFERROR(IF(C163=1,(0.000000468)*Q163^2.0001,IF(C163=2,(0.000000275)*Q163^1.993,IF(C163=3,1,IF(AND(I163&lt;&gt;"",C163=4),"---","")))),"")</f>
        <v/>
      </c>
    </row>
    <row r="164" spans="1:20" x14ac:dyDescent="0.3">
      <c r="A164" s="255">
        <v>131</v>
      </c>
      <c r="B164" s="272"/>
      <c r="C164" s="273">
        <f t="shared" si="46"/>
        <v>4</v>
      </c>
      <c r="D164" s="372"/>
      <c r="E164" s="274"/>
      <c r="F164" s="273" t="str">
        <f t="shared" si="45"/>
        <v/>
      </c>
      <c r="G164" s="275" t="str">
        <f t="shared" si="45"/>
        <v/>
      </c>
      <c r="H164" s="276" t="str">
        <f t="shared" si="47"/>
        <v/>
      </c>
      <c r="I164" s="277" t="str">
        <f t="shared" si="53"/>
        <v/>
      </c>
      <c r="J164" s="276" t="str">
        <f t="shared" si="48"/>
        <v/>
      </c>
      <c r="K164" s="276">
        <f t="shared" si="49"/>
        <v>0</v>
      </c>
      <c r="L164" s="278"/>
      <c r="M164" s="279">
        <f t="shared" si="54"/>
        <v>1</v>
      </c>
      <c r="N164" s="360" t="str">
        <f t="shared" si="50"/>
        <v/>
      </c>
      <c r="O164" s="117" t="str">
        <f t="shared" si="55"/>
        <v/>
      </c>
      <c r="P164" s="359" t="str">
        <f t="shared" si="51"/>
        <v/>
      </c>
      <c r="Q164" s="280" t="str">
        <f t="shared" si="56"/>
        <v/>
      </c>
      <c r="R164" s="281"/>
      <c r="S164" s="282" t="str">
        <f t="shared" si="52"/>
        <v/>
      </c>
      <c r="T164" s="283" t="str">
        <f t="shared" si="57"/>
        <v/>
      </c>
    </row>
    <row r="165" spans="1:20" x14ac:dyDescent="0.3">
      <c r="A165" s="255">
        <v>132</v>
      </c>
      <c r="B165" s="284"/>
      <c r="C165" s="285">
        <f t="shared" si="46"/>
        <v>4</v>
      </c>
      <c r="D165" s="373"/>
      <c r="E165" s="286"/>
      <c r="F165" s="285" t="str">
        <f t="shared" si="45"/>
        <v/>
      </c>
      <c r="G165" s="287" t="str">
        <f t="shared" si="45"/>
        <v/>
      </c>
      <c r="H165" s="288" t="str">
        <f t="shared" si="47"/>
        <v/>
      </c>
      <c r="I165" s="289" t="str">
        <f t="shared" si="53"/>
        <v/>
      </c>
      <c r="J165" s="288" t="str">
        <f t="shared" si="48"/>
        <v/>
      </c>
      <c r="K165" s="288">
        <f t="shared" si="49"/>
        <v>0</v>
      </c>
      <c r="L165" s="290"/>
      <c r="M165" s="291">
        <f t="shared" si="54"/>
        <v>1</v>
      </c>
      <c r="N165" s="466" t="str">
        <f t="shared" si="50"/>
        <v/>
      </c>
      <c r="O165" s="302" t="str">
        <f t="shared" si="55"/>
        <v/>
      </c>
      <c r="P165" s="468" t="str">
        <f t="shared" si="51"/>
        <v/>
      </c>
      <c r="Q165" s="292" t="str">
        <f t="shared" si="56"/>
        <v/>
      </c>
      <c r="R165" s="293"/>
      <c r="S165" s="294" t="str">
        <f t="shared" si="52"/>
        <v/>
      </c>
      <c r="T165" s="295" t="str">
        <f t="shared" si="57"/>
        <v/>
      </c>
    </row>
    <row r="166" spans="1:20" x14ac:dyDescent="0.3">
      <c r="A166" s="255">
        <v>133</v>
      </c>
      <c r="B166" s="260"/>
      <c r="C166" s="261">
        <f t="shared" si="46"/>
        <v>4</v>
      </c>
      <c r="D166" s="371"/>
      <c r="E166" s="262"/>
      <c r="F166" s="261" t="str">
        <f t="shared" si="45"/>
        <v/>
      </c>
      <c r="G166" s="263" t="str">
        <f t="shared" si="45"/>
        <v/>
      </c>
      <c r="H166" s="264" t="str">
        <f t="shared" si="47"/>
        <v/>
      </c>
      <c r="I166" s="265" t="str">
        <f t="shared" si="53"/>
        <v/>
      </c>
      <c r="J166" s="264" t="str">
        <f t="shared" si="48"/>
        <v/>
      </c>
      <c r="K166" s="264">
        <f t="shared" si="49"/>
        <v>0</v>
      </c>
      <c r="L166" s="266"/>
      <c r="M166" s="267">
        <f t="shared" si="54"/>
        <v>1</v>
      </c>
      <c r="N166" s="465" t="str">
        <f t="shared" si="50"/>
        <v/>
      </c>
      <c r="O166" s="297" t="str">
        <f t="shared" si="55"/>
        <v/>
      </c>
      <c r="P166" s="467" t="str">
        <f t="shared" si="51"/>
        <v/>
      </c>
      <c r="Q166" s="268" t="str">
        <f t="shared" si="56"/>
        <v/>
      </c>
      <c r="R166" s="269"/>
      <c r="S166" s="270" t="str">
        <f t="shared" si="52"/>
        <v/>
      </c>
      <c r="T166" s="271" t="str">
        <f t="shared" si="57"/>
        <v/>
      </c>
    </row>
    <row r="167" spans="1:20" x14ac:dyDescent="0.3">
      <c r="A167" s="255">
        <v>134</v>
      </c>
      <c r="B167" s="272"/>
      <c r="C167" s="273">
        <f t="shared" si="46"/>
        <v>4</v>
      </c>
      <c r="D167" s="372"/>
      <c r="E167" s="274"/>
      <c r="F167" s="273" t="str">
        <f t="shared" si="45"/>
        <v/>
      </c>
      <c r="G167" s="275" t="str">
        <f t="shared" si="45"/>
        <v/>
      </c>
      <c r="H167" s="276" t="str">
        <f t="shared" si="47"/>
        <v/>
      </c>
      <c r="I167" s="277" t="str">
        <f t="shared" si="53"/>
        <v/>
      </c>
      <c r="J167" s="276" t="str">
        <f t="shared" si="48"/>
        <v/>
      </c>
      <c r="K167" s="276">
        <f t="shared" si="49"/>
        <v>0</v>
      </c>
      <c r="L167" s="278"/>
      <c r="M167" s="279">
        <f t="shared" si="54"/>
        <v>1</v>
      </c>
      <c r="N167" s="360" t="str">
        <f t="shared" si="50"/>
        <v/>
      </c>
      <c r="O167" s="117" t="str">
        <f t="shared" si="55"/>
        <v/>
      </c>
      <c r="P167" s="359" t="str">
        <f t="shared" si="51"/>
        <v/>
      </c>
      <c r="Q167" s="280" t="str">
        <f t="shared" si="56"/>
        <v/>
      </c>
      <c r="R167" s="281"/>
      <c r="S167" s="282" t="str">
        <f t="shared" si="52"/>
        <v/>
      </c>
      <c r="T167" s="283" t="str">
        <f t="shared" si="57"/>
        <v/>
      </c>
    </row>
    <row r="168" spans="1:20" x14ac:dyDescent="0.3">
      <c r="A168" s="255">
        <v>135</v>
      </c>
      <c r="B168" s="284"/>
      <c r="C168" s="285">
        <f t="shared" si="46"/>
        <v>4</v>
      </c>
      <c r="D168" s="373"/>
      <c r="E168" s="286"/>
      <c r="F168" s="285" t="str">
        <f t="shared" si="45"/>
        <v/>
      </c>
      <c r="G168" s="287" t="str">
        <f t="shared" si="45"/>
        <v/>
      </c>
      <c r="H168" s="288" t="str">
        <f t="shared" si="47"/>
        <v/>
      </c>
      <c r="I168" s="289" t="str">
        <f t="shared" si="53"/>
        <v/>
      </c>
      <c r="J168" s="288" t="str">
        <f t="shared" si="48"/>
        <v/>
      </c>
      <c r="K168" s="288">
        <f t="shared" si="49"/>
        <v>0</v>
      </c>
      <c r="L168" s="290"/>
      <c r="M168" s="291">
        <f t="shared" si="54"/>
        <v>1</v>
      </c>
      <c r="N168" s="466" t="str">
        <f t="shared" si="50"/>
        <v/>
      </c>
      <c r="O168" s="302" t="str">
        <f t="shared" si="55"/>
        <v/>
      </c>
      <c r="P168" s="468" t="str">
        <f t="shared" si="51"/>
        <v/>
      </c>
      <c r="Q168" s="292" t="str">
        <f t="shared" si="56"/>
        <v/>
      </c>
      <c r="R168" s="293"/>
      <c r="S168" s="294" t="str">
        <f t="shared" si="52"/>
        <v/>
      </c>
      <c r="T168" s="295" t="str">
        <f t="shared" si="57"/>
        <v/>
      </c>
    </row>
    <row r="169" spans="1:20" x14ac:dyDescent="0.3">
      <c r="A169" s="255">
        <v>136</v>
      </c>
      <c r="B169" s="260"/>
      <c r="C169" s="261">
        <f t="shared" si="46"/>
        <v>4</v>
      </c>
      <c r="D169" s="371"/>
      <c r="E169" s="262"/>
      <c r="F169" s="261" t="str">
        <f t="shared" si="45"/>
        <v/>
      </c>
      <c r="G169" s="263" t="str">
        <f t="shared" si="45"/>
        <v/>
      </c>
      <c r="H169" s="264" t="str">
        <f t="shared" si="47"/>
        <v/>
      </c>
      <c r="I169" s="265" t="str">
        <f t="shared" si="53"/>
        <v/>
      </c>
      <c r="J169" s="264" t="str">
        <f t="shared" si="48"/>
        <v/>
      </c>
      <c r="K169" s="264">
        <f t="shared" si="49"/>
        <v>0</v>
      </c>
      <c r="L169" s="266"/>
      <c r="M169" s="267">
        <f t="shared" si="54"/>
        <v>1</v>
      </c>
      <c r="N169" s="465" t="str">
        <f t="shared" si="50"/>
        <v/>
      </c>
      <c r="O169" s="297" t="str">
        <f t="shared" si="55"/>
        <v/>
      </c>
      <c r="P169" s="467" t="str">
        <f t="shared" si="51"/>
        <v/>
      </c>
      <c r="Q169" s="268" t="str">
        <f t="shared" si="56"/>
        <v/>
      </c>
      <c r="R169" s="269"/>
      <c r="S169" s="270" t="str">
        <f t="shared" si="52"/>
        <v/>
      </c>
      <c r="T169" s="271" t="str">
        <f t="shared" si="57"/>
        <v/>
      </c>
    </row>
    <row r="170" spans="1:20" x14ac:dyDescent="0.3">
      <c r="A170" s="255">
        <v>137</v>
      </c>
      <c r="B170" s="272"/>
      <c r="C170" s="273">
        <f t="shared" si="46"/>
        <v>4</v>
      </c>
      <c r="D170" s="372"/>
      <c r="E170" s="274"/>
      <c r="F170" s="273" t="str">
        <f t="shared" si="45"/>
        <v/>
      </c>
      <c r="G170" s="275" t="str">
        <f t="shared" si="45"/>
        <v/>
      </c>
      <c r="H170" s="276" t="str">
        <f t="shared" si="47"/>
        <v/>
      </c>
      <c r="I170" s="277" t="str">
        <f t="shared" si="53"/>
        <v/>
      </c>
      <c r="J170" s="276" t="str">
        <f t="shared" si="48"/>
        <v/>
      </c>
      <c r="K170" s="276">
        <f t="shared" si="49"/>
        <v>0</v>
      </c>
      <c r="L170" s="278"/>
      <c r="M170" s="279">
        <f t="shared" si="54"/>
        <v>1</v>
      </c>
      <c r="N170" s="360" t="str">
        <f t="shared" si="50"/>
        <v/>
      </c>
      <c r="O170" s="117" t="str">
        <f t="shared" si="55"/>
        <v/>
      </c>
      <c r="P170" s="359" t="str">
        <f t="shared" si="51"/>
        <v/>
      </c>
      <c r="Q170" s="280" t="str">
        <f t="shared" si="56"/>
        <v/>
      </c>
      <c r="R170" s="281"/>
      <c r="S170" s="282" t="str">
        <f t="shared" si="52"/>
        <v/>
      </c>
      <c r="T170" s="283" t="str">
        <f t="shared" si="57"/>
        <v/>
      </c>
    </row>
    <row r="171" spans="1:20" x14ac:dyDescent="0.3">
      <c r="A171" s="255">
        <v>138</v>
      </c>
      <c r="B171" s="284"/>
      <c r="C171" s="285">
        <f t="shared" si="46"/>
        <v>4</v>
      </c>
      <c r="D171" s="373"/>
      <c r="E171" s="286"/>
      <c r="F171" s="285" t="str">
        <f t="shared" si="45"/>
        <v/>
      </c>
      <c r="G171" s="287" t="str">
        <f t="shared" si="45"/>
        <v/>
      </c>
      <c r="H171" s="288" t="str">
        <f t="shared" si="47"/>
        <v/>
      </c>
      <c r="I171" s="289" t="str">
        <f t="shared" si="53"/>
        <v/>
      </c>
      <c r="J171" s="288" t="str">
        <f t="shared" si="48"/>
        <v/>
      </c>
      <c r="K171" s="288">
        <f t="shared" si="49"/>
        <v>0</v>
      </c>
      <c r="L171" s="290"/>
      <c r="M171" s="291">
        <f t="shared" si="54"/>
        <v>1</v>
      </c>
      <c r="N171" s="466" t="str">
        <f t="shared" si="50"/>
        <v/>
      </c>
      <c r="O171" s="302" t="str">
        <f t="shared" si="55"/>
        <v/>
      </c>
      <c r="P171" s="468" t="str">
        <f t="shared" si="51"/>
        <v/>
      </c>
      <c r="Q171" s="292" t="str">
        <f t="shared" si="56"/>
        <v/>
      </c>
      <c r="R171" s="293"/>
      <c r="S171" s="294" t="str">
        <f t="shared" si="52"/>
        <v/>
      </c>
      <c r="T171" s="295" t="str">
        <f t="shared" si="57"/>
        <v/>
      </c>
    </row>
    <row r="172" spans="1:20" x14ac:dyDescent="0.3">
      <c r="A172" s="255">
        <v>139</v>
      </c>
      <c r="B172" s="260"/>
      <c r="C172" s="261">
        <f t="shared" si="46"/>
        <v>4</v>
      </c>
      <c r="D172" s="371"/>
      <c r="E172" s="262"/>
      <c r="F172" s="261" t="str">
        <f t="shared" si="45"/>
        <v/>
      </c>
      <c r="G172" s="263" t="str">
        <f t="shared" si="45"/>
        <v/>
      </c>
      <c r="H172" s="264" t="str">
        <f t="shared" si="47"/>
        <v/>
      </c>
      <c r="I172" s="265" t="str">
        <f t="shared" si="53"/>
        <v/>
      </c>
      <c r="J172" s="264" t="str">
        <f t="shared" si="48"/>
        <v/>
      </c>
      <c r="K172" s="264">
        <f t="shared" si="49"/>
        <v>0</v>
      </c>
      <c r="L172" s="266"/>
      <c r="M172" s="267">
        <f t="shared" si="54"/>
        <v>1</v>
      </c>
      <c r="N172" s="465" t="str">
        <f t="shared" si="50"/>
        <v/>
      </c>
      <c r="O172" s="297" t="str">
        <f t="shared" si="55"/>
        <v/>
      </c>
      <c r="P172" s="467" t="str">
        <f t="shared" si="51"/>
        <v/>
      </c>
      <c r="Q172" s="268" t="str">
        <f t="shared" si="56"/>
        <v/>
      </c>
      <c r="R172" s="269"/>
      <c r="S172" s="270" t="str">
        <f t="shared" si="52"/>
        <v/>
      </c>
      <c r="T172" s="271" t="str">
        <f t="shared" si="57"/>
        <v/>
      </c>
    </row>
    <row r="173" spans="1:20" x14ac:dyDescent="0.3">
      <c r="A173" s="255">
        <v>140</v>
      </c>
      <c r="B173" s="272"/>
      <c r="C173" s="273">
        <f t="shared" si="46"/>
        <v>4</v>
      </c>
      <c r="D173" s="372"/>
      <c r="E173" s="274"/>
      <c r="F173" s="273" t="str">
        <f t="shared" si="45"/>
        <v/>
      </c>
      <c r="G173" s="275" t="str">
        <f t="shared" si="45"/>
        <v/>
      </c>
      <c r="H173" s="276" t="str">
        <f t="shared" si="47"/>
        <v/>
      </c>
      <c r="I173" s="277" t="str">
        <f t="shared" si="53"/>
        <v/>
      </c>
      <c r="J173" s="276" t="str">
        <f t="shared" si="48"/>
        <v/>
      </c>
      <c r="K173" s="276">
        <f t="shared" si="49"/>
        <v>0</v>
      </c>
      <c r="L173" s="278"/>
      <c r="M173" s="279">
        <f t="shared" si="54"/>
        <v>1</v>
      </c>
      <c r="N173" s="360" t="str">
        <f t="shared" si="50"/>
        <v/>
      </c>
      <c r="O173" s="117" t="str">
        <f t="shared" si="55"/>
        <v/>
      </c>
      <c r="P173" s="359" t="str">
        <f t="shared" si="51"/>
        <v/>
      </c>
      <c r="Q173" s="280" t="str">
        <f t="shared" si="56"/>
        <v/>
      </c>
      <c r="R173" s="281"/>
      <c r="S173" s="282" t="str">
        <f t="shared" si="52"/>
        <v/>
      </c>
      <c r="T173" s="283" t="str">
        <f t="shared" si="57"/>
        <v/>
      </c>
    </row>
    <row r="174" spans="1:20" x14ac:dyDescent="0.3">
      <c r="A174" s="255">
        <v>141</v>
      </c>
      <c r="B174" s="284"/>
      <c r="C174" s="285">
        <f t="shared" si="46"/>
        <v>4</v>
      </c>
      <c r="D174" s="373"/>
      <c r="E174" s="286"/>
      <c r="F174" s="285" t="str">
        <f t="shared" ref="F174:G183" si="58">IFERROR(VLOOKUP($E174,DMFA,F$29,FALSE),"")</f>
        <v/>
      </c>
      <c r="G174" s="287" t="str">
        <f t="shared" si="58"/>
        <v/>
      </c>
      <c r="H174" s="288" t="str">
        <f t="shared" si="47"/>
        <v/>
      </c>
      <c r="I174" s="289" t="str">
        <f t="shared" si="53"/>
        <v/>
      </c>
      <c r="J174" s="288" t="str">
        <f t="shared" si="48"/>
        <v/>
      </c>
      <c r="K174" s="288">
        <f t="shared" si="49"/>
        <v>0</v>
      </c>
      <c r="L174" s="290"/>
      <c r="M174" s="291">
        <f t="shared" si="54"/>
        <v>1</v>
      </c>
      <c r="N174" s="466" t="str">
        <f t="shared" si="50"/>
        <v/>
      </c>
      <c r="O174" s="302" t="str">
        <f t="shared" si="55"/>
        <v/>
      </c>
      <c r="P174" s="468" t="str">
        <f t="shared" si="51"/>
        <v/>
      </c>
      <c r="Q174" s="292" t="str">
        <f t="shared" si="56"/>
        <v/>
      </c>
      <c r="R174" s="293"/>
      <c r="S174" s="294" t="str">
        <f t="shared" si="52"/>
        <v/>
      </c>
      <c r="T174" s="295" t="str">
        <f t="shared" si="57"/>
        <v/>
      </c>
    </row>
    <row r="175" spans="1:20" x14ac:dyDescent="0.3">
      <c r="A175" s="255">
        <v>142</v>
      </c>
      <c r="B175" s="260"/>
      <c r="C175" s="261">
        <f t="shared" si="46"/>
        <v>4</v>
      </c>
      <c r="D175" s="371"/>
      <c r="E175" s="262"/>
      <c r="F175" s="261" t="str">
        <f t="shared" si="58"/>
        <v/>
      </c>
      <c r="G175" s="263" t="str">
        <f t="shared" si="58"/>
        <v/>
      </c>
      <c r="H175" s="264" t="str">
        <f t="shared" si="47"/>
        <v/>
      </c>
      <c r="I175" s="265" t="str">
        <f t="shared" si="53"/>
        <v/>
      </c>
      <c r="J175" s="264" t="str">
        <f t="shared" si="48"/>
        <v/>
      </c>
      <c r="K175" s="264">
        <f t="shared" si="49"/>
        <v>0</v>
      </c>
      <c r="L175" s="266"/>
      <c r="M175" s="267">
        <f t="shared" si="54"/>
        <v>1</v>
      </c>
      <c r="N175" s="465" t="str">
        <f t="shared" si="50"/>
        <v/>
      </c>
      <c r="O175" s="297" t="str">
        <f t="shared" si="55"/>
        <v/>
      </c>
      <c r="P175" s="467" t="str">
        <f t="shared" si="51"/>
        <v/>
      </c>
      <c r="Q175" s="268" t="str">
        <f t="shared" si="56"/>
        <v/>
      </c>
      <c r="R175" s="269"/>
      <c r="S175" s="270" t="str">
        <f t="shared" si="52"/>
        <v/>
      </c>
      <c r="T175" s="271" t="str">
        <f t="shared" si="57"/>
        <v/>
      </c>
    </row>
    <row r="176" spans="1:20" x14ac:dyDescent="0.3">
      <c r="A176" s="255">
        <v>143</v>
      </c>
      <c r="B176" s="272"/>
      <c r="C176" s="273">
        <f t="shared" si="46"/>
        <v>4</v>
      </c>
      <c r="D176" s="372"/>
      <c r="E176" s="274"/>
      <c r="F176" s="273" t="str">
        <f t="shared" si="58"/>
        <v/>
      </c>
      <c r="G176" s="275" t="str">
        <f t="shared" si="58"/>
        <v/>
      </c>
      <c r="H176" s="276" t="str">
        <f t="shared" si="47"/>
        <v/>
      </c>
      <c r="I176" s="277" t="str">
        <f t="shared" si="53"/>
        <v/>
      </c>
      <c r="J176" s="276" t="str">
        <f t="shared" si="48"/>
        <v/>
      </c>
      <c r="K176" s="276">
        <f t="shared" si="49"/>
        <v>0</v>
      </c>
      <c r="L176" s="278"/>
      <c r="M176" s="279">
        <f t="shared" si="54"/>
        <v>1</v>
      </c>
      <c r="N176" s="360" t="str">
        <f t="shared" si="50"/>
        <v/>
      </c>
      <c r="O176" s="117" t="str">
        <f t="shared" si="55"/>
        <v/>
      </c>
      <c r="P176" s="359" t="str">
        <f t="shared" si="51"/>
        <v/>
      </c>
      <c r="Q176" s="280" t="str">
        <f t="shared" si="56"/>
        <v/>
      </c>
      <c r="R176" s="281"/>
      <c r="S176" s="282" t="str">
        <f t="shared" si="52"/>
        <v/>
      </c>
      <c r="T176" s="283" t="str">
        <f t="shared" si="57"/>
        <v/>
      </c>
    </row>
    <row r="177" spans="1:20" x14ac:dyDescent="0.3">
      <c r="A177" s="255">
        <v>144</v>
      </c>
      <c r="B177" s="284"/>
      <c r="C177" s="285">
        <f t="shared" si="46"/>
        <v>4</v>
      </c>
      <c r="D177" s="373"/>
      <c r="E177" s="286"/>
      <c r="F177" s="285" t="str">
        <f t="shared" si="58"/>
        <v/>
      </c>
      <c r="G177" s="287" t="str">
        <f t="shared" si="58"/>
        <v/>
      </c>
      <c r="H177" s="288" t="str">
        <f t="shared" si="47"/>
        <v/>
      </c>
      <c r="I177" s="289" t="str">
        <f t="shared" si="53"/>
        <v/>
      </c>
      <c r="J177" s="288" t="str">
        <f t="shared" si="48"/>
        <v/>
      </c>
      <c r="K177" s="288">
        <f t="shared" si="49"/>
        <v>0</v>
      </c>
      <c r="L177" s="290"/>
      <c r="M177" s="291">
        <f t="shared" si="54"/>
        <v>1</v>
      </c>
      <c r="N177" s="466" t="str">
        <f t="shared" si="50"/>
        <v/>
      </c>
      <c r="O177" s="302" t="str">
        <f t="shared" si="55"/>
        <v/>
      </c>
      <c r="P177" s="468" t="str">
        <f t="shared" si="51"/>
        <v/>
      </c>
      <c r="Q177" s="292" t="str">
        <f t="shared" si="56"/>
        <v/>
      </c>
      <c r="R177" s="293"/>
      <c r="S177" s="294" t="str">
        <f t="shared" si="52"/>
        <v/>
      </c>
      <c r="T177" s="295" t="str">
        <f t="shared" si="57"/>
        <v/>
      </c>
    </row>
    <row r="178" spans="1:20" x14ac:dyDescent="0.3">
      <c r="A178" s="255">
        <v>145</v>
      </c>
      <c r="B178" s="260"/>
      <c r="C178" s="261">
        <f t="shared" si="46"/>
        <v>4</v>
      </c>
      <c r="D178" s="371"/>
      <c r="E178" s="262"/>
      <c r="F178" s="261" t="str">
        <f t="shared" si="58"/>
        <v/>
      </c>
      <c r="G178" s="263" t="str">
        <f t="shared" si="58"/>
        <v/>
      </c>
      <c r="H178" s="264" t="str">
        <f t="shared" si="47"/>
        <v/>
      </c>
      <c r="I178" s="265" t="str">
        <f t="shared" si="53"/>
        <v/>
      </c>
      <c r="J178" s="264" t="str">
        <f t="shared" si="48"/>
        <v/>
      </c>
      <c r="K178" s="264">
        <f t="shared" si="49"/>
        <v>0</v>
      </c>
      <c r="L178" s="266"/>
      <c r="M178" s="267">
        <f t="shared" si="54"/>
        <v>1</v>
      </c>
      <c r="N178" s="465" t="str">
        <f t="shared" si="50"/>
        <v/>
      </c>
      <c r="O178" s="297" t="str">
        <f t="shared" si="55"/>
        <v/>
      </c>
      <c r="P178" s="467" t="str">
        <f t="shared" si="51"/>
        <v/>
      </c>
      <c r="Q178" s="268" t="str">
        <f t="shared" si="56"/>
        <v/>
      </c>
      <c r="R178" s="269"/>
      <c r="S178" s="270" t="str">
        <f t="shared" si="52"/>
        <v/>
      </c>
      <c r="T178" s="271" t="str">
        <f t="shared" si="57"/>
        <v/>
      </c>
    </row>
    <row r="179" spans="1:20" x14ac:dyDescent="0.3">
      <c r="A179" s="255">
        <v>146</v>
      </c>
      <c r="B179" s="272"/>
      <c r="C179" s="273">
        <f t="shared" si="46"/>
        <v>4</v>
      </c>
      <c r="D179" s="372"/>
      <c r="E179" s="274"/>
      <c r="F179" s="273" t="str">
        <f t="shared" si="58"/>
        <v/>
      </c>
      <c r="G179" s="275" t="str">
        <f t="shared" si="58"/>
        <v/>
      </c>
      <c r="H179" s="276" t="str">
        <f t="shared" si="47"/>
        <v/>
      </c>
      <c r="I179" s="277" t="str">
        <f t="shared" si="53"/>
        <v/>
      </c>
      <c r="J179" s="276" t="str">
        <f t="shared" si="48"/>
        <v/>
      </c>
      <c r="K179" s="276">
        <f t="shared" si="49"/>
        <v>0</v>
      </c>
      <c r="L179" s="278"/>
      <c r="M179" s="279">
        <f t="shared" si="54"/>
        <v>1</v>
      </c>
      <c r="N179" s="360" t="str">
        <f t="shared" si="50"/>
        <v/>
      </c>
      <c r="O179" s="117" t="str">
        <f t="shared" si="55"/>
        <v/>
      </c>
      <c r="P179" s="359" t="str">
        <f t="shared" si="51"/>
        <v/>
      </c>
      <c r="Q179" s="280" t="str">
        <f t="shared" si="56"/>
        <v/>
      </c>
      <c r="R179" s="281"/>
      <c r="S179" s="282" t="str">
        <f t="shared" si="52"/>
        <v/>
      </c>
      <c r="T179" s="283" t="str">
        <f t="shared" si="57"/>
        <v/>
      </c>
    </row>
    <row r="180" spans="1:20" x14ac:dyDescent="0.3">
      <c r="A180" s="255">
        <v>147</v>
      </c>
      <c r="B180" s="284"/>
      <c r="C180" s="285">
        <f t="shared" si="46"/>
        <v>4</v>
      </c>
      <c r="D180" s="373"/>
      <c r="E180" s="286"/>
      <c r="F180" s="285" t="str">
        <f t="shared" si="58"/>
        <v/>
      </c>
      <c r="G180" s="287" t="str">
        <f t="shared" si="58"/>
        <v/>
      </c>
      <c r="H180" s="288" t="str">
        <f t="shared" si="47"/>
        <v/>
      </c>
      <c r="I180" s="289" t="str">
        <f t="shared" si="53"/>
        <v/>
      </c>
      <c r="J180" s="288" t="str">
        <f t="shared" si="48"/>
        <v/>
      </c>
      <c r="K180" s="288">
        <f t="shared" si="49"/>
        <v>0</v>
      </c>
      <c r="L180" s="290"/>
      <c r="M180" s="291">
        <f t="shared" si="54"/>
        <v>1</v>
      </c>
      <c r="N180" s="466" t="str">
        <f t="shared" si="50"/>
        <v/>
      </c>
      <c r="O180" s="302" t="str">
        <f t="shared" si="55"/>
        <v/>
      </c>
      <c r="P180" s="468" t="str">
        <f t="shared" si="51"/>
        <v/>
      </c>
      <c r="Q180" s="292" t="str">
        <f t="shared" si="56"/>
        <v/>
      </c>
      <c r="R180" s="293"/>
      <c r="S180" s="294" t="str">
        <f t="shared" si="52"/>
        <v/>
      </c>
      <c r="T180" s="295" t="str">
        <f t="shared" si="57"/>
        <v/>
      </c>
    </row>
    <row r="181" spans="1:20" x14ac:dyDescent="0.3">
      <c r="A181" s="255">
        <v>148</v>
      </c>
      <c r="B181" s="260"/>
      <c r="C181" s="261">
        <f t="shared" si="46"/>
        <v>4</v>
      </c>
      <c r="D181" s="371"/>
      <c r="E181" s="262"/>
      <c r="F181" s="261" t="str">
        <f t="shared" si="58"/>
        <v/>
      </c>
      <c r="G181" s="263" t="str">
        <f t="shared" si="58"/>
        <v/>
      </c>
      <c r="H181" s="264" t="str">
        <f t="shared" si="47"/>
        <v/>
      </c>
      <c r="I181" s="265" t="str">
        <f t="shared" si="53"/>
        <v/>
      </c>
      <c r="J181" s="264" t="str">
        <f t="shared" si="48"/>
        <v/>
      </c>
      <c r="K181" s="264">
        <f t="shared" si="49"/>
        <v>0</v>
      </c>
      <c r="L181" s="266"/>
      <c r="M181" s="267">
        <f t="shared" si="54"/>
        <v>1</v>
      </c>
      <c r="N181" s="465" t="str">
        <f t="shared" si="50"/>
        <v/>
      </c>
      <c r="O181" s="297" t="str">
        <f t="shared" si="55"/>
        <v/>
      </c>
      <c r="P181" s="467" t="str">
        <f t="shared" si="51"/>
        <v/>
      </c>
      <c r="Q181" s="268" t="str">
        <f t="shared" si="56"/>
        <v/>
      </c>
      <c r="R181" s="269"/>
      <c r="S181" s="270" t="str">
        <f t="shared" si="52"/>
        <v/>
      </c>
      <c r="T181" s="271" t="str">
        <f t="shared" si="57"/>
        <v/>
      </c>
    </row>
    <row r="182" spans="1:20" x14ac:dyDescent="0.3">
      <c r="A182" s="255">
        <v>149</v>
      </c>
      <c r="B182" s="272"/>
      <c r="C182" s="273">
        <f t="shared" si="46"/>
        <v>4</v>
      </c>
      <c r="D182" s="372"/>
      <c r="E182" s="274"/>
      <c r="F182" s="273" t="str">
        <f t="shared" si="58"/>
        <v/>
      </c>
      <c r="G182" s="275" t="str">
        <f t="shared" si="58"/>
        <v/>
      </c>
      <c r="H182" s="276" t="str">
        <f t="shared" si="47"/>
        <v/>
      </c>
      <c r="I182" s="277" t="str">
        <f t="shared" si="53"/>
        <v/>
      </c>
      <c r="J182" s="276" t="str">
        <f t="shared" si="48"/>
        <v/>
      </c>
      <c r="K182" s="276">
        <f t="shared" si="49"/>
        <v>0</v>
      </c>
      <c r="L182" s="278"/>
      <c r="M182" s="279">
        <f t="shared" si="54"/>
        <v>1</v>
      </c>
      <c r="N182" s="360" t="str">
        <f t="shared" si="50"/>
        <v/>
      </c>
      <c r="O182" s="117" t="str">
        <f t="shared" si="55"/>
        <v/>
      </c>
      <c r="P182" s="359" t="str">
        <f t="shared" si="51"/>
        <v/>
      </c>
      <c r="Q182" s="280" t="str">
        <f t="shared" si="56"/>
        <v/>
      </c>
      <c r="R182" s="281"/>
      <c r="S182" s="282" t="str">
        <f t="shared" si="52"/>
        <v/>
      </c>
      <c r="T182" s="283" t="str">
        <f t="shared" si="57"/>
        <v/>
      </c>
    </row>
    <row r="183" spans="1:20" x14ac:dyDescent="0.3">
      <c r="A183" s="255">
        <v>150</v>
      </c>
      <c r="B183" s="284"/>
      <c r="C183" s="285">
        <f t="shared" si="46"/>
        <v>4</v>
      </c>
      <c r="D183" s="373"/>
      <c r="E183" s="286"/>
      <c r="F183" s="285" t="str">
        <f t="shared" si="58"/>
        <v/>
      </c>
      <c r="G183" s="287" t="str">
        <f t="shared" si="58"/>
        <v/>
      </c>
      <c r="H183" s="288" t="str">
        <f t="shared" si="47"/>
        <v/>
      </c>
      <c r="I183" s="289" t="str">
        <f t="shared" si="53"/>
        <v/>
      </c>
      <c r="J183" s="288" t="str">
        <f t="shared" si="48"/>
        <v/>
      </c>
      <c r="K183" s="288">
        <f t="shared" si="49"/>
        <v>0</v>
      </c>
      <c r="L183" s="290"/>
      <c r="M183" s="291">
        <f t="shared" si="54"/>
        <v>1</v>
      </c>
      <c r="N183" s="466" t="str">
        <f t="shared" si="50"/>
        <v/>
      </c>
      <c r="O183" s="302" t="str">
        <f t="shared" si="55"/>
        <v/>
      </c>
      <c r="P183" s="468" t="str">
        <f t="shared" si="51"/>
        <v/>
      </c>
      <c r="Q183" s="292" t="str">
        <f t="shared" si="56"/>
        <v/>
      </c>
      <c r="R183" s="293"/>
      <c r="S183" s="294" t="str">
        <f t="shared" si="52"/>
        <v/>
      </c>
      <c r="T183" s="295" t="str">
        <f t="shared" si="57"/>
        <v/>
      </c>
    </row>
  </sheetData>
  <sheetProtection selectLockedCells="1"/>
  <mergeCells count="29">
    <mergeCell ref="B30:B33"/>
    <mergeCell ref="Q14:S14"/>
    <mergeCell ref="Q15:R15"/>
    <mergeCell ref="I14:J15"/>
    <mergeCell ref="A16:C16"/>
    <mergeCell ref="A17:C17"/>
    <mergeCell ref="L14:L15"/>
    <mergeCell ref="F30:F33"/>
    <mergeCell ref="N30:P31"/>
    <mergeCell ref="L30:L33"/>
    <mergeCell ref="K30:K33"/>
    <mergeCell ref="S30:S33"/>
    <mergeCell ref="M30:M33"/>
    <mergeCell ref="L1:P1"/>
    <mergeCell ref="R1:T1"/>
    <mergeCell ref="Q30:Q32"/>
    <mergeCell ref="R30:R33"/>
    <mergeCell ref="G30:G32"/>
    <mergeCell ref="T30:T32"/>
    <mergeCell ref="J30:J33"/>
    <mergeCell ref="I30:I32"/>
    <mergeCell ref="A1:I1"/>
    <mergeCell ref="F14:G16"/>
    <mergeCell ref="F17:G18"/>
    <mergeCell ref="A18:C18"/>
    <mergeCell ref="A14:E15"/>
    <mergeCell ref="E30:E33"/>
    <mergeCell ref="D30:D33"/>
    <mergeCell ref="A30:A33"/>
  </mergeCells>
  <conditionalFormatting sqref="F14:G18">
    <cfRule type="expression" dxfId="20" priority="3">
      <formula>IF(AS-SUM($I$34:$I$183)&lt;0.1,TRUE,FALSE)</formula>
    </cfRule>
  </conditionalFormatting>
  <conditionalFormatting sqref="R34:R183">
    <cfRule type="expression" dxfId="19" priority="2">
      <formula>AND(C34=1,OR(R34="",R34=0))</formula>
    </cfRule>
  </conditionalFormatting>
  <dataValidations count="4">
    <dataValidation type="list" allowBlank="1" showInputMessage="1" showErrorMessage="1" errorTitle="VÍAS" error="El número de vías puede ser:_x000a_- 1,2,3 ó 4_x000a_- Plato perforado_x000a_- N/A" sqref="R34:R183" xr:uid="{00000000-0002-0000-0500-000000000000}">
      <formula1>$R$24:$R$29</formula1>
    </dataValidation>
    <dataValidation type="list" allowBlank="1" showInputMessage="1" showErrorMessage="1" errorTitle="DISPOSITIVO" error="El dispositivo para el suministro de aire únicamente puede ser:_x000a_- Difusor (DI)_x000a_- Rejilla de inyección (RI)_x000a_- Filtro terminal HEPA (FT)_x000a_" sqref="B34:B183" xr:uid="{00000000-0002-0000-0500-000001000000}">
      <formula1>$B$27:$B$29</formula1>
    </dataValidation>
    <dataValidation type="decimal" allowBlank="1" showInputMessage="1" showErrorMessage="1" errorTitle="REALCIÓN DE ASPECTO" error="El valor permitido está entre 0.25 y 4.00" sqref="L34:L183" xr:uid="{00000000-0002-0000-0500-000002000000}">
      <formula1>0.25</formula1>
      <formula2>4</formula2>
    </dataValidation>
    <dataValidation type="custom" allowBlank="1" showInputMessage="1" showErrorMessage="1" errorTitle="CUARTO" error="El cuarto que desea ingresar no existe. Ingrese otro valor para este cuarto." sqref="E34:E183" xr:uid="{00000000-0002-0000-0500-000003000000}">
      <formula1>NOT(ISERROR(J34))</formula1>
    </dataValidation>
  </dataValidations>
  <printOptions horizontalCentered="1"/>
  <pageMargins left="0.59055118110236227" right="0.59055118110236227" top="0.39370078740157483" bottom="0.39370078740157483" header="0.31496062992125984" footer="0.31496062992125984"/>
  <pageSetup scale="2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Puertas">
                <anchor moveWithCells="1">
                  <from>
                    <xdr:col>8</xdr:col>
                    <xdr:colOff>434340</xdr:colOff>
                    <xdr:row>2</xdr:row>
                    <xdr:rowOff>144780</xdr:rowOff>
                  </from>
                  <to>
                    <xdr:col>9</xdr:col>
                    <xdr:colOff>388620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Retorno">
                <anchor moveWithCells="1">
                  <from>
                    <xdr:col>8</xdr:col>
                    <xdr:colOff>434340</xdr:colOff>
                    <xdr:row>5</xdr:row>
                    <xdr:rowOff>83820</xdr:rowOff>
                  </from>
                  <to>
                    <xdr:col>9</xdr:col>
                    <xdr:colOff>388620</xdr:colOff>
                    <xdr:row>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6" name="Button 9">
              <controlPr defaultSize="0" print="0" autoFill="0" autoPict="0" macro="[0]!RESUMEN_DISP_INY">
                <anchor moveWithCells="1">
                  <from>
                    <xdr:col>18</xdr:col>
                    <xdr:colOff>190500</xdr:colOff>
                    <xdr:row>1</xdr:row>
                    <xdr:rowOff>53340</xdr:rowOff>
                  </from>
                  <to>
                    <xdr:col>19</xdr:col>
                    <xdr:colOff>701040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6:E15"/>
  <sheetViews>
    <sheetView workbookViewId="0">
      <selection activeCell="C16" sqref="C16"/>
    </sheetView>
  </sheetViews>
  <sheetFormatPr defaultColWidth="13" defaultRowHeight="14.4" x14ac:dyDescent="0.3"/>
  <cols>
    <col min="1" max="16384" width="13" style="386"/>
  </cols>
  <sheetData>
    <row r="6" spans="2:5" x14ac:dyDescent="0.3">
      <c r="B6" s="386" t="s">
        <v>334</v>
      </c>
      <c r="C6" s="386" t="s">
        <v>335</v>
      </c>
      <c r="E6" s="386" t="s">
        <v>336</v>
      </c>
    </row>
    <row r="7" spans="2:5" x14ac:dyDescent="0.3">
      <c r="B7" s="386" t="s">
        <v>337</v>
      </c>
      <c r="C7" s="386">
        <v>78.084000000000003</v>
      </c>
      <c r="E7" s="386">
        <v>28.966000000000001</v>
      </c>
    </row>
    <row r="8" spans="2:5" x14ac:dyDescent="0.3">
      <c r="B8" s="386" t="s">
        <v>338</v>
      </c>
      <c r="C8" s="386">
        <v>20.947600000000001</v>
      </c>
    </row>
    <row r="9" spans="2:5" x14ac:dyDescent="0.3">
      <c r="B9" s="386" t="s">
        <v>339</v>
      </c>
      <c r="C9" s="386">
        <v>0.93400000000000005</v>
      </c>
    </row>
    <row r="10" spans="2:5" x14ac:dyDescent="0.3">
      <c r="B10" s="386" t="s">
        <v>340</v>
      </c>
      <c r="C10" s="386">
        <v>1.818E-3</v>
      </c>
    </row>
    <row r="11" spans="2:5" x14ac:dyDescent="0.3">
      <c r="B11" s="386" t="s">
        <v>341</v>
      </c>
      <c r="C11" s="386">
        <v>5.2400000000000005E-4</v>
      </c>
    </row>
    <row r="12" spans="2:5" x14ac:dyDescent="0.3">
      <c r="B12" s="386" t="s">
        <v>342</v>
      </c>
      <c r="C12" s="386">
        <v>1.4999999999999999E-4</v>
      </c>
    </row>
    <row r="13" spans="2:5" x14ac:dyDescent="0.3">
      <c r="B13" s="386" t="s">
        <v>343</v>
      </c>
      <c r="C13" s="386">
        <v>1E-4</v>
      </c>
    </row>
    <row r="14" spans="2:5" x14ac:dyDescent="0.3">
      <c r="B14" s="386" t="s">
        <v>344</v>
      </c>
      <c r="C14" s="386">
        <v>5.0000000000000002E-5</v>
      </c>
    </row>
    <row r="15" spans="2:5" x14ac:dyDescent="0.3">
      <c r="B15" s="386" t="s">
        <v>345</v>
      </c>
      <c r="C15" s="386">
        <v>2.0000000000000001E-4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F8"/>
  <sheetViews>
    <sheetView workbookViewId="0">
      <selection activeCell="C16" sqref="C16"/>
    </sheetView>
  </sheetViews>
  <sheetFormatPr defaultRowHeight="14.4" x14ac:dyDescent="0.3"/>
  <cols>
    <col min="1" max="16384" width="9" style="386"/>
  </cols>
  <sheetData>
    <row r="1" spans="1:6" s="387" customFormat="1" x14ac:dyDescent="0.3">
      <c r="A1" s="387" t="s">
        <v>346</v>
      </c>
      <c r="B1" s="387" t="s">
        <v>347</v>
      </c>
      <c r="C1" s="387" t="s">
        <v>348</v>
      </c>
      <c r="D1" s="387" t="s">
        <v>349</v>
      </c>
      <c r="E1" s="387" t="s">
        <v>348</v>
      </c>
      <c r="F1" s="387" t="s">
        <v>350</v>
      </c>
    </row>
    <row r="2" spans="1:6" x14ac:dyDescent="0.3">
      <c r="A2" s="386" t="s">
        <v>351</v>
      </c>
      <c r="B2" s="386" t="s">
        <v>250</v>
      </c>
      <c r="E2" s="386">
        <v>1545.3489999999999</v>
      </c>
      <c r="F2" s="386" t="s">
        <v>352</v>
      </c>
    </row>
    <row r="3" spans="1:6" x14ac:dyDescent="0.3">
      <c r="A3" s="386" t="s">
        <v>353</v>
      </c>
      <c r="B3" s="386" t="s">
        <v>354</v>
      </c>
      <c r="C3" s="386">
        <v>28.966000000000001</v>
      </c>
    </row>
    <row r="4" spans="1:6" x14ac:dyDescent="0.3">
      <c r="A4" s="386" t="s">
        <v>355</v>
      </c>
      <c r="B4" s="386" t="s">
        <v>356</v>
      </c>
      <c r="E4" s="386">
        <f>E2/C3</f>
        <v>53.35044534972036</v>
      </c>
      <c r="F4" s="386" t="s">
        <v>357</v>
      </c>
    </row>
    <row r="5" spans="1:6" x14ac:dyDescent="0.3">
      <c r="A5" s="386" t="s">
        <v>358</v>
      </c>
      <c r="B5" s="386" t="s">
        <v>359</v>
      </c>
      <c r="C5" s="386">
        <v>18.015267999999999</v>
      </c>
    </row>
    <row r="6" spans="1:6" x14ac:dyDescent="0.3">
      <c r="A6" s="386" t="s">
        <v>360</v>
      </c>
      <c r="B6" s="386" t="s">
        <v>361</v>
      </c>
      <c r="E6" s="386">
        <f>E2/C5</f>
        <v>85.779961752442432</v>
      </c>
      <c r="F6" s="386" t="s">
        <v>362</v>
      </c>
    </row>
    <row r="7" spans="1:6" x14ac:dyDescent="0.3">
      <c r="A7" s="386" t="s">
        <v>363</v>
      </c>
      <c r="B7" s="386" t="s">
        <v>364</v>
      </c>
      <c r="E7" s="386">
        <v>32.173999999999999</v>
      </c>
      <c r="F7" s="386" t="s">
        <v>365</v>
      </c>
    </row>
    <row r="8" spans="1:6" x14ac:dyDescent="0.3">
      <c r="A8" s="386" t="s">
        <v>366</v>
      </c>
      <c r="C8" s="386">
        <f>C5/C3</f>
        <v>0.62194531519712759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E8"/>
  <sheetViews>
    <sheetView workbookViewId="0">
      <selection activeCell="C16" sqref="C16"/>
    </sheetView>
  </sheetViews>
  <sheetFormatPr defaultRowHeight="14.4" x14ac:dyDescent="0.3"/>
  <cols>
    <col min="1" max="16384" width="9" style="386"/>
  </cols>
  <sheetData>
    <row r="1" spans="1:5" s="387" customFormat="1" x14ac:dyDescent="0.3">
      <c r="A1" s="387" t="s">
        <v>346</v>
      </c>
      <c r="B1" s="387" t="s">
        <v>347</v>
      </c>
      <c r="C1" s="387" t="s">
        <v>349</v>
      </c>
      <c r="D1" s="387" t="s">
        <v>350</v>
      </c>
      <c r="E1" s="387" t="s">
        <v>367</v>
      </c>
    </row>
    <row r="2" spans="1:5" x14ac:dyDescent="0.3">
      <c r="A2" s="386" t="s">
        <v>368</v>
      </c>
      <c r="B2" s="386" t="s">
        <v>126</v>
      </c>
      <c r="C2" s="386" t="s">
        <v>369</v>
      </c>
      <c r="D2" s="386" t="s">
        <v>370</v>
      </c>
    </row>
    <row r="3" spans="1:5" x14ac:dyDescent="0.3">
      <c r="A3" s="386" t="s">
        <v>371</v>
      </c>
      <c r="B3" s="386" t="s">
        <v>372</v>
      </c>
      <c r="C3" s="386" t="s">
        <v>27</v>
      </c>
      <c r="D3" s="386" t="s">
        <v>104</v>
      </c>
    </row>
    <row r="4" spans="1:5" x14ac:dyDescent="0.3">
      <c r="A4" s="386" t="s">
        <v>373</v>
      </c>
      <c r="B4" s="386" t="s">
        <v>374</v>
      </c>
      <c r="C4" s="386" t="s">
        <v>48</v>
      </c>
      <c r="D4" s="386" t="s">
        <v>14</v>
      </c>
    </row>
    <row r="5" spans="1:5" x14ac:dyDescent="0.3">
      <c r="A5" s="386" t="s">
        <v>375</v>
      </c>
      <c r="B5" s="386" t="s">
        <v>376</v>
      </c>
      <c r="C5" s="386" t="s">
        <v>106</v>
      </c>
      <c r="D5" s="386" t="s">
        <v>250</v>
      </c>
    </row>
    <row r="6" spans="1:5" x14ac:dyDescent="0.3">
      <c r="A6" s="386" t="s">
        <v>377</v>
      </c>
      <c r="B6" s="386" t="s">
        <v>378</v>
      </c>
      <c r="C6" s="388" t="s">
        <v>38</v>
      </c>
      <c r="D6" s="388" t="s">
        <v>38</v>
      </c>
      <c r="E6" s="386" t="s">
        <v>379</v>
      </c>
    </row>
    <row r="7" spans="1:5" x14ac:dyDescent="0.3">
      <c r="A7" s="386" t="s">
        <v>380</v>
      </c>
      <c r="B7" s="386" t="s">
        <v>381</v>
      </c>
      <c r="D7" s="386" t="s">
        <v>382</v>
      </c>
    </row>
    <row r="8" spans="1:5" x14ac:dyDescent="0.3">
      <c r="A8" s="386" t="s">
        <v>383</v>
      </c>
      <c r="B8" s="386" t="s">
        <v>384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64851-9F09-4706-AF93-E737980C8391}">
  <sheetPr codeName="Hoja10">
    <pageSetUpPr fitToPage="1"/>
  </sheetPr>
  <dimension ref="A10:DH183"/>
  <sheetViews>
    <sheetView topLeftCell="A19" zoomScaleNormal="100" workbookViewId="0">
      <selection activeCell="Q34" sqref="Q34:Q183"/>
    </sheetView>
  </sheetViews>
  <sheetFormatPr defaultColWidth="12" defaultRowHeight="13.8" x14ac:dyDescent="0.3"/>
  <cols>
    <col min="1" max="2" width="12" style="471"/>
    <col min="3" max="3" width="30.25" style="471" customWidth="1"/>
    <col min="4" max="25" width="12" style="471" customWidth="1"/>
    <col min="26" max="26" width="12" style="472" customWidth="1"/>
    <col min="27" max="27" width="1.875" style="472" customWidth="1"/>
    <col min="28" max="28" width="46.125" style="472" bestFit="1" customWidth="1"/>
    <col min="29" max="29" width="7.875" style="472" customWidth="1"/>
    <col min="30" max="30" width="1.875" style="472" customWidth="1"/>
    <col min="31" max="33" width="12" style="472" hidden="1" customWidth="1"/>
    <col min="34" max="38" width="12" style="473" hidden="1" customWidth="1"/>
    <col min="39" max="45" width="12" style="472" hidden="1" customWidth="1"/>
    <col min="46" max="46" width="46.125" style="472" customWidth="1"/>
    <col min="47" max="47" width="7.875" style="472" customWidth="1"/>
    <col min="48" max="48" width="1.875" style="472" customWidth="1"/>
    <col min="49" max="49" width="12" style="472" hidden="1" customWidth="1"/>
    <col min="50" max="50" width="46.125" style="472" customWidth="1"/>
    <col min="51" max="51" width="7.875" style="472" customWidth="1"/>
    <col min="52" max="52" width="1.875" style="472" customWidth="1"/>
    <col min="53" max="54" width="7.875" style="472" customWidth="1"/>
    <col min="55" max="55" width="30.875" style="472" customWidth="1"/>
    <col min="56" max="56" width="12" style="472"/>
    <col min="57" max="57" width="4.875" style="472" customWidth="1"/>
    <col min="58" max="58" width="2.875" style="472" customWidth="1"/>
    <col min="59" max="59" width="4.875" style="472" customWidth="1"/>
    <col min="60" max="60" width="12" style="472"/>
    <col min="61" max="61" width="8" style="472" bestFit="1" customWidth="1"/>
    <col min="62" max="62" width="9.875" style="473" customWidth="1"/>
    <col min="63" max="63" width="8.875" style="473" customWidth="1"/>
    <col min="64" max="64" width="42.875" style="473" customWidth="1"/>
    <col min="65" max="66" width="7.875" style="472" customWidth="1"/>
    <col min="67" max="67" width="30.875" style="472" customWidth="1"/>
    <col min="68" max="68" width="12" style="472"/>
    <col min="69" max="69" width="4.875" style="472" customWidth="1"/>
    <col min="70" max="70" width="2.875" style="472" customWidth="1"/>
    <col min="71" max="71" width="4.875" style="472" customWidth="1"/>
    <col min="72" max="72" width="12" style="472"/>
    <col min="73" max="73" width="8" style="472" bestFit="1" customWidth="1"/>
    <col min="74" max="74" width="9.875" style="472" customWidth="1"/>
    <col min="75" max="75" width="8.875" style="472" customWidth="1"/>
    <col min="76" max="76" width="42.875" style="472" customWidth="1"/>
    <col min="77" max="78" width="7.875" style="472" customWidth="1"/>
    <col min="79" max="79" width="30.875" style="472" customWidth="1"/>
    <col min="80" max="80" width="12" style="472"/>
    <col min="81" max="81" width="4.875" style="472" customWidth="1"/>
    <col min="82" max="82" width="2.875" style="472" customWidth="1"/>
    <col min="83" max="83" width="4.875" style="472" customWidth="1"/>
    <col min="84" max="84" width="12" style="472"/>
    <col min="85" max="85" width="8" style="472" bestFit="1" customWidth="1"/>
    <col min="86" max="86" width="9.875" style="472" customWidth="1"/>
    <col min="87" max="87" width="8.875" style="472" customWidth="1"/>
    <col min="88" max="88" width="42.875" style="472" customWidth="1"/>
    <col min="89" max="90" width="7.875" style="472" customWidth="1"/>
    <col min="91" max="91" width="30.875" style="472" customWidth="1"/>
    <col min="92" max="92" width="12" style="472"/>
    <col min="93" max="93" width="4.875" style="472" customWidth="1"/>
    <col min="94" max="94" width="2.875" style="472" customWidth="1"/>
    <col min="95" max="95" width="4.875" style="472" customWidth="1"/>
    <col min="96" max="96" width="12" style="472"/>
    <col min="97" max="97" width="8" style="472" bestFit="1" customWidth="1"/>
    <col min="98" max="98" width="9.875" style="472" customWidth="1"/>
    <col min="99" max="99" width="8.875" style="472" customWidth="1"/>
    <col min="100" max="100" width="42.875" style="472" customWidth="1"/>
    <col min="101" max="102" width="7.875" style="472" customWidth="1"/>
    <col min="103" max="103" width="30.875" style="472" customWidth="1"/>
    <col min="104" max="104" width="12" style="472"/>
    <col min="105" max="105" width="4.875" style="472" customWidth="1"/>
    <col min="106" max="106" width="2.875" style="472" customWidth="1"/>
    <col min="107" max="107" width="4.875" style="472" customWidth="1"/>
    <col min="108" max="108" width="12" style="472"/>
    <col min="109" max="109" width="8" style="472" bestFit="1" customWidth="1"/>
    <col min="110" max="110" width="9.875" style="472" customWidth="1"/>
    <col min="111" max="111" width="8.875" style="472" customWidth="1"/>
    <col min="112" max="112" width="42.875" style="472" customWidth="1"/>
    <col min="113" max="16384" width="12" style="472"/>
  </cols>
  <sheetData>
    <row r="10" ht="13.8" customHeight="1" x14ac:dyDescent="0.3"/>
    <row r="11" ht="13.8" customHeight="1" x14ac:dyDescent="0.3"/>
    <row r="12" ht="13.8" customHeight="1" x14ac:dyDescent="0.3"/>
    <row r="13" ht="13.8" customHeight="1" x14ac:dyDescent="0.3"/>
    <row r="14" ht="13.8" customHeight="1" x14ac:dyDescent="0.3"/>
    <row r="15" ht="13.8" customHeight="1" x14ac:dyDescent="0.3"/>
    <row r="16" ht="13.8" customHeight="1" x14ac:dyDescent="0.3"/>
    <row r="17" spans="3:52" ht="13.8" customHeight="1" x14ac:dyDescent="0.3"/>
    <row r="18" spans="3:52" ht="12.75" customHeight="1" x14ac:dyDescent="0.3"/>
    <row r="19" spans="3:52" ht="13.8" customHeight="1" x14ac:dyDescent="0.3"/>
    <row r="22" spans="3:52" x14ac:dyDescent="0.3">
      <c r="AX22" s="472" t="b">
        <f>AS-SUM(Inyección!$I$34:'Inyección'!$I$183)&lt;0.1</f>
        <v>1</v>
      </c>
    </row>
    <row r="26" spans="3:52" x14ac:dyDescent="0.3">
      <c r="C26" s="471" t="s">
        <v>532</v>
      </c>
      <c r="AB26" s="640">
        <f>Datos!B6</f>
        <v>0</v>
      </c>
      <c r="AC26" s="641"/>
      <c r="AD26" s="641"/>
      <c r="AE26" s="641"/>
      <c r="AF26" s="641"/>
      <c r="AG26" s="641"/>
      <c r="AH26" s="641"/>
      <c r="AI26" s="641"/>
      <c r="AJ26" s="641"/>
      <c r="AK26" s="641"/>
      <c r="AL26" s="641"/>
      <c r="AM26" s="641"/>
      <c r="AN26" s="641"/>
      <c r="AO26" s="641"/>
      <c r="AP26" s="641"/>
      <c r="AQ26" s="641"/>
      <c r="AR26" s="641"/>
      <c r="AS26" s="641"/>
      <c r="AT26" s="641"/>
      <c r="AX26" s="642" t="s">
        <v>546</v>
      </c>
      <c r="AY26" s="642"/>
    </row>
    <row r="27" spans="3:52" x14ac:dyDescent="0.3">
      <c r="C27" s="471" t="s">
        <v>531</v>
      </c>
      <c r="AB27" s="641"/>
      <c r="AC27" s="641"/>
      <c r="AD27" s="641"/>
      <c r="AE27" s="641"/>
      <c r="AF27" s="641"/>
      <c r="AG27" s="641"/>
      <c r="AH27" s="641"/>
      <c r="AI27" s="641"/>
      <c r="AJ27" s="641"/>
      <c r="AK27" s="641"/>
      <c r="AL27" s="641"/>
      <c r="AM27" s="641"/>
      <c r="AN27" s="641"/>
      <c r="AO27" s="641"/>
      <c r="AP27" s="641"/>
      <c r="AQ27" s="641"/>
      <c r="AR27" s="641"/>
      <c r="AS27" s="641"/>
      <c r="AT27" s="641"/>
      <c r="AX27" s="642"/>
      <c r="AY27" s="642"/>
    </row>
    <row r="28" spans="3:52" x14ac:dyDescent="0.3">
      <c r="C28" s="471" t="s">
        <v>535</v>
      </c>
      <c r="AB28" s="641"/>
      <c r="AC28" s="641"/>
      <c r="AD28" s="641"/>
      <c r="AE28" s="641"/>
      <c r="AF28" s="641"/>
      <c r="AG28" s="641"/>
      <c r="AH28" s="641"/>
      <c r="AI28" s="641"/>
      <c r="AJ28" s="641"/>
      <c r="AK28" s="641"/>
      <c r="AL28" s="641"/>
      <c r="AM28" s="641"/>
      <c r="AN28" s="641"/>
      <c r="AO28" s="641"/>
      <c r="AP28" s="641"/>
      <c r="AQ28" s="641"/>
      <c r="AR28" s="641"/>
      <c r="AS28" s="641"/>
      <c r="AT28" s="641"/>
      <c r="AX28" s="643" t="str">
        <f>Inyección!F17</f>
        <v>0.0 PCM</v>
      </c>
      <c r="AY28" s="644"/>
    </row>
    <row r="29" spans="3:52" ht="13.8" customHeight="1" x14ac:dyDescent="0.3">
      <c r="C29" s="471" t="s">
        <v>533</v>
      </c>
      <c r="AB29" s="639">
        <f>Datos!B9</f>
        <v>0</v>
      </c>
      <c r="AC29" s="639"/>
      <c r="AD29" s="639"/>
      <c r="AE29" s="639"/>
      <c r="AF29" s="639"/>
      <c r="AG29" s="639"/>
      <c r="AH29" s="639"/>
      <c r="AI29" s="639"/>
      <c r="AJ29" s="639"/>
      <c r="AK29" s="639"/>
      <c r="AL29" s="639"/>
      <c r="AM29" s="639"/>
      <c r="AN29" s="639"/>
      <c r="AO29" s="639"/>
      <c r="AP29" s="639"/>
      <c r="AQ29" s="639"/>
      <c r="AR29" s="639"/>
      <c r="AS29" s="639"/>
      <c r="AT29" s="639"/>
      <c r="AX29" s="644"/>
      <c r="AY29" s="644"/>
    </row>
    <row r="30" spans="3:52" ht="12.75" customHeight="1" x14ac:dyDescent="0.3">
      <c r="AB30" s="639"/>
      <c r="AC30" s="639"/>
      <c r="AD30" s="639"/>
      <c r="AE30" s="639"/>
      <c r="AF30" s="639"/>
      <c r="AG30" s="639"/>
      <c r="AH30" s="639"/>
      <c r="AI30" s="639"/>
      <c r="AJ30" s="639"/>
      <c r="AK30" s="639"/>
      <c r="AL30" s="639"/>
      <c r="AM30" s="639"/>
      <c r="AN30" s="639"/>
      <c r="AO30" s="639"/>
      <c r="AP30" s="639"/>
      <c r="AQ30" s="639"/>
      <c r="AR30" s="639"/>
      <c r="AS30" s="639"/>
      <c r="AT30" s="639"/>
      <c r="AX30" s="644"/>
      <c r="AY30" s="644"/>
    </row>
    <row r="31" spans="3:52" ht="12.75" customHeight="1" x14ac:dyDescent="0.3">
      <c r="AA31" s="474"/>
      <c r="AB31" s="475"/>
      <c r="AC31" s="475"/>
      <c r="AD31" s="475"/>
      <c r="AE31" s="475"/>
      <c r="AF31" s="475"/>
      <c r="AG31" s="475"/>
      <c r="AH31" s="475"/>
      <c r="AI31" s="475"/>
      <c r="AJ31" s="475"/>
      <c r="AK31" s="475"/>
      <c r="AL31" s="475"/>
      <c r="AM31" s="475"/>
      <c r="AN31" s="475"/>
      <c r="AO31" s="475"/>
      <c r="AP31" s="475"/>
      <c r="AQ31" s="475"/>
      <c r="AR31" s="475"/>
      <c r="AS31" s="475"/>
      <c r="AT31" s="475"/>
      <c r="AU31" s="474"/>
      <c r="AV31" s="474"/>
      <c r="AW31" s="474"/>
      <c r="AX31" s="474"/>
      <c r="AY31" s="474"/>
      <c r="AZ31" s="474"/>
    </row>
    <row r="32" spans="3:52" ht="12.75" customHeight="1" x14ac:dyDescent="0.3">
      <c r="C32" s="476"/>
      <c r="D32" s="476"/>
      <c r="E32" s="476"/>
      <c r="G32" s="476"/>
      <c r="H32" s="476"/>
      <c r="I32" s="476"/>
      <c r="J32" s="476"/>
      <c r="K32" s="476"/>
      <c r="L32" s="476"/>
      <c r="M32" s="476"/>
      <c r="N32" s="476"/>
      <c r="O32" s="476"/>
      <c r="P32" s="476"/>
      <c r="Q32" s="476"/>
      <c r="R32" s="476"/>
      <c r="S32" s="476"/>
      <c r="U32" s="476"/>
      <c r="V32" s="476"/>
      <c r="W32" s="476"/>
      <c r="X32" s="476"/>
      <c r="Y32" s="476"/>
      <c r="Z32" s="473"/>
      <c r="AA32" s="477"/>
      <c r="AB32" s="632" t="s">
        <v>221</v>
      </c>
      <c r="AC32" s="478" t="s">
        <v>208</v>
      </c>
      <c r="AD32" s="474"/>
      <c r="AF32" s="473"/>
      <c r="AG32" s="473"/>
      <c r="AM32" s="473"/>
      <c r="AN32" s="473"/>
      <c r="AO32" s="473"/>
      <c r="AQ32" s="473"/>
      <c r="AR32" s="473"/>
      <c r="AS32" s="473"/>
      <c r="AT32" s="633" t="s">
        <v>252</v>
      </c>
      <c r="AU32" s="478" t="s">
        <v>208</v>
      </c>
      <c r="AV32" s="474"/>
      <c r="AX32" s="633" t="s">
        <v>228</v>
      </c>
      <c r="AY32" s="478" t="s">
        <v>208</v>
      </c>
      <c r="AZ32" s="474"/>
    </row>
    <row r="33" spans="3:112" x14ac:dyDescent="0.3">
      <c r="F33" s="479" t="s">
        <v>543</v>
      </c>
      <c r="J33" s="471" t="s">
        <v>544</v>
      </c>
      <c r="K33" s="471" t="s">
        <v>250</v>
      </c>
      <c r="L33" s="471" t="s">
        <v>545</v>
      </c>
      <c r="M33" s="471" t="s">
        <v>544</v>
      </c>
      <c r="O33" s="471" t="s">
        <v>250</v>
      </c>
      <c r="Q33" s="471" t="s">
        <v>545</v>
      </c>
      <c r="AA33" s="474"/>
      <c r="AB33" s="632"/>
      <c r="AC33" s="478">
        <f>SUM(AC34:AC63)</f>
        <v>0</v>
      </c>
      <c r="AD33" s="474"/>
      <c r="AE33" s="472" t="s">
        <v>198</v>
      </c>
      <c r="AF33" s="472" t="s">
        <v>199</v>
      </c>
      <c r="AH33" s="473" t="s">
        <v>198</v>
      </c>
      <c r="AI33" s="473" t="s">
        <v>199</v>
      </c>
      <c r="AJ33" s="473" t="s">
        <v>200</v>
      </c>
      <c r="AK33" s="473" t="s">
        <v>205</v>
      </c>
      <c r="AM33" s="472">
        <v>605</v>
      </c>
      <c r="AN33" s="472" t="e">
        <f t="array" ref="AN33:AN115">FREQUENCY($AG$34:$AG$183,$AM$33:$AM$114)</f>
        <v>#REF!</v>
      </c>
      <c r="AT33" s="634"/>
      <c r="AU33" s="480">
        <f>SUM(AU34:AU63)</f>
        <v>0</v>
      </c>
      <c r="AV33" s="474"/>
      <c r="AX33" s="634"/>
      <c r="AY33" s="480">
        <f>SUM(AY34:AY63)</f>
        <v>0</v>
      </c>
      <c r="AZ33" s="474"/>
      <c r="BA33" s="635" t="s">
        <v>167</v>
      </c>
      <c r="BB33" s="635" t="s">
        <v>189</v>
      </c>
      <c r="BC33" s="630" t="s">
        <v>34</v>
      </c>
      <c r="BD33" s="481" t="s">
        <v>230</v>
      </c>
      <c r="BE33" s="635" t="s">
        <v>173</v>
      </c>
      <c r="BF33" s="635"/>
      <c r="BG33" s="635"/>
      <c r="BH33" s="482" t="s">
        <v>174</v>
      </c>
      <c r="BI33" s="637" t="s">
        <v>231</v>
      </c>
      <c r="BJ33" s="635" t="s">
        <v>196</v>
      </c>
      <c r="BK33" s="483" t="s">
        <v>180</v>
      </c>
      <c r="BL33" s="483"/>
      <c r="BM33" s="635" t="s">
        <v>167</v>
      </c>
      <c r="BN33" s="635" t="s">
        <v>189</v>
      </c>
      <c r="BO33" s="630" t="s">
        <v>34</v>
      </c>
      <c r="BP33" s="481" t="s">
        <v>230</v>
      </c>
      <c r="BQ33" s="635" t="s">
        <v>173</v>
      </c>
      <c r="BR33" s="635"/>
      <c r="BS33" s="635"/>
      <c r="BT33" s="482" t="s">
        <v>174</v>
      </c>
      <c r="BU33" s="637" t="s">
        <v>231</v>
      </c>
      <c r="BV33" s="635" t="s">
        <v>196</v>
      </c>
      <c r="BW33" s="483" t="s">
        <v>180</v>
      </c>
      <c r="BX33" s="483"/>
      <c r="BY33" s="635" t="s">
        <v>167</v>
      </c>
      <c r="BZ33" s="635" t="s">
        <v>189</v>
      </c>
      <c r="CA33" s="630" t="s">
        <v>34</v>
      </c>
      <c r="CB33" s="481" t="s">
        <v>230</v>
      </c>
      <c r="CC33" s="635" t="s">
        <v>173</v>
      </c>
      <c r="CD33" s="635"/>
      <c r="CE33" s="635"/>
      <c r="CF33" s="482" t="s">
        <v>174</v>
      </c>
      <c r="CG33" s="637" t="s">
        <v>231</v>
      </c>
      <c r="CH33" s="635" t="s">
        <v>196</v>
      </c>
      <c r="CI33" s="483" t="s">
        <v>180</v>
      </c>
      <c r="CJ33" s="483"/>
      <c r="CK33" s="635" t="s">
        <v>167</v>
      </c>
      <c r="CL33" s="635" t="s">
        <v>189</v>
      </c>
      <c r="CM33" s="630" t="s">
        <v>34</v>
      </c>
      <c r="CN33" s="481" t="s">
        <v>230</v>
      </c>
      <c r="CO33" s="635" t="s">
        <v>173</v>
      </c>
      <c r="CP33" s="635"/>
      <c r="CQ33" s="635"/>
      <c r="CR33" s="482" t="s">
        <v>174</v>
      </c>
      <c r="CS33" s="637" t="s">
        <v>231</v>
      </c>
      <c r="CT33" s="635" t="s">
        <v>196</v>
      </c>
      <c r="CU33" s="483" t="s">
        <v>180</v>
      </c>
      <c r="CV33" s="483"/>
      <c r="CW33" s="635" t="s">
        <v>167</v>
      </c>
      <c r="CX33" s="635" t="s">
        <v>189</v>
      </c>
      <c r="CY33" s="630" t="s">
        <v>34</v>
      </c>
      <c r="CZ33" s="481" t="s">
        <v>230</v>
      </c>
      <c r="DA33" s="635" t="s">
        <v>173</v>
      </c>
      <c r="DB33" s="635"/>
      <c r="DC33" s="635"/>
      <c r="DD33" s="482" t="s">
        <v>174</v>
      </c>
      <c r="DE33" s="637" t="s">
        <v>231</v>
      </c>
      <c r="DF33" s="635" t="s">
        <v>196</v>
      </c>
      <c r="DG33" s="483" t="s">
        <v>180</v>
      </c>
      <c r="DH33" s="484"/>
    </row>
    <row r="34" spans="3:112" x14ac:dyDescent="0.3">
      <c r="C34" s="471" t="str">
        <f>IF(OR(Inyección!B34="",Inyección!N34="",Inyección!P34=""),"",INDEX($C$26:$C$29,Inyección!C34)&amp;" de "&amp;TEXT(Inyección!N34,"00")&amp;""""&amp;" × "&amp;TEXT(Inyección!P34,"00")&amp;""""&amp;IF(Inyección!C34=1,", "&amp;Inyección!R34&amp;IF(Inyección!R34=1," vía",IF(OR(Inyección!R34=2,Inyección!R34=3,Inyección!R34=4)," vías","")),""))</f>
        <v/>
      </c>
      <c r="F34" t="s">
        <v>543</v>
      </c>
      <c r="H34" s="471" t="str">
        <f>F34</f>
        <v/>
      </c>
      <c r="I34" s="471" t="str">
        <f>LEFT(H34,1)</f>
        <v/>
      </c>
      <c r="J34" s="471" t="str">
        <f>IF($I34=J$33,$H34,"")</f>
        <v/>
      </c>
      <c r="K34" s="471" t="str">
        <f t="shared" ref="K34:L49" si="0">IF($I34=K$33,$H34,"")</f>
        <v/>
      </c>
      <c r="L34" s="471" t="str">
        <f t="shared" si="0"/>
        <v/>
      </c>
      <c r="M34" s="471" t="s">
        <v>543</v>
      </c>
      <c r="N34" s="471">
        <f t="shared" ref="N34:N65" si="1">COUNTIF(DISP_INY,M34)</f>
        <v>150</v>
      </c>
      <c r="O34" s="471" t="s">
        <v>543</v>
      </c>
      <c r="P34" s="471">
        <f t="shared" ref="P34:P65" si="2">COUNTIF(DISP_INY,O34)</f>
        <v>150</v>
      </c>
      <c r="Q34" s="471" t="s">
        <v>543</v>
      </c>
      <c r="R34" s="471">
        <f t="shared" ref="R34:R65" si="3">COUNTIF(DISP_INY,Q34)</f>
        <v>150</v>
      </c>
      <c r="AA34" s="474"/>
      <c r="AB34" s="485" t="str">
        <f>IF($M$34="",IF(M35="","",M35),IF(M34="","",M34))</f>
        <v>Difusor de 09" × 09", 1 vía</v>
      </c>
      <c r="AC34" s="486" t="str">
        <f>IF($M$34="",IF(OR(N35="",N35=0),"",N35),IF(OR(N34="",N34=0),"",N34))</f>
        <v/>
      </c>
      <c r="AD34" s="474"/>
      <c r="AE34" s="472" t="e">
        <f>IF(#REF!=2,#REF!,0)</f>
        <v>#REF!</v>
      </c>
      <c r="AF34" s="472" t="e">
        <f>IF(#REF!=2,#REF!,0)</f>
        <v>#REF!</v>
      </c>
      <c r="AG34" s="472" t="e">
        <f t="shared" ref="AG34:AG97" si="4">VALUE(TEXT(AE34,"00")&amp;TEXT(AF34,"00"))</f>
        <v>#REF!</v>
      </c>
      <c r="AH34" s="473">
        <v>6</v>
      </c>
      <c r="AI34" s="473">
        <v>6</v>
      </c>
      <c r="AJ34" s="487">
        <f>(AH34/12)*(AI34/12)</f>
        <v>0.25</v>
      </c>
      <c r="AK34" s="488">
        <f t="shared" ref="AK34:AK97" si="5">AJ34*$AK$31</f>
        <v>0</v>
      </c>
      <c r="AL34" s="488">
        <f t="shared" ref="AL34:AL97" si="6">AH34/AI34</f>
        <v>1</v>
      </c>
      <c r="AM34" s="472">
        <f>VALUE(TEXT(AH34,"00")&amp;TEXT(AI34,"00"))</f>
        <v>606</v>
      </c>
      <c r="AN34" s="472" t="e">
        <v>#REF!</v>
      </c>
      <c r="AO34" s="472">
        <v>6</v>
      </c>
      <c r="AP34" s="472">
        <v>6</v>
      </c>
      <c r="AQ34" s="472">
        <v>6</v>
      </c>
      <c r="AR34" s="472">
        <f>VALUE(TEXT(AO34,"00")&amp;TEXT(AP34,"00"))</f>
        <v>606</v>
      </c>
      <c r="AS34" s="472">
        <f>VALUE(TEXT(AP34,"00")&amp;TEXT(AQ34,"00"))</f>
        <v>606</v>
      </c>
      <c r="AT34" s="489" t="str">
        <f>IF($O$34="",IF(O35="","",O35),IF(O34="","",O34))</f>
        <v>Rejilla de inyección de 08" × 08"</v>
      </c>
      <c r="AU34" s="490" t="str">
        <f>IF($O$34="",IF(OR(P35="",P35=0),"",P35),IF(OR(P34="",P34=0),"",P34))</f>
        <v/>
      </c>
      <c r="AV34" s="474"/>
      <c r="AW34" s="472" t="e">
        <f>IF(#REF!=3,#REF!,0)</f>
        <v>#REF!</v>
      </c>
      <c r="AX34" s="489" t="str">
        <f>IF($Q$34="",IF(Q35="","",Q35),IF(Q34="","",Q34))</f>
        <v>Filtro terminal HEPA de 24" × 24"</v>
      </c>
      <c r="AY34" s="490" t="str">
        <f>IF($Q$34="",IF(OR(R35="",R35=0),"",R35),IF(OR(R34="",R34=0),"",R34))</f>
        <v/>
      </c>
      <c r="AZ34" s="474"/>
      <c r="BA34" s="636"/>
      <c r="BB34" s="636"/>
      <c r="BC34" s="631"/>
      <c r="BD34" s="491" t="s">
        <v>42</v>
      </c>
      <c r="BE34" s="492" t="s">
        <v>181</v>
      </c>
      <c r="BF34" s="493"/>
      <c r="BG34" s="494" t="s">
        <v>181</v>
      </c>
      <c r="BH34" s="491" t="s">
        <v>175</v>
      </c>
      <c r="BI34" s="638"/>
      <c r="BJ34" s="636"/>
      <c r="BK34" s="491" t="s">
        <v>15</v>
      </c>
      <c r="BL34" s="491"/>
      <c r="BM34" s="636"/>
      <c r="BN34" s="636"/>
      <c r="BO34" s="631"/>
      <c r="BP34" s="491" t="s">
        <v>42</v>
      </c>
      <c r="BQ34" s="492" t="s">
        <v>181</v>
      </c>
      <c r="BR34" s="493"/>
      <c r="BS34" s="494" t="s">
        <v>181</v>
      </c>
      <c r="BT34" s="491" t="s">
        <v>175</v>
      </c>
      <c r="BU34" s="638"/>
      <c r="BV34" s="636"/>
      <c r="BW34" s="491" t="s">
        <v>15</v>
      </c>
      <c r="BX34" s="491"/>
      <c r="BY34" s="636"/>
      <c r="BZ34" s="636"/>
      <c r="CA34" s="631"/>
      <c r="CB34" s="491" t="s">
        <v>42</v>
      </c>
      <c r="CC34" s="492" t="s">
        <v>181</v>
      </c>
      <c r="CD34" s="493"/>
      <c r="CE34" s="494" t="s">
        <v>181</v>
      </c>
      <c r="CF34" s="491" t="s">
        <v>175</v>
      </c>
      <c r="CG34" s="638"/>
      <c r="CH34" s="636"/>
      <c r="CI34" s="491" t="s">
        <v>15</v>
      </c>
      <c r="CJ34" s="491"/>
      <c r="CK34" s="636"/>
      <c r="CL34" s="636"/>
      <c r="CM34" s="631"/>
      <c r="CN34" s="491" t="s">
        <v>42</v>
      </c>
      <c r="CO34" s="492" t="s">
        <v>181</v>
      </c>
      <c r="CP34" s="493"/>
      <c r="CQ34" s="494" t="s">
        <v>181</v>
      </c>
      <c r="CR34" s="491" t="s">
        <v>175</v>
      </c>
      <c r="CS34" s="638"/>
      <c r="CT34" s="636"/>
      <c r="CU34" s="491" t="s">
        <v>15</v>
      </c>
      <c r="CV34" s="491"/>
      <c r="CW34" s="636"/>
      <c r="CX34" s="636"/>
      <c r="CY34" s="631"/>
      <c r="CZ34" s="491" t="s">
        <v>42</v>
      </c>
      <c r="DA34" s="492" t="s">
        <v>181</v>
      </c>
      <c r="DB34" s="493"/>
      <c r="DC34" s="494" t="s">
        <v>181</v>
      </c>
      <c r="DD34" s="491" t="s">
        <v>175</v>
      </c>
      <c r="DE34" s="638"/>
      <c r="DF34" s="636"/>
      <c r="DG34" s="491" t="s">
        <v>15</v>
      </c>
      <c r="DH34" s="495"/>
    </row>
    <row r="35" spans="3:112" x14ac:dyDescent="0.3">
      <c r="C35" s="471" t="str">
        <f>IF(OR(Inyección!B35="",Inyección!N35="",Inyección!P35=""),"",INDEX($C$26:$C$29,Inyección!C35)&amp;" de "&amp;TEXT(Inyección!N35,"00")&amp;""""&amp;" × "&amp;TEXT(Inyección!P35,"00")&amp;""""&amp;IF(Inyección!C35=1,", "&amp;Inyección!R35&amp;IF(Inyección!R35=1," vía",IF(OR(Inyección!R35=2,Inyección!R35=3,Inyección!R35=4)," vías","")),""))</f>
        <v/>
      </c>
      <c r="F35" s="469" t="s">
        <v>538</v>
      </c>
      <c r="H35" s="471" t="str">
        <f t="shared" ref="H35:H98" si="7">F35</f>
        <v>Difusor de 09" × 09", 1 vía</v>
      </c>
      <c r="I35" s="471" t="str">
        <f t="shared" ref="I35:I98" si="8">LEFT(H35,1)</f>
        <v>D</v>
      </c>
      <c r="J35" s="471" t="str">
        <f t="shared" ref="J35:L66" si="9">IF($I35=J$33,$H35,"")</f>
        <v>Difusor de 09" × 09", 1 vía</v>
      </c>
      <c r="K35" s="471" t="str">
        <f t="shared" si="0"/>
        <v/>
      </c>
      <c r="L35" s="471" t="str">
        <f t="shared" si="0"/>
        <v/>
      </c>
      <c r="M35" s="471" t="s">
        <v>538</v>
      </c>
      <c r="N35" s="471">
        <f t="shared" si="1"/>
        <v>0</v>
      </c>
      <c r="O35" t="s">
        <v>539</v>
      </c>
      <c r="P35" s="471">
        <f t="shared" si="2"/>
        <v>0</v>
      </c>
      <c r="Q35" t="s">
        <v>536</v>
      </c>
      <c r="R35" s="471">
        <f t="shared" si="3"/>
        <v>0</v>
      </c>
      <c r="AA35" s="474"/>
      <c r="AB35" s="496" t="str">
        <f t="shared" ref="AB35:AB72" si="10">IF($M$34="",IF(M36="","",M36),IF(M35="","",M35))</f>
        <v>Difusor de 15" × 15", 2 vías</v>
      </c>
      <c r="AC35" s="497" t="str">
        <f t="shared" ref="AC35:AC72" si="11">IF($M$34="",IF(OR(N36="",N36=0),"",N36),IF(OR(N35="",N35=0),"",N35))</f>
        <v/>
      </c>
      <c r="AD35" s="474"/>
      <c r="AE35" s="472" t="e">
        <f>IF(#REF!=2,#REF!,0)</f>
        <v>#REF!</v>
      </c>
      <c r="AF35" s="472" t="e">
        <f>IF(#REF!=2,#REF!,0)</f>
        <v>#REF!</v>
      </c>
      <c r="AG35" s="472" t="e">
        <f t="shared" si="4"/>
        <v>#REF!</v>
      </c>
      <c r="AH35" s="473">
        <v>6</v>
      </c>
      <c r="AI35" s="473">
        <v>8</v>
      </c>
      <c r="AJ35" s="487">
        <f t="shared" ref="AJ35:AJ98" si="12">(AH35/12)*(AI35/12)</f>
        <v>0.33333333333333331</v>
      </c>
      <c r="AK35" s="488">
        <f t="shared" si="5"/>
        <v>0</v>
      </c>
      <c r="AL35" s="488">
        <f t="shared" si="6"/>
        <v>0.75</v>
      </c>
      <c r="AM35" s="472">
        <f t="shared" ref="AM35:AM98" si="13">VALUE(TEXT(AH35,"00")&amp;TEXT(AI35,"00"))</f>
        <v>608</v>
      </c>
      <c r="AN35" s="472" t="e">
        <v>#REF!</v>
      </c>
      <c r="AO35" s="472">
        <v>6</v>
      </c>
      <c r="AP35" s="472">
        <v>8</v>
      </c>
      <c r="AQ35" s="472">
        <v>6</v>
      </c>
      <c r="AR35" s="472">
        <f t="shared" ref="AR35:AS78" si="14">VALUE(TEXT(AO35,"00")&amp;TEXT(AP35,"00"))</f>
        <v>608</v>
      </c>
      <c r="AS35" s="472">
        <f t="shared" si="14"/>
        <v>806</v>
      </c>
      <c r="AT35" s="498" t="str">
        <f t="shared" ref="AT35:AT72" si="15">IF($O$34="",IF(O36="","",O36),IF(O35="","",O35))</f>
        <v>Rejilla de inyección de 08" × 10"</v>
      </c>
      <c r="AU35" s="499" t="str">
        <f t="shared" ref="AU35:AU72" si="16">IF($O$34="",IF(OR(P36="",P36=0),"",P36),IF(OR(P35="",P35=0),"",P35))</f>
        <v/>
      </c>
      <c r="AV35" s="474"/>
      <c r="AW35" s="472" t="e">
        <f>IF(#REF!=3,#REF!,0)</f>
        <v>#REF!</v>
      </c>
      <c r="AX35" s="498" t="str">
        <f t="shared" ref="AX35:AX72" si="17">IF($Q$34="",IF(Q36="","",Q36),IF(Q35="","",Q35))</f>
        <v>Filtro terminal HEPA de 24" × 48"</v>
      </c>
      <c r="AY35" s="500" t="str">
        <f t="shared" ref="AY35:AY72" si="18">IF($Q$34="",IF(OR(R36="",R36=0),"",R36),IF(OR(R35="",R35=0),"",R35))</f>
        <v/>
      </c>
      <c r="AZ35" s="474"/>
      <c r="BA35" s="501" t="e">
        <f>IF(#REF!="","",#REF!)</f>
        <v>#REF!</v>
      </c>
      <c r="BB35" s="502" t="e">
        <f>IF(#REF!="","",#REF!)</f>
        <v>#REF!</v>
      </c>
      <c r="BC35" s="503" t="e">
        <f>#REF!</f>
        <v>#REF!</v>
      </c>
      <c r="BD35" s="504" t="e">
        <f>#REF!</f>
        <v>#REF!</v>
      </c>
      <c r="BE35" s="505" t="e">
        <f>#REF!</f>
        <v>#REF!</v>
      </c>
      <c r="BF35" s="506" t="e">
        <f>#REF!</f>
        <v>#REF!</v>
      </c>
      <c r="BG35" s="507" t="e">
        <f>#REF!</f>
        <v>#REF!</v>
      </c>
      <c r="BH35" s="504" t="e">
        <f>#REF!</f>
        <v>#REF!</v>
      </c>
      <c r="BI35" s="508" t="e">
        <f>IF(#REF!="Plato perforado","PP",IF(OR(#REF!=0,#REF!=""),"",#REF!))</f>
        <v>#REF!</v>
      </c>
      <c r="BJ35" s="509" t="e">
        <f>#REF!</f>
        <v>#REF!</v>
      </c>
      <c r="BK35" s="510" t="e">
        <f>#REF!</f>
        <v>#REF!</v>
      </c>
      <c r="BL35" s="511"/>
      <c r="BM35" s="501" t="e">
        <f>IF(#REF!="","",#REF!)</f>
        <v>#REF!</v>
      </c>
      <c r="BN35" s="508" t="e">
        <f>IF(#REF!="","",#REF!)</f>
        <v>#REF!</v>
      </c>
      <c r="BO35" s="503" t="e">
        <f>#REF!</f>
        <v>#REF!</v>
      </c>
      <c r="BP35" s="504" t="e">
        <f>#REF!</f>
        <v>#REF!</v>
      </c>
      <c r="BQ35" s="505" t="e">
        <f>#REF!</f>
        <v>#REF!</v>
      </c>
      <c r="BR35" s="506" t="e">
        <f>#REF!</f>
        <v>#REF!</v>
      </c>
      <c r="BS35" s="507" t="e">
        <f>#REF!</f>
        <v>#REF!</v>
      </c>
      <c r="BT35" s="504" t="e">
        <f>#REF!</f>
        <v>#REF!</v>
      </c>
      <c r="BU35" s="508" t="e">
        <f>IF(#REF!="Plato perforado","PP",IF(OR(#REF!=0,#REF!=""),"",#REF!))</f>
        <v>#REF!</v>
      </c>
      <c r="BV35" s="509" t="e">
        <f>#REF!</f>
        <v>#REF!</v>
      </c>
      <c r="BW35" s="510" t="e">
        <f>#REF!</f>
        <v>#REF!</v>
      </c>
      <c r="BX35" s="511"/>
      <c r="BY35" s="501" t="e">
        <f>IF(#REF!="","",#REF!)</f>
        <v>#REF!</v>
      </c>
      <c r="BZ35" s="508" t="e">
        <f>IF(#REF!="","",#REF!)</f>
        <v>#REF!</v>
      </c>
      <c r="CA35" s="503" t="e">
        <f>#REF!</f>
        <v>#REF!</v>
      </c>
      <c r="CB35" s="504" t="e">
        <f>#REF!</f>
        <v>#REF!</v>
      </c>
      <c r="CC35" s="505" t="e">
        <f>#REF!</f>
        <v>#REF!</v>
      </c>
      <c r="CD35" s="506" t="e">
        <f>#REF!</f>
        <v>#REF!</v>
      </c>
      <c r="CE35" s="507" t="e">
        <f>#REF!</f>
        <v>#REF!</v>
      </c>
      <c r="CF35" s="504" t="e">
        <f>#REF!</f>
        <v>#REF!</v>
      </c>
      <c r="CG35" s="508" t="e">
        <f>IF(#REF!="Plato perforado","PP",IF(OR(#REF!=0,#REF!=""),"",#REF!))</f>
        <v>#REF!</v>
      </c>
      <c r="CH35" s="509" t="e">
        <f>#REF!</f>
        <v>#REF!</v>
      </c>
      <c r="CI35" s="510" t="e">
        <f>#REF!</f>
        <v>#REF!</v>
      </c>
      <c r="CJ35" s="511"/>
      <c r="CK35" s="501" t="e">
        <f>IF(#REF!="","",#REF!)</f>
        <v>#REF!</v>
      </c>
      <c r="CL35" s="508" t="e">
        <f>IF(#REF!="","",#REF!)</f>
        <v>#REF!</v>
      </c>
      <c r="CM35" s="503" t="e">
        <f>#REF!</f>
        <v>#REF!</v>
      </c>
      <c r="CN35" s="504" t="e">
        <f>#REF!</f>
        <v>#REF!</v>
      </c>
      <c r="CO35" s="505" t="e">
        <f>#REF!</f>
        <v>#REF!</v>
      </c>
      <c r="CP35" s="506" t="e">
        <f>#REF!</f>
        <v>#REF!</v>
      </c>
      <c r="CQ35" s="507" t="e">
        <f>#REF!</f>
        <v>#REF!</v>
      </c>
      <c r="CR35" s="504" t="e">
        <f>#REF!</f>
        <v>#REF!</v>
      </c>
      <c r="CS35" s="508" t="e">
        <f>IF(#REF!="Plato perforado","PP",IF(OR(#REF!=0,#REF!=""),"",#REF!))</f>
        <v>#REF!</v>
      </c>
      <c r="CT35" s="509" t="e">
        <f>#REF!</f>
        <v>#REF!</v>
      </c>
      <c r="CU35" s="510" t="e">
        <f>#REF!</f>
        <v>#REF!</v>
      </c>
      <c r="CV35" s="511"/>
      <c r="CW35" s="501" t="e">
        <f>IF(#REF!="","",#REF!)</f>
        <v>#REF!</v>
      </c>
      <c r="CX35" s="508" t="e">
        <f>IF(#REF!="","",#REF!)</f>
        <v>#REF!</v>
      </c>
      <c r="CY35" s="503" t="e">
        <f>#REF!</f>
        <v>#REF!</v>
      </c>
      <c r="CZ35" s="504" t="e">
        <f>#REF!</f>
        <v>#REF!</v>
      </c>
      <c r="DA35" s="505" t="e">
        <f>#REF!</f>
        <v>#REF!</v>
      </c>
      <c r="DB35" s="506" t="e">
        <f>#REF!</f>
        <v>#REF!</v>
      </c>
      <c r="DC35" s="507" t="e">
        <f>#REF!</f>
        <v>#REF!</v>
      </c>
      <c r="DD35" s="504" t="e">
        <f>#REF!</f>
        <v>#REF!</v>
      </c>
      <c r="DE35" s="508" t="e">
        <f>IF(#REF!="Plato perforado","PP",IF(OR(#REF!=0,#REF!=""),"",#REF!))</f>
        <v>#REF!</v>
      </c>
      <c r="DF35" s="509" t="e">
        <f>#REF!</f>
        <v>#REF!</v>
      </c>
      <c r="DG35" s="510" t="e">
        <f>#REF!</f>
        <v>#REF!</v>
      </c>
      <c r="DH35" s="512"/>
    </row>
    <row r="36" spans="3:112" x14ac:dyDescent="0.3">
      <c r="C36" s="471" t="str">
        <f>IF(OR(Inyección!B36="",Inyección!N36="",Inyección!P36=""),"",INDEX($C$26:$C$29,Inyección!C36)&amp;" de "&amp;TEXT(Inyección!N36,"00")&amp;""""&amp;" × "&amp;TEXT(Inyección!P36,"00")&amp;""""&amp;IF(Inyección!C36=1,", "&amp;Inyección!R36&amp;IF(Inyección!R36=1," vía",IF(OR(Inyección!R36=2,Inyección!R36=3,Inyección!R36=4)," vías","")),""))</f>
        <v/>
      </c>
      <c r="F36" s="469" t="s">
        <v>540</v>
      </c>
      <c r="H36" s="471" t="str">
        <f t="shared" si="7"/>
        <v>Difusor de 15" × 15", 2 vías</v>
      </c>
      <c r="I36" s="471" t="str">
        <f t="shared" si="8"/>
        <v>D</v>
      </c>
      <c r="J36" s="471" t="str">
        <f t="shared" si="9"/>
        <v>Difusor de 15" × 15", 2 vías</v>
      </c>
      <c r="K36" s="471" t="str">
        <f t="shared" si="0"/>
        <v/>
      </c>
      <c r="L36" s="471" t="str">
        <f t="shared" si="0"/>
        <v/>
      </c>
      <c r="M36" s="513" t="s">
        <v>540</v>
      </c>
      <c r="N36" s="471">
        <f t="shared" si="1"/>
        <v>0</v>
      </c>
      <c r="O36" t="s">
        <v>537</v>
      </c>
      <c r="P36" s="471">
        <f t="shared" si="2"/>
        <v>0</v>
      </c>
      <c r="Q36" t="s">
        <v>541</v>
      </c>
      <c r="R36" s="471">
        <f t="shared" si="3"/>
        <v>0</v>
      </c>
      <c r="AA36" s="474"/>
      <c r="AB36" s="496" t="str">
        <f t="shared" si="10"/>
        <v>Difusor de 24" × 24", N/D</v>
      </c>
      <c r="AC36" s="497" t="str">
        <f t="shared" si="11"/>
        <v/>
      </c>
      <c r="AD36" s="474"/>
      <c r="AE36" s="472" t="e">
        <f>IF(#REF!=2,#REF!,0)</f>
        <v>#REF!</v>
      </c>
      <c r="AF36" s="472" t="e">
        <f>IF(#REF!=2,#REF!,0)</f>
        <v>#REF!</v>
      </c>
      <c r="AG36" s="472" t="e">
        <f t="shared" si="4"/>
        <v>#REF!</v>
      </c>
      <c r="AH36" s="473">
        <v>6</v>
      </c>
      <c r="AI36" s="473">
        <v>10</v>
      </c>
      <c r="AJ36" s="487">
        <f t="shared" si="12"/>
        <v>0.41666666666666669</v>
      </c>
      <c r="AK36" s="488">
        <f t="shared" si="5"/>
        <v>0</v>
      </c>
      <c r="AL36" s="488">
        <f t="shared" si="6"/>
        <v>0.6</v>
      </c>
      <c r="AM36" s="472">
        <f t="shared" si="13"/>
        <v>610</v>
      </c>
      <c r="AN36" s="472" t="e">
        <v>#REF!</v>
      </c>
      <c r="AO36" s="472">
        <v>6</v>
      </c>
      <c r="AP36" s="472">
        <v>10</v>
      </c>
      <c r="AQ36" s="472">
        <v>6</v>
      </c>
      <c r="AR36" s="472">
        <f t="shared" si="14"/>
        <v>610</v>
      </c>
      <c r="AS36" s="472">
        <f t="shared" si="14"/>
        <v>1006</v>
      </c>
      <c r="AT36" s="498" t="str">
        <f t="shared" si="15"/>
        <v/>
      </c>
      <c r="AU36" s="499" t="str">
        <f t="shared" si="16"/>
        <v/>
      </c>
      <c r="AV36" s="474"/>
      <c r="AW36" s="472" t="e">
        <f>IF(#REF!=3,#REF!,0)</f>
        <v>#REF!</v>
      </c>
      <c r="AX36" s="498" t="str">
        <f t="shared" si="17"/>
        <v/>
      </c>
      <c r="AY36" s="500" t="str">
        <f t="shared" si="18"/>
        <v/>
      </c>
      <c r="AZ36" s="474"/>
      <c r="BA36" s="514" t="e">
        <f>IF(#REF!="","",#REF!)</f>
        <v>#REF!</v>
      </c>
      <c r="BB36" s="515" t="e">
        <f>IF(#REF!="","",#REF!)</f>
        <v>#REF!</v>
      </c>
      <c r="BC36" s="516" t="e">
        <f>#REF!</f>
        <v>#REF!</v>
      </c>
      <c r="BD36" s="517" t="e">
        <f>#REF!</f>
        <v>#REF!</v>
      </c>
      <c r="BE36" s="518" t="e">
        <f>#REF!</f>
        <v>#REF!</v>
      </c>
      <c r="BF36" s="519" t="e">
        <f>#REF!</f>
        <v>#REF!</v>
      </c>
      <c r="BG36" s="520" t="e">
        <f>#REF!</f>
        <v>#REF!</v>
      </c>
      <c r="BH36" s="517" t="e">
        <f>#REF!</f>
        <v>#REF!</v>
      </c>
      <c r="BI36" s="521" t="e">
        <f>IF(#REF!="Plato perforado","PP",IF(OR(#REF!=0,#REF!=""),"",#REF!))</f>
        <v>#REF!</v>
      </c>
      <c r="BJ36" s="522" t="e">
        <f>#REF!</f>
        <v>#REF!</v>
      </c>
      <c r="BK36" s="523" t="e">
        <f>#REF!</f>
        <v>#REF!</v>
      </c>
      <c r="BL36" s="524"/>
      <c r="BM36" s="514" t="e">
        <f>IF(#REF!="","",#REF!)</f>
        <v>#REF!</v>
      </c>
      <c r="BN36" s="521" t="e">
        <f>IF(#REF!="","",#REF!)</f>
        <v>#REF!</v>
      </c>
      <c r="BO36" s="516" t="e">
        <f>#REF!</f>
        <v>#REF!</v>
      </c>
      <c r="BP36" s="517" t="e">
        <f>#REF!</f>
        <v>#REF!</v>
      </c>
      <c r="BQ36" s="518" t="e">
        <f>#REF!</f>
        <v>#REF!</v>
      </c>
      <c r="BR36" s="519" t="e">
        <f>#REF!</f>
        <v>#REF!</v>
      </c>
      <c r="BS36" s="520" t="e">
        <f>#REF!</f>
        <v>#REF!</v>
      </c>
      <c r="BT36" s="517" t="e">
        <f>#REF!</f>
        <v>#REF!</v>
      </c>
      <c r="BU36" s="521" t="e">
        <f>IF(#REF!="Plato perforado","PP",IF(OR(#REF!=0,#REF!=""),"",#REF!))</f>
        <v>#REF!</v>
      </c>
      <c r="BV36" s="522" t="e">
        <f>#REF!</f>
        <v>#REF!</v>
      </c>
      <c r="BW36" s="523" t="e">
        <f>#REF!</f>
        <v>#REF!</v>
      </c>
      <c r="BX36" s="524"/>
      <c r="BY36" s="514" t="e">
        <f>IF(#REF!="","",#REF!)</f>
        <v>#REF!</v>
      </c>
      <c r="BZ36" s="521" t="e">
        <f>IF(#REF!="","",#REF!)</f>
        <v>#REF!</v>
      </c>
      <c r="CA36" s="516" t="e">
        <f>#REF!</f>
        <v>#REF!</v>
      </c>
      <c r="CB36" s="517" t="e">
        <f>#REF!</f>
        <v>#REF!</v>
      </c>
      <c r="CC36" s="518" t="e">
        <f>#REF!</f>
        <v>#REF!</v>
      </c>
      <c r="CD36" s="519" t="e">
        <f>#REF!</f>
        <v>#REF!</v>
      </c>
      <c r="CE36" s="520" t="e">
        <f>#REF!</f>
        <v>#REF!</v>
      </c>
      <c r="CF36" s="517" t="e">
        <f>#REF!</f>
        <v>#REF!</v>
      </c>
      <c r="CG36" s="521" t="e">
        <f>IF(#REF!="Plato perforado","PP",IF(OR(#REF!=0,#REF!=""),"",#REF!))</f>
        <v>#REF!</v>
      </c>
      <c r="CH36" s="522" t="e">
        <f>#REF!</f>
        <v>#REF!</v>
      </c>
      <c r="CI36" s="523" t="e">
        <f>#REF!</f>
        <v>#REF!</v>
      </c>
      <c r="CJ36" s="524"/>
      <c r="CK36" s="514" t="e">
        <f>IF(#REF!="","",#REF!)</f>
        <v>#REF!</v>
      </c>
      <c r="CL36" s="521" t="e">
        <f>IF(#REF!="","",#REF!)</f>
        <v>#REF!</v>
      </c>
      <c r="CM36" s="516" t="e">
        <f>#REF!</f>
        <v>#REF!</v>
      </c>
      <c r="CN36" s="517" t="e">
        <f>#REF!</f>
        <v>#REF!</v>
      </c>
      <c r="CO36" s="518" t="e">
        <f>#REF!</f>
        <v>#REF!</v>
      </c>
      <c r="CP36" s="519" t="e">
        <f>#REF!</f>
        <v>#REF!</v>
      </c>
      <c r="CQ36" s="520" t="e">
        <f>#REF!</f>
        <v>#REF!</v>
      </c>
      <c r="CR36" s="517" t="e">
        <f>#REF!</f>
        <v>#REF!</v>
      </c>
      <c r="CS36" s="521" t="e">
        <f>IF(#REF!="Plato perforado","PP",IF(OR(#REF!=0,#REF!=""),"",#REF!))</f>
        <v>#REF!</v>
      </c>
      <c r="CT36" s="522" t="e">
        <f>#REF!</f>
        <v>#REF!</v>
      </c>
      <c r="CU36" s="523" t="e">
        <f>#REF!</f>
        <v>#REF!</v>
      </c>
      <c r="CV36" s="524"/>
      <c r="CW36" s="514" t="e">
        <f>IF(#REF!="","",#REF!)</f>
        <v>#REF!</v>
      </c>
      <c r="CX36" s="521" t="e">
        <f>IF(#REF!="","",#REF!)</f>
        <v>#REF!</v>
      </c>
      <c r="CY36" s="516" t="e">
        <f>#REF!</f>
        <v>#REF!</v>
      </c>
      <c r="CZ36" s="517" t="e">
        <f>#REF!</f>
        <v>#REF!</v>
      </c>
      <c r="DA36" s="518" t="e">
        <f>#REF!</f>
        <v>#REF!</v>
      </c>
      <c r="DB36" s="519" t="e">
        <f>#REF!</f>
        <v>#REF!</v>
      </c>
      <c r="DC36" s="520" t="e">
        <f>#REF!</f>
        <v>#REF!</v>
      </c>
      <c r="DD36" s="517" t="e">
        <f>#REF!</f>
        <v>#REF!</v>
      </c>
      <c r="DE36" s="521" t="e">
        <f>IF(#REF!="Plato perforado","PP",IF(OR(#REF!=0,#REF!=""),"",#REF!))</f>
        <v>#REF!</v>
      </c>
      <c r="DF36" s="522" t="e">
        <f>#REF!</f>
        <v>#REF!</v>
      </c>
      <c r="DG36" s="523" t="e">
        <f>#REF!</f>
        <v>#REF!</v>
      </c>
      <c r="DH36" s="525"/>
    </row>
    <row r="37" spans="3:112" x14ac:dyDescent="0.3">
      <c r="C37" s="471" t="str">
        <f>IF(OR(Inyección!B37="",Inyección!N37="",Inyección!P37=""),"",INDEX($C$26:$C$29,Inyección!C37)&amp;" de "&amp;TEXT(Inyección!N37,"00")&amp;""""&amp;" × "&amp;TEXT(Inyección!P37,"00")&amp;""""&amp;IF(Inyección!C37=1,", "&amp;Inyección!R37&amp;IF(Inyección!R37=1," vía",IF(OR(Inyección!R37=2,Inyección!R37=3,Inyección!R37=4)," vías","")),""))</f>
        <v/>
      </c>
      <c r="F37" t="s">
        <v>542</v>
      </c>
      <c r="H37" s="471" t="str">
        <f t="shared" si="7"/>
        <v>Difusor de 24" × 24", N/D</v>
      </c>
      <c r="I37" s="471" t="str">
        <f t="shared" si="8"/>
        <v>D</v>
      </c>
      <c r="J37" s="471" t="str">
        <f t="shared" si="9"/>
        <v>Difusor de 24" × 24", N/D</v>
      </c>
      <c r="K37" s="471" t="str">
        <f t="shared" si="0"/>
        <v/>
      </c>
      <c r="L37" s="471" t="str">
        <f t="shared" si="0"/>
        <v/>
      </c>
      <c r="M37" s="513" t="s">
        <v>542</v>
      </c>
      <c r="N37" s="471">
        <f t="shared" si="1"/>
        <v>0</v>
      </c>
      <c r="O37"/>
      <c r="P37" s="471">
        <f t="shared" si="2"/>
        <v>0</v>
      </c>
      <c r="Q37"/>
      <c r="R37" s="471">
        <f t="shared" si="3"/>
        <v>0</v>
      </c>
      <c r="AA37" s="474"/>
      <c r="AB37" s="496" t="str">
        <f t="shared" si="10"/>
        <v/>
      </c>
      <c r="AC37" s="497" t="str">
        <f t="shared" si="11"/>
        <v/>
      </c>
      <c r="AD37" s="474"/>
      <c r="AE37" s="472" t="e">
        <f>IF(#REF!=2,#REF!,0)</f>
        <v>#REF!</v>
      </c>
      <c r="AF37" s="472" t="e">
        <f>IF(#REF!=2,#REF!,0)</f>
        <v>#REF!</v>
      </c>
      <c r="AG37" s="472" t="e">
        <f t="shared" si="4"/>
        <v>#REF!</v>
      </c>
      <c r="AH37" s="473">
        <v>6</v>
      </c>
      <c r="AI37" s="473">
        <v>12</v>
      </c>
      <c r="AJ37" s="487">
        <f t="shared" si="12"/>
        <v>0.5</v>
      </c>
      <c r="AK37" s="488">
        <f t="shared" si="5"/>
        <v>0</v>
      </c>
      <c r="AL37" s="488">
        <f t="shared" si="6"/>
        <v>0.5</v>
      </c>
      <c r="AM37" s="472">
        <f t="shared" si="13"/>
        <v>612</v>
      </c>
      <c r="AN37" s="472" t="e">
        <v>#REF!</v>
      </c>
      <c r="AO37" s="472">
        <v>6</v>
      </c>
      <c r="AP37" s="472">
        <v>12</v>
      </c>
      <c r="AQ37" s="472">
        <v>6</v>
      </c>
      <c r="AR37" s="472">
        <f t="shared" si="14"/>
        <v>612</v>
      </c>
      <c r="AS37" s="472">
        <f t="shared" si="14"/>
        <v>1206</v>
      </c>
      <c r="AT37" s="498" t="str">
        <f t="shared" si="15"/>
        <v/>
      </c>
      <c r="AU37" s="499" t="str">
        <f t="shared" si="16"/>
        <v/>
      </c>
      <c r="AV37" s="474"/>
      <c r="AW37" s="472" t="e">
        <f>IF(#REF!=3,#REF!,0)</f>
        <v>#REF!</v>
      </c>
      <c r="AX37" s="498" t="str">
        <f t="shared" si="17"/>
        <v/>
      </c>
      <c r="AY37" s="500" t="str">
        <f t="shared" si="18"/>
        <v/>
      </c>
      <c r="AZ37" s="474"/>
      <c r="BA37" s="514" t="e">
        <f>IF(#REF!="","",#REF!)</f>
        <v>#REF!</v>
      </c>
      <c r="BB37" s="526" t="e">
        <f>IF(#REF!="","",#REF!)</f>
        <v>#REF!</v>
      </c>
      <c r="BC37" s="516" t="e">
        <f>#REF!</f>
        <v>#REF!</v>
      </c>
      <c r="BD37" s="517" t="e">
        <f>#REF!</f>
        <v>#REF!</v>
      </c>
      <c r="BE37" s="518" t="e">
        <f>#REF!</f>
        <v>#REF!</v>
      </c>
      <c r="BF37" s="519" t="e">
        <f>#REF!</f>
        <v>#REF!</v>
      </c>
      <c r="BG37" s="520" t="e">
        <f>#REF!</f>
        <v>#REF!</v>
      </c>
      <c r="BH37" s="517" t="e">
        <f>#REF!</f>
        <v>#REF!</v>
      </c>
      <c r="BI37" s="521" t="e">
        <f>IF(#REF!="Plato perforado","PP",IF(OR(#REF!=0,#REF!=""),"",#REF!))</f>
        <v>#REF!</v>
      </c>
      <c r="BJ37" s="522" t="e">
        <f>#REF!</f>
        <v>#REF!</v>
      </c>
      <c r="BK37" s="523" t="e">
        <f>#REF!</f>
        <v>#REF!</v>
      </c>
      <c r="BL37" s="524"/>
      <c r="BM37" s="514" t="e">
        <f>IF(#REF!="","",#REF!)</f>
        <v>#REF!</v>
      </c>
      <c r="BN37" s="521" t="e">
        <f>IF(#REF!="","",#REF!)</f>
        <v>#REF!</v>
      </c>
      <c r="BO37" s="516" t="e">
        <f>#REF!</f>
        <v>#REF!</v>
      </c>
      <c r="BP37" s="517" t="e">
        <f>#REF!</f>
        <v>#REF!</v>
      </c>
      <c r="BQ37" s="518" t="e">
        <f>#REF!</f>
        <v>#REF!</v>
      </c>
      <c r="BR37" s="519" t="e">
        <f>#REF!</f>
        <v>#REF!</v>
      </c>
      <c r="BS37" s="520" t="e">
        <f>#REF!</f>
        <v>#REF!</v>
      </c>
      <c r="BT37" s="517" t="e">
        <f>#REF!</f>
        <v>#REF!</v>
      </c>
      <c r="BU37" s="521" t="e">
        <f>IF(#REF!="Plato perforado","PP",IF(OR(#REF!=0,#REF!=""),"",#REF!))</f>
        <v>#REF!</v>
      </c>
      <c r="BV37" s="522" t="e">
        <f>#REF!</f>
        <v>#REF!</v>
      </c>
      <c r="BW37" s="523" t="e">
        <f>#REF!</f>
        <v>#REF!</v>
      </c>
      <c r="BX37" s="524"/>
      <c r="BY37" s="514" t="e">
        <f>IF(#REF!="","",#REF!)</f>
        <v>#REF!</v>
      </c>
      <c r="BZ37" s="521" t="e">
        <f>IF(#REF!="","",#REF!)</f>
        <v>#REF!</v>
      </c>
      <c r="CA37" s="516" t="e">
        <f>#REF!</f>
        <v>#REF!</v>
      </c>
      <c r="CB37" s="517" t="e">
        <f>#REF!</f>
        <v>#REF!</v>
      </c>
      <c r="CC37" s="518" t="e">
        <f>#REF!</f>
        <v>#REF!</v>
      </c>
      <c r="CD37" s="519" t="e">
        <f>#REF!</f>
        <v>#REF!</v>
      </c>
      <c r="CE37" s="520" t="e">
        <f>#REF!</f>
        <v>#REF!</v>
      </c>
      <c r="CF37" s="517" t="e">
        <f>#REF!</f>
        <v>#REF!</v>
      </c>
      <c r="CG37" s="521" t="e">
        <f>IF(#REF!="Plato perforado","PP",IF(OR(#REF!=0,#REF!=""),"",#REF!))</f>
        <v>#REF!</v>
      </c>
      <c r="CH37" s="522" t="e">
        <f>#REF!</f>
        <v>#REF!</v>
      </c>
      <c r="CI37" s="523" t="e">
        <f>#REF!</f>
        <v>#REF!</v>
      </c>
      <c r="CJ37" s="524"/>
      <c r="CK37" s="514" t="e">
        <f>IF(#REF!="","",#REF!)</f>
        <v>#REF!</v>
      </c>
      <c r="CL37" s="521" t="e">
        <f>IF(#REF!="","",#REF!)</f>
        <v>#REF!</v>
      </c>
      <c r="CM37" s="516" t="e">
        <f>#REF!</f>
        <v>#REF!</v>
      </c>
      <c r="CN37" s="517" t="e">
        <f>#REF!</f>
        <v>#REF!</v>
      </c>
      <c r="CO37" s="518" t="e">
        <f>#REF!</f>
        <v>#REF!</v>
      </c>
      <c r="CP37" s="519" t="e">
        <f>#REF!</f>
        <v>#REF!</v>
      </c>
      <c r="CQ37" s="520" t="e">
        <f>#REF!</f>
        <v>#REF!</v>
      </c>
      <c r="CR37" s="517" t="e">
        <f>#REF!</f>
        <v>#REF!</v>
      </c>
      <c r="CS37" s="521" t="e">
        <f>IF(#REF!="Plato perforado","PP",IF(OR(#REF!=0,#REF!=""),"",#REF!))</f>
        <v>#REF!</v>
      </c>
      <c r="CT37" s="522" t="e">
        <f>#REF!</f>
        <v>#REF!</v>
      </c>
      <c r="CU37" s="523" t="e">
        <f>#REF!</f>
        <v>#REF!</v>
      </c>
      <c r="CV37" s="524"/>
      <c r="CW37" s="514" t="e">
        <f>IF(#REF!="","",#REF!)</f>
        <v>#REF!</v>
      </c>
      <c r="CX37" s="521" t="e">
        <f>IF(#REF!="","",#REF!)</f>
        <v>#REF!</v>
      </c>
      <c r="CY37" s="516" t="e">
        <f>#REF!</f>
        <v>#REF!</v>
      </c>
      <c r="CZ37" s="517" t="e">
        <f>#REF!</f>
        <v>#REF!</v>
      </c>
      <c r="DA37" s="518" t="e">
        <f>#REF!</f>
        <v>#REF!</v>
      </c>
      <c r="DB37" s="519" t="e">
        <f>#REF!</f>
        <v>#REF!</v>
      </c>
      <c r="DC37" s="520" t="e">
        <f>#REF!</f>
        <v>#REF!</v>
      </c>
      <c r="DD37" s="517" t="e">
        <f>#REF!</f>
        <v>#REF!</v>
      </c>
      <c r="DE37" s="521" t="e">
        <f>IF(#REF!="Plato perforado","PP",IF(OR(#REF!=0,#REF!=""),"",#REF!))</f>
        <v>#REF!</v>
      </c>
      <c r="DF37" s="522" t="e">
        <f>#REF!</f>
        <v>#REF!</v>
      </c>
      <c r="DG37" s="523" t="e">
        <f>#REF!</f>
        <v>#REF!</v>
      </c>
      <c r="DH37" s="525"/>
    </row>
    <row r="38" spans="3:112" x14ac:dyDescent="0.3">
      <c r="C38" s="471" t="str">
        <f>IF(OR(Inyección!B38="",Inyección!N38="",Inyección!P38=""),"",INDEX($C$26:$C$29,Inyección!C38)&amp;" de "&amp;TEXT(Inyección!N38,"00")&amp;""""&amp;" × "&amp;TEXT(Inyección!P38,"00")&amp;""""&amp;IF(Inyección!C38=1,", "&amp;Inyección!R38&amp;IF(Inyección!R38=1," vía",IF(OR(Inyección!R38=2,Inyección!R38=3,Inyección!R38=4)," vías","")),""))</f>
        <v/>
      </c>
      <c r="F38" t="s">
        <v>536</v>
      </c>
      <c r="H38" s="471" t="str">
        <f t="shared" si="7"/>
        <v>Filtro terminal HEPA de 24" × 24"</v>
      </c>
      <c r="I38" s="471" t="str">
        <f t="shared" si="8"/>
        <v>F</v>
      </c>
      <c r="J38" s="471" t="str">
        <f t="shared" si="9"/>
        <v/>
      </c>
      <c r="K38" s="471" t="str">
        <f t="shared" si="0"/>
        <v/>
      </c>
      <c r="L38" s="471" t="str">
        <f t="shared" si="0"/>
        <v>Filtro terminal HEPA de 24" × 24"</v>
      </c>
      <c r="M38"/>
      <c r="N38" s="471">
        <f t="shared" si="1"/>
        <v>0</v>
      </c>
      <c r="O38"/>
      <c r="P38" s="471">
        <f t="shared" si="2"/>
        <v>0</v>
      </c>
      <c r="Q38"/>
      <c r="R38" s="471">
        <f t="shared" si="3"/>
        <v>0</v>
      </c>
      <c r="T38" s="479"/>
      <c r="V38" s="479"/>
      <c r="AA38" s="474"/>
      <c r="AB38" s="496" t="str">
        <f t="shared" si="10"/>
        <v/>
      </c>
      <c r="AC38" s="497" t="str">
        <f t="shared" si="11"/>
        <v/>
      </c>
      <c r="AD38" s="474"/>
      <c r="AE38" s="472" t="e">
        <f>IF(#REF!=2,#REF!,0)</f>
        <v>#REF!</v>
      </c>
      <c r="AF38" s="472" t="e">
        <f>IF(#REF!=2,#REF!,0)</f>
        <v>#REF!</v>
      </c>
      <c r="AG38" s="472" t="e">
        <f t="shared" si="4"/>
        <v>#REF!</v>
      </c>
      <c r="AH38" s="473">
        <v>6</v>
      </c>
      <c r="AI38" s="473">
        <v>14</v>
      </c>
      <c r="AJ38" s="487">
        <f t="shared" si="12"/>
        <v>0.58333333333333337</v>
      </c>
      <c r="AK38" s="488">
        <f t="shared" si="5"/>
        <v>0</v>
      </c>
      <c r="AL38" s="488">
        <f t="shared" si="6"/>
        <v>0.42857142857142855</v>
      </c>
      <c r="AM38" s="472">
        <f t="shared" si="13"/>
        <v>614</v>
      </c>
      <c r="AN38" s="472" t="e">
        <v>#REF!</v>
      </c>
      <c r="AO38" s="472">
        <v>6</v>
      </c>
      <c r="AP38" s="472">
        <v>14</v>
      </c>
      <c r="AQ38" s="472">
        <v>6</v>
      </c>
      <c r="AR38" s="472">
        <f t="shared" si="14"/>
        <v>614</v>
      </c>
      <c r="AS38" s="472">
        <f t="shared" si="14"/>
        <v>1406</v>
      </c>
      <c r="AT38" s="498" t="str">
        <f t="shared" si="15"/>
        <v/>
      </c>
      <c r="AU38" s="499" t="str">
        <f t="shared" si="16"/>
        <v/>
      </c>
      <c r="AV38" s="474"/>
      <c r="AW38" s="472" t="e">
        <f>IF(#REF!=3,#REF!,0)</f>
        <v>#REF!</v>
      </c>
      <c r="AX38" s="498" t="str">
        <f t="shared" si="17"/>
        <v/>
      </c>
      <c r="AY38" s="500" t="str">
        <f t="shared" si="18"/>
        <v/>
      </c>
      <c r="AZ38" s="474"/>
      <c r="BA38" s="514" t="e">
        <f>IF(#REF!="","",#REF!)</f>
        <v>#REF!</v>
      </c>
      <c r="BB38" s="526" t="e">
        <f>IF(#REF!="","",#REF!)</f>
        <v>#REF!</v>
      </c>
      <c r="BC38" s="516" t="e">
        <f>#REF!</f>
        <v>#REF!</v>
      </c>
      <c r="BD38" s="517" t="e">
        <f>#REF!</f>
        <v>#REF!</v>
      </c>
      <c r="BE38" s="518" t="e">
        <f>#REF!</f>
        <v>#REF!</v>
      </c>
      <c r="BF38" s="519" t="e">
        <f>#REF!</f>
        <v>#REF!</v>
      </c>
      <c r="BG38" s="520" t="e">
        <f>#REF!</f>
        <v>#REF!</v>
      </c>
      <c r="BH38" s="517" t="e">
        <f>#REF!</f>
        <v>#REF!</v>
      </c>
      <c r="BI38" s="521" t="e">
        <f>IF(#REF!="Plato perforado","PP",IF(OR(#REF!=0,#REF!=""),"",#REF!))</f>
        <v>#REF!</v>
      </c>
      <c r="BJ38" s="522" t="e">
        <f>#REF!</f>
        <v>#REF!</v>
      </c>
      <c r="BK38" s="523" t="e">
        <f>#REF!</f>
        <v>#REF!</v>
      </c>
      <c r="BL38" s="524"/>
      <c r="BM38" s="514" t="e">
        <f>IF(#REF!="","",#REF!)</f>
        <v>#REF!</v>
      </c>
      <c r="BN38" s="521" t="e">
        <f>IF(#REF!="","",#REF!)</f>
        <v>#REF!</v>
      </c>
      <c r="BO38" s="516" t="e">
        <f>#REF!</f>
        <v>#REF!</v>
      </c>
      <c r="BP38" s="517" t="e">
        <f>#REF!</f>
        <v>#REF!</v>
      </c>
      <c r="BQ38" s="518" t="e">
        <f>#REF!</f>
        <v>#REF!</v>
      </c>
      <c r="BR38" s="519" t="e">
        <f>#REF!</f>
        <v>#REF!</v>
      </c>
      <c r="BS38" s="520" t="e">
        <f>#REF!</f>
        <v>#REF!</v>
      </c>
      <c r="BT38" s="517" t="e">
        <f>#REF!</f>
        <v>#REF!</v>
      </c>
      <c r="BU38" s="521" t="e">
        <f>IF(#REF!="Plato perforado","PP",IF(OR(#REF!=0,#REF!=""),"",#REF!))</f>
        <v>#REF!</v>
      </c>
      <c r="BV38" s="522" t="e">
        <f>#REF!</f>
        <v>#REF!</v>
      </c>
      <c r="BW38" s="523" t="e">
        <f>#REF!</f>
        <v>#REF!</v>
      </c>
      <c r="BX38" s="524"/>
      <c r="BY38" s="514" t="e">
        <f>IF(#REF!="","",#REF!)</f>
        <v>#REF!</v>
      </c>
      <c r="BZ38" s="521" t="e">
        <f>IF(#REF!="","",#REF!)</f>
        <v>#REF!</v>
      </c>
      <c r="CA38" s="516" t="e">
        <f>#REF!</f>
        <v>#REF!</v>
      </c>
      <c r="CB38" s="517" t="e">
        <f>#REF!</f>
        <v>#REF!</v>
      </c>
      <c r="CC38" s="518" t="e">
        <f>#REF!</f>
        <v>#REF!</v>
      </c>
      <c r="CD38" s="519" t="e">
        <f>#REF!</f>
        <v>#REF!</v>
      </c>
      <c r="CE38" s="520" t="e">
        <f>#REF!</f>
        <v>#REF!</v>
      </c>
      <c r="CF38" s="517" t="e">
        <f>#REF!</f>
        <v>#REF!</v>
      </c>
      <c r="CG38" s="521" t="e">
        <f>IF(#REF!="Plato perforado","PP",IF(OR(#REF!=0,#REF!=""),"",#REF!))</f>
        <v>#REF!</v>
      </c>
      <c r="CH38" s="522" t="e">
        <f>#REF!</f>
        <v>#REF!</v>
      </c>
      <c r="CI38" s="523" t="e">
        <f>#REF!</f>
        <v>#REF!</v>
      </c>
      <c r="CJ38" s="524"/>
      <c r="CK38" s="514" t="e">
        <f>IF(#REF!="","",#REF!)</f>
        <v>#REF!</v>
      </c>
      <c r="CL38" s="521" t="e">
        <f>IF(#REF!="","",#REF!)</f>
        <v>#REF!</v>
      </c>
      <c r="CM38" s="516" t="e">
        <f>#REF!</f>
        <v>#REF!</v>
      </c>
      <c r="CN38" s="517" t="e">
        <f>#REF!</f>
        <v>#REF!</v>
      </c>
      <c r="CO38" s="518" t="e">
        <f>#REF!</f>
        <v>#REF!</v>
      </c>
      <c r="CP38" s="519" t="e">
        <f>#REF!</f>
        <v>#REF!</v>
      </c>
      <c r="CQ38" s="520" t="e">
        <f>#REF!</f>
        <v>#REF!</v>
      </c>
      <c r="CR38" s="517" t="e">
        <f>#REF!</f>
        <v>#REF!</v>
      </c>
      <c r="CS38" s="521" t="e">
        <f>IF(#REF!="Plato perforado","PP",IF(OR(#REF!=0,#REF!=""),"",#REF!))</f>
        <v>#REF!</v>
      </c>
      <c r="CT38" s="522" t="e">
        <f>#REF!</f>
        <v>#REF!</v>
      </c>
      <c r="CU38" s="523" t="e">
        <f>#REF!</f>
        <v>#REF!</v>
      </c>
      <c r="CV38" s="524"/>
      <c r="CW38" s="514" t="e">
        <f>IF(#REF!="","",#REF!)</f>
        <v>#REF!</v>
      </c>
      <c r="CX38" s="521" t="e">
        <f>IF(#REF!="","",#REF!)</f>
        <v>#REF!</v>
      </c>
      <c r="CY38" s="516" t="e">
        <f>#REF!</f>
        <v>#REF!</v>
      </c>
      <c r="CZ38" s="517" t="e">
        <f>#REF!</f>
        <v>#REF!</v>
      </c>
      <c r="DA38" s="518" t="e">
        <f>#REF!</f>
        <v>#REF!</v>
      </c>
      <c r="DB38" s="519" t="e">
        <f>#REF!</f>
        <v>#REF!</v>
      </c>
      <c r="DC38" s="520" t="e">
        <f>#REF!</f>
        <v>#REF!</v>
      </c>
      <c r="DD38" s="517" t="e">
        <f>#REF!</f>
        <v>#REF!</v>
      </c>
      <c r="DE38" s="521" t="e">
        <f>IF(#REF!="Plato perforado","PP",IF(OR(#REF!=0,#REF!=""),"",#REF!))</f>
        <v>#REF!</v>
      </c>
      <c r="DF38" s="522" t="e">
        <f>#REF!</f>
        <v>#REF!</v>
      </c>
      <c r="DG38" s="523" t="e">
        <f>#REF!</f>
        <v>#REF!</v>
      </c>
      <c r="DH38" s="525"/>
    </row>
    <row r="39" spans="3:112" x14ac:dyDescent="0.3">
      <c r="C39" s="471" t="str">
        <f>IF(OR(Inyección!B39="",Inyección!N39="",Inyección!P39=""),"",INDEX($C$26:$C$29,Inyección!C39)&amp;" de "&amp;TEXT(Inyección!N39,"00")&amp;""""&amp;" × "&amp;TEXT(Inyección!P39,"00")&amp;""""&amp;IF(Inyección!C39=1,", "&amp;Inyección!R39&amp;IF(Inyección!R39=1," vía",IF(OR(Inyección!R39=2,Inyección!R39=3,Inyección!R39=4)," vías","")),""))</f>
        <v/>
      </c>
      <c r="F39" s="469" t="s">
        <v>541</v>
      </c>
      <c r="H39" s="471" t="str">
        <f t="shared" si="7"/>
        <v>Filtro terminal HEPA de 24" × 48"</v>
      </c>
      <c r="I39" s="471" t="str">
        <f t="shared" si="8"/>
        <v>F</v>
      </c>
      <c r="J39" s="471" t="str">
        <f t="shared" si="9"/>
        <v/>
      </c>
      <c r="K39" s="471" t="str">
        <f t="shared" si="0"/>
        <v/>
      </c>
      <c r="L39" s="471" t="str">
        <f t="shared" si="0"/>
        <v>Filtro terminal HEPA de 24" × 48"</v>
      </c>
      <c r="M39"/>
      <c r="N39" s="471">
        <f t="shared" si="1"/>
        <v>0</v>
      </c>
      <c r="O39"/>
      <c r="P39" s="471">
        <f t="shared" si="2"/>
        <v>0</v>
      </c>
      <c r="Q39"/>
      <c r="R39" s="471">
        <f t="shared" si="3"/>
        <v>0</v>
      </c>
      <c r="T39" s="479"/>
      <c r="V39" s="479"/>
      <c r="AA39" s="474"/>
      <c r="AB39" s="496" t="str">
        <f t="shared" si="10"/>
        <v/>
      </c>
      <c r="AC39" s="497" t="str">
        <f t="shared" si="11"/>
        <v/>
      </c>
      <c r="AD39" s="474"/>
      <c r="AE39" s="472" t="e">
        <f>IF(#REF!=2,#REF!,0)</f>
        <v>#REF!</v>
      </c>
      <c r="AF39" s="472" t="e">
        <f>IF(#REF!=2,#REF!,0)</f>
        <v>#REF!</v>
      </c>
      <c r="AG39" s="472" t="e">
        <f t="shared" si="4"/>
        <v>#REF!</v>
      </c>
      <c r="AH39" s="473">
        <v>8</v>
      </c>
      <c r="AI39" s="473">
        <v>6</v>
      </c>
      <c r="AJ39" s="487">
        <f t="shared" si="12"/>
        <v>0.33333333333333331</v>
      </c>
      <c r="AK39" s="488">
        <f t="shared" si="5"/>
        <v>0</v>
      </c>
      <c r="AL39" s="488">
        <f t="shared" si="6"/>
        <v>1.3333333333333333</v>
      </c>
      <c r="AM39" s="472">
        <f t="shared" si="13"/>
        <v>806</v>
      </c>
      <c r="AN39" s="472" t="e">
        <v>#REF!</v>
      </c>
      <c r="AO39" s="472">
        <v>8</v>
      </c>
      <c r="AP39" s="472">
        <v>8</v>
      </c>
      <c r="AQ39" s="472">
        <v>8</v>
      </c>
      <c r="AR39" s="472">
        <f t="shared" si="14"/>
        <v>808</v>
      </c>
      <c r="AS39" s="472">
        <f t="shared" si="14"/>
        <v>808</v>
      </c>
      <c r="AT39" s="498" t="str">
        <f t="shared" si="15"/>
        <v/>
      </c>
      <c r="AU39" s="499" t="str">
        <f t="shared" si="16"/>
        <v/>
      </c>
      <c r="AV39" s="474"/>
      <c r="AW39" s="472" t="e">
        <f>IF(#REF!=3,#REF!,0)</f>
        <v>#REF!</v>
      </c>
      <c r="AX39" s="498" t="str">
        <f t="shared" si="17"/>
        <v/>
      </c>
      <c r="AY39" s="500" t="str">
        <f t="shared" si="18"/>
        <v/>
      </c>
      <c r="AZ39" s="474"/>
      <c r="BA39" s="514" t="e">
        <f>IF(#REF!="","",#REF!)</f>
        <v>#REF!</v>
      </c>
      <c r="BB39" s="526" t="e">
        <f>IF(#REF!="","",#REF!)</f>
        <v>#REF!</v>
      </c>
      <c r="BC39" s="516" t="e">
        <f>#REF!</f>
        <v>#REF!</v>
      </c>
      <c r="BD39" s="517" t="e">
        <f>#REF!</f>
        <v>#REF!</v>
      </c>
      <c r="BE39" s="518" t="e">
        <f>#REF!</f>
        <v>#REF!</v>
      </c>
      <c r="BF39" s="519" t="e">
        <f>#REF!</f>
        <v>#REF!</v>
      </c>
      <c r="BG39" s="520" t="e">
        <f>#REF!</f>
        <v>#REF!</v>
      </c>
      <c r="BH39" s="517" t="e">
        <f>#REF!</f>
        <v>#REF!</v>
      </c>
      <c r="BI39" s="521" t="e">
        <f>IF(#REF!="Plato perforado","PP",IF(OR(#REF!=0,#REF!=""),"",#REF!))</f>
        <v>#REF!</v>
      </c>
      <c r="BJ39" s="522" t="e">
        <f>#REF!</f>
        <v>#REF!</v>
      </c>
      <c r="BK39" s="523" t="e">
        <f>#REF!</f>
        <v>#REF!</v>
      </c>
      <c r="BL39" s="524"/>
      <c r="BM39" s="514" t="e">
        <f>IF(#REF!="","",#REF!)</f>
        <v>#REF!</v>
      </c>
      <c r="BN39" s="521" t="e">
        <f>IF(#REF!="","",#REF!)</f>
        <v>#REF!</v>
      </c>
      <c r="BO39" s="516" t="e">
        <f>#REF!</f>
        <v>#REF!</v>
      </c>
      <c r="BP39" s="517" t="e">
        <f>#REF!</f>
        <v>#REF!</v>
      </c>
      <c r="BQ39" s="518" t="e">
        <f>#REF!</f>
        <v>#REF!</v>
      </c>
      <c r="BR39" s="519" t="e">
        <f>#REF!</f>
        <v>#REF!</v>
      </c>
      <c r="BS39" s="520" t="e">
        <f>#REF!</f>
        <v>#REF!</v>
      </c>
      <c r="BT39" s="517" t="e">
        <f>#REF!</f>
        <v>#REF!</v>
      </c>
      <c r="BU39" s="521" t="e">
        <f>IF(#REF!="Plato perforado","PP",IF(OR(#REF!=0,#REF!=""),"",#REF!))</f>
        <v>#REF!</v>
      </c>
      <c r="BV39" s="522" t="e">
        <f>#REF!</f>
        <v>#REF!</v>
      </c>
      <c r="BW39" s="523" t="e">
        <f>#REF!</f>
        <v>#REF!</v>
      </c>
      <c r="BX39" s="524"/>
      <c r="BY39" s="514" t="e">
        <f>IF(#REF!="","",#REF!)</f>
        <v>#REF!</v>
      </c>
      <c r="BZ39" s="521" t="e">
        <f>IF(#REF!="","",#REF!)</f>
        <v>#REF!</v>
      </c>
      <c r="CA39" s="516" t="e">
        <f>#REF!</f>
        <v>#REF!</v>
      </c>
      <c r="CB39" s="517" t="e">
        <f>#REF!</f>
        <v>#REF!</v>
      </c>
      <c r="CC39" s="518" t="e">
        <f>#REF!</f>
        <v>#REF!</v>
      </c>
      <c r="CD39" s="519" t="e">
        <f>#REF!</f>
        <v>#REF!</v>
      </c>
      <c r="CE39" s="520" t="e">
        <f>#REF!</f>
        <v>#REF!</v>
      </c>
      <c r="CF39" s="517" t="e">
        <f>#REF!</f>
        <v>#REF!</v>
      </c>
      <c r="CG39" s="521" t="e">
        <f>IF(#REF!="Plato perforado","PP",IF(OR(#REF!=0,#REF!=""),"",#REF!))</f>
        <v>#REF!</v>
      </c>
      <c r="CH39" s="522" t="e">
        <f>#REF!</f>
        <v>#REF!</v>
      </c>
      <c r="CI39" s="523" t="e">
        <f>#REF!</f>
        <v>#REF!</v>
      </c>
      <c r="CJ39" s="524"/>
      <c r="CK39" s="514" t="e">
        <f>IF(#REF!="","",#REF!)</f>
        <v>#REF!</v>
      </c>
      <c r="CL39" s="521" t="e">
        <f>IF(#REF!="","",#REF!)</f>
        <v>#REF!</v>
      </c>
      <c r="CM39" s="516" t="e">
        <f>#REF!</f>
        <v>#REF!</v>
      </c>
      <c r="CN39" s="517" t="e">
        <f>#REF!</f>
        <v>#REF!</v>
      </c>
      <c r="CO39" s="518" t="e">
        <f>#REF!</f>
        <v>#REF!</v>
      </c>
      <c r="CP39" s="519" t="e">
        <f>#REF!</f>
        <v>#REF!</v>
      </c>
      <c r="CQ39" s="520" t="e">
        <f>#REF!</f>
        <v>#REF!</v>
      </c>
      <c r="CR39" s="517" t="e">
        <f>#REF!</f>
        <v>#REF!</v>
      </c>
      <c r="CS39" s="521" t="e">
        <f>IF(#REF!="Plato perforado","PP",IF(OR(#REF!=0,#REF!=""),"",#REF!))</f>
        <v>#REF!</v>
      </c>
      <c r="CT39" s="522" t="e">
        <f>#REF!</f>
        <v>#REF!</v>
      </c>
      <c r="CU39" s="523" t="e">
        <f>#REF!</f>
        <v>#REF!</v>
      </c>
      <c r="CV39" s="524"/>
      <c r="CW39" s="514" t="e">
        <f>IF(#REF!="","",#REF!)</f>
        <v>#REF!</v>
      </c>
      <c r="CX39" s="521" t="e">
        <f>IF(#REF!="","",#REF!)</f>
        <v>#REF!</v>
      </c>
      <c r="CY39" s="516" t="e">
        <f>#REF!</f>
        <v>#REF!</v>
      </c>
      <c r="CZ39" s="517" t="e">
        <f>#REF!</f>
        <v>#REF!</v>
      </c>
      <c r="DA39" s="518" t="e">
        <f>#REF!</f>
        <v>#REF!</v>
      </c>
      <c r="DB39" s="519" t="e">
        <f>#REF!</f>
        <v>#REF!</v>
      </c>
      <c r="DC39" s="520" t="e">
        <f>#REF!</f>
        <v>#REF!</v>
      </c>
      <c r="DD39" s="517" t="e">
        <f>#REF!</f>
        <v>#REF!</v>
      </c>
      <c r="DE39" s="521" t="e">
        <f>IF(#REF!="Plato perforado","PP",IF(OR(#REF!=0,#REF!=""),"",#REF!))</f>
        <v>#REF!</v>
      </c>
      <c r="DF39" s="522" t="e">
        <f>#REF!</f>
        <v>#REF!</v>
      </c>
      <c r="DG39" s="523" t="e">
        <f>#REF!</f>
        <v>#REF!</v>
      </c>
      <c r="DH39" s="525"/>
    </row>
    <row r="40" spans="3:112" x14ac:dyDescent="0.3">
      <c r="C40" s="471" t="str">
        <f>IF(OR(Inyección!B40="",Inyección!N40="",Inyección!P40=""),"",INDEX($C$26:$C$29,Inyección!C40)&amp;" de "&amp;TEXT(Inyección!N40,"00")&amp;""""&amp;" × "&amp;TEXT(Inyección!P40,"00")&amp;""""&amp;IF(Inyección!C40=1,", "&amp;Inyección!R40&amp;IF(Inyección!R40=1," vía",IF(OR(Inyección!R40=2,Inyección!R40=3,Inyección!R40=4)," vías","")),""))</f>
        <v/>
      </c>
      <c r="F40" t="s">
        <v>539</v>
      </c>
      <c r="H40" s="471" t="str">
        <f t="shared" si="7"/>
        <v>Rejilla de inyección de 08" × 08"</v>
      </c>
      <c r="I40" s="471" t="str">
        <f t="shared" si="8"/>
        <v>R</v>
      </c>
      <c r="J40" s="471" t="str">
        <f t="shared" si="9"/>
        <v/>
      </c>
      <c r="K40" s="471" t="str">
        <f t="shared" si="0"/>
        <v>Rejilla de inyección de 08" × 08"</v>
      </c>
      <c r="L40" s="471" t="str">
        <f t="shared" si="0"/>
        <v/>
      </c>
      <c r="M40"/>
      <c r="N40" s="471">
        <f t="shared" si="1"/>
        <v>0</v>
      </c>
      <c r="O40"/>
      <c r="P40" s="471">
        <f t="shared" si="2"/>
        <v>0</v>
      </c>
      <c r="Q40"/>
      <c r="R40" s="471">
        <f t="shared" si="3"/>
        <v>0</v>
      </c>
      <c r="T40" s="479"/>
      <c r="V40" s="479"/>
      <c r="AA40" s="474"/>
      <c r="AB40" s="496" t="str">
        <f t="shared" si="10"/>
        <v/>
      </c>
      <c r="AC40" s="497" t="str">
        <f t="shared" si="11"/>
        <v/>
      </c>
      <c r="AD40" s="474"/>
      <c r="AE40" s="472" t="e">
        <f>IF(#REF!=2,#REF!,0)</f>
        <v>#REF!</v>
      </c>
      <c r="AF40" s="472" t="e">
        <f>IF(#REF!=2,#REF!,0)</f>
        <v>#REF!</v>
      </c>
      <c r="AG40" s="472" t="e">
        <f t="shared" si="4"/>
        <v>#REF!</v>
      </c>
      <c r="AH40" s="473">
        <v>8</v>
      </c>
      <c r="AI40" s="473">
        <v>8</v>
      </c>
      <c r="AJ40" s="487">
        <f t="shared" si="12"/>
        <v>0.44444444444444442</v>
      </c>
      <c r="AK40" s="488">
        <f t="shared" si="5"/>
        <v>0</v>
      </c>
      <c r="AL40" s="488">
        <f t="shared" si="6"/>
        <v>1</v>
      </c>
      <c r="AM40" s="472">
        <f t="shared" si="13"/>
        <v>808</v>
      </c>
      <c r="AN40" s="472" t="e">
        <v>#REF!</v>
      </c>
      <c r="AO40" s="472">
        <v>8</v>
      </c>
      <c r="AP40" s="472">
        <v>10</v>
      </c>
      <c r="AQ40" s="472">
        <v>8</v>
      </c>
      <c r="AR40" s="472">
        <f t="shared" si="14"/>
        <v>810</v>
      </c>
      <c r="AS40" s="472">
        <f t="shared" si="14"/>
        <v>1008</v>
      </c>
      <c r="AT40" s="498" t="str">
        <f t="shared" si="15"/>
        <v/>
      </c>
      <c r="AU40" s="499" t="str">
        <f t="shared" si="16"/>
        <v/>
      </c>
      <c r="AV40" s="474"/>
      <c r="AW40" s="472" t="e">
        <f>IF(#REF!=3,#REF!,0)</f>
        <v>#REF!</v>
      </c>
      <c r="AX40" s="498" t="str">
        <f t="shared" si="17"/>
        <v/>
      </c>
      <c r="AY40" s="500" t="str">
        <f t="shared" si="18"/>
        <v/>
      </c>
      <c r="AZ40" s="474"/>
      <c r="BA40" s="514" t="e">
        <f>IF(#REF!="","",#REF!)</f>
        <v>#REF!</v>
      </c>
      <c r="BB40" s="526" t="e">
        <f>IF(#REF!="","",#REF!)</f>
        <v>#REF!</v>
      </c>
      <c r="BC40" s="516" t="e">
        <f>#REF!</f>
        <v>#REF!</v>
      </c>
      <c r="BD40" s="517" t="e">
        <f>#REF!</f>
        <v>#REF!</v>
      </c>
      <c r="BE40" s="518" t="e">
        <f>#REF!</f>
        <v>#REF!</v>
      </c>
      <c r="BF40" s="519" t="e">
        <f>#REF!</f>
        <v>#REF!</v>
      </c>
      <c r="BG40" s="520" t="e">
        <f>#REF!</f>
        <v>#REF!</v>
      </c>
      <c r="BH40" s="517" t="e">
        <f>#REF!</f>
        <v>#REF!</v>
      </c>
      <c r="BI40" s="521" t="e">
        <f>IF(#REF!="Plato perforado","PP",IF(OR(#REF!=0,#REF!=""),"",#REF!))</f>
        <v>#REF!</v>
      </c>
      <c r="BJ40" s="522" t="e">
        <f>#REF!</f>
        <v>#REF!</v>
      </c>
      <c r="BK40" s="523" t="e">
        <f>#REF!</f>
        <v>#REF!</v>
      </c>
      <c r="BL40" s="524"/>
      <c r="BM40" s="514" t="e">
        <f>IF(#REF!="","",#REF!)</f>
        <v>#REF!</v>
      </c>
      <c r="BN40" s="521" t="e">
        <f>IF(#REF!="","",#REF!)</f>
        <v>#REF!</v>
      </c>
      <c r="BO40" s="516" t="e">
        <f>#REF!</f>
        <v>#REF!</v>
      </c>
      <c r="BP40" s="517" t="e">
        <f>#REF!</f>
        <v>#REF!</v>
      </c>
      <c r="BQ40" s="518" t="e">
        <f>#REF!</f>
        <v>#REF!</v>
      </c>
      <c r="BR40" s="519" t="e">
        <f>#REF!</f>
        <v>#REF!</v>
      </c>
      <c r="BS40" s="520" t="e">
        <f>#REF!</f>
        <v>#REF!</v>
      </c>
      <c r="BT40" s="517" t="e">
        <f>#REF!</f>
        <v>#REF!</v>
      </c>
      <c r="BU40" s="521" t="e">
        <f>IF(#REF!="Plato perforado","PP",IF(OR(#REF!=0,#REF!=""),"",#REF!))</f>
        <v>#REF!</v>
      </c>
      <c r="BV40" s="522" t="e">
        <f>#REF!</f>
        <v>#REF!</v>
      </c>
      <c r="BW40" s="523" t="e">
        <f>#REF!</f>
        <v>#REF!</v>
      </c>
      <c r="BX40" s="524"/>
      <c r="BY40" s="514" t="e">
        <f>IF(#REF!="","",#REF!)</f>
        <v>#REF!</v>
      </c>
      <c r="BZ40" s="521" t="e">
        <f>IF(#REF!="","",#REF!)</f>
        <v>#REF!</v>
      </c>
      <c r="CA40" s="516" t="e">
        <f>#REF!</f>
        <v>#REF!</v>
      </c>
      <c r="CB40" s="517" t="e">
        <f>#REF!</f>
        <v>#REF!</v>
      </c>
      <c r="CC40" s="518" t="e">
        <f>#REF!</f>
        <v>#REF!</v>
      </c>
      <c r="CD40" s="519" t="e">
        <f>#REF!</f>
        <v>#REF!</v>
      </c>
      <c r="CE40" s="520" t="e">
        <f>#REF!</f>
        <v>#REF!</v>
      </c>
      <c r="CF40" s="517" t="e">
        <f>#REF!</f>
        <v>#REF!</v>
      </c>
      <c r="CG40" s="521" t="e">
        <f>IF(#REF!="Plato perforado","PP",IF(OR(#REF!=0,#REF!=""),"",#REF!))</f>
        <v>#REF!</v>
      </c>
      <c r="CH40" s="522" t="e">
        <f>#REF!</f>
        <v>#REF!</v>
      </c>
      <c r="CI40" s="523" t="e">
        <f>#REF!</f>
        <v>#REF!</v>
      </c>
      <c r="CJ40" s="524"/>
      <c r="CK40" s="514" t="e">
        <f>IF(#REF!="","",#REF!)</f>
        <v>#REF!</v>
      </c>
      <c r="CL40" s="521" t="e">
        <f>IF(#REF!="","",#REF!)</f>
        <v>#REF!</v>
      </c>
      <c r="CM40" s="516" t="e">
        <f>#REF!</f>
        <v>#REF!</v>
      </c>
      <c r="CN40" s="517" t="e">
        <f>#REF!</f>
        <v>#REF!</v>
      </c>
      <c r="CO40" s="518" t="e">
        <f>#REF!</f>
        <v>#REF!</v>
      </c>
      <c r="CP40" s="519" t="e">
        <f>#REF!</f>
        <v>#REF!</v>
      </c>
      <c r="CQ40" s="520" t="e">
        <f>#REF!</f>
        <v>#REF!</v>
      </c>
      <c r="CR40" s="517" t="e">
        <f>#REF!</f>
        <v>#REF!</v>
      </c>
      <c r="CS40" s="521" t="e">
        <f>IF(#REF!="Plato perforado","PP",IF(OR(#REF!=0,#REF!=""),"",#REF!))</f>
        <v>#REF!</v>
      </c>
      <c r="CT40" s="522" t="e">
        <f>#REF!</f>
        <v>#REF!</v>
      </c>
      <c r="CU40" s="523" t="e">
        <f>#REF!</f>
        <v>#REF!</v>
      </c>
      <c r="CV40" s="524"/>
      <c r="CW40" s="514" t="e">
        <f>IF(#REF!="","",#REF!)</f>
        <v>#REF!</v>
      </c>
      <c r="CX40" s="521" t="e">
        <f>IF(#REF!="","",#REF!)</f>
        <v>#REF!</v>
      </c>
      <c r="CY40" s="516" t="e">
        <f>#REF!</f>
        <v>#REF!</v>
      </c>
      <c r="CZ40" s="517" t="e">
        <f>#REF!</f>
        <v>#REF!</v>
      </c>
      <c r="DA40" s="518" t="e">
        <f>#REF!</f>
        <v>#REF!</v>
      </c>
      <c r="DB40" s="519" t="e">
        <f>#REF!</f>
        <v>#REF!</v>
      </c>
      <c r="DC40" s="520" t="e">
        <f>#REF!</f>
        <v>#REF!</v>
      </c>
      <c r="DD40" s="517" t="e">
        <f>#REF!</f>
        <v>#REF!</v>
      </c>
      <c r="DE40" s="521" t="e">
        <f>IF(#REF!="Plato perforado","PP",IF(OR(#REF!=0,#REF!=""),"",#REF!))</f>
        <v>#REF!</v>
      </c>
      <c r="DF40" s="522" t="e">
        <f>#REF!</f>
        <v>#REF!</v>
      </c>
      <c r="DG40" s="523" t="e">
        <f>#REF!</f>
        <v>#REF!</v>
      </c>
      <c r="DH40" s="525"/>
    </row>
    <row r="41" spans="3:112" x14ac:dyDescent="0.3">
      <c r="C41" s="471" t="str">
        <f>IF(OR(Inyección!B41="",Inyección!N41="",Inyección!P41=""),"",INDEX($C$26:$C$29,Inyección!C41)&amp;" de "&amp;TEXT(Inyección!N41,"00")&amp;""""&amp;" × "&amp;TEXT(Inyección!P41,"00")&amp;""""&amp;IF(Inyección!C41=1,", "&amp;Inyección!R41&amp;IF(Inyección!R41=1," vía",IF(OR(Inyección!R41=2,Inyección!R41=3,Inyección!R41=4)," vías","")),""))</f>
        <v/>
      </c>
      <c r="F41" s="469" t="s">
        <v>537</v>
      </c>
      <c r="H41" s="471" t="str">
        <f t="shared" si="7"/>
        <v>Rejilla de inyección de 08" × 10"</v>
      </c>
      <c r="I41" s="471" t="str">
        <f t="shared" si="8"/>
        <v>R</v>
      </c>
      <c r="J41" s="471" t="str">
        <f t="shared" si="9"/>
        <v/>
      </c>
      <c r="K41" s="471" t="str">
        <f t="shared" si="0"/>
        <v>Rejilla de inyección de 08" × 10"</v>
      </c>
      <c r="L41" s="471" t="str">
        <f t="shared" si="0"/>
        <v/>
      </c>
      <c r="M41"/>
      <c r="N41" s="471">
        <f t="shared" si="1"/>
        <v>0</v>
      </c>
      <c r="O41"/>
      <c r="P41" s="471">
        <f t="shared" si="2"/>
        <v>0</v>
      </c>
      <c r="Q41"/>
      <c r="R41" s="471">
        <f t="shared" si="3"/>
        <v>0</v>
      </c>
      <c r="T41" s="479"/>
      <c r="V41" s="479"/>
      <c r="AA41" s="474"/>
      <c r="AB41" s="496" t="str">
        <f t="shared" si="10"/>
        <v/>
      </c>
      <c r="AC41" s="497" t="str">
        <f t="shared" si="11"/>
        <v/>
      </c>
      <c r="AD41" s="474"/>
      <c r="AE41" s="472" t="e">
        <f>IF(#REF!=2,#REF!,0)</f>
        <v>#REF!</v>
      </c>
      <c r="AF41" s="472" t="e">
        <f>IF(#REF!=2,#REF!,0)</f>
        <v>#REF!</v>
      </c>
      <c r="AG41" s="472" t="e">
        <f t="shared" si="4"/>
        <v>#REF!</v>
      </c>
      <c r="AH41" s="473">
        <v>8</v>
      </c>
      <c r="AI41" s="473">
        <v>10</v>
      </c>
      <c r="AJ41" s="487">
        <f t="shared" si="12"/>
        <v>0.55555555555555558</v>
      </c>
      <c r="AK41" s="488">
        <f t="shared" si="5"/>
        <v>0</v>
      </c>
      <c r="AL41" s="488">
        <f t="shared" si="6"/>
        <v>0.8</v>
      </c>
      <c r="AM41" s="472">
        <f t="shared" si="13"/>
        <v>810</v>
      </c>
      <c r="AN41" s="472" t="e">
        <v>#REF!</v>
      </c>
      <c r="AO41" s="472">
        <v>8</v>
      </c>
      <c r="AP41" s="472">
        <v>12</v>
      </c>
      <c r="AQ41" s="472">
        <v>8</v>
      </c>
      <c r="AR41" s="472">
        <f t="shared" si="14"/>
        <v>812</v>
      </c>
      <c r="AS41" s="472">
        <f t="shared" si="14"/>
        <v>1208</v>
      </c>
      <c r="AT41" s="498" t="str">
        <f t="shared" si="15"/>
        <v/>
      </c>
      <c r="AU41" s="499" t="str">
        <f t="shared" si="16"/>
        <v/>
      </c>
      <c r="AV41" s="474"/>
      <c r="AW41" s="472" t="e">
        <f>IF(#REF!=3,#REF!,0)</f>
        <v>#REF!</v>
      </c>
      <c r="AX41" s="498" t="str">
        <f t="shared" si="17"/>
        <v/>
      </c>
      <c r="AY41" s="500" t="str">
        <f t="shared" si="18"/>
        <v/>
      </c>
      <c r="AZ41" s="474"/>
      <c r="BA41" s="514" t="e">
        <f>IF(#REF!="","",#REF!)</f>
        <v>#REF!</v>
      </c>
      <c r="BB41" s="526" t="e">
        <f>IF(#REF!="","",#REF!)</f>
        <v>#REF!</v>
      </c>
      <c r="BC41" s="516" t="e">
        <f>#REF!</f>
        <v>#REF!</v>
      </c>
      <c r="BD41" s="517" t="e">
        <f>#REF!</f>
        <v>#REF!</v>
      </c>
      <c r="BE41" s="518" t="e">
        <f>#REF!</f>
        <v>#REF!</v>
      </c>
      <c r="BF41" s="519" t="e">
        <f>#REF!</f>
        <v>#REF!</v>
      </c>
      <c r="BG41" s="520" t="e">
        <f>#REF!</f>
        <v>#REF!</v>
      </c>
      <c r="BH41" s="517" t="e">
        <f>#REF!</f>
        <v>#REF!</v>
      </c>
      <c r="BI41" s="521" t="e">
        <f>IF(#REF!="Plato perforado","PP",IF(OR(#REF!=0,#REF!=""),"",#REF!))</f>
        <v>#REF!</v>
      </c>
      <c r="BJ41" s="522" t="e">
        <f>#REF!</f>
        <v>#REF!</v>
      </c>
      <c r="BK41" s="523" t="e">
        <f>#REF!</f>
        <v>#REF!</v>
      </c>
      <c r="BL41" s="524"/>
      <c r="BM41" s="514" t="e">
        <f>IF(#REF!="","",#REF!)</f>
        <v>#REF!</v>
      </c>
      <c r="BN41" s="521" t="e">
        <f>IF(#REF!="","",#REF!)</f>
        <v>#REF!</v>
      </c>
      <c r="BO41" s="516" t="e">
        <f>#REF!</f>
        <v>#REF!</v>
      </c>
      <c r="BP41" s="517" t="e">
        <f>#REF!</f>
        <v>#REF!</v>
      </c>
      <c r="BQ41" s="518" t="e">
        <f>#REF!</f>
        <v>#REF!</v>
      </c>
      <c r="BR41" s="519" t="e">
        <f>#REF!</f>
        <v>#REF!</v>
      </c>
      <c r="BS41" s="520" t="e">
        <f>#REF!</f>
        <v>#REF!</v>
      </c>
      <c r="BT41" s="517" t="e">
        <f>#REF!</f>
        <v>#REF!</v>
      </c>
      <c r="BU41" s="521" t="e">
        <f>IF(#REF!="Plato perforado","PP",IF(OR(#REF!=0,#REF!=""),"",#REF!))</f>
        <v>#REF!</v>
      </c>
      <c r="BV41" s="522" t="e">
        <f>#REF!</f>
        <v>#REF!</v>
      </c>
      <c r="BW41" s="523" t="e">
        <f>#REF!</f>
        <v>#REF!</v>
      </c>
      <c r="BX41" s="524"/>
      <c r="BY41" s="514" t="e">
        <f>IF(#REF!="","",#REF!)</f>
        <v>#REF!</v>
      </c>
      <c r="BZ41" s="521" t="e">
        <f>IF(#REF!="","",#REF!)</f>
        <v>#REF!</v>
      </c>
      <c r="CA41" s="516" t="e">
        <f>#REF!</f>
        <v>#REF!</v>
      </c>
      <c r="CB41" s="517" t="e">
        <f>#REF!</f>
        <v>#REF!</v>
      </c>
      <c r="CC41" s="518" t="e">
        <f>#REF!</f>
        <v>#REF!</v>
      </c>
      <c r="CD41" s="519" t="e">
        <f>#REF!</f>
        <v>#REF!</v>
      </c>
      <c r="CE41" s="520" t="e">
        <f>#REF!</f>
        <v>#REF!</v>
      </c>
      <c r="CF41" s="517" t="e">
        <f>#REF!</f>
        <v>#REF!</v>
      </c>
      <c r="CG41" s="521" t="e">
        <f>IF(#REF!="Plato perforado","PP",IF(OR(#REF!=0,#REF!=""),"",#REF!))</f>
        <v>#REF!</v>
      </c>
      <c r="CH41" s="522" t="e">
        <f>#REF!</f>
        <v>#REF!</v>
      </c>
      <c r="CI41" s="523" t="e">
        <f>#REF!</f>
        <v>#REF!</v>
      </c>
      <c r="CJ41" s="524"/>
      <c r="CK41" s="514" t="e">
        <f>IF(#REF!="","",#REF!)</f>
        <v>#REF!</v>
      </c>
      <c r="CL41" s="521" t="e">
        <f>IF(#REF!="","",#REF!)</f>
        <v>#REF!</v>
      </c>
      <c r="CM41" s="516" t="e">
        <f>#REF!</f>
        <v>#REF!</v>
      </c>
      <c r="CN41" s="517" t="e">
        <f>#REF!</f>
        <v>#REF!</v>
      </c>
      <c r="CO41" s="518" t="e">
        <f>#REF!</f>
        <v>#REF!</v>
      </c>
      <c r="CP41" s="519" t="e">
        <f>#REF!</f>
        <v>#REF!</v>
      </c>
      <c r="CQ41" s="520" t="e">
        <f>#REF!</f>
        <v>#REF!</v>
      </c>
      <c r="CR41" s="517" t="e">
        <f>#REF!</f>
        <v>#REF!</v>
      </c>
      <c r="CS41" s="521" t="e">
        <f>IF(#REF!="Plato perforado","PP",IF(OR(#REF!=0,#REF!=""),"",#REF!))</f>
        <v>#REF!</v>
      </c>
      <c r="CT41" s="522" t="e">
        <f>#REF!</f>
        <v>#REF!</v>
      </c>
      <c r="CU41" s="523" t="e">
        <f>#REF!</f>
        <v>#REF!</v>
      </c>
      <c r="CV41" s="524"/>
      <c r="CW41" s="514" t="e">
        <f>IF(#REF!="","",#REF!)</f>
        <v>#REF!</v>
      </c>
      <c r="CX41" s="521" t="e">
        <f>IF(#REF!="","",#REF!)</f>
        <v>#REF!</v>
      </c>
      <c r="CY41" s="516" t="e">
        <f>#REF!</f>
        <v>#REF!</v>
      </c>
      <c r="CZ41" s="517" t="e">
        <f>#REF!</f>
        <v>#REF!</v>
      </c>
      <c r="DA41" s="518" t="e">
        <f>#REF!</f>
        <v>#REF!</v>
      </c>
      <c r="DB41" s="519" t="e">
        <f>#REF!</f>
        <v>#REF!</v>
      </c>
      <c r="DC41" s="520" t="e">
        <f>#REF!</f>
        <v>#REF!</v>
      </c>
      <c r="DD41" s="517" t="e">
        <f>#REF!</f>
        <v>#REF!</v>
      </c>
      <c r="DE41" s="521" t="e">
        <f>IF(#REF!="Plato perforado","PP",IF(OR(#REF!=0,#REF!=""),"",#REF!))</f>
        <v>#REF!</v>
      </c>
      <c r="DF41" s="522" t="e">
        <f>#REF!</f>
        <v>#REF!</v>
      </c>
      <c r="DG41" s="523" t="e">
        <f>#REF!</f>
        <v>#REF!</v>
      </c>
      <c r="DH41" s="525"/>
    </row>
    <row r="42" spans="3:112" x14ac:dyDescent="0.3">
      <c r="C42" s="471" t="str">
        <f>IF(OR(Inyección!B42="",Inyección!N42="",Inyección!P42=""),"",INDEX($C$26:$C$29,Inyección!C42)&amp;" de "&amp;TEXT(Inyección!N42,"00")&amp;""""&amp;" × "&amp;TEXT(Inyección!P42,"00")&amp;""""&amp;IF(Inyección!C42=1,", "&amp;Inyección!R42&amp;IF(Inyección!R42=1," vía",IF(OR(Inyección!R42=2,Inyección!R42=3,Inyección!R42=4)," vías","")),""))</f>
        <v/>
      </c>
      <c r="F42"/>
      <c r="H42" s="471">
        <f t="shared" si="7"/>
        <v>0</v>
      </c>
      <c r="I42" s="471" t="str">
        <f t="shared" si="8"/>
        <v>0</v>
      </c>
      <c r="J42" s="471" t="str">
        <f t="shared" si="9"/>
        <v/>
      </c>
      <c r="K42" s="471" t="str">
        <f t="shared" si="0"/>
        <v/>
      </c>
      <c r="L42" s="471" t="str">
        <f t="shared" si="0"/>
        <v/>
      </c>
      <c r="M42"/>
      <c r="N42" s="471">
        <f t="shared" si="1"/>
        <v>0</v>
      </c>
      <c r="O42"/>
      <c r="P42" s="471">
        <f t="shared" si="2"/>
        <v>0</v>
      </c>
      <c r="Q42"/>
      <c r="R42" s="471">
        <f t="shared" si="3"/>
        <v>0</v>
      </c>
      <c r="T42" s="479"/>
      <c r="V42" s="479"/>
      <c r="AA42" s="474"/>
      <c r="AB42" s="496" t="str">
        <f t="shared" si="10"/>
        <v/>
      </c>
      <c r="AC42" s="497" t="str">
        <f t="shared" si="11"/>
        <v/>
      </c>
      <c r="AD42" s="474"/>
      <c r="AE42" s="472" t="e">
        <f>IF(#REF!=2,#REF!,0)</f>
        <v>#REF!</v>
      </c>
      <c r="AF42" s="472" t="e">
        <f>IF(#REF!=2,#REF!,0)</f>
        <v>#REF!</v>
      </c>
      <c r="AG42" s="472" t="e">
        <f t="shared" si="4"/>
        <v>#REF!</v>
      </c>
      <c r="AH42" s="473">
        <v>8</v>
      </c>
      <c r="AI42" s="473">
        <v>12</v>
      </c>
      <c r="AJ42" s="487">
        <f t="shared" si="12"/>
        <v>0.66666666666666663</v>
      </c>
      <c r="AK42" s="488">
        <f t="shared" si="5"/>
        <v>0</v>
      </c>
      <c r="AL42" s="488">
        <f t="shared" si="6"/>
        <v>0.66666666666666663</v>
      </c>
      <c r="AM42" s="472">
        <f t="shared" si="13"/>
        <v>812</v>
      </c>
      <c r="AN42" s="472" t="e">
        <v>#REF!</v>
      </c>
      <c r="AO42" s="472">
        <v>8</v>
      </c>
      <c r="AP42" s="472">
        <v>14</v>
      </c>
      <c r="AQ42" s="472">
        <v>8</v>
      </c>
      <c r="AR42" s="472">
        <f t="shared" si="14"/>
        <v>814</v>
      </c>
      <c r="AS42" s="472">
        <f t="shared" si="14"/>
        <v>1408</v>
      </c>
      <c r="AT42" s="498" t="str">
        <f t="shared" si="15"/>
        <v/>
      </c>
      <c r="AU42" s="499" t="str">
        <f t="shared" si="16"/>
        <v/>
      </c>
      <c r="AV42" s="474"/>
      <c r="AW42" s="472" t="e">
        <f>IF(#REF!=3,#REF!,0)</f>
        <v>#REF!</v>
      </c>
      <c r="AX42" s="498" t="str">
        <f t="shared" si="17"/>
        <v/>
      </c>
      <c r="AY42" s="500" t="str">
        <f t="shared" si="18"/>
        <v/>
      </c>
      <c r="AZ42" s="474"/>
      <c r="BA42" s="514" t="e">
        <f>IF(#REF!="","",#REF!)</f>
        <v>#REF!</v>
      </c>
      <c r="BB42" s="526" t="e">
        <f>IF(#REF!="","",#REF!)</f>
        <v>#REF!</v>
      </c>
      <c r="BC42" s="516" t="e">
        <f>#REF!</f>
        <v>#REF!</v>
      </c>
      <c r="BD42" s="517" t="e">
        <f>#REF!</f>
        <v>#REF!</v>
      </c>
      <c r="BE42" s="518" t="e">
        <f>#REF!</f>
        <v>#REF!</v>
      </c>
      <c r="BF42" s="519" t="e">
        <f>#REF!</f>
        <v>#REF!</v>
      </c>
      <c r="BG42" s="520" t="e">
        <f>#REF!</f>
        <v>#REF!</v>
      </c>
      <c r="BH42" s="517" t="e">
        <f>#REF!</f>
        <v>#REF!</v>
      </c>
      <c r="BI42" s="521" t="e">
        <f>IF(#REF!="Plato perforado","PP",IF(OR(#REF!=0,#REF!=""),"",#REF!))</f>
        <v>#REF!</v>
      </c>
      <c r="BJ42" s="522" t="e">
        <f>#REF!</f>
        <v>#REF!</v>
      </c>
      <c r="BK42" s="523" t="e">
        <f>#REF!</f>
        <v>#REF!</v>
      </c>
      <c r="BL42" s="524"/>
      <c r="BM42" s="514" t="e">
        <f>IF(#REF!="","",#REF!)</f>
        <v>#REF!</v>
      </c>
      <c r="BN42" s="521" t="e">
        <f>IF(#REF!="","",#REF!)</f>
        <v>#REF!</v>
      </c>
      <c r="BO42" s="516" t="e">
        <f>#REF!</f>
        <v>#REF!</v>
      </c>
      <c r="BP42" s="517" t="e">
        <f>#REF!</f>
        <v>#REF!</v>
      </c>
      <c r="BQ42" s="518" t="e">
        <f>#REF!</f>
        <v>#REF!</v>
      </c>
      <c r="BR42" s="519" t="e">
        <f>#REF!</f>
        <v>#REF!</v>
      </c>
      <c r="BS42" s="520" t="e">
        <f>#REF!</f>
        <v>#REF!</v>
      </c>
      <c r="BT42" s="517" t="e">
        <f>#REF!</f>
        <v>#REF!</v>
      </c>
      <c r="BU42" s="521" t="e">
        <f>IF(#REF!="Plato perforado","PP",IF(OR(#REF!=0,#REF!=""),"",#REF!))</f>
        <v>#REF!</v>
      </c>
      <c r="BV42" s="522" t="e">
        <f>#REF!</f>
        <v>#REF!</v>
      </c>
      <c r="BW42" s="523" t="e">
        <f>#REF!</f>
        <v>#REF!</v>
      </c>
      <c r="BX42" s="524"/>
      <c r="BY42" s="514" t="e">
        <f>IF(#REF!="","",#REF!)</f>
        <v>#REF!</v>
      </c>
      <c r="BZ42" s="521" t="e">
        <f>IF(#REF!="","",#REF!)</f>
        <v>#REF!</v>
      </c>
      <c r="CA42" s="516" t="e">
        <f>#REF!</f>
        <v>#REF!</v>
      </c>
      <c r="CB42" s="517" t="e">
        <f>#REF!</f>
        <v>#REF!</v>
      </c>
      <c r="CC42" s="518" t="e">
        <f>#REF!</f>
        <v>#REF!</v>
      </c>
      <c r="CD42" s="519" t="e">
        <f>#REF!</f>
        <v>#REF!</v>
      </c>
      <c r="CE42" s="520" t="e">
        <f>#REF!</f>
        <v>#REF!</v>
      </c>
      <c r="CF42" s="517" t="e">
        <f>#REF!</f>
        <v>#REF!</v>
      </c>
      <c r="CG42" s="521" t="e">
        <f>IF(#REF!="Plato perforado","PP",IF(OR(#REF!=0,#REF!=""),"",#REF!))</f>
        <v>#REF!</v>
      </c>
      <c r="CH42" s="522" t="e">
        <f>#REF!</f>
        <v>#REF!</v>
      </c>
      <c r="CI42" s="523" t="e">
        <f>#REF!</f>
        <v>#REF!</v>
      </c>
      <c r="CJ42" s="524"/>
      <c r="CK42" s="514" t="e">
        <f>IF(#REF!="","",#REF!)</f>
        <v>#REF!</v>
      </c>
      <c r="CL42" s="521" t="e">
        <f>IF(#REF!="","",#REF!)</f>
        <v>#REF!</v>
      </c>
      <c r="CM42" s="516" t="e">
        <f>#REF!</f>
        <v>#REF!</v>
      </c>
      <c r="CN42" s="517" t="e">
        <f>#REF!</f>
        <v>#REF!</v>
      </c>
      <c r="CO42" s="518" t="e">
        <f>#REF!</f>
        <v>#REF!</v>
      </c>
      <c r="CP42" s="519" t="e">
        <f>#REF!</f>
        <v>#REF!</v>
      </c>
      <c r="CQ42" s="520" t="e">
        <f>#REF!</f>
        <v>#REF!</v>
      </c>
      <c r="CR42" s="517" t="e">
        <f>#REF!</f>
        <v>#REF!</v>
      </c>
      <c r="CS42" s="521" t="e">
        <f>IF(#REF!="Plato perforado","PP",IF(OR(#REF!=0,#REF!=""),"",#REF!))</f>
        <v>#REF!</v>
      </c>
      <c r="CT42" s="522" t="e">
        <f>#REF!</f>
        <v>#REF!</v>
      </c>
      <c r="CU42" s="523" t="e">
        <f>#REF!</f>
        <v>#REF!</v>
      </c>
      <c r="CV42" s="524"/>
      <c r="CW42" s="514" t="e">
        <f>IF(#REF!="","",#REF!)</f>
        <v>#REF!</v>
      </c>
      <c r="CX42" s="521" t="e">
        <f>IF(#REF!="","",#REF!)</f>
        <v>#REF!</v>
      </c>
      <c r="CY42" s="516" t="e">
        <f>#REF!</f>
        <v>#REF!</v>
      </c>
      <c r="CZ42" s="517" t="e">
        <f>#REF!</f>
        <v>#REF!</v>
      </c>
      <c r="DA42" s="518" t="e">
        <f>#REF!</f>
        <v>#REF!</v>
      </c>
      <c r="DB42" s="519" t="e">
        <f>#REF!</f>
        <v>#REF!</v>
      </c>
      <c r="DC42" s="520" t="e">
        <f>#REF!</f>
        <v>#REF!</v>
      </c>
      <c r="DD42" s="517" t="e">
        <f>#REF!</f>
        <v>#REF!</v>
      </c>
      <c r="DE42" s="521" t="e">
        <f>IF(#REF!="Plato perforado","PP",IF(OR(#REF!=0,#REF!=""),"",#REF!))</f>
        <v>#REF!</v>
      </c>
      <c r="DF42" s="522" t="e">
        <f>#REF!</f>
        <v>#REF!</v>
      </c>
      <c r="DG42" s="523" t="e">
        <f>#REF!</f>
        <v>#REF!</v>
      </c>
      <c r="DH42" s="525"/>
    </row>
    <row r="43" spans="3:112" x14ac:dyDescent="0.3">
      <c r="C43" s="471" t="str">
        <f>IF(OR(Inyección!B43="",Inyección!N43="",Inyección!P43=""),"",INDEX($C$26:$C$29,Inyección!C43)&amp;" de "&amp;TEXT(Inyección!N43,"00")&amp;""""&amp;" × "&amp;TEXT(Inyección!P43,"00")&amp;""""&amp;IF(Inyección!C43=1,", "&amp;Inyección!R43&amp;IF(Inyección!R43=1," vía",IF(OR(Inyección!R43=2,Inyección!R43=3,Inyección!R43=4)," vías","")),""))</f>
        <v/>
      </c>
      <c r="F43"/>
      <c r="H43" s="471">
        <f t="shared" si="7"/>
        <v>0</v>
      </c>
      <c r="I43" s="471" t="str">
        <f t="shared" si="8"/>
        <v>0</v>
      </c>
      <c r="J43" s="471" t="str">
        <f t="shared" si="9"/>
        <v/>
      </c>
      <c r="K43" s="471" t="str">
        <f t="shared" si="0"/>
        <v/>
      </c>
      <c r="L43" s="471" t="str">
        <f t="shared" si="0"/>
        <v/>
      </c>
      <c r="M43"/>
      <c r="N43" s="471">
        <f t="shared" si="1"/>
        <v>0</v>
      </c>
      <c r="O43"/>
      <c r="P43" s="471">
        <f t="shared" si="2"/>
        <v>0</v>
      </c>
      <c r="Q43"/>
      <c r="R43" s="471">
        <f t="shared" si="3"/>
        <v>0</v>
      </c>
      <c r="T43" s="479"/>
      <c r="V43" s="479"/>
      <c r="AA43" s="474"/>
      <c r="AB43" s="496" t="str">
        <f t="shared" si="10"/>
        <v/>
      </c>
      <c r="AC43" s="497" t="str">
        <f t="shared" si="11"/>
        <v/>
      </c>
      <c r="AD43" s="474"/>
      <c r="AE43" s="472" t="e">
        <f>IF(#REF!=2,#REF!,0)</f>
        <v>#REF!</v>
      </c>
      <c r="AF43" s="472" t="e">
        <f>IF(#REF!=2,#REF!,0)</f>
        <v>#REF!</v>
      </c>
      <c r="AG43" s="472" t="e">
        <f t="shared" si="4"/>
        <v>#REF!</v>
      </c>
      <c r="AH43" s="473">
        <v>8</v>
      </c>
      <c r="AI43" s="473">
        <v>14</v>
      </c>
      <c r="AJ43" s="487">
        <f t="shared" si="12"/>
        <v>0.77777777777777779</v>
      </c>
      <c r="AK43" s="488">
        <f t="shared" si="5"/>
        <v>0</v>
      </c>
      <c r="AL43" s="488">
        <f t="shared" si="6"/>
        <v>0.5714285714285714</v>
      </c>
      <c r="AM43" s="472">
        <f t="shared" si="13"/>
        <v>814</v>
      </c>
      <c r="AN43" s="472" t="e">
        <v>#REF!</v>
      </c>
      <c r="AO43" s="472">
        <v>8</v>
      </c>
      <c r="AP43" s="472">
        <v>16</v>
      </c>
      <c r="AQ43" s="472">
        <v>8</v>
      </c>
      <c r="AR43" s="472">
        <f t="shared" si="14"/>
        <v>816</v>
      </c>
      <c r="AS43" s="472">
        <f t="shared" si="14"/>
        <v>1608</v>
      </c>
      <c r="AT43" s="498" t="str">
        <f t="shared" si="15"/>
        <v/>
      </c>
      <c r="AU43" s="499" t="str">
        <f t="shared" si="16"/>
        <v/>
      </c>
      <c r="AV43" s="474"/>
      <c r="AW43" s="472" t="e">
        <f>IF(#REF!=3,#REF!,0)</f>
        <v>#REF!</v>
      </c>
      <c r="AX43" s="498" t="str">
        <f t="shared" si="17"/>
        <v/>
      </c>
      <c r="AY43" s="500" t="str">
        <f t="shared" si="18"/>
        <v/>
      </c>
      <c r="AZ43" s="474"/>
      <c r="BA43" s="514" t="e">
        <f>IF(#REF!="","",#REF!)</f>
        <v>#REF!</v>
      </c>
      <c r="BB43" s="526" t="e">
        <f>IF(#REF!="","",#REF!)</f>
        <v>#REF!</v>
      </c>
      <c r="BC43" s="516" t="e">
        <f>#REF!</f>
        <v>#REF!</v>
      </c>
      <c r="BD43" s="517" t="e">
        <f>#REF!</f>
        <v>#REF!</v>
      </c>
      <c r="BE43" s="518" t="e">
        <f>#REF!</f>
        <v>#REF!</v>
      </c>
      <c r="BF43" s="519" t="e">
        <f>#REF!</f>
        <v>#REF!</v>
      </c>
      <c r="BG43" s="520" t="e">
        <f>#REF!</f>
        <v>#REF!</v>
      </c>
      <c r="BH43" s="517" t="e">
        <f>#REF!</f>
        <v>#REF!</v>
      </c>
      <c r="BI43" s="521" t="e">
        <f>IF(#REF!="Plato perforado","PP",IF(OR(#REF!=0,#REF!=""),"",#REF!))</f>
        <v>#REF!</v>
      </c>
      <c r="BJ43" s="522" t="e">
        <f>#REF!</f>
        <v>#REF!</v>
      </c>
      <c r="BK43" s="523" t="e">
        <f>#REF!</f>
        <v>#REF!</v>
      </c>
      <c r="BL43" s="524"/>
      <c r="BM43" s="514" t="e">
        <f>IF(#REF!="","",#REF!)</f>
        <v>#REF!</v>
      </c>
      <c r="BN43" s="521" t="e">
        <f>IF(#REF!="","",#REF!)</f>
        <v>#REF!</v>
      </c>
      <c r="BO43" s="516" t="e">
        <f>#REF!</f>
        <v>#REF!</v>
      </c>
      <c r="BP43" s="517" t="e">
        <f>#REF!</f>
        <v>#REF!</v>
      </c>
      <c r="BQ43" s="518" t="e">
        <f>#REF!</f>
        <v>#REF!</v>
      </c>
      <c r="BR43" s="519" t="e">
        <f>#REF!</f>
        <v>#REF!</v>
      </c>
      <c r="BS43" s="520" t="e">
        <f>#REF!</f>
        <v>#REF!</v>
      </c>
      <c r="BT43" s="517" t="e">
        <f>#REF!</f>
        <v>#REF!</v>
      </c>
      <c r="BU43" s="521" t="e">
        <f>IF(#REF!="Plato perforado","PP",IF(OR(#REF!=0,#REF!=""),"",#REF!))</f>
        <v>#REF!</v>
      </c>
      <c r="BV43" s="522" t="e">
        <f>#REF!</f>
        <v>#REF!</v>
      </c>
      <c r="BW43" s="523" t="e">
        <f>#REF!</f>
        <v>#REF!</v>
      </c>
      <c r="BX43" s="524"/>
      <c r="BY43" s="514" t="e">
        <f>IF(#REF!="","",#REF!)</f>
        <v>#REF!</v>
      </c>
      <c r="BZ43" s="521" t="e">
        <f>IF(#REF!="","",#REF!)</f>
        <v>#REF!</v>
      </c>
      <c r="CA43" s="516" t="e">
        <f>#REF!</f>
        <v>#REF!</v>
      </c>
      <c r="CB43" s="517" t="e">
        <f>#REF!</f>
        <v>#REF!</v>
      </c>
      <c r="CC43" s="518" t="e">
        <f>#REF!</f>
        <v>#REF!</v>
      </c>
      <c r="CD43" s="519" t="e">
        <f>#REF!</f>
        <v>#REF!</v>
      </c>
      <c r="CE43" s="520" t="e">
        <f>#REF!</f>
        <v>#REF!</v>
      </c>
      <c r="CF43" s="517" t="e">
        <f>#REF!</f>
        <v>#REF!</v>
      </c>
      <c r="CG43" s="521" t="e">
        <f>IF(#REF!="Plato perforado","PP",IF(OR(#REF!=0,#REF!=""),"",#REF!))</f>
        <v>#REF!</v>
      </c>
      <c r="CH43" s="522" t="e">
        <f>#REF!</f>
        <v>#REF!</v>
      </c>
      <c r="CI43" s="523" t="e">
        <f>#REF!</f>
        <v>#REF!</v>
      </c>
      <c r="CJ43" s="524"/>
      <c r="CK43" s="514" t="e">
        <f>IF(#REF!="","",#REF!)</f>
        <v>#REF!</v>
      </c>
      <c r="CL43" s="521" t="e">
        <f>IF(#REF!="","",#REF!)</f>
        <v>#REF!</v>
      </c>
      <c r="CM43" s="516" t="e">
        <f>#REF!</f>
        <v>#REF!</v>
      </c>
      <c r="CN43" s="517" t="e">
        <f>#REF!</f>
        <v>#REF!</v>
      </c>
      <c r="CO43" s="518" t="e">
        <f>#REF!</f>
        <v>#REF!</v>
      </c>
      <c r="CP43" s="519" t="e">
        <f>#REF!</f>
        <v>#REF!</v>
      </c>
      <c r="CQ43" s="520" t="e">
        <f>#REF!</f>
        <v>#REF!</v>
      </c>
      <c r="CR43" s="517" t="e">
        <f>#REF!</f>
        <v>#REF!</v>
      </c>
      <c r="CS43" s="521" t="e">
        <f>IF(#REF!="Plato perforado","PP",IF(OR(#REF!=0,#REF!=""),"",#REF!))</f>
        <v>#REF!</v>
      </c>
      <c r="CT43" s="522" t="e">
        <f>#REF!</f>
        <v>#REF!</v>
      </c>
      <c r="CU43" s="523" t="e">
        <f>#REF!</f>
        <v>#REF!</v>
      </c>
      <c r="CV43" s="524"/>
      <c r="CW43" s="514" t="e">
        <f>IF(#REF!="","",#REF!)</f>
        <v>#REF!</v>
      </c>
      <c r="CX43" s="521" t="e">
        <f>IF(#REF!="","",#REF!)</f>
        <v>#REF!</v>
      </c>
      <c r="CY43" s="516" t="e">
        <f>#REF!</f>
        <v>#REF!</v>
      </c>
      <c r="CZ43" s="517" t="e">
        <f>#REF!</f>
        <v>#REF!</v>
      </c>
      <c r="DA43" s="518" t="e">
        <f>#REF!</f>
        <v>#REF!</v>
      </c>
      <c r="DB43" s="519" t="e">
        <f>#REF!</f>
        <v>#REF!</v>
      </c>
      <c r="DC43" s="520" t="e">
        <f>#REF!</f>
        <v>#REF!</v>
      </c>
      <c r="DD43" s="517" t="e">
        <f>#REF!</f>
        <v>#REF!</v>
      </c>
      <c r="DE43" s="521" t="e">
        <f>IF(#REF!="Plato perforado","PP",IF(OR(#REF!=0,#REF!=""),"",#REF!))</f>
        <v>#REF!</v>
      </c>
      <c r="DF43" s="522" t="e">
        <f>#REF!</f>
        <v>#REF!</v>
      </c>
      <c r="DG43" s="523" t="e">
        <f>#REF!</f>
        <v>#REF!</v>
      </c>
      <c r="DH43" s="525"/>
    </row>
    <row r="44" spans="3:112" x14ac:dyDescent="0.3">
      <c r="C44" s="471" t="str">
        <f>IF(OR(Inyección!B44="",Inyección!N44="",Inyección!P44=""),"",INDEX($C$26:$C$29,Inyección!C44)&amp;" de "&amp;TEXT(Inyección!N44,"00")&amp;""""&amp;" × "&amp;TEXT(Inyección!P44,"00")&amp;""""&amp;IF(Inyección!C44=1,", "&amp;Inyección!R44&amp;IF(Inyección!R44=1," vía",IF(OR(Inyección!R44=2,Inyección!R44=3,Inyección!R44=4)," vías","")),""))</f>
        <v/>
      </c>
      <c r="F44"/>
      <c r="H44" s="471">
        <f t="shared" si="7"/>
        <v>0</v>
      </c>
      <c r="I44" s="471" t="str">
        <f t="shared" si="8"/>
        <v>0</v>
      </c>
      <c r="J44" s="471" t="str">
        <f t="shared" si="9"/>
        <v/>
      </c>
      <c r="K44" s="471" t="str">
        <f t="shared" si="0"/>
        <v/>
      </c>
      <c r="L44" s="471" t="str">
        <f t="shared" si="0"/>
        <v/>
      </c>
      <c r="M44"/>
      <c r="N44" s="471">
        <f t="shared" si="1"/>
        <v>0</v>
      </c>
      <c r="O44"/>
      <c r="P44" s="471">
        <f t="shared" si="2"/>
        <v>0</v>
      </c>
      <c r="Q44"/>
      <c r="R44" s="471">
        <f t="shared" si="3"/>
        <v>0</v>
      </c>
      <c r="T44" s="479"/>
      <c r="V44" s="479"/>
      <c r="AA44" s="474"/>
      <c r="AB44" s="496" t="str">
        <f t="shared" si="10"/>
        <v/>
      </c>
      <c r="AC44" s="497" t="str">
        <f t="shared" si="11"/>
        <v/>
      </c>
      <c r="AD44" s="474"/>
      <c r="AE44" s="472" t="e">
        <f>IF(#REF!=2,#REF!,0)</f>
        <v>#REF!</v>
      </c>
      <c r="AF44" s="472" t="e">
        <f>IF(#REF!=2,#REF!,0)</f>
        <v>#REF!</v>
      </c>
      <c r="AG44" s="472" t="e">
        <f t="shared" si="4"/>
        <v>#REF!</v>
      </c>
      <c r="AH44" s="473">
        <v>8</v>
      </c>
      <c r="AI44" s="473">
        <v>16</v>
      </c>
      <c r="AJ44" s="487">
        <f t="shared" si="12"/>
        <v>0.88888888888888884</v>
      </c>
      <c r="AK44" s="488">
        <f t="shared" si="5"/>
        <v>0</v>
      </c>
      <c r="AL44" s="488">
        <f t="shared" si="6"/>
        <v>0.5</v>
      </c>
      <c r="AM44" s="472">
        <f t="shared" si="13"/>
        <v>816</v>
      </c>
      <c r="AN44" s="472" t="e">
        <v>#REF!</v>
      </c>
      <c r="AO44" s="472">
        <v>8</v>
      </c>
      <c r="AP44" s="472">
        <v>18</v>
      </c>
      <c r="AQ44" s="472">
        <v>8</v>
      </c>
      <c r="AR44" s="472">
        <f t="shared" si="14"/>
        <v>818</v>
      </c>
      <c r="AS44" s="472">
        <f t="shared" si="14"/>
        <v>1808</v>
      </c>
      <c r="AT44" s="498" t="str">
        <f t="shared" si="15"/>
        <v/>
      </c>
      <c r="AU44" s="499" t="str">
        <f t="shared" si="16"/>
        <v/>
      </c>
      <c r="AV44" s="474"/>
      <c r="AW44" s="472" t="e">
        <f>IF(#REF!=3,#REF!,0)</f>
        <v>#REF!</v>
      </c>
      <c r="AX44" s="498" t="str">
        <f t="shared" si="17"/>
        <v/>
      </c>
      <c r="AY44" s="500" t="str">
        <f t="shared" si="18"/>
        <v/>
      </c>
      <c r="AZ44" s="474"/>
      <c r="BA44" s="514" t="e">
        <f>IF(#REF!="","",#REF!)</f>
        <v>#REF!</v>
      </c>
      <c r="BB44" s="526" t="e">
        <f>IF(#REF!="","",#REF!)</f>
        <v>#REF!</v>
      </c>
      <c r="BC44" s="516" t="e">
        <f>#REF!</f>
        <v>#REF!</v>
      </c>
      <c r="BD44" s="517" t="e">
        <f>#REF!</f>
        <v>#REF!</v>
      </c>
      <c r="BE44" s="518" t="e">
        <f>#REF!</f>
        <v>#REF!</v>
      </c>
      <c r="BF44" s="519" t="e">
        <f>#REF!</f>
        <v>#REF!</v>
      </c>
      <c r="BG44" s="520" t="e">
        <f>#REF!</f>
        <v>#REF!</v>
      </c>
      <c r="BH44" s="517" t="e">
        <f>#REF!</f>
        <v>#REF!</v>
      </c>
      <c r="BI44" s="521" t="e">
        <f>IF(#REF!="Plato perforado","PP",IF(OR(#REF!=0,#REF!=""),"",#REF!))</f>
        <v>#REF!</v>
      </c>
      <c r="BJ44" s="522" t="e">
        <f>#REF!</f>
        <v>#REF!</v>
      </c>
      <c r="BK44" s="523" t="e">
        <f>#REF!</f>
        <v>#REF!</v>
      </c>
      <c r="BL44" s="524"/>
      <c r="BM44" s="514" t="e">
        <f>IF(#REF!="","",#REF!)</f>
        <v>#REF!</v>
      </c>
      <c r="BN44" s="521" t="e">
        <f>IF(#REF!="","",#REF!)</f>
        <v>#REF!</v>
      </c>
      <c r="BO44" s="516" t="e">
        <f>#REF!</f>
        <v>#REF!</v>
      </c>
      <c r="BP44" s="517" t="e">
        <f>#REF!</f>
        <v>#REF!</v>
      </c>
      <c r="BQ44" s="518" t="e">
        <f>#REF!</f>
        <v>#REF!</v>
      </c>
      <c r="BR44" s="519" t="e">
        <f>#REF!</f>
        <v>#REF!</v>
      </c>
      <c r="BS44" s="520" t="e">
        <f>#REF!</f>
        <v>#REF!</v>
      </c>
      <c r="BT44" s="517" t="e">
        <f>#REF!</f>
        <v>#REF!</v>
      </c>
      <c r="BU44" s="521" t="e">
        <f>IF(#REF!="Plato perforado","PP",IF(OR(#REF!=0,#REF!=""),"",#REF!))</f>
        <v>#REF!</v>
      </c>
      <c r="BV44" s="522" t="e">
        <f>#REF!</f>
        <v>#REF!</v>
      </c>
      <c r="BW44" s="523" t="e">
        <f>#REF!</f>
        <v>#REF!</v>
      </c>
      <c r="BX44" s="524"/>
      <c r="BY44" s="514" t="e">
        <f>IF(#REF!="","",#REF!)</f>
        <v>#REF!</v>
      </c>
      <c r="BZ44" s="521" t="e">
        <f>IF(#REF!="","",#REF!)</f>
        <v>#REF!</v>
      </c>
      <c r="CA44" s="516" t="e">
        <f>#REF!</f>
        <v>#REF!</v>
      </c>
      <c r="CB44" s="517" t="e">
        <f>#REF!</f>
        <v>#REF!</v>
      </c>
      <c r="CC44" s="518" t="e">
        <f>#REF!</f>
        <v>#REF!</v>
      </c>
      <c r="CD44" s="519" t="e">
        <f>#REF!</f>
        <v>#REF!</v>
      </c>
      <c r="CE44" s="520" t="e">
        <f>#REF!</f>
        <v>#REF!</v>
      </c>
      <c r="CF44" s="517" t="e">
        <f>#REF!</f>
        <v>#REF!</v>
      </c>
      <c r="CG44" s="521" t="e">
        <f>IF(#REF!="Plato perforado","PP",IF(OR(#REF!=0,#REF!=""),"",#REF!))</f>
        <v>#REF!</v>
      </c>
      <c r="CH44" s="522" t="e">
        <f>#REF!</f>
        <v>#REF!</v>
      </c>
      <c r="CI44" s="523" t="e">
        <f>#REF!</f>
        <v>#REF!</v>
      </c>
      <c r="CJ44" s="524"/>
      <c r="CK44" s="514" t="e">
        <f>IF(#REF!="","",#REF!)</f>
        <v>#REF!</v>
      </c>
      <c r="CL44" s="521" t="e">
        <f>IF(#REF!="","",#REF!)</f>
        <v>#REF!</v>
      </c>
      <c r="CM44" s="516" t="e">
        <f>#REF!</f>
        <v>#REF!</v>
      </c>
      <c r="CN44" s="517" t="e">
        <f>#REF!</f>
        <v>#REF!</v>
      </c>
      <c r="CO44" s="518" t="e">
        <f>#REF!</f>
        <v>#REF!</v>
      </c>
      <c r="CP44" s="519" t="e">
        <f>#REF!</f>
        <v>#REF!</v>
      </c>
      <c r="CQ44" s="520" t="e">
        <f>#REF!</f>
        <v>#REF!</v>
      </c>
      <c r="CR44" s="517" t="e">
        <f>#REF!</f>
        <v>#REF!</v>
      </c>
      <c r="CS44" s="521" t="e">
        <f>IF(#REF!="Plato perforado","PP",IF(OR(#REF!=0,#REF!=""),"",#REF!))</f>
        <v>#REF!</v>
      </c>
      <c r="CT44" s="522" t="e">
        <f>#REF!</f>
        <v>#REF!</v>
      </c>
      <c r="CU44" s="523" t="e">
        <f>#REF!</f>
        <v>#REF!</v>
      </c>
      <c r="CV44" s="524"/>
      <c r="CW44" s="514" t="e">
        <f>IF(#REF!="","",#REF!)</f>
        <v>#REF!</v>
      </c>
      <c r="CX44" s="521" t="e">
        <f>IF(#REF!="","",#REF!)</f>
        <v>#REF!</v>
      </c>
      <c r="CY44" s="516" t="e">
        <f>#REF!</f>
        <v>#REF!</v>
      </c>
      <c r="CZ44" s="517" t="e">
        <f>#REF!</f>
        <v>#REF!</v>
      </c>
      <c r="DA44" s="518" t="e">
        <f>#REF!</f>
        <v>#REF!</v>
      </c>
      <c r="DB44" s="519" t="e">
        <f>#REF!</f>
        <v>#REF!</v>
      </c>
      <c r="DC44" s="520" t="e">
        <f>#REF!</f>
        <v>#REF!</v>
      </c>
      <c r="DD44" s="517" t="e">
        <f>#REF!</f>
        <v>#REF!</v>
      </c>
      <c r="DE44" s="521" t="e">
        <f>IF(#REF!="Plato perforado","PP",IF(OR(#REF!=0,#REF!=""),"",#REF!))</f>
        <v>#REF!</v>
      </c>
      <c r="DF44" s="522" t="e">
        <f>#REF!</f>
        <v>#REF!</v>
      </c>
      <c r="DG44" s="523" t="e">
        <f>#REF!</f>
        <v>#REF!</v>
      </c>
      <c r="DH44" s="525"/>
    </row>
    <row r="45" spans="3:112" x14ac:dyDescent="0.3">
      <c r="C45" s="471" t="str">
        <f>IF(OR(Inyección!B45="",Inyección!N45="",Inyección!P45=""),"",INDEX($C$26:$C$29,Inyección!C45)&amp;" de "&amp;TEXT(Inyección!N45,"00")&amp;""""&amp;" × "&amp;TEXT(Inyección!P45,"00")&amp;""""&amp;IF(Inyección!C45=1,", "&amp;Inyección!R45&amp;IF(Inyección!R45=1," vía",IF(OR(Inyección!R45=2,Inyección!R45=3,Inyección!R45=4)," vías","")),""))</f>
        <v/>
      </c>
      <c r="F45"/>
      <c r="H45" s="471">
        <f t="shared" si="7"/>
        <v>0</v>
      </c>
      <c r="I45" s="471" t="str">
        <f t="shared" si="8"/>
        <v>0</v>
      </c>
      <c r="J45" s="471" t="str">
        <f t="shared" si="9"/>
        <v/>
      </c>
      <c r="K45" s="471" t="str">
        <f t="shared" si="0"/>
        <v/>
      </c>
      <c r="L45" s="471" t="str">
        <f t="shared" si="0"/>
        <v/>
      </c>
      <c r="M45"/>
      <c r="N45" s="471">
        <f t="shared" si="1"/>
        <v>0</v>
      </c>
      <c r="O45"/>
      <c r="P45" s="471">
        <f t="shared" si="2"/>
        <v>0</v>
      </c>
      <c r="Q45"/>
      <c r="R45" s="471">
        <f t="shared" si="3"/>
        <v>0</v>
      </c>
      <c r="T45" s="479"/>
      <c r="V45" s="479"/>
      <c r="AA45" s="474"/>
      <c r="AB45" s="496" t="str">
        <f t="shared" si="10"/>
        <v/>
      </c>
      <c r="AC45" s="497" t="str">
        <f t="shared" si="11"/>
        <v/>
      </c>
      <c r="AD45" s="474"/>
      <c r="AE45" s="472" t="e">
        <f>IF(#REF!=2,#REF!,0)</f>
        <v>#REF!</v>
      </c>
      <c r="AF45" s="472" t="e">
        <f>IF(#REF!=2,#REF!,0)</f>
        <v>#REF!</v>
      </c>
      <c r="AG45" s="472" t="e">
        <f t="shared" si="4"/>
        <v>#REF!</v>
      </c>
      <c r="AH45" s="473">
        <v>8</v>
      </c>
      <c r="AI45" s="473">
        <v>18</v>
      </c>
      <c r="AJ45" s="487">
        <f t="shared" si="12"/>
        <v>1</v>
      </c>
      <c r="AK45" s="488">
        <f t="shared" si="5"/>
        <v>0</v>
      </c>
      <c r="AL45" s="488">
        <f t="shared" si="6"/>
        <v>0.44444444444444442</v>
      </c>
      <c r="AM45" s="472">
        <f t="shared" si="13"/>
        <v>818</v>
      </c>
      <c r="AN45" s="472" t="e">
        <v>#REF!</v>
      </c>
      <c r="AO45" s="472">
        <v>8</v>
      </c>
      <c r="AP45" s="472">
        <v>20</v>
      </c>
      <c r="AQ45" s="472">
        <v>8</v>
      </c>
      <c r="AR45" s="472">
        <f t="shared" si="14"/>
        <v>820</v>
      </c>
      <c r="AS45" s="472">
        <f t="shared" si="14"/>
        <v>2008</v>
      </c>
      <c r="AT45" s="498" t="str">
        <f t="shared" si="15"/>
        <v/>
      </c>
      <c r="AU45" s="499" t="str">
        <f t="shared" si="16"/>
        <v/>
      </c>
      <c r="AV45" s="474"/>
      <c r="AW45" s="472" t="e">
        <f>IF(#REF!=3,#REF!,0)</f>
        <v>#REF!</v>
      </c>
      <c r="AX45" s="498" t="str">
        <f t="shared" si="17"/>
        <v/>
      </c>
      <c r="AY45" s="500" t="str">
        <f t="shared" si="18"/>
        <v/>
      </c>
      <c r="AZ45" s="474"/>
      <c r="BA45" s="514" t="e">
        <f>IF(#REF!="","",#REF!)</f>
        <v>#REF!</v>
      </c>
      <c r="BB45" s="526" t="e">
        <f>IF(#REF!="","",#REF!)</f>
        <v>#REF!</v>
      </c>
      <c r="BC45" s="516" t="e">
        <f>#REF!</f>
        <v>#REF!</v>
      </c>
      <c r="BD45" s="517" t="e">
        <f>#REF!</f>
        <v>#REF!</v>
      </c>
      <c r="BE45" s="518" t="e">
        <f>#REF!</f>
        <v>#REF!</v>
      </c>
      <c r="BF45" s="519" t="e">
        <f>#REF!</f>
        <v>#REF!</v>
      </c>
      <c r="BG45" s="520" t="e">
        <f>#REF!</f>
        <v>#REF!</v>
      </c>
      <c r="BH45" s="517" t="e">
        <f>#REF!</f>
        <v>#REF!</v>
      </c>
      <c r="BI45" s="521" t="e">
        <f>IF(#REF!="Plato perforado","PP",IF(OR(#REF!=0,#REF!=""),"",#REF!))</f>
        <v>#REF!</v>
      </c>
      <c r="BJ45" s="522" t="e">
        <f>#REF!</f>
        <v>#REF!</v>
      </c>
      <c r="BK45" s="523" t="e">
        <f>#REF!</f>
        <v>#REF!</v>
      </c>
      <c r="BL45" s="524"/>
      <c r="BM45" s="514" t="e">
        <f>IF(#REF!="","",#REF!)</f>
        <v>#REF!</v>
      </c>
      <c r="BN45" s="521" t="e">
        <f>IF(#REF!="","",#REF!)</f>
        <v>#REF!</v>
      </c>
      <c r="BO45" s="516" t="e">
        <f>#REF!</f>
        <v>#REF!</v>
      </c>
      <c r="BP45" s="517" t="e">
        <f>#REF!</f>
        <v>#REF!</v>
      </c>
      <c r="BQ45" s="518" t="e">
        <f>#REF!</f>
        <v>#REF!</v>
      </c>
      <c r="BR45" s="519" t="e">
        <f>#REF!</f>
        <v>#REF!</v>
      </c>
      <c r="BS45" s="520" t="e">
        <f>#REF!</f>
        <v>#REF!</v>
      </c>
      <c r="BT45" s="517" t="e">
        <f>#REF!</f>
        <v>#REF!</v>
      </c>
      <c r="BU45" s="521" t="e">
        <f>IF(#REF!="Plato perforado","PP",IF(OR(#REF!=0,#REF!=""),"",#REF!))</f>
        <v>#REF!</v>
      </c>
      <c r="BV45" s="522" t="e">
        <f>#REF!</f>
        <v>#REF!</v>
      </c>
      <c r="BW45" s="523" t="e">
        <f>#REF!</f>
        <v>#REF!</v>
      </c>
      <c r="BX45" s="524"/>
      <c r="BY45" s="514" t="e">
        <f>IF(#REF!="","",#REF!)</f>
        <v>#REF!</v>
      </c>
      <c r="BZ45" s="521" t="e">
        <f>IF(#REF!="","",#REF!)</f>
        <v>#REF!</v>
      </c>
      <c r="CA45" s="516" t="e">
        <f>#REF!</f>
        <v>#REF!</v>
      </c>
      <c r="CB45" s="517" t="e">
        <f>#REF!</f>
        <v>#REF!</v>
      </c>
      <c r="CC45" s="518" t="e">
        <f>#REF!</f>
        <v>#REF!</v>
      </c>
      <c r="CD45" s="519" t="e">
        <f>#REF!</f>
        <v>#REF!</v>
      </c>
      <c r="CE45" s="520" t="e">
        <f>#REF!</f>
        <v>#REF!</v>
      </c>
      <c r="CF45" s="517" t="e">
        <f>#REF!</f>
        <v>#REF!</v>
      </c>
      <c r="CG45" s="521" t="e">
        <f>IF(#REF!="Plato perforado","PP",IF(OR(#REF!=0,#REF!=""),"",#REF!))</f>
        <v>#REF!</v>
      </c>
      <c r="CH45" s="522" t="e">
        <f>#REF!</f>
        <v>#REF!</v>
      </c>
      <c r="CI45" s="523" t="e">
        <f>#REF!</f>
        <v>#REF!</v>
      </c>
      <c r="CJ45" s="524"/>
      <c r="CK45" s="514" t="e">
        <f>IF(#REF!="","",#REF!)</f>
        <v>#REF!</v>
      </c>
      <c r="CL45" s="521" t="e">
        <f>IF(#REF!="","",#REF!)</f>
        <v>#REF!</v>
      </c>
      <c r="CM45" s="516" t="e">
        <f>#REF!</f>
        <v>#REF!</v>
      </c>
      <c r="CN45" s="517" t="e">
        <f>#REF!</f>
        <v>#REF!</v>
      </c>
      <c r="CO45" s="518" t="e">
        <f>#REF!</f>
        <v>#REF!</v>
      </c>
      <c r="CP45" s="519" t="e">
        <f>#REF!</f>
        <v>#REF!</v>
      </c>
      <c r="CQ45" s="520" t="e">
        <f>#REF!</f>
        <v>#REF!</v>
      </c>
      <c r="CR45" s="517" t="e">
        <f>#REF!</f>
        <v>#REF!</v>
      </c>
      <c r="CS45" s="521" t="e">
        <f>IF(#REF!="Plato perforado","PP",IF(OR(#REF!=0,#REF!=""),"",#REF!))</f>
        <v>#REF!</v>
      </c>
      <c r="CT45" s="522" t="e">
        <f>#REF!</f>
        <v>#REF!</v>
      </c>
      <c r="CU45" s="523" t="e">
        <f>#REF!</f>
        <v>#REF!</v>
      </c>
      <c r="CV45" s="524"/>
      <c r="CW45" s="514" t="e">
        <f>IF(#REF!="","",#REF!)</f>
        <v>#REF!</v>
      </c>
      <c r="CX45" s="521" t="e">
        <f>IF(#REF!="","",#REF!)</f>
        <v>#REF!</v>
      </c>
      <c r="CY45" s="516" t="e">
        <f>#REF!</f>
        <v>#REF!</v>
      </c>
      <c r="CZ45" s="517" t="e">
        <f>#REF!</f>
        <v>#REF!</v>
      </c>
      <c r="DA45" s="518" t="e">
        <f>#REF!</f>
        <v>#REF!</v>
      </c>
      <c r="DB45" s="519" t="e">
        <f>#REF!</f>
        <v>#REF!</v>
      </c>
      <c r="DC45" s="520" t="e">
        <f>#REF!</f>
        <v>#REF!</v>
      </c>
      <c r="DD45" s="517" t="e">
        <f>#REF!</f>
        <v>#REF!</v>
      </c>
      <c r="DE45" s="521" t="e">
        <f>IF(#REF!="Plato perforado","PP",IF(OR(#REF!=0,#REF!=""),"",#REF!))</f>
        <v>#REF!</v>
      </c>
      <c r="DF45" s="522" t="e">
        <f>#REF!</f>
        <v>#REF!</v>
      </c>
      <c r="DG45" s="523" t="e">
        <f>#REF!</f>
        <v>#REF!</v>
      </c>
      <c r="DH45" s="525"/>
    </row>
    <row r="46" spans="3:112" x14ac:dyDescent="0.3">
      <c r="C46" s="471" t="str">
        <f>IF(OR(Inyección!B46="",Inyección!N46="",Inyección!P46=""),"",INDEX($C$26:$C$29,Inyección!C46)&amp;" de "&amp;TEXT(Inyección!N46,"00")&amp;""""&amp;" × "&amp;TEXT(Inyección!P46,"00")&amp;""""&amp;IF(Inyección!C46=1,", "&amp;Inyección!R46&amp;IF(Inyección!R46=1," vía",IF(OR(Inyección!R46=2,Inyección!R46=3,Inyección!R46=4)," vías","")),""))</f>
        <v/>
      </c>
      <c r="F46"/>
      <c r="H46" s="471">
        <f t="shared" si="7"/>
        <v>0</v>
      </c>
      <c r="I46" s="471" t="str">
        <f t="shared" si="8"/>
        <v>0</v>
      </c>
      <c r="J46" s="471" t="str">
        <f t="shared" si="9"/>
        <v/>
      </c>
      <c r="K46" s="471" t="str">
        <f t="shared" si="0"/>
        <v/>
      </c>
      <c r="L46" s="471" t="str">
        <f t="shared" si="0"/>
        <v/>
      </c>
      <c r="M46"/>
      <c r="N46" s="471">
        <f t="shared" si="1"/>
        <v>0</v>
      </c>
      <c r="O46"/>
      <c r="P46" s="471">
        <f t="shared" si="2"/>
        <v>0</v>
      </c>
      <c r="Q46"/>
      <c r="R46" s="471">
        <f t="shared" si="3"/>
        <v>0</v>
      </c>
      <c r="T46" s="479"/>
      <c r="V46" s="479"/>
      <c r="AA46" s="474"/>
      <c r="AB46" s="496" t="str">
        <f t="shared" si="10"/>
        <v/>
      </c>
      <c r="AC46" s="497" t="str">
        <f t="shared" si="11"/>
        <v/>
      </c>
      <c r="AD46" s="474"/>
      <c r="AE46" s="472" t="e">
        <f>IF(#REF!=2,#REF!,0)</f>
        <v>#REF!</v>
      </c>
      <c r="AF46" s="472" t="e">
        <f>IF(#REF!=2,#REF!,0)</f>
        <v>#REF!</v>
      </c>
      <c r="AG46" s="472" t="e">
        <f t="shared" si="4"/>
        <v>#REF!</v>
      </c>
      <c r="AH46" s="473">
        <v>8</v>
      </c>
      <c r="AI46" s="473">
        <v>20</v>
      </c>
      <c r="AJ46" s="487">
        <f t="shared" si="12"/>
        <v>1.1111111111111112</v>
      </c>
      <c r="AK46" s="488">
        <f t="shared" si="5"/>
        <v>0</v>
      </c>
      <c r="AL46" s="488">
        <f t="shared" si="6"/>
        <v>0.4</v>
      </c>
      <c r="AM46" s="472">
        <f t="shared" si="13"/>
        <v>820</v>
      </c>
      <c r="AN46" s="472" t="e">
        <v>#REF!</v>
      </c>
      <c r="AO46" s="472">
        <v>10</v>
      </c>
      <c r="AP46" s="472">
        <v>10</v>
      </c>
      <c r="AQ46" s="472">
        <v>10</v>
      </c>
      <c r="AR46" s="472">
        <f t="shared" si="14"/>
        <v>1010</v>
      </c>
      <c r="AS46" s="472">
        <f t="shared" si="14"/>
        <v>1010</v>
      </c>
      <c r="AT46" s="498" t="str">
        <f t="shared" si="15"/>
        <v/>
      </c>
      <c r="AU46" s="499" t="str">
        <f t="shared" si="16"/>
        <v/>
      </c>
      <c r="AV46" s="474"/>
      <c r="AW46" s="472" t="e">
        <f>IF(#REF!=3,#REF!,0)</f>
        <v>#REF!</v>
      </c>
      <c r="AX46" s="498" t="str">
        <f t="shared" si="17"/>
        <v/>
      </c>
      <c r="AY46" s="500" t="str">
        <f t="shared" si="18"/>
        <v/>
      </c>
      <c r="AZ46" s="474"/>
      <c r="BA46" s="514" t="e">
        <f>IF(#REF!="","",#REF!)</f>
        <v>#REF!</v>
      </c>
      <c r="BB46" s="526" t="e">
        <f>IF(#REF!="","",#REF!)</f>
        <v>#REF!</v>
      </c>
      <c r="BC46" s="516" t="e">
        <f>#REF!</f>
        <v>#REF!</v>
      </c>
      <c r="BD46" s="517" t="e">
        <f>#REF!</f>
        <v>#REF!</v>
      </c>
      <c r="BE46" s="518" t="e">
        <f>#REF!</f>
        <v>#REF!</v>
      </c>
      <c r="BF46" s="519" t="e">
        <f>#REF!</f>
        <v>#REF!</v>
      </c>
      <c r="BG46" s="520" t="e">
        <f>#REF!</f>
        <v>#REF!</v>
      </c>
      <c r="BH46" s="517" t="e">
        <f>#REF!</f>
        <v>#REF!</v>
      </c>
      <c r="BI46" s="521" t="e">
        <f>IF(#REF!="Plato perforado","PP",IF(OR(#REF!=0,#REF!=""),"",#REF!))</f>
        <v>#REF!</v>
      </c>
      <c r="BJ46" s="522" t="e">
        <f>#REF!</f>
        <v>#REF!</v>
      </c>
      <c r="BK46" s="523" t="e">
        <f>#REF!</f>
        <v>#REF!</v>
      </c>
      <c r="BL46" s="524"/>
      <c r="BM46" s="514" t="e">
        <f>IF(#REF!="","",#REF!)</f>
        <v>#REF!</v>
      </c>
      <c r="BN46" s="521" t="e">
        <f>IF(#REF!="","",#REF!)</f>
        <v>#REF!</v>
      </c>
      <c r="BO46" s="516" t="e">
        <f>#REF!</f>
        <v>#REF!</v>
      </c>
      <c r="BP46" s="517" t="e">
        <f>#REF!</f>
        <v>#REF!</v>
      </c>
      <c r="BQ46" s="518" t="e">
        <f>#REF!</f>
        <v>#REF!</v>
      </c>
      <c r="BR46" s="519" t="e">
        <f>#REF!</f>
        <v>#REF!</v>
      </c>
      <c r="BS46" s="520" t="e">
        <f>#REF!</f>
        <v>#REF!</v>
      </c>
      <c r="BT46" s="517" t="e">
        <f>#REF!</f>
        <v>#REF!</v>
      </c>
      <c r="BU46" s="521" t="e">
        <f>IF(#REF!="Plato perforado","PP",IF(OR(#REF!=0,#REF!=""),"",#REF!))</f>
        <v>#REF!</v>
      </c>
      <c r="BV46" s="522" t="e">
        <f>#REF!</f>
        <v>#REF!</v>
      </c>
      <c r="BW46" s="523" t="e">
        <f>#REF!</f>
        <v>#REF!</v>
      </c>
      <c r="BX46" s="524"/>
      <c r="BY46" s="514" t="e">
        <f>IF(#REF!="","",#REF!)</f>
        <v>#REF!</v>
      </c>
      <c r="BZ46" s="521" t="e">
        <f>IF(#REF!="","",#REF!)</f>
        <v>#REF!</v>
      </c>
      <c r="CA46" s="516" t="e">
        <f>#REF!</f>
        <v>#REF!</v>
      </c>
      <c r="CB46" s="517" t="e">
        <f>#REF!</f>
        <v>#REF!</v>
      </c>
      <c r="CC46" s="518" t="e">
        <f>#REF!</f>
        <v>#REF!</v>
      </c>
      <c r="CD46" s="519" t="e">
        <f>#REF!</f>
        <v>#REF!</v>
      </c>
      <c r="CE46" s="520" t="e">
        <f>#REF!</f>
        <v>#REF!</v>
      </c>
      <c r="CF46" s="517" t="e">
        <f>#REF!</f>
        <v>#REF!</v>
      </c>
      <c r="CG46" s="521" t="e">
        <f>IF(#REF!="Plato perforado","PP",IF(OR(#REF!=0,#REF!=""),"",#REF!))</f>
        <v>#REF!</v>
      </c>
      <c r="CH46" s="522" t="e">
        <f>#REF!</f>
        <v>#REF!</v>
      </c>
      <c r="CI46" s="523" t="e">
        <f>#REF!</f>
        <v>#REF!</v>
      </c>
      <c r="CJ46" s="524"/>
      <c r="CK46" s="514" t="e">
        <f>IF(#REF!="","",#REF!)</f>
        <v>#REF!</v>
      </c>
      <c r="CL46" s="521" t="e">
        <f>IF(#REF!="","",#REF!)</f>
        <v>#REF!</v>
      </c>
      <c r="CM46" s="516" t="e">
        <f>#REF!</f>
        <v>#REF!</v>
      </c>
      <c r="CN46" s="517" t="e">
        <f>#REF!</f>
        <v>#REF!</v>
      </c>
      <c r="CO46" s="518" t="e">
        <f>#REF!</f>
        <v>#REF!</v>
      </c>
      <c r="CP46" s="519" t="e">
        <f>#REF!</f>
        <v>#REF!</v>
      </c>
      <c r="CQ46" s="520" t="e">
        <f>#REF!</f>
        <v>#REF!</v>
      </c>
      <c r="CR46" s="517" t="e">
        <f>#REF!</f>
        <v>#REF!</v>
      </c>
      <c r="CS46" s="521" t="e">
        <f>IF(#REF!="Plato perforado","PP",IF(OR(#REF!=0,#REF!=""),"",#REF!))</f>
        <v>#REF!</v>
      </c>
      <c r="CT46" s="522" t="e">
        <f>#REF!</f>
        <v>#REF!</v>
      </c>
      <c r="CU46" s="523" t="e">
        <f>#REF!</f>
        <v>#REF!</v>
      </c>
      <c r="CV46" s="524"/>
      <c r="CW46" s="514" t="e">
        <f>IF(#REF!="","",#REF!)</f>
        <v>#REF!</v>
      </c>
      <c r="CX46" s="521" t="e">
        <f>IF(#REF!="","",#REF!)</f>
        <v>#REF!</v>
      </c>
      <c r="CY46" s="516" t="e">
        <f>#REF!</f>
        <v>#REF!</v>
      </c>
      <c r="CZ46" s="517" t="e">
        <f>#REF!</f>
        <v>#REF!</v>
      </c>
      <c r="DA46" s="518" t="e">
        <f>#REF!</f>
        <v>#REF!</v>
      </c>
      <c r="DB46" s="519" t="e">
        <f>#REF!</f>
        <v>#REF!</v>
      </c>
      <c r="DC46" s="520" t="e">
        <f>#REF!</f>
        <v>#REF!</v>
      </c>
      <c r="DD46" s="517" t="e">
        <f>#REF!</f>
        <v>#REF!</v>
      </c>
      <c r="DE46" s="521" t="e">
        <f>IF(#REF!="Plato perforado","PP",IF(OR(#REF!=0,#REF!=""),"",#REF!))</f>
        <v>#REF!</v>
      </c>
      <c r="DF46" s="522" t="e">
        <f>#REF!</f>
        <v>#REF!</v>
      </c>
      <c r="DG46" s="523" t="e">
        <f>#REF!</f>
        <v>#REF!</v>
      </c>
      <c r="DH46" s="525"/>
    </row>
    <row r="47" spans="3:112" x14ac:dyDescent="0.3">
      <c r="C47" s="471" t="str">
        <f>IF(OR(Inyección!B47="",Inyección!N47="",Inyección!P47=""),"",INDEX($C$26:$C$29,Inyección!C47)&amp;" de "&amp;TEXT(Inyección!N47,"00")&amp;""""&amp;" × "&amp;TEXT(Inyección!P47,"00")&amp;""""&amp;IF(Inyección!C47=1,", "&amp;Inyección!R47&amp;IF(Inyección!R47=1," vía",IF(OR(Inyección!R47=2,Inyección!R47=3,Inyección!R47=4)," vías","")),""))</f>
        <v/>
      </c>
      <c r="F47"/>
      <c r="H47" s="471">
        <f t="shared" si="7"/>
        <v>0</v>
      </c>
      <c r="I47" s="471" t="str">
        <f t="shared" si="8"/>
        <v>0</v>
      </c>
      <c r="J47" s="471" t="str">
        <f t="shared" si="9"/>
        <v/>
      </c>
      <c r="K47" s="471" t="str">
        <f t="shared" si="0"/>
        <v/>
      </c>
      <c r="L47" s="471" t="str">
        <f t="shared" si="0"/>
        <v/>
      </c>
      <c r="M47"/>
      <c r="N47" s="471">
        <f t="shared" si="1"/>
        <v>0</v>
      </c>
      <c r="O47"/>
      <c r="P47" s="471">
        <f t="shared" si="2"/>
        <v>0</v>
      </c>
      <c r="Q47"/>
      <c r="R47" s="471">
        <f t="shared" si="3"/>
        <v>0</v>
      </c>
      <c r="T47" s="479"/>
      <c r="V47" s="479"/>
      <c r="AA47" s="474"/>
      <c r="AB47" s="496" t="str">
        <f t="shared" si="10"/>
        <v/>
      </c>
      <c r="AC47" s="497" t="str">
        <f t="shared" si="11"/>
        <v/>
      </c>
      <c r="AD47" s="474"/>
      <c r="AE47" s="472" t="e">
        <f>IF(#REF!=2,#REF!,0)</f>
        <v>#REF!</v>
      </c>
      <c r="AF47" s="472" t="e">
        <f>IF(#REF!=2,#REF!,0)</f>
        <v>#REF!</v>
      </c>
      <c r="AG47" s="472" t="e">
        <f t="shared" si="4"/>
        <v>#REF!</v>
      </c>
      <c r="AH47" s="473">
        <v>10</v>
      </c>
      <c r="AI47" s="473">
        <v>6</v>
      </c>
      <c r="AJ47" s="487">
        <f t="shared" si="12"/>
        <v>0.41666666666666669</v>
      </c>
      <c r="AK47" s="488">
        <f t="shared" si="5"/>
        <v>0</v>
      </c>
      <c r="AL47" s="488">
        <f t="shared" si="6"/>
        <v>1.6666666666666667</v>
      </c>
      <c r="AM47" s="472">
        <f t="shared" si="13"/>
        <v>1006</v>
      </c>
      <c r="AN47" s="472" t="e">
        <v>#REF!</v>
      </c>
      <c r="AO47" s="472">
        <v>10</v>
      </c>
      <c r="AP47" s="472">
        <v>12</v>
      </c>
      <c r="AQ47" s="472">
        <v>10</v>
      </c>
      <c r="AR47" s="472">
        <f t="shared" si="14"/>
        <v>1012</v>
      </c>
      <c r="AS47" s="472">
        <f t="shared" si="14"/>
        <v>1210</v>
      </c>
      <c r="AT47" s="498" t="str">
        <f t="shared" si="15"/>
        <v/>
      </c>
      <c r="AU47" s="499" t="str">
        <f t="shared" si="16"/>
        <v/>
      </c>
      <c r="AV47" s="474"/>
      <c r="AW47" s="472" t="e">
        <f>IF(#REF!=3,#REF!,0)</f>
        <v>#REF!</v>
      </c>
      <c r="AX47" s="498" t="str">
        <f t="shared" si="17"/>
        <v/>
      </c>
      <c r="AY47" s="500" t="str">
        <f t="shared" si="18"/>
        <v/>
      </c>
      <c r="AZ47" s="474"/>
      <c r="BA47" s="514" t="e">
        <f>IF(#REF!="","",#REF!)</f>
        <v>#REF!</v>
      </c>
      <c r="BB47" s="526" t="e">
        <f>IF(#REF!="","",#REF!)</f>
        <v>#REF!</v>
      </c>
      <c r="BC47" s="516" t="e">
        <f>#REF!</f>
        <v>#REF!</v>
      </c>
      <c r="BD47" s="517" t="e">
        <f>#REF!</f>
        <v>#REF!</v>
      </c>
      <c r="BE47" s="518" t="e">
        <f>#REF!</f>
        <v>#REF!</v>
      </c>
      <c r="BF47" s="519" t="e">
        <f>#REF!</f>
        <v>#REF!</v>
      </c>
      <c r="BG47" s="520" t="e">
        <f>#REF!</f>
        <v>#REF!</v>
      </c>
      <c r="BH47" s="517" t="e">
        <f>#REF!</f>
        <v>#REF!</v>
      </c>
      <c r="BI47" s="521" t="e">
        <f>IF(#REF!="Plato perforado","PP",IF(OR(#REF!=0,#REF!=""),"",#REF!))</f>
        <v>#REF!</v>
      </c>
      <c r="BJ47" s="522" t="e">
        <f>#REF!</f>
        <v>#REF!</v>
      </c>
      <c r="BK47" s="523" t="e">
        <f>#REF!</f>
        <v>#REF!</v>
      </c>
      <c r="BL47" s="524"/>
      <c r="BM47" s="514" t="e">
        <f>IF(#REF!="","",#REF!)</f>
        <v>#REF!</v>
      </c>
      <c r="BN47" s="521" t="e">
        <f>IF(#REF!="","",#REF!)</f>
        <v>#REF!</v>
      </c>
      <c r="BO47" s="516" t="e">
        <f>#REF!</f>
        <v>#REF!</v>
      </c>
      <c r="BP47" s="517" t="e">
        <f>#REF!</f>
        <v>#REF!</v>
      </c>
      <c r="BQ47" s="518" t="e">
        <f>#REF!</f>
        <v>#REF!</v>
      </c>
      <c r="BR47" s="519" t="e">
        <f>#REF!</f>
        <v>#REF!</v>
      </c>
      <c r="BS47" s="520" t="e">
        <f>#REF!</f>
        <v>#REF!</v>
      </c>
      <c r="BT47" s="517" t="e">
        <f>#REF!</f>
        <v>#REF!</v>
      </c>
      <c r="BU47" s="521" t="e">
        <f>IF(#REF!="Plato perforado","PP",IF(OR(#REF!=0,#REF!=""),"",#REF!))</f>
        <v>#REF!</v>
      </c>
      <c r="BV47" s="522" t="e">
        <f>#REF!</f>
        <v>#REF!</v>
      </c>
      <c r="BW47" s="523" t="e">
        <f>#REF!</f>
        <v>#REF!</v>
      </c>
      <c r="BX47" s="524"/>
      <c r="BY47" s="514" t="e">
        <f>IF(#REF!="","",#REF!)</f>
        <v>#REF!</v>
      </c>
      <c r="BZ47" s="521" t="e">
        <f>IF(#REF!="","",#REF!)</f>
        <v>#REF!</v>
      </c>
      <c r="CA47" s="516" t="e">
        <f>#REF!</f>
        <v>#REF!</v>
      </c>
      <c r="CB47" s="517" t="e">
        <f>#REF!</f>
        <v>#REF!</v>
      </c>
      <c r="CC47" s="518" t="e">
        <f>#REF!</f>
        <v>#REF!</v>
      </c>
      <c r="CD47" s="519" t="e">
        <f>#REF!</f>
        <v>#REF!</v>
      </c>
      <c r="CE47" s="520" t="e">
        <f>#REF!</f>
        <v>#REF!</v>
      </c>
      <c r="CF47" s="517" t="e">
        <f>#REF!</f>
        <v>#REF!</v>
      </c>
      <c r="CG47" s="521" t="e">
        <f>IF(#REF!="Plato perforado","PP",IF(OR(#REF!=0,#REF!=""),"",#REF!))</f>
        <v>#REF!</v>
      </c>
      <c r="CH47" s="522" t="e">
        <f>#REF!</f>
        <v>#REF!</v>
      </c>
      <c r="CI47" s="523" t="e">
        <f>#REF!</f>
        <v>#REF!</v>
      </c>
      <c r="CJ47" s="524"/>
      <c r="CK47" s="514" t="e">
        <f>IF(#REF!="","",#REF!)</f>
        <v>#REF!</v>
      </c>
      <c r="CL47" s="521" t="e">
        <f>IF(#REF!="","",#REF!)</f>
        <v>#REF!</v>
      </c>
      <c r="CM47" s="516" t="e">
        <f>#REF!</f>
        <v>#REF!</v>
      </c>
      <c r="CN47" s="517" t="e">
        <f>#REF!</f>
        <v>#REF!</v>
      </c>
      <c r="CO47" s="518" t="e">
        <f>#REF!</f>
        <v>#REF!</v>
      </c>
      <c r="CP47" s="519" t="e">
        <f>#REF!</f>
        <v>#REF!</v>
      </c>
      <c r="CQ47" s="520" t="e">
        <f>#REF!</f>
        <v>#REF!</v>
      </c>
      <c r="CR47" s="517" t="e">
        <f>#REF!</f>
        <v>#REF!</v>
      </c>
      <c r="CS47" s="521" t="e">
        <f>IF(#REF!="Plato perforado","PP",IF(OR(#REF!=0,#REF!=""),"",#REF!))</f>
        <v>#REF!</v>
      </c>
      <c r="CT47" s="522" t="e">
        <f>#REF!</f>
        <v>#REF!</v>
      </c>
      <c r="CU47" s="523" t="e">
        <f>#REF!</f>
        <v>#REF!</v>
      </c>
      <c r="CV47" s="524"/>
      <c r="CW47" s="514" t="e">
        <f>IF(#REF!="","",#REF!)</f>
        <v>#REF!</v>
      </c>
      <c r="CX47" s="521" t="e">
        <f>IF(#REF!="","",#REF!)</f>
        <v>#REF!</v>
      </c>
      <c r="CY47" s="516" t="e">
        <f>#REF!</f>
        <v>#REF!</v>
      </c>
      <c r="CZ47" s="517" t="e">
        <f>#REF!</f>
        <v>#REF!</v>
      </c>
      <c r="DA47" s="518" t="e">
        <f>#REF!</f>
        <v>#REF!</v>
      </c>
      <c r="DB47" s="519" t="e">
        <f>#REF!</f>
        <v>#REF!</v>
      </c>
      <c r="DC47" s="520" t="e">
        <f>#REF!</f>
        <v>#REF!</v>
      </c>
      <c r="DD47" s="517" t="e">
        <f>#REF!</f>
        <v>#REF!</v>
      </c>
      <c r="DE47" s="521" t="e">
        <f>IF(#REF!="Plato perforado","PP",IF(OR(#REF!=0,#REF!=""),"",#REF!))</f>
        <v>#REF!</v>
      </c>
      <c r="DF47" s="522" t="e">
        <f>#REF!</f>
        <v>#REF!</v>
      </c>
      <c r="DG47" s="523" t="e">
        <f>#REF!</f>
        <v>#REF!</v>
      </c>
      <c r="DH47" s="525"/>
    </row>
    <row r="48" spans="3:112" x14ac:dyDescent="0.3">
      <c r="C48" s="471" t="str">
        <f>IF(OR(Inyección!B48="",Inyección!N48="",Inyección!P48=""),"",INDEX($C$26:$C$29,Inyección!C48)&amp;" de "&amp;TEXT(Inyección!N48,"00")&amp;""""&amp;" × "&amp;TEXT(Inyección!P48,"00")&amp;""""&amp;IF(Inyección!C48=1,", "&amp;Inyección!R48&amp;IF(Inyección!R48=1," vía",IF(OR(Inyección!R48=2,Inyección!R48=3,Inyección!R48=4)," vías","")),""))</f>
        <v/>
      </c>
      <c r="F48"/>
      <c r="H48" s="471">
        <f t="shared" si="7"/>
        <v>0</v>
      </c>
      <c r="I48" s="471" t="str">
        <f t="shared" si="8"/>
        <v>0</v>
      </c>
      <c r="J48" s="471" t="str">
        <f t="shared" si="9"/>
        <v/>
      </c>
      <c r="K48" s="471" t="str">
        <f t="shared" si="0"/>
        <v/>
      </c>
      <c r="L48" s="471" t="str">
        <f t="shared" si="0"/>
        <v/>
      </c>
      <c r="M48"/>
      <c r="N48" s="471">
        <f t="shared" si="1"/>
        <v>0</v>
      </c>
      <c r="O48"/>
      <c r="P48" s="471">
        <f t="shared" si="2"/>
        <v>0</v>
      </c>
      <c r="Q48"/>
      <c r="R48" s="471">
        <f t="shared" si="3"/>
        <v>0</v>
      </c>
      <c r="T48" s="479"/>
      <c r="V48" s="479"/>
      <c r="AA48" s="474"/>
      <c r="AB48" s="496" t="str">
        <f t="shared" si="10"/>
        <v/>
      </c>
      <c r="AC48" s="497" t="str">
        <f t="shared" si="11"/>
        <v/>
      </c>
      <c r="AD48" s="474"/>
      <c r="AE48" s="472" t="e">
        <f>IF(#REF!=2,#REF!,0)</f>
        <v>#REF!</v>
      </c>
      <c r="AF48" s="472" t="e">
        <f>IF(#REF!=2,#REF!,0)</f>
        <v>#REF!</v>
      </c>
      <c r="AG48" s="472" t="e">
        <f t="shared" si="4"/>
        <v>#REF!</v>
      </c>
      <c r="AH48" s="473">
        <v>10</v>
      </c>
      <c r="AI48" s="473">
        <v>8</v>
      </c>
      <c r="AJ48" s="487">
        <f t="shared" si="12"/>
        <v>0.55555555555555558</v>
      </c>
      <c r="AK48" s="488">
        <f t="shared" si="5"/>
        <v>0</v>
      </c>
      <c r="AL48" s="488">
        <f t="shared" si="6"/>
        <v>1.25</v>
      </c>
      <c r="AM48" s="472">
        <f t="shared" si="13"/>
        <v>1008</v>
      </c>
      <c r="AN48" s="472" t="e">
        <v>#REF!</v>
      </c>
      <c r="AO48" s="472">
        <v>10</v>
      </c>
      <c r="AP48" s="472">
        <v>14</v>
      </c>
      <c r="AQ48" s="472">
        <v>10</v>
      </c>
      <c r="AR48" s="472">
        <f t="shared" si="14"/>
        <v>1014</v>
      </c>
      <c r="AS48" s="472">
        <f t="shared" si="14"/>
        <v>1410</v>
      </c>
      <c r="AT48" s="498" t="str">
        <f t="shared" si="15"/>
        <v/>
      </c>
      <c r="AU48" s="499" t="str">
        <f t="shared" si="16"/>
        <v/>
      </c>
      <c r="AV48" s="474"/>
      <c r="AW48" s="472" t="e">
        <f>IF(#REF!=3,#REF!,0)</f>
        <v>#REF!</v>
      </c>
      <c r="AX48" s="498" t="str">
        <f t="shared" si="17"/>
        <v/>
      </c>
      <c r="AY48" s="500" t="str">
        <f t="shared" si="18"/>
        <v/>
      </c>
      <c r="AZ48" s="474"/>
      <c r="BA48" s="514" t="e">
        <f>IF(#REF!="","",#REF!)</f>
        <v>#REF!</v>
      </c>
      <c r="BB48" s="526" t="e">
        <f>IF(#REF!="","",#REF!)</f>
        <v>#REF!</v>
      </c>
      <c r="BC48" s="516" t="e">
        <f>#REF!</f>
        <v>#REF!</v>
      </c>
      <c r="BD48" s="517" t="e">
        <f>#REF!</f>
        <v>#REF!</v>
      </c>
      <c r="BE48" s="518" t="e">
        <f>#REF!</f>
        <v>#REF!</v>
      </c>
      <c r="BF48" s="519" t="e">
        <f>#REF!</f>
        <v>#REF!</v>
      </c>
      <c r="BG48" s="520" t="e">
        <f>#REF!</f>
        <v>#REF!</v>
      </c>
      <c r="BH48" s="517" t="e">
        <f>#REF!</f>
        <v>#REF!</v>
      </c>
      <c r="BI48" s="521" t="e">
        <f>IF(#REF!="Plato perforado","PP",IF(OR(#REF!=0,#REF!=""),"",#REF!))</f>
        <v>#REF!</v>
      </c>
      <c r="BJ48" s="522" t="e">
        <f>#REF!</f>
        <v>#REF!</v>
      </c>
      <c r="BK48" s="523" t="e">
        <f>#REF!</f>
        <v>#REF!</v>
      </c>
      <c r="BL48" s="524"/>
      <c r="BM48" s="514" t="e">
        <f>IF(#REF!="","",#REF!)</f>
        <v>#REF!</v>
      </c>
      <c r="BN48" s="521" t="e">
        <f>IF(#REF!="","",#REF!)</f>
        <v>#REF!</v>
      </c>
      <c r="BO48" s="516" t="e">
        <f>#REF!</f>
        <v>#REF!</v>
      </c>
      <c r="BP48" s="517" t="e">
        <f>#REF!</f>
        <v>#REF!</v>
      </c>
      <c r="BQ48" s="518" t="e">
        <f>#REF!</f>
        <v>#REF!</v>
      </c>
      <c r="BR48" s="519" t="e">
        <f>#REF!</f>
        <v>#REF!</v>
      </c>
      <c r="BS48" s="520" t="e">
        <f>#REF!</f>
        <v>#REF!</v>
      </c>
      <c r="BT48" s="517" t="e">
        <f>#REF!</f>
        <v>#REF!</v>
      </c>
      <c r="BU48" s="521" t="e">
        <f>IF(#REF!="Plato perforado","PP",IF(OR(#REF!=0,#REF!=""),"",#REF!))</f>
        <v>#REF!</v>
      </c>
      <c r="BV48" s="522" t="e">
        <f>#REF!</f>
        <v>#REF!</v>
      </c>
      <c r="BW48" s="523" t="e">
        <f>#REF!</f>
        <v>#REF!</v>
      </c>
      <c r="BX48" s="524"/>
      <c r="BY48" s="514" t="e">
        <f>IF(#REF!="","",#REF!)</f>
        <v>#REF!</v>
      </c>
      <c r="BZ48" s="521" t="e">
        <f>IF(#REF!="","",#REF!)</f>
        <v>#REF!</v>
      </c>
      <c r="CA48" s="516" t="e">
        <f>#REF!</f>
        <v>#REF!</v>
      </c>
      <c r="CB48" s="517" t="e">
        <f>#REF!</f>
        <v>#REF!</v>
      </c>
      <c r="CC48" s="518" t="e">
        <f>#REF!</f>
        <v>#REF!</v>
      </c>
      <c r="CD48" s="519" t="e">
        <f>#REF!</f>
        <v>#REF!</v>
      </c>
      <c r="CE48" s="520" t="e">
        <f>#REF!</f>
        <v>#REF!</v>
      </c>
      <c r="CF48" s="517" t="e">
        <f>#REF!</f>
        <v>#REF!</v>
      </c>
      <c r="CG48" s="521" t="e">
        <f>IF(#REF!="Plato perforado","PP",IF(OR(#REF!=0,#REF!=""),"",#REF!))</f>
        <v>#REF!</v>
      </c>
      <c r="CH48" s="522" t="e">
        <f>#REF!</f>
        <v>#REF!</v>
      </c>
      <c r="CI48" s="523" t="e">
        <f>#REF!</f>
        <v>#REF!</v>
      </c>
      <c r="CJ48" s="524"/>
      <c r="CK48" s="514" t="e">
        <f>IF(#REF!="","",#REF!)</f>
        <v>#REF!</v>
      </c>
      <c r="CL48" s="521" t="e">
        <f>IF(#REF!="","",#REF!)</f>
        <v>#REF!</v>
      </c>
      <c r="CM48" s="516" t="e">
        <f>#REF!</f>
        <v>#REF!</v>
      </c>
      <c r="CN48" s="517" t="e">
        <f>#REF!</f>
        <v>#REF!</v>
      </c>
      <c r="CO48" s="518" t="e">
        <f>#REF!</f>
        <v>#REF!</v>
      </c>
      <c r="CP48" s="519" t="e">
        <f>#REF!</f>
        <v>#REF!</v>
      </c>
      <c r="CQ48" s="520" t="e">
        <f>#REF!</f>
        <v>#REF!</v>
      </c>
      <c r="CR48" s="517" t="e">
        <f>#REF!</f>
        <v>#REF!</v>
      </c>
      <c r="CS48" s="521" t="e">
        <f>IF(#REF!="Plato perforado","PP",IF(OR(#REF!=0,#REF!=""),"",#REF!))</f>
        <v>#REF!</v>
      </c>
      <c r="CT48" s="522" t="e">
        <f>#REF!</f>
        <v>#REF!</v>
      </c>
      <c r="CU48" s="523" t="e">
        <f>#REF!</f>
        <v>#REF!</v>
      </c>
      <c r="CV48" s="524"/>
      <c r="CW48" s="514" t="e">
        <f>IF(#REF!="","",#REF!)</f>
        <v>#REF!</v>
      </c>
      <c r="CX48" s="521" t="e">
        <f>IF(#REF!="","",#REF!)</f>
        <v>#REF!</v>
      </c>
      <c r="CY48" s="516" t="e">
        <f>#REF!</f>
        <v>#REF!</v>
      </c>
      <c r="CZ48" s="517" t="e">
        <f>#REF!</f>
        <v>#REF!</v>
      </c>
      <c r="DA48" s="518" t="e">
        <f>#REF!</f>
        <v>#REF!</v>
      </c>
      <c r="DB48" s="519" t="e">
        <f>#REF!</f>
        <v>#REF!</v>
      </c>
      <c r="DC48" s="520" t="e">
        <f>#REF!</f>
        <v>#REF!</v>
      </c>
      <c r="DD48" s="517" t="e">
        <f>#REF!</f>
        <v>#REF!</v>
      </c>
      <c r="DE48" s="521" t="e">
        <f>IF(#REF!="Plato perforado","PP",IF(OR(#REF!=0,#REF!=""),"",#REF!))</f>
        <v>#REF!</v>
      </c>
      <c r="DF48" s="522" t="e">
        <f>#REF!</f>
        <v>#REF!</v>
      </c>
      <c r="DG48" s="523" t="e">
        <f>#REF!</f>
        <v>#REF!</v>
      </c>
      <c r="DH48" s="525"/>
    </row>
    <row r="49" spans="3:112" x14ac:dyDescent="0.3">
      <c r="C49" s="471" t="str">
        <f>IF(OR(Inyección!B49="",Inyección!N49="",Inyección!P49=""),"",INDEX($C$26:$C$29,Inyección!C49)&amp;" de "&amp;TEXT(Inyección!N49,"00")&amp;""""&amp;" × "&amp;TEXT(Inyección!P49,"00")&amp;""""&amp;IF(Inyección!C49=1,", "&amp;Inyección!R49&amp;IF(Inyección!R49=1," vía",IF(OR(Inyección!R49=2,Inyección!R49=3,Inyección!R49=4)," vías","")),""))</f>
        <v/>
      </c>
      <c r="F49"/>
      <c r="H49" s="471">
        <f t="shared" si="7"/>
        <v>0</v>
      </c>
      <c r="I49" s="471" t="str">
        <f t="shared" si="8"/>
        <v>0</v>
      </c>
      <c r="J49" s="471" t="str">
        <f t="shared" si="9"/>
        <v/>
      </c>
      <c r="K49" s="471" t="str">
        <f t="shared" si="0"/>
        <v/>
      </c>
      <c r="L49" s="471" t="str">
        <f t="shared" si="0"/>
        <v/>
      </c>
      <c r="M49"/>
      <c r="N49" s="471">
        <f t="shared" si="1"/>
        <v>0</v>
      </c>
      <c r="O49"/>
      <c r="P49" s="471">
        <f t="shared" si="2"/>
        <v>0</v>
      </c>
      <c r="Q49"/>
      <c r="R49" s="471">
        <f t="shared" si="3"/>
        <v>0</v>
      </c>
      <c r="T49" s="479"/>
      <c r="V49" s="479"/>
      <c r="AA49" s="474"/>
      <c r="AB49" s="496" t="str">
        <f t="shared" si="10"/>
        <v/>
      </c>
      <c r="AC49" s="497" t="str">
        <f t="shared" si="11"/>
        <v/>
      </c>
      <c r="AD49" s="474"/>
      <c r="AE49" s="472" t="e">
        <f>IF(#REF!=2,#REF!,0)</f>
        <v>#REF!</v>
      </c>
      <c r="AF49" s="472" t="e">
        <f>IF(#REF!=2,#REF!,0)</f>
        <v>#REF!</v>
      </c>
      <c r="AG49" s="472" t="e">
        <f t="shared" si="4"/>
        <v>#REF!</v>
      </c>
      <c r="AH49" s="473">
        <v>10</v>
      </c>
      <c r="AI49" s="473">
        <v>10</v>
      </c>
      <c r="AJ49" s="487">
        <f t="shared" si="12"/>
        <v>0.69444444444444453</v>
      </c>
      <c r="AK49" s="488">
        <f t="shared" si="5"/>
        <v>0</v>
      </c>
      <c r="AL49" s="488">
        <f t="shared" si="6"/>
        <v>1</v>
      </c>
      <c r="AM49" s="472">
        <f t="shared" si="13"/>
        <v>1010</v>
      </c>
      <c r="AN49" s="472" t="e">
        <v>#REF!</v>
      </c>
      <c r="AO49" s="472">
        <v>10</v>
      </c>
      <c r="AP49" s="472">
        <v>16</v>
      </c>
      <c r="AQ49" s="472">
        <v>10</v>
      </c>
      <c r="AR49" s="472">
        <f t="shared" si="14"/>
        <v>1016</v>
      </c>
      <c r="AS49" s="472">
        <f t="shared" si="14"/>
        <v>1610</v>
      </c>
      <c r="AT49" s="498" t="str">
        <f t="shared" si="15"/>
        <v/>
      </c>
      <c r="AU49" s="499" t="str">
        <f t="shared" si="16"/>
        <v/>
      </c>
      <c r="AV49" s="474"/>
      <c r="AW49" s="472" t="e">
        <f>IF(#REF!=3,#REF!,0)</f>
        <v>#REF!</v>
      </c>
      <c r="AX49" s="498" t="str">
        <f t="shared" si="17"/>
        <v/>
      </c>
      <c r="AY49" s="500" t="str">
        <f t="shared" si="18"/>
        <v/>
      </c>
      <c r="AZ49" s="474"/>
      <c r="BA49" s="514" t="e">
        <f>IF(#REF!="","",#REF!)</f>
        <v>#REF!</v>
      </c>
      <c r="BB49" s="526" t="e">
        <f>IF(#REF!="","",#REF!)</f>
        <v>#REF!</v>
      </c>
      <c r="BC49" s="516" t="e">
        <f>#REF!</f>
        <v>#REF!</v>
      </c>
      <c r="BD49" s="517" t="e">
        <f>#REF!</f>
        <v>#REF!</v>
      </c>
      <c r="BE49" s="518" t="e">
        <f>#REF!</f>
        <v>#REF!</v>
      </c>
      <c r="BF49" s="519" t="e">
        <f>#REF!</f>
        <v>#REF!</v>
      </c>
      <c r="BG49" s="520" t="e">
        <f>#REF!</f>
        <v>#REF!</v>
      </c>
      <c r="BH49" s="517" t="e">
        <f>#REF!</f>
        <v>#REF!</v>
      </c>
      <c r="BI49" s="521" t="e">
        <f>IF(#REF!="Plato perforado","PP",IF(OR(#REF!=0,#REF!=""),"",#REF!))</f>
        <v>#REF!</v>
      </c>
      <c r="BJ49" s="522" t="e">
        <f>#REF!</f>
        <v>#REF!</v>
      </c>
      <c r="BK49" s="523" t="e">
        <f>#REF!</f>
        <v>#REF!</v>
      </c>
      <c r="BL49" s="524"/>
      <c r="BM49" s="514" t="e">
        <f>IF(#REF!="","",#REF!)</f>
        <v>#REF!</v>
      </c>
      <c r="BN49" s="521" t="e">
        <f>IF(#REF!="","",#REF!)</f>
        <v>#REF!</v>
      </c>
      <c r="BO49" s="516" t="e">
        <f>#REF!</f>
        <v>#REF!</v>
      </c>
      <c r="BP49" s="517" t="e">
        <f>#REF!</f>
        <v>#REF!</v>
      </c>
      <c r="BQ49" s="518" t="e">
        <f>#REF!</f>
        <v>#REF!</v>
      </c>
      <c r="BR49" s="519" t="e">
        <f>#REF!</f>
        <v>#REF!</v>
      </c>
      <c r="BS49" s="520" t="e">
        <f>#REF!</f>
        <v>#REF!</v>
      </c>
      <c r="BT49" s="517" t="e">
        <f>#REF!</f>
        <v>#REF!</v>
      </c>
      <c r="BU49" s="521" t="e">
        <f>IF(#REF!="Plato perforado","PP",IF(OR(#REF!=0,#REF!=""),"",#REF!))</f>
        <v>#REF!</v>
      </c>
      <c r="BV49" s="522" t="e">
        <f>#REF!</f>
        <v>#REF!</v>
      </c>
      <c r="BW49" s="523" t="e">
        <f>#REF!</f>
        <v>#REF!</v>
      </c>
      <c r="BX49" s="524"/>
      <c r="BY49" s="514" t="e">
        <f>IF(#REF!="","",#REF!)</f>
        <v>#REF!</v>
      </c>
      <c r="BZ49" s="521" t="e">
        <f>IF(#REF!="","",#REF!)</f>
        <v>#REF!</v>
      </c>
      <c r="CA49" s="516" t="e">
        <f>#REF!</f>
        <v>#REF!</v>
      </c>
      <c r="CB49" s="517" t="e">
        <f>#REF!</f>
        <v>#REF!</v>
      </c>
      <c r="CC49" s="518" t="e">
        <f>#REF!</f>
        <v>#REF!</v>
      </c>
      <c r="CD49" s="519" t="e">
        <f>#REF!</f>
        <v>#REF!</v>
      </c>
      <c r="CE49" s="520" t="e">
        <f>#REF!</f>
        <v>#REF!</v>
      </c>
      <c r="CF49" s="517" t="e">
        <f>#REF!</f>
        <v>#REF!</v>
      </c>
      <c r="CG49" s="521" t="e">
        <f>IF(#REF!="Plato perforado","PP",IF(OR(#REF!=0,#REF!=""),"",#REF!))</f>
        <v>#REF!</v>
      </c>
      <c r="CH49" s="522" t="e">
        <f>#REF!</f>
        <v>#REF!</v>
      </c>
      <c r="CI49" s="523" t="e">
        <f>#REF!</f>
        <v>#REF!</v>
      </c>
      <c r="CJ49" s="524"/>
      <c r="CK49" s="514" t="e">
        <f>IF(#REF!="","",#REF!)</f>
        <v>#REF!</v>
      </c>
      <c r="CL49" s="521" t="e">
        <f>IF(#REF!="","",#REF!)</f>
        <v>#REF!</v>
      </c>
      <c r="CM49" s="516" t="e">
        <f>#REF!</f>
        <v>#REF!</v>
      </c>
      <c r="CN49" s="517" t="e">
        <f>#REF!</f>
        <v>#REF!</v>
      </c>
      <c r="CO49" s="518" t="e">
        <f>#REF!</f>
        <v>#REF!</v>
      </c>
      <c r="CP49" s="519" t="e">
        <f>#REF!</f>
        <v>#REF!</v>
      </c>
      <c r="CQ49" s="520" t="e">
        <f>#REF!</f>
        <v>#REF!</v>
      </c>
      <c r="CR49" s="517" t="e">
        <f>#REF!</f>
        <v>#REF!</v>
      </c>
      <c r="CS49" s="521" t="e">
        <f>IF(#REF!="Plato perforado","PP",IF(OR(#REF!=0,#REF!=""),"",#REF!))</f>
        <v>#REF!</v>
      </c>
      <c r="CT49" s="522" t="e">
        <f>#REF!</f>
        <v>#REF!</v>
      </c>
      <c r="CU49" s="523" t="e">
        <f>#REF!</f>
        <v>#REF!</v>
      </c>
      <c r="CV49" s="524"/>
      <c r="CW49" s="514" t="e">
        <f>IF(#REF!="","",#REF!)</f>
        <v>#REF!</v>
      </c>
      <c r="CX49" s="521" t="e">
        <f>IF(#REF!="","",#REF!)</f>
        <v>#REF!</v>
      </c>
      <c r="CY49" s="516" t="e">
        <f>#REF!</f>
        <v>#REF!</v>
      </c>
      <c r="CZ49" s="517" t="e">
        <f>#REF!</f>
        <v>#REF!</v>
      </c>
      <c r="DA49" s="518" t="e">
        <f>#REF!</f>
        <v>#REF!</v>
      </c>
      <c r="DB49" s="519" t="e">
        <f>#REF!</f>
        <v>#REF!</v>
      </c>
      <c r="DC49" s="520" t="e">
        <f>#REF!</f>
        <v>#REF!</v>
      </c>
      <c r="DD49" s="517" t="e">
        <f>#REF!</f>
        <v>#REF!</v>
      </c>
      <c r="DE49" s="521" t="e">
        <f>IF(#REF!="Plato perforado","PP",IF(OR(#REF!=0,#REF!=""),"",#REF!))</f>
        <v>#REF!</v>
      </c>
      <c r="DF49" s="522" t="e">
        <f>#REF!</f>
        <v>#REF!</v>
      </c>
      <c r="DG49" s="523" t="e">
        <f>#REF!</f>
        <v>#REF!</v>
      </c>
      <c r="DH49" s="525"/>
    </row>
    <row r="50" spans="3:112" x14ac:dyDescent="0.3">
      <c r="C50" s="471" t="str">
        <f>IF(OR(Inyección!B50="",Inyección!N50="",Inyección!P50=""),"",INDEX($C$26:$C$29,Inyección!C50)&amp;" de "&amp;TEXT(Inyección!N50,"00")&amp;""""&amp;" × "&amp;TEXT(Inyección!P50,"00")&amp;""""&amp;IF(Inyección!C50=1,", "&amp;Inyección!R50&amp;IF(Inyección!R50=1," vía",IF(OR(Inyección!R50=2,Inyección!R50=3,Inyección!R50=4)," vías","")),""))</f>
        <v/>
      </c>
      <c r="F50"/>
      <c r="H50" s="471">
        <f t="shared" si="7"/>
        <v>0</v>
      </c>
      <c r="I50" s="471" t="str">
        <f t="shared" si="8"/>
        <v>0</v>
      </c>
      <c r="J50" s="471" t="str">
        <f t="shared" si="9"/>
        <v/>
      </c>
      <c r="K50" s="471" t="str">
        <f t="shared" si="9"/>
        <v/>
      </c>
      <c r="L50" s="471" t="str">
        <f t="shared" si="9"/>
        <v/>
      </c>
      <c r="M50"/>
      <c r="N50" s="471">
        <f t="shared" si="1"/>
        <v>0</v>
      </c>
      <c r="O50"/>
      <c r="P50" s="471">
        <f t="shared" si="2"/>
        <v>0</v>
      </c>
      <c r="Q50"/>
      <c r="R50" s="471">
        <f t="shared" si="3"/>
        <v>0</v>
      </c>
      <c r="T50" s="479"/>
      <c r="V50" s="479"/>
      <c r="AA50" s="474"/>
      <c r="AB50" s="496" t="str">
        <f t="shared" si="10"/>
        <v/>
      </c>
      <c r="AC50" s="497" t="str">
        <f t="shared" si="11"/>
        <v/>
      </c>
      <c r="AD50" s="474"/>
      <c r="AE50" s="472" t="e">
        <f>IF(#REF!=2,#REF!,0)</f>
        <v>#REF!</v>
      </c>
      <c r="AF50" s="472" t="e">
        <f>IF(#REF!=2,#REF!,0)</f>
        <v>#REF!</v>
      </c>
      <c r="AG50" s="472" t="e">
        <f t="shared" si="4"/>
        <v>#REF!</v>
      </c>
      <c r="AH50" s="473">
        <v>10</v>
      </c>
      <c r="AI50" s="473">
        <v>12</v>
      </c>
      <c r="AJ50" s="487">
        <f t="shared" si="12"/>
        <v>0.83333333333333337</v>
      </c>
      <c r="AK50" s="488">
        <f t="shared" si="5"/>
        <v>0</v>
      </c>
      <c r="AL50" s="488">
        <f t="shared" si="6"/>
        <v>0.83333333333333337</v>
      </c>
      <c r="AM50" s="472">
        <f t="shared" si="13"/>
        <v>1012</v>
      </c>
      <c r="AN50" s="472" t="e">
        <v>#REF!</v>
      </c>
      <c r="AO50" s="472">
        <v>10</v>
      </c>
      <c r="AP50" s="472">
        <v>18</v>
      </c>
      <c r="AQ50" s="472">
        <v>10</v>
      </c>
      <c r="AR50" s="472">
        <f t="shared" si="14"/>
        <v>1018</v>
      </c>
      <c r="AS50" s="472">
        <f t="shared" si="14"/>
        <v>1810</v>
      </c>
      <c r="AT50" s="498" t="str">
        <f t="shared" si="15"/>
        <v/>
      </c>
      <c r="AU50" s="499" t="str">
        <f t="shared" si="16"/>
        <v/>
      </c>
      <c r="AV50" s="474"/>
      <c r="AW50" s="472" t="e">
        <f>IF(#REF!=3,#REF!,0)</f>
        <v>#REF!</v>
      </c>
      <c r="AX50" s="498" t="str">
        <f t="shared" si="17"/>
        <v/>
      </c>
      <c r="AY50" s="500" t="str">
        <f t="shared" si="18"/>
        <v/>
      </c>
      <c r="AZ50" s="474"/>
      <c r="BA50" s="514" t="e">
        <f>IF(#REF!="","",#REF!)</f>
        <v>#REF!</v>
      </c>
      <c r="BB50" s="526" t="e">
        <f>IF(#REF!="","",#REF!)</f>
        <v>#REF!</v>
      </c>
      <c r="BC50" s="516" t="e">
        <f>#REF!</f>
        <v>#REF!</v>
      </c>
      <c r="BD50" s="517" t="e">
        <f>#REF!</f>
        <v>#REF!</v>
      </c>
      <c r="BE50" s="518" t="e">
        <f>#REF!</f>
        <v>#REF!</v>
      </c>
      <c r="BF50" s="519" t="e">
        <f>#REF!</f>
        <v>#REF!</v>
      </c>
      <c r="BG50" s="520" t="e">
        <f>#REF!</f>
        <v>#REF!</v>
      </c>
      <c r="BH50" s="517" t="e">
        <f>#REF!</f>
        <v>#REF!</v>
      </c>
      <c r="BI50" s="521" t="e">
        <f>IF(#REF!="Plato perforado","PP",IF(OR(#REF!=0,#REF!=""),"",#REF!))</f>
        <v>#REF!</v>
      </c>
      <c r="BJ50" s="522" t="e">
        <f>#REF!</f>
        <v>#REF!</v>
      </c>
      <c r="BK50" s="523" t="e">
        <f>#REF!</f>
        <v>#REF!</v>
      </c>
      <c r="BL50" s="524"/>
      <c r="BM50" s="514" t="e">
        <f>IF(#REF!="","",#REF!)</f>
        <v>#REF!</v>
      </c>
      <c r="BN50" s="521" t="e">
        <f>IF(#REF!="","",#REF!)</f>
        <v>#REF!</v>
      </c>
      <c r="BO50" s="516" t="e">
        <f>#REF!</f>
        <v>#REF!</v>
      </c>
      <c r="BP50" s="517" t="e">
        <f>#REF!</f>
        <v>#REF!</v>
      </c>
      <c r="BQ50" s="518" t="e">
        <f>#REF!</f>
        <v>#REF!</v>
      </c>
      <c r="BR50" s="519" t="e">
        <f>#REF!</f>
        <v>#REF!</v>
      </c>
      <c r="BS50" s="520" t="e">
        <f>#REF!</f>
        <v>#REF!</v>
      </c>
      <c r="BT50" s="517" t="e">
        <f>#REF!</f>
        <v>#REF!</v>
      </c>
      <c r="BU50" s="521" t="e">
        <f>IF(#REF!="Plato perforado","PP",IF(OR(#REF!=0,#REF!=""),"",#REF!))</f>
        <v>#REF!</v>
      </c>
      <c r="BV50" s="522" t="e">
        <f>#REF!</f>
        <v>#REF!</v>
      </c>
      <c r="BW50" s="523" t="e">
        <f>#REF!</f>
        <v>#REF!</v>
      </c>
      <c r="BX50" s="524"/>
      <c r="BY50" s="514" t="e">
        <f>IF(#REF!="","",#REF!)</f>
        <v>#REF!</v>
      </c>
      <c r="BZ50" s="521" t="e">
        <f>IF(#REF!="","",#REF!)</f>
        <v>#REF!</v>
      </c>
      <c r="CA50" s="516" t="e">
        <f>#REF!</f>
        <v>#REF!</v>
      </c>
      <c r="CB50" s="517" t="e">
        <f>#REF!</f>
        <v>#REF!</v>
      </c>
      <c r="CC50" s="518" t="e">
        <f>#REF!</f>
        <v>#REF!</v>
      </c>
      <c r="CD50" s="519" t="e">
        <f>#REF!</f>
        <v>#REF!</v>
      </c>
      <c r="CE50" s="520" t="e">
        <f>#REF!</f>
        <v>#REF!</v>
      </c>
      <c r="CF50" s="517" t="e">
        <f>#REF!</f>
        <v>#REF!</v>
      </c>
      <c r="CG50" s="521" t="e">
        <f>IF(#REF!="Plato perforado","PP",IF(OR(#REF!=0,#REF!=""),"",#REF!))</f>
        <v>#REF!</v>
      </c>
      <c r="CH50" s="522" t="e">
        <f>#REF!</f>
        <v>#REF!</v>
      </c>
      <c r="CI50" s="523" t="e">
        <f>#REF!</f>
        <v>#REF!</v>
      </c>
      <c r="CJ50" s="524"/>
      <c r="CK50" s="514" t="e">
        <f>IF(#REF!="","",#REF!)</f>
        <v>#REF!</v>
      </c>
      <c r="CL50" s="521" t="e">
        <f>IF(#REF!="","",#REF!)</f>
        <v>#REF!</v>
      </c>
      <c r="CM50" s="516" t="e">
        <f>#REF!</f>
        <v>#REF!</v>
      </c>
      <c r="CN50" s="517" t="e">
        <f>#REF!</f>
        <v>#REF!</v>
      </c>
      <c r="CO50" s="518" t="e">
        <f>#REF!</f>
        <v>#REF!</v>
      </c>
      <c r="CP50" s="519" t="e">
        <f>#REF!</f>
        <v>#REF!</v>
      </c>
      <c r="CQ50" s="520" t="e">
        <f>#REF!</f>
        <v>#REF!</v>
      </c>
      <c r="CR50" s="517" t="e">
        <f>#REF!</f>
        <v>#REF!</v>
      </c>
      <c r="CS50" s="521" t="e">
        <f>IF(#REF!="Plato perforado","PP",IF(OR(#REF!=0,#REF!=""),"",#REF!))</f>
        <v>#REF!</v>
      </c>
      <c r="CT50" s="522" t="e">
        <f>#REF!</f>
        <v>#REF!</v>
      </c>
      <c r="CU50" s="523" t="e">
        <f>#REF!</f>
        <v>#REF!</v>
      </c>
      <c r="CV50" s="524"/>
      <c r="CW50" s="514" t="e">
        <f>IF(#REF!="","",#REF!)</f>
        <v>#REF!</v>
      </c>
      <c r="CX50" s="521" t="e">
        <f>IF(#REF!="","",#REF!)</f>
        <v>#REF!</v>
      </c>
      <c r="CY50" s="516" t="e">
        <f>#REF!</f>
        <v>#REF!</v>
      </c>
      <c r="CZ50" s="517" t="e">
        <f>#REF!</f>
        <v>#REF!</v>
      </c>
      <c r="DA50" s="518" t="e">
        <f>#REF!</f>
        <v>#REF!</v>
      </c>
      <c r="DB50" s="519" t="e">
        <f>#REF!</f>
        <v>#REF!</v>
      </c>
      <c r="DC50" s="520" t="e">
        <f>#REF!</f>
        <v>#REF!</v>
      </c>
      <c r="DD50" s="517" t="e">
        <f>#REF!</f>
        <v>#REF!</v>
      </c>
      <c r="DE50" s="521" t="e">
        <f>IF(#REF!="Plato perforado","PP",IF(OR(#REF!=0,#REF!=""),"",#REF!))</f>
        <v>#REF!</v>
      </c>
      <c r="DF50" s="522" t="e">
        <f>#REF!</f>
        <v>#REF!</v>
      </c>
      <c r="DG50" s="523" t="e">
        <f>#REF!</f>
        <v>#REF!</v>
      </c>
      <c r="DH50" s="525"/>
    </row>
    <row r="51" spans="3:112" x14ac:dyDescent="0.3">
      <c r="C51" s="471" t="str">
        <f>IF(OR(Inyección!B51="",Inyección!N51="",Inyección!P51=""),"",INDEX($C$26:$C$29,Inyección!C51)&amp;" de "&amp;TEXT(Inyección!N51,"00")&amp;""""&amp;" × "&amp;TEXT(Inyección!P51,"00")&amp;""""&amp;IF(Inyección!C51=1,", "&amp;Inyección!R51&amp;IF(Inyección!R51=1," vía",IF(OR(Inyección!R51=2,Inyección!R51=3,Inyección!R51=4)," vías","")),""))</f>
        <v/>
      </c>
      <c r="F51"/>
      <c r="H51" s="471">
        <f t="shared" si="7"/>
        <v>0</v>
      </c>
      <c r="I51" s="471" t="str">
        <f t="shared" si="8"/>
        <v>0</v>
      </c>
      <c r="J51" s="471" t="str">
        <f t="shared" si="9"/>
        <v/>
      </c>
      <c r="K51" s="471" t="str">
        <f t="shared" si="9"/>
        <v/>
      </c>
      <c r="L51" s="471" t="str">
        <f t="shared" si="9"/>
        <v/>
      </c>
      <c r="M51"/>
      <c r="N51" s="471">
        <f t="shared" si="1"/>
        <v>0</v>
      </c>
      <c r="O51"/>
      <c r="P51" s="471">
        <f t="shared" si="2"/>
        <v>0</v>
      </c>
      <c r="Q51"/>
      <c r="R51" s="471">
        <f t="shared" si="3"/>
        <v>0</v>
      </c>
      <c r="T51" s="479"/>
      <c r="V51" s="479"/>
      <c r="AA51" s="474"/>
      <c r="AB51" s="496" t="str">
        <f t="shared" si="10"/>
        <v/>
      </c>
      <c r="AC51" s="497" t="str">
        <f t="shared" si="11"/>
        <v/>
      </c>
      <c r="AD51" s="474"/>
      <c r="AE51" s="472" t="e">
        <f>IF(#REF!=2,#REF!,0)</f>
        <v>#REF!</v>
      </c>
      <c r="AF51" s="472" t="e">
        <f>IF(#REF!=2,#REF!,0)</f>
        <v>#REF!</v>
      </c>
      <c r="AG51" s="472" t="e">
        <f t="shared" si="4"/>
        <v>#REF!</v>
      </c>
      <c r="AH51" s="473">
        <v>10</v>
      </c>
      <c r="AI51" s="473">
        <v>14</v>
      </c>
      <c r="AJ51" s="487">
        <f t="shared" si="12"/>
        <v>0.97222222222222232</v>
      </c>
      <c r="AK51" s="488">
        <f t="shared" si="5"/>
        <v>0</v>
      </c>
      <c r="AL51" s="488">
        <f t="shared" si="6"/>
        <v>0.7142857142857143</v>
      </c>
      <c r="AM51" s="472">
        <f t="shared" si="13"/>
        <v>1014</v>
      </c>
      <c r="AN51" s="472" t="e">
        <v>#REF!</v>
      </c>
      <c r="AO51" s="472">
        <v>10</v>
      </c>
      <c r="AP51" s="472">
        <v>20</v>
      </c>
      <c r="AQ51" s="472">
        <v>10</v>
      </c>
      <c r="AR51" s="472">
        <f t="shared" si="14"/>
        <v>1020</v>
      </c>
      <c r="AS51" s="472">
        <f t="shared" si="14"/>
        <v>2010</v>
      </c>
      <c r="AT51" s="498" t="str">
        <f t="shared" si="15"/>
        <v/>
      </c>
      <c r="AU51" s="499" t="str">
        <f t="shared" si="16"/>
        <v/>
      </c>
      <c r="AV51" s="474"/>
      <c r="AW51" s="472" t="e">
        <f>IF(#REF!=3,#REF!,0)</f>
        <v>#REF!</v>
      </c>
      <c r="AX51" s="498" t="str">
        <f t="shared" si="17"/>
        <v/>
      </c>
      <c r="AY51" s="500" t="str">
        <f t="shared" si="18"/>
        <v/>
      </c>
      <c r="AZ51" s="474"/>
      <c r="BA51" s="514" t="e">
        <f>IF(#REF!="","",#REF!)</f>
        <v>#REF!</v>
      </c>
      <c r="BB51" s="526" t="e">
        <f>IF(#REF!="","",#REF!)</f>
        <v>#REF!</v>
      </c>
      <c r="BC51" s="516" t="e">
        <f>#REF!</f>
        <v>#REF!</v>
      </c>
      <c r="BD51" s="517" t="e">
        <f>#REF!</f>
        <v>#REF!</v>
      </c>
      <c r="BE51" s="518" t="e">
        <f>#REF!</f>
        <v>#REF!</v>
      </c>
      <c r="BF51" s="519" t="e">
        <f>#REF!</f>
        <v>#REF!</v>
      </c>
      <c r="BG51" s="520" t="e">
        <f>#REF!</f>
        <v>#REF!</v>
      </c>
      <c r="BH51" s="517" t="e">
        <f>#REF!</f>
        <v>#REF!</v>
      </c>
      <c r="BI51" s="521" t="e">
        <f>IF(#REF!="Plato perforado","PP",IF(OR(#REF!=0,#REF!=""),"",#REF!))</f>
        <v>#REF!</v>
      </c>
      <c r="BJ51" s="522" t="e">
        <f>#REF!</f>
        <v>#REF!</v>
      </c>
      <c r="BK51" s="523" t="e">
        <f>#REF!</f>
        <v>#REF!</v>
      </c>
      <c r="BL51" s="524"/>
      <c r="BM51" s="514" t="e">
        <f>IF(#REF!="","",#REF!)</f>
        <v>#REF!</v>
      </c>
      <c r="BN51" s="521" t="e">
        <f>IF(#REF!="","",#REF!)</f>
        <v>#REF!</v>
      </c>
      <c r="BO51" s="516" t="e">
        <f>#REF!</f>
        <v>#REF!</v>
      </c>
      <c r="BP51" s="517" t="e">
        <f>#REF!</f>
        <v>#REF!</v>
      </c>
      <c r="BQ51" s="518" t="e">
        <f>#REF!</f>
        <v>#REF!</v>
      </c>
      <c r="BR51" s="519" t="e">
        <f>#REF!</f>
        <v>#REF!</v>
      </c>
      <c r="BS51" s="520" t="e">
        <f>#REF!</f>
        <v>#REF!</v>
      </c>
      <c r="BT51" s="517" t="e">
        <f>#REF!</f>
        <v>#REF!</v>
      </c>
      <c r="BU51" s="521" t="e">
        <f>IF(#REF!="Plato perforado","PP",IF(OR(#REF!=0,#REF!=""),"",#REF!))</f>
        <v>#REF!</v>
      </c>
      <c r="BV51" s="522" t="e">
        <f>#REF!</f>
        <v>#REF!</v>
      </c>
      <c r="BW51" s="523" t="e">
        <f>#REF!</f>
        <v>#REF!</v>
      </c>
      <c r="BX51" s="524"/>
      <c r="BY51" s="514" t="e">
        <f>IF(#REF!="","",#REF!)</f>
        <v>#REF!</v>
      </c>
      <c r="BZ51" s="521" t="e">
        <f>IF(#REF!="","",#REF!)</f>
        <v>#REF!</v>
      </c>
      <c r="CA51" s="516" t="e">
        <f>#REF!</f>
        <v>#REF!</v>
      </c>
      <c r="CB51" s="517" t="e">
        <f>#REF!</f>
        <v>#REF!</v>
      </c>
      <c r="CC51" s="518" t="e">
        <f>#REF!</f>
        <v>#REF!</v>
      </c>
      <c r="CD51" s="519" t="e">
        <f>#REF!</f>
        <v>#REF!</v>
      </c>
      <c r="CE51" s="520" t="e">
        <f>#REF!</f>
        <v>#REF!</v>
      </c>
      <c r="CF51" s="517" t="e">
        <f>#REF!</f>
        <v>#REF!</v>
      </c>
      <c r="CG51" s="521" t="e">
        <f>IF(#REF!="Plato perforado","PP",IF(OR(#REF!=0,#REF!=""),"",#REF!))</f>
        <v>#REF!</v>
      </c>
      <c r="CH51" s="522" t="e">
        <f>#REF!</f>
        <v>#REF!</v>
      </c>
      <c r="CI51" s="523" t="e">
        <f>#REF!</f>
        <v>#REF!</v>
      </c>
      <c r="CJ51" s="524"/>
      <c r="CK51" s="514" t="e">
        <f>IF(#REF!="","",#REF!)</f>
        <v>#REF!</v>
      </c>
      <c r="CL51" s="521" t="e">
        <f>IF(#REF!="","",#REF!)</f>
        <v>#REF!</v>
      </c>
      <c r="CM51" s="516" t="e">
        <f>#REF!</f>
        <v>#REF!</v>
      </c>
      <c r="CN51" s="517" t="e">
        <f>#REF!</f>
        <v>#REF!</v>
      </c>
      <c r="CO51" s="518" t="e">
        <f>#REF!</f>
        <v>#REF!</v>
      </c>
      <c r="CP51" s="519" t="e">
        <f>#REF!</f>
        <v>#REF!</v>
      </c>
      <c r="CQ51" s="520" t="e">
        <f>#REF!</f>
        <v>#REF!</v>
      </c>
      <c r="CR51" s="517" t="e">
        <f>#REF!</f>
        <v>#REF!</v>
      </c>
      <c r="CS51" s="521" t="e">
        <f>IF(#REF!="Plato perforado","PP",IF(OR(#REF!=0,#REF!=""),"",#REF!))</f>
        <v>#REF!</v>
      </c>
      <c r="CT51" s="522" t="e">
        <f>#REF!</f>
        <v>#REF!</v>
      </c>
      <c r="CU51" s="523" t="e">
        <f>#REF!</f>
        <v>#REF!</v>
      </c>
      <c r="CV51" s="524"/>
      <c r="CW51" s="514" t="e">
        <f>IF(#REF!="","",#REF!)</f>
        <v>#REF!</v>
      </c>
      <c r="CX51" s="521" t="e">
        <f>IF(#REF!="","",#REF!)</f>
        <v>#REF!</v>
      </c>
      <c r="CY51" s="516" t="e">
        <f>#REF!</f>
        <v>#REF!</v>
      </c>
      <c r="CZ51" s="517" t="e">
        <f>#REF!</f>
        <v>#REF!</v>
      </c>
      <c r="DA51" s="518" t="e">
        <f>#REF!</f>
        <v>#REF!</v>
      </c>
      <c r="DB51" s="519" t="e">
        <f>#REF!</f>
        <v>#REF!</v>
      </c>
      <c r="DC51" s="520" t="e">
        <f>#REF!</f>
        <v>#REF!</v>
      </c>
      <c r="DD51" s="517" t="e">
        <f>#REF!</f>
        <v>#REF!</v>
      </c>
      <c r="DE51" s="521" t="e">
        <f>IF(#REF!="Plato perforado","PP",IF(OR(#REF!=0,#REF!=""),"",#REF!))</f>
        <v>#REF!</v>
      </c>
      <c r="DF51" s="522" t="e">
        <f>#REF!</f>
        <v>#REF!</v>
      </c>
      <c r="DG51" s="523" t="e">
        <f>#REF!</f>
        <v>#REF!</v>
      </c>
      <c r="DH51" s="525"/>
    </row>
    <row r="52" spans="3:112" x14ac:dyDescent="0.3">
      <c r="C52" s="471" t="str">
        <f>IF(OR(Inyección!B52="",Inyección!N52="",Inyección!P52=""),"",INDEX($C$26:$C$29,Inyección!C52)&amp;" de "&amp;TEXT(Inyección!N52,"00")&amp;""""&amp;" × "&amp;TEXT(Inyección!P52,"00")&amp;""""&amp;IF(Inyección!C52=1,", "&amp;Inyección!R52&amp;IF(Inyección!R52=1," vía",IF(OR(Inyección!R52=2,Inyección!R52=3,Inyección!R52=4)," vías","")),""))</f>
        <v/>
      </c>
      <c r="F52"/>
      <c r="H52" s="471">
        <f t="shared" si="7"/>
        <v>0</v>
      </c>
      <c r="I52" s="471" t="str">
        <f t="shared" si="8"/>
        <v>0</v>
      </c>
      <c r="J52" s="471" t="str">
        <f t="shared" si="9"/>
        <v/>
      </c>
      <c r="K52" s="471" t="str">
        <f t="shared" si="9"/>
        <v/>
      </c>
      <c r="L52" s="471" t="str">
        <f t="shared" si="9"/>
        <v/>
      </c>
      <c r="M52"/>
      <c r="N52" s="471">
        <f t="shared" si="1"/>
        <v>0</v>
      </c>
      <c r="O52"/>
      <c r="P52" s="471">
        <f t="shared" si="2"/>
        <v>0</v>
      </c>
      <c r="Q52"/>
      <c r="R52" s="471">
        <f t="shared" si="3"/>
        <v>0</v>
      </c>
      <c r="T52" s="479"/>
      <c r="V52" s="479"/>
      <c r="AA52" s="474"/>
      <c r="AB52" s="496" t="str">
        <f t="shared" si="10"/>
        <v/>
      </c>
      <c r="AC52" s="497" t="str">
        <f t="shared" si="11"/>
        <v/>
      </c>
      <c r="AD52" s="474"/>
      <c r="AE52" s="472" t="e">
        <f>IF(#REF!=2,#REF!,0)</f>
        <v>#REF!</v>
      </c>
      <c r="AF52" s="472" t="e">
        <f>IF(#REF!=2,#REF!,0)</f>
        <v>#REF!</v>
      </c>
      <c r="AG52" s="472" t="e">
        <f t="shared" si="4"/>
        <v>#REF!</v>
      </c>
      <c r="AH52" s="473">
        <v>10</v>
      </c>
      <c r="AI52" s="473">
        <v>16</v>
      </c>
      <c r="AJ52" s="487">
        <f t="shared" si="12"/>
        <v>1.1111111111111112</v>
      </c>
      <c r="AK52" s="488">
        <f t="shared" si="5"/>
        <v>0</v>
      </c>
      <c r="AL52" s="488">
        <f t="shared" si="6"/>
        <v>0.625</v>
      </c>
      <c r="AM52" s="472">
        <f t="shared" si="13"/>
        <v>1016</v>
      </c>
      <c r="AN52" s="472" t="e">
        <v>#REF!</v>
      </c>
      <c r="AO52" s="472">
        <v>10</v>
      </c>
      <c r="AP52" s="472">
        <v>22</v>
      </c>
      <c r="AQ52" s="472">
        <v>10</v>
      </c>
      <c r="AR52" s="472">
        <f t="shared" si="14"/>
        <v>1022</v>
      </c>
      <c r="AS52" s="472">
        <f t="shared" si="14"/>
        <v>2210</v>
      </c>
      <c r="AT52" s="498" t="str">
        <f t="shared" si="15"/>
        <v/>
      </c>
      <c r="AU52" s="499" t="str">
        <f t="shared" si="16"/>
        <v/>
      </c>
      <c r="AV52" s="474"/>
      <c r="AW52" s="472" t="e">
        <f>IF(#REF!=3,#REF!,0)</f>
        <v>#REF!</v>
      </c>
      <c r="AX52" s="498" t="str">
        <f t="shared" si="17"/>
        <v/>
      </c>
      <c r="AY52" s="500" t="str">
        <f t="shared" si="18"/>
        <v/>
      </c>
      <c r="AZ52" s="474"/>
      <c r="BA52" s="514" t="e">
        <f>IF(#REF!="","",#REF!)</f>
        <v>#REF!</v>
      </c>
      <c r="BB52" s="526" t="e">
        <f>IF(#REF!="","",#REF!)</f>
        <v>#REF!</v>
      </c>
      <c r="BC52" s="516" t="e">
        <f>#REF!</f>
        <v>#REF!</v>
      </c>
      <c r="BD52" s="517" t="e">
        <f>#REF!</f>
        <v>#REF!</v>
      </c>
      <c r="BE52" s="518" t="e">
        <f>#REF!</f>
        <v>#REF!</v>
      </c>
      <c r="BF52" s="519" t="e">
        <f>#REF!</f>
        <v>#REF!</v>
      </c>
      <c r="BG52" s="520" t="e">
        <f>#REF!</f>
        <v>#REF!</v>
      </c>
      <c r="BH52" s="517" t="e">
        <f>#REF!</f>
        <v>#REF!</v>
      </c>
      <c r="BI52" s="521" t="e">
        <f>IF(#REF!="Plato perforado","PP",IF(OR(#REF!=0,#REF!=""),"",#REF!))</f>
        <v>#REF!</v>
      </c>
      <c r="BJ52" s="522" t="e">
        <f>#REF!</f>
        <v>#REF!</v>
      </c>
      <c r="BK52" s="523" t="e">
        <f>#REF!</f>
        <v>#REF!</v>
      </c>
      <c r="BL52" s="524"/>
      <c r="BM52" s="514" t="e">
        <f>IF(#REF!="","",#REF!)</f>
        <v>#REF!</v>
      </c>
      <c r="BN52" s="521" t="e">
        <f>IF(#REF!="","",#REF!)</f>
        <v>#REF!</v>
      </c>
      <c r="BO52" s="516" t="e">
        <f>#REF!</f>
        <v>#REF!</v>
      </c>
      <c r="BP52" s="517" t="e">
        <f>#REF!</f>
        <v>#REF!</v>
      </c>
      <c r="BQ52" s="518" t="e">
        <f>#REF!</f>
        <v>#REF!</v>
      </c>
      <c r="BR52" s="519" t="e">
        <f>#REF!</f>
        <v>#REF!</v>
      </c>
      <c r="BS52" s="520" t="e">
        <f>#REF!</f>
        <v>#REF!</v>
      </c>
      <c r="BT52" s="517" t="e">
        <f>#REF!</f>
        <v>#REF!</v>
      </c>
      <c r="BU52" s="521" t="e">
        <f>IF(#REF!="Plato perforado","PP",IF(OR(#REF!=0,#REF!=""),"",#REF!))</f>
        <v>#REF!</v>
      </c>
      <c r="BV52" s="522" t="e">
        <f>#REF!</f>
        <v>#REF!</v>
      </c>
      <c r="BW52" s="523" t="e">
        <f>#REF!</f>
        <v>#REF!</v>
      </c>
      <c r="BX52" s="524"/>
      <c r="BY52" s="514" t="e">
        <f>IF(#REF!="","",#REF!)</f>
        <v>#REF!</v>
      </c>
      <c r="BZ52" s="521" t="e">
        <f>IF(#REF!="","",#REF!)</f>
        <v>#REF!</v>
      </c>
      <c r="CA52" s="516" t="e">
        <f>#REF!</f>
        <v>#REF!</v>
      </c>
      <c r="CB52" s="517" t="e">
        <f>#REF!</f>
        <v>#REF!</v>
      </c>
      <c r="CC52" s="518" t="e">
        <f>#REF!</f>
        <v>#REF!</v>
      </c>
      <c r="CD52" s="519" t="e">
        <f>#REF!</f>
        <v>#REF!</v>
      </c>
      <c r="CE52" s="520" t="e">
        <f>#REF!</f>
        <v>#REF!</v>
      </c>
      <c r="CF52" s="517" t="e">
        <f>#REF!</f>
        <v>#REF!</v>
      </c>
      <c r="CG52" s="521" t="e">
        <f>IF(#REF!="Plato perforado","PP",IF(OR(#REF!=0,#REF!=""),"",#REF!))</f>
        <v>#REF!</v>
      </c>
      <c r="CH52" s="522" t="e">
        <f>#REF!</f>
        <v>#REF!</v>
      </c>
      <c r="CI52" s="523" t="e">
        <f>#REF!</f>
        <v>#REF!</v>
      </c>
      <c r="CJ52" s="524"/>
      <c r="CK52" s="514" t="e">
        <f>IF(#REF!="","",#REF!)</f>
        <v>#REF!</v>
      </c>
      <c r="CL52" s="521" t="e">
        <f>IF(#REF!="","",#REF!)</f>
        <v>#REF!</v>
      </c>
      <c r="CM52" s="516" t="e">
        <f>#REF!</f>
        <v>#REF!</v>
      </c>
      <c r="CN52" s="517" t="e">
        <f>#REF!</f>
        <v>#REF!</v>
      </c>
      <c r="CO52" s="518" t="e">
        <f>#REF!</f>
        <v>#REF!</v>
      </c>
      <c r="CP52" s="519" t="e">
        <f>#REF!</f>
        <v>#REF!</v>
      </c>
      <c r="CQ52" s="520" t="e">
        <f>#REF!</f>
        <v>#REF!</v>
      </c>
      <c r="CR52" s="517" t="e">
        <f>#REF!</f>
        <v>#REF!</v>
      </c>
      <c r="CS52" s="521" t="e">
        <f>IF(#REF!="Plato perforado","PP",IF(OR(#REF!=0,#REF!=""),"",#REF!))</f>
        <v>#REF!</v>
      </c>
      <c r="CT52" s="522" t="e">
        <f>#REF!</f>
        <v>#REF!</v>
      </c>
      <c r="CU52" s="523" t="e">
        <f>#REF!</f>
        <v>#REF!</v>
      </c>
      <c r="CV52" s="524"/>
      <c r="CW52" s="514" t="e">
        <f>IF(#REF!="","",#REF!)</f>
        <v>#REF!</v>
      </c>
      <c r="CX52" s="521" t="e">
        <f>IF(#REF!="","",#REF!)</f>
        <v>#REF!</v>
      </c>
      <c r="CY52" s="516" t="e">
        <f>#REF!</f>
        <v>#REF!</v>
      </c>
      <c r="CZ52" s="517" t="e">
        <f>#REF!</f>
        <v>#REF!</v>
      </c>
      <c r="DA52" s="518" t="e">
        <f>#REF!</f>
        <v>#REF!</v>
      </c>
      <c r="DB52" s="519" t="e">
        <f>#REF!</f>
        <v>#REF!</v>
      </c>
      <c r="DC52" s="520" t="e">
        <f>#REF!</f>
        <v>#REF!</v>
      </c>
      <c r="DD52" s="517" t="e">
        <f>#REF!</f>
        <v>#REF!</v>
      </c>
      <c r="DE52" s="521" t="e">
        <f>IF(#REF!="Plato perforado","PP",IF(OR(#REF!=0,#REF!=""),"",#REF!))</f>
        <v>#REF!</v>
      </c>
      <c r="DF52" s="522" t="e">
        <f>#REF!</f>
        <v>#REF!</v>
      </c>
      <c r="DG52" s="523" t="e">
        <f>#REF!</f>
        <v>#REF!</v>
      </c>
      <c r="DH52" s="525"/>
    </row>
    <row r="53" spans="3:112" x14ac:dyDescent="0.3">
      <c r="C53" s="471" t="str">
        <f>IF(OR(Inyección!B53="",Inyección!N53="",Inyección!P53=""),"",INDEX($C$26:$C$29,Inyección!C53)&amp;" de "&amp;TEXT(Inyección!N53,"00")&amp;""""&amp;" × "&amp;TEXT(Inyección!P53,"00")&amp;""""&amp;IF(Inyección!C53=1,", "&amp;Inyección!R53&amp;IF(Inyección!R53=1," vía",IF(OR(Inyección!R53=2,Inyección!R53=3,Inyección!R53=4)," vías","")),""))</f>
        <v/>
      </c>
      <c r="F53"/>
      <c r="H53" s="471">
        <f t="shared" si="7"/>
        <v>0</v>
      </c>
      <c r="I53" s="471" t="str">
        <f t="shared" si="8"/>
        <v>0</v>
      </c>
      <c r="J53" s="471" t="str">
        <f t="shared" si="9"/>
        <v/>
      </c>
      <c r="K53" s="471" t="str">
        <f t="shared" si="9"/>
        <v/>
      </c>
      <c r="L53" s="471" t="str">
        <f t="shared" si="9"/>
        <v/>
      </c>
      <c r="M53"/>
      <c r="N53" s="471">
        <f t="shared" si="1"/>
        <v>0</v>
      </c>
      <c r="O53"/>
      <c r="P53" s="471">
        <f t="shared" si="2"/>
        <v>0</v>
      </c>
      <c r="Q53"/>
      <c r="R53" s="471">
        <f t="shared" si="3"/>
        <v>0</v>
      </c>
      <c r="T53" s="479"/>
      <c r="V53" s="479"/>
      <c r="AA53" s="474"/>
      <c r="AB53" s="496" t="str">
        <f t="shared" si="10"/>
        <v/>
      </c>
      <c r="AC53" s="497" t="str">
        <f t="shared" si="11"/>
        <v/>
      </c>
      <c r="AD53" s="474"/>
      <c r="AE53" s="472" t="e">
        <f>IF(#REF!=2,#REF!,0)</f>
        <v>#REF!</v>
      </c>
      <c r="AF53" s="472" t="e">
        <f>IF(#REF!=2,#REF!,0)</f>
        <v>#REF!</v>
      </c>
      <c r="AG53" s="472" t="e">
        <f t="shared" si="4"/>
        <v>#REF!</v>
      </c>
      <c r="AH53" s="473">
        <v>10</v>
      </c>
      <c r="AI53" s="473">
        <v>18</v>
      </c>
      <c r="AJ53" s="487">
        <f t="shared" si="12"/>
        <v>1.25</v>
      </c>
      <c r="AK53" s="488">
        <f t="shared" si="5"/>
        <v>0</v>
      </c>
      <c r="AL53" s="488">
        <f t="shared" si="6"/>
        <v>0.55555555555555558</v>
      </c>
      <c r="AM53" s="472">
        <f t="shared" si="13"/>
        <v>1018</v>
      </c>
      <c r="AN53" s="472" t="e">
        <v>#REF!</v>
      </c>
      <c r="AO53" s="472">
        <v>10</v>
      </c>
      <c r="AP53" s="472">
        <v>24</v>
      </c>
      <c r="AQ53" s="472">
        <v>10</v>
      </c>
      <c r="AR53" s="472">
        <f t="shared" si="14"/>
        <v>1024</v>
      </c>
      <c r="AS53" s="472">
        <f t="shared" si="14"/>
        <v>2410</v>
      </c>
      <c r="AT53" s="498" t="str">
        <f t="shared" si="15"/>
        <v/>
      </c>
      <c r="AU53" s="499" t="str">
        <f t="shared" si="16"/>
        <v/>
      </c>
      <c r="AV53" s="474"/>
      <c r="AW53" s="472" t="e">
        <f>IF(#REF!=3,#REF!,0)</f>
        <v>#REF!</v>
      </c>
      <c r="AX53" s="498" t="str">
        <f t="shared" si="17"/>
        <v/>
      </c>
      <c r="AY53" s="500" t="str">
        <f t="shared" si="18"/>
        <v/>
      </c>
      <c r="AZ53" s="474"/>
      <c r="BA53" s="514" t="e">
        <f>IF(#REF!="","",#REF!)</f>
        <v>#REF!</v>
      </c>
      <c r="BB53" s="526" t="e">
        <f>IF(#REF!="","",#REF!)</f>
        <v>#REF!</v>
      </c>
      <c r="BC53" s="516" t="e">
        <f>#REF!</f>
        <v>#REF!</v>
      </c>
      <c r="BD53" s="517" t="e">
        <f>#REF!</f>
        <v>#REF!</v>
      </c>
      <c r="BE53" s="518" t="e">
        <f>#REF!</f>
        <v>#REF!</v>
      </c>
      <c r="BF53" s="519" t="e">
        <f>#REF!</f>
        <v>#REF!</v>
      </c>
      <c r="BG53" s="520" t="e">
        <f>#REF!</f>
        <v>#REF!</v>
      </c>
      <c r="BH53" s="517" t="e">
        <f>#REF!</f>
        <v>#REF!</v>
      </c>
      <c r="BI53" s="521" t="e">
        <f>IF(#REF!="Plato perforado","PP",IF(OR(#REF!=0,#REF!=""),"",#REF!))</f>
        <v>#REF!</v>
      </c>
      <c r="BJ53" s="522" t="e">
        <f>#REF!</f>
        <v>#REF!</v>
      </c>
      <c r="BK53" s="523" t="e">
        <f>#REF!</f>
        <v>#REF!</v>
      </c>
      <c r="BL53" s="524"/>
      <c r="BM53" s="514" t="e">
        <f>IF(#REF!="","",#REF!)</f>
        <v>#REF!</v>
      </c>
      <c r="BN53" s="521" t="e">
        <f>IF(#REF!="","",#REF!)</f>
        <v>#REF!</v>
      </c>
      <c r="BO53" s="516" t="e">
        <f>#REF!</f>
        <v>#REF!</v>
      </c>
      <c r="BP53" s="517" t="e">
        <f>#REF!</f>
        <v>#REF!</v>
      </c>
      <c r="BQ53" s="518" t="e">
        <f>#REF!</f>
        <v>#REF!</v>
      </c>
      <c r="BR53" s="519" t="e">
        <f>#REF!</f>
        <v>#REF!</v>
      </c>
      <c r="BS53" s="520" t="e">
        <f>#REF!</f>
        <v>#REF!</v>
      </c>
      <c r="BT53" s="517" t="e">
        <f>#REF!</f>
        <v>#REF!</v>
      </c>
      <c r="BU53" s="521" t="e">
        <f>IF(#REF!="Plato perforado","PP",IF(OR(#REF!=0,#REF!=""),"",#REF!))</f>
        <v>#REF!</v>
      </c>
      <c r="BV53" s="522" t="e">
        <f>#REF!</f>
        <v>#REF!</v>
      </c>
      <c r="BW53" s="523" t="e">
        <f>#REF!</f>
        <v>#REF!</v>
      </c>
      <c r="BX53" s="524"/>
      <c r="BY53" s="514" t="e">
        <f>IF(#REF!="","",#REF!)</f>
        <v>#REF!</v>
      </c>
      <c r="BZ53" s="521" t="e">
        <f>IF(#REF!="","",#REF!)</f>
        <v>#REF!</v>
      </c>
      <c r="CA53" s="516" t="e">
        <f>#REF!</f>
        <v>#REF!</v>
      </c>
      <c r="CB53" s="517" t="e">
        <f>#REF!</f>
        <v>#REF!</v>
      </c>
      <c r="CC53" s="518" t="e">
        <f>#REF!</f>
        <v>#REF!</v>
      </c>
      <c r="CD53" s="519" t="e">
        <f>#REF!</f>
        <v>#REF!</v>
      </c>
      <c r="CE53" s="520" t="e">
        <f>#REF!</f>
        <v>#REF!</v>
      </c>
      <c r="CF53" s="517" t="e">
        <f>#REF!</f>
        <v>#REF!</v>
      </c>
      <c r="CG53" s="521" t="e">
        <f>IF(#REF!="Plato perforado","PP",IF(OR(#REF!=0,#REF!=""),"",#REF!))</f>
        <v>#REF!</v>
      </c>
      <c r="CH53" s="522" t="e">
        <f>#REF!</f>
        <v>#REF!</v>
      </c>
      <c r="CI53" s="523" t="e">
        <f>#REF!</f>
        <v>#REF!</v>
      </c>
      <c r="CJ53" s="524"/>
      <c r="CK53" s="514" t="e">
        <f>IF(#REF!="","",#REF!)</f>
        <v>#REF!</v>
      </c>
      <c r="CL53" s="521" t="e">
        <f>IF(#REF!="","",#REF!)</f>
        <v>#REF!</v>
      </c>
      <c r="CM53" s="516" t="e">
        <f>#REF!</f>
        <v>#REF!</v>
      </c>
      <c r="CN53" s="517" t="e">
        <f>#REF!</f>
        <v>#REF!</v>
      </c>
      <c r="CO53" s="518" t="e">
        <f>#REF!</f>
        <v>#REF!</v>
      </c>
      <c r="CP53" s="519" t="e">
        <f>#REF!</f>
        <v>#REF!</v>
      </c>
      <c r="CQ53" s="520" t="e">
        <f>#REF!</f>
        <v>#REF!</v>
      </c>
      <c r="CR53" s="517" t="e">
        <f>#REF!</f>
        <v>#REF!</v>
      </c>
      <c r="CS53" s="521" t="e">
        <f>IF(#REF!="Plato perforado","PP",IF(OR(#REF!=0,#REF!=""),"",#REF!))</f>
        <v>#REF!</v>
      </c>
      <c r="CT53" s="522" t="e">
        <f>#REF!</f>
        <v>#REF!</v>
      </c>
      <c r="CU53" s="523" t="e">
        <f>#REF!</f>
        <v>#REF!</v>
      </c>
      <c r="CV53" s="524"/>
      <c r="CW53" s="514" t="e">
        <f>IF(#REF!="","",#REF!)</f>
        <v>#REF!</v>
      </c>
      <c r="CX53" s="521" t="e">
        <f>IF(#REF!="","",#REF!)</f>
        <v>#REF!</v>
      </c>
      <c r="CY53" s="516" t="e">
        <f>#REF!</f>
        <v>#REF!</v>
      </c>
      <c r="CZ53" s="517" t="e">
        <f>#REF!</f>
        <v>#REF!</v>
      </c>
      <c r="DA53" s="518" t="e">
        <f>#REF!</f>
        <v>#REF!</v>
      </c>
      <c r="DB53" s="519" t="e">
        <f>#REF!</f>
        <v>#REF!</v>
      </c>
      <c r="DC53" s="520" t="e">
        <f>#REF!</f>
        <v>#REF!</v>
      </c>
      <c r="DD53" s="517" t="e">
        <f>#REF!</f>
        <v>#REF!</v>
      </c>
      <c r="DE53" s="521" t="e">
        <f>IF(#REF!="Plato perforado","PP",IF(OR(#REF!=0,#REF!=""),"",#REF!))</f>
        <v>#REF!</v>
      </c>
      <c r="DF53" s="522" t="e">
        <f>#REF!</f>
        <v>#REF!</v>
      </c>
      <c r="DG53" s="523" t="e">
        <f>#REF!</f>
        <v>#REF!</v>
      </c>
      <c r="DH53" s="525"/>
    </row>
    <row r="54" spans="3:112" x14ac:dyDescent="0.3">
      <c r="C54" s="471" t="str">
        <f>IF(OR(Inyección!B54="",Inyección!N54="",Inyección!P54=""),"",INDEX($C$26:$C$29,Inyección!C54)&amp;" de "&amp;TEXT(Inyección!N54,"00")&amp;""""&amp;" × "&amp;TEXT(Inyección!P54,"00")&amp;""""&amp;IF(Inyección!C54=1,", "&amp;Inyección!R54&amp;IF(Inyección!R54=1," vía",IF(OR(Inyección!R54=2,Inyección!R54=3,Inyección!R54=4)," vías","")),""))</f>
        <v/>
      </c>
      <c r="F54"/>
      <c r="H54" s="471">
        <f t="shared" si="7"/>
        <v>0</v>
      </c>
      <c r="I54" s="471" t="str">
        <f t="shared" si="8"/>
        <v>0</v>
      </c>
      <c r="J54" s="471" t="str">
        <f t="shared" si="9"/>
        <v/>
      </c>
      <c r="K54" s="471" t="str">
        <f t="shared" si="9"/>
        <v/>
      </c>
      <c r="L54" s="471" t="str">
        <f t="shared" si="9"/>
        <v/>
      </c>
      <c r="M54"/>
      <c r="N54" s="471">
        <f t="shared" si="1"/>
        <v>0</v>
      </c>
      <c r="O54"/>
      <c r="P54" s="471">
        <f t="shared" si="2"/>
        <v>0</v>
      </c>
      <c r="Q54"/>
      <c r="R54" s="471">
        <f t="shared" si="3"/>
        <v>0</v>
      </c>
      <c r="T54" s="479"/>
      <c r="V54" s="479"/>
      <c r="AA54" s="474"/>
      <c r="AB54" s="496" t="str">
        <f t="shared" si="10"/>
        <v/>
      </c>
      <c r="AC54" s="497" t="str">
        <f t="shared" si="11"/>
        <v/>
      </c>
      <c r="AD54" s="474"/>
      <c r="AE54" s="472" t="e">
        <f>IF(#REF!=2,#REF!,0)</f>
        <v>#REF!</v>
      </c>
      <c r="AF54" s="472" t="e">
        <f>IF(#REF!=2,#REF!,0)</f>
        <v>#REF!</v>
      </c>
      <c r="AG54" s="472" t="e">
        <f t="shared" si="4"/>
        <v>#REF!</v>
      </c>
      <c r="AH54" s="473">
        <v>10</v>
      </c>
      <c r="AI54" s="473">
        <v>20</v>
      </c>
      <c r="AJ54" s="487">
        <f t="shared" si="12"/>
        <v>1.3888888888888891</v>
      </c>
      <c r="AK54" s="488">
        <f t="shared" si="5"/>
        <v>0</v>
      </c>
      <c r="AL54" s="488">
        <f t="shared" si="6"/>
        <v>0.5</v>
      </c>
      <c r="AM54" s="472">
        <f t="shared" si="13"/>
        <v>1020</v>
      </c>
      <c r="AN54" s="472" t="e">
        <v>#REF!</v>
      </c>
      <c r="AO54" s="472">
        <v>12</v>
      </c>
      <c r="AP54" s="472">
        <v>12</v>
      </c>
      <c r="AQ54" s="472">
        <v>12</v>
      </c>
      <c r="AR54" s="472">
        <f t="shared" si="14"/>
        <v>1212</v>
      </c>
      <c r="AS54" s="472">
        <f t="shared" si="14"/>
        <v>1212</v>
      </c>
      <c r="AT54" s="498" t="str">
        <f t="shared" si="15"/>
        <v/>
      </c>
      <c r="AU54" s="499" t="str">
        <f t="shared" si="16"/>
        <v/>
      </c>
      <c r="AV54" s="474"/>
      <c r="AW54" s="472" t="e">
        <f>IF(#REF!=3,#REF!,0)</f>
        <v>#REF!</v>
      </c>
      <c r="AX54" s="498" t="str">
        <f t="shared" si="17"/>
        <v/>
      </c>
      <c r="AY54" s="500" t="str">
        <f t="shared" si="18"/>
        <v/>
      </c>
      <c r="AZ54" s="474"/>
      <c r="BA54" s="514" t="e">
        <f>IF(#REF!="","",#REF!)</f>
        <v>#REF!</v>
      </c>
      <c r="BB54" s="526" t="e">
        <f>IF(#REF!="","",#REF!)</f>
        <v>#REF!</v>
      </c>
      <c r="BC54" s="516" t="e">
        <f>#REF!</f>
        <v>#REF!</v>
      </c>
      <c r="BD54" s="517" t="e">
        <f>#REF!</f>
        <v>#REF!</v>
      </c>
      <c r="BE54" s="518" t="e">
        <f>#REF!</f>
        <v>#REF!</v>
      </c>
      <c r="BF54" s="519" t="e">
        <f>#REF!</f>
        <v>#REF!</v>
      </c>
      <c r="BG54" s="520" t="e">
        <f>#REF!</f>
        <v>#REF!</v>
      </c>
      <c r="BH54" s="517" t="e">
        <f>#REF!</f>
        <v>#REF!</v>
      </c>
      <c r="BI54" s="521" t="e">
        <f>IF(#REF!="Plato perforado","PP",IF(OR(#REF!=0,#REF!=""),"",#REF!))</f>
        <v>#REF!</v>
      </c>
      <c r="BJ54" s="522" t="e">
        <f>#REF!</f>
        <v>#REF!</v>
      </c>
      <c r="BK54" s="523" t="e">
        <f>#REF!</f>
        <v>#REF!</v>
      </c>
      <c r="BL54" s="524"/>
      <c r="BM54" s="514" t="e">
        <f>IF(#REF!="","",#REF!)</f>
        <v>#REF!</v>
      </c>
      <c r="BN54" s="521" t="e">
        <f>IF(#REF!="","",#REF!)</f>
        <v>#REF!</v>
      </c>
      <c r="BO54" s="516" t="e">
        <f>#REF!</f>
        <v>#REF!</v>
      </c>
      <c r="BP54" s="517" t="e">
        <f>#REF!</f>
        <v>#REF!</v>
      </c>
      <c r="BQ54" s="518" t="e">
        <f>#REF!</f>
        <v>#REF!</v>
      </c>
      <c r="BR54" s="519" t="e">
        <f>#REF!</f>
        <v>#REF!</v>
      </c>
      <c r="BS54" s="520" t="e">
        <f>#REF!</f>
        <v>#REF!</v>
      </c>
      <c r="BT54" s="517" t="e">
        <f>#REF!</f>
        <v>#REF!</v>
      </c>
      <c r="BU54" s="521" t="e">
        <f>IF(#REF!="Plato perforado","PP",IF(OR(#REF!=0,#REF!=""),"",#REF!))</f>
        <v>#REF!</v>
      </c>
      <c r="BV54" s="522" t="e">
        <f>#REF!</f>
        <v>#REF!</v>
      </c>
      <c r="BW54" s="523" t="e">
        <f>#REF!</f>
        <v>#REF!</v>
      </c>
      <c r="BX54" s="524"/>
      <c r="BY54" s="514" t="e">
        <f>IF(#REF!="","",#REF!)</f>
        <v>#REF!</v>
      </c>
      <c r="BZ54" s="521" t="e">
        <f>IF(#REF!="","",#REF!)</f>
        <v>#REF!</v>
      </c>
      <c r="CA54" s="516" t="e">
        <f>#REF!</f>
        <v>#REF!</v>
      </c>
      <c r="CB54" s="517" t="e">
        <f>#REF!</f>
        <v>#REF!</v>
      </c>
      <c r="CC54" s="518" t="e">
        <f>#REF!</f>
        <v>#REF!</v>
      </c>
      <c r="CD54" s="519" t="e">
        <f>#REF!</f>
        <v>#REF!</v>
      </c>
      <c r="CE54" s="520" t="e">
        <f>#REF!</f>
        <v>#REF!</v>
      </c>
      <c r="CF54" s="517" t="e">
        <f>#REF!</f>
        <v>#REF!</v>
      </c>
      <c r="CG54" s="521" t="e">
        <f>IF(#REF!="Plato perforado","PP",IF(OR(#REF!=0,#REF!=""),"",#REF!))</f>
        <v>#REF!</v>
      </c>
      <c r="CH54" s="522" t="e">
        <f>#REF!</f>
        <v>#REF!</v>
      </c>
      <c r="CI54" s="523" t="e">
        <f>#REF!</f>
        <v>#REF!</v>
      </c>
      <c r="CJ54" s="524"/>
      <c r="CK54" s="514" t="e">
        <f>IF(#REF!="","",#REF!)</f>
        <v>#REF!</v>
      </c>
      <c r="CL54" s="521" t="e">
        <f>IF(#REF!="","",#REF!)</f>
        <v>#REF!</v>
      </c>
      <c r="CM54" s="516" t="e">
        <f>#REF!</f>
        <v>#REF!</v>
      </c>
      <c r="CN54" s="517" t="e">
        <f>#REF!</f>
        <v>#REF!</v>
      </c>
      <c r="CO54" s="518" t="e">
        <f>#REF!</f>
        <v>#REF!</v>
      </c>
      <c r="CP54" s="519" t="e">
        <f>#REF!</f>
        <v>#REF!</v>
      </c>
      <c r="CQ54" s="520" t="e">
        <f>#REF!</f>
        <v>#REF!</v>
      </c>
      <c r="CR54" s="517" t="e">
        <f>#REF!</f>
        <v>#REF!</v>
      </c>
      <c r="CS54" s="521" t="e">
        <f>IF(#REF!="Plato perforado","PP",IF(OR(#REF!=0,#REF!=""),"",#REF!))</f>
        <v>#REF!</v>
      </c>
      <c r="CT54" s="522" t="e">
        <f>#REF!</f>
        <v>#REF!</v>
      </c>
      <c r="CU54" s="523" t="e">
        <f>#REF!</f>
        <v>#REF!</v>
      </c>
      <c r="CV54" s="524"/>
      <c r="CW54" s="514" t="e">
        <f>IF(#REF!="","",#REF!)</f>
        <v>#REF!</v>
      </c>
      <c r="CX54" s="521" t="e">
        <f>IF(#REF!="","",#REF!)</f>
        <v>#REF!</v>
      </c>
      <c r="CY54" s="516" t="e">
        <f>#REF!</f>
        <v>#REF!</v>
      </c>
      <c r="CZ54" s="517" t="e">
        <f>#REF!</f>
        <v>#REF!</v>
      </c>
      <c r="DA54" s="518" t="e">
        <f>#REF!</f>
        <v>#REF!</v>
      </c>
      <c r="DB54" s="519" t="e">
        <f>#REF!</f>
        <v>#REF!</v>
      </c>
      <c r="DC54" s="520" t="e">
        <f>#REF!</f>
        <v>#REF!</v>
      </c>
      <c r="DD54" s="517" t="e">
        <f>#REF!</f>
        <v>#REF!</v>
      </c>
      <c r="DE54" s="521" t="e">
        <f>IF(#REF!="Plato perforado","PP",IF(OR(#REF!=0,#REF!=""),"",#REF!))</f>
        <v>#REF!</v>
      </c>
      <c r="DF54" s="522" t="e">
        <f>#REF!</f>
        <v>#REF!</v>
      </c>
      <c r="DG54" s="523" t="e">
        <f>#REF!</f>
        <v>#REF!</v>
      </c>
      <c r="DH54" s="525"/>
    </row>
    <row r="55" spans="3:112" x14ac:dyDescent="0.3">
      <c r="C55" s="471" t="str">
        <f>IF(OR(Inyección!B55="",Inyección!N55="",Inyección!P55=""),"",INDEX($C$26:$C$29,Inyección!C55)&amp;" de "&amp;TEXT(Inyección!N55,"00")&amp;""""&amp;" × "&amp;TEXT(Inyección!P55,"00")&amp;""""&amp;IF(Inyección!C55=1,", "&amp;Inyección!R55&amp;IF(Inyección!R55=1," vía",IF(OR(Inyección!R55=2,Inyección!R55=3,Inyección!R55=4)," vías","")),""))</f>
        <v/>
      </c>
      <c r="F55"/>
      <c r="H55" s="471">
        <f t="shared" si="7"/>
        <v>0</v>
      </c>
      <c r="I55" s="471" t="str">
        <f t="shared" si="8"/>
        <v>0</v>
      </c>
      <c r="J55" s="471" t="str">
        <f t="shared" si="9"/>
        <v/>
      </c>
      <c r="K55" s="471" t="str">
        <f t="shared" si="9"/>
        <v/>
      </c>
      <c r="L55" s="471" t="str">
        <f t="shared" si="9"/>
        <v/>
      </c>
      <c r="M55"/>
      <c r="N55" s="471">
        <f t="shared" si="1"/>
        <v>0</v>
      </c>
      <c r="O55"/>
      <c r="P55" s="471">
        <f t="shared" si="2"/>
        <v>0</v>
      </c>
      <c r="Q55"/>
      <c r="R55" s="471">
        <f t="shared" si="3"/>
        <v>0</v>
      </c>
      <c r="T55" s="479"/>
      <c r="V55" s="479"/>
      <c r="AA55" s="474"/>
      <c r="AB55" s="496" t="str">
        <f t="shared" si="10"/>
        <v/>
      </c>
      <c r="AC55" s="497" t="str">
        <f t="shared" si="11"/>
        <v/>
      </c>
      <c r="AD55" s="474"/>
      <c r="AE55" s="472" t="e">
        <f>IF(#REF!=2,#REF!,0)</f>
        <v>#REF!</v>
      </c>
      <c r="AF55" s="472" t="e">
        <f>IF(#REF!=2,#REF!,0)</f>
        <v>#REF!</v>
      </c>
      <c r="AG55" s="472" t="e">
        <f t="shared" si="4"/>
        <v>#REF!</v>
      </c>
      <c r="AH55" s="473">
        <v>10</v>
      </c>
      <c r="AI55" s="473">
        <v>22</v>
      </c>
      <c r="AJ55" s="487">
        <f t="shared" si="12"/>
        <v>1.5277777777777777</v>
      </c>
      <c r="AK55" s="488">
        <f t="shared" si="5"/>
        <v>0</v>
      </c>
      <c r="AL55" s="488">
        <f t="shared" si="6"/>
        <v>0.45454545454545453</v>
      </c>
      <c r="AM55" s="472">
        <f t="shared" si="13"/>
        <v>1022</v>
      </c>
      <c r="AN55" s="472" t="e">
        <v>#REF!</v>
      </c>
      <c r="AO55" s="472">
        <v>12</v>
      </c>
      <c r="AP55" s="472">
        <v>14</v>
      </c>
      <c r="AQ55" s="472">
        <v>12</v>
      </c>
      <c r="AR55" s="472">
        <f t="shared" si="14"/>
        <v>1214</v>
      </c>
      <c r="AS55" s="472">
        <f t="shared" si="14"/>
        <v>1412</v>
      </c>
      <c r="AT55" s="498" t="str">
        <f t="shared" si="15"/>
        <v/>
      </c>
      <c r="AU55" s="499" t="str">
        <f t="shared" si="16"/>
        <v/>
      </c>
      <c r="AV55" s="474"/>
      <c r="AW55" s="472" t="e">
        <f>IF(#REF!=3,#REF!,0)</f>
        <v>#REF!</v>
      </c>
      <c r="AX55" s="498" t="str">
        <f t="shared" si="17"/>
        <v/>
      </c>
      <c r="AY55" s="500" t="str">
        <f t="shared" si="18"/>
        <v/>
      </c>
      <c r="AZ55" s="474"/>
      <c r="BA55" s="514" t="e">
        <f>IF(#REF!="","",#REF!)</f>
        <v>#REF!</v>
      </c>
      <c r="BB55" s="526" t="e">
        <f>IF(#REF!="","",#REF!)</f>
        <v>#REF!</v>
      </c>
      <c r="BC55" s="516" t="e">
        <f>#REF!</f>
        <v>#REF!</v>
      </c>
      <c r="BD55" s="517" t="e">
        <f>#REF!</f>
        <v>#REF!</v>
      </c>
      <c r="BE55" s="518" t="e">
        <f>#REF!</f>
        <v>#REF!</v>
      </c>
      <c r="BF55" s="519" t="e">
        <f>#REF!</f>
        <v>#REF!</v>
      </c>
      <c r="BG55" s="520" t="e">
        <f>#REF!</f>
        <v>#REF!</v>
      </c>
      <c r="BH55" s="517" t="e">
        <f>#REF!</f>
        <v>#REF!</v>
      </c>
      <c r="BI55" s="521" t="e">
        <f>IF(#REF!="Plato perforado","PP",IF(OR(#REF!=0,#REF!=""),"",#REF!))</f>
        <v>#REF!</v>
      </c>
      <c r="BJ55" s="522" t="e">
        <f>#REF!</f>
        <v>#REF!</v>
      </c>
      <c r="BK55" s="523" t="e">
        <f>#REF!</f>
        <v>#REF!</v>
      </c>
      <c r="BL55" s="524"/>
      <c r="BM55" s="514" t="e">
        <f>IF(#REF!="","",#REF!)</f>
        <v>#REF!</v>
      </c>
      <c r="BN55" s="521" t="e">
        <f>IF(#REF!="","",#REF!)</f>
        <v>#REF!</v>
      </c>
      <c r="BO55" s="516" t="e">
        <f>#REF!</f>
        <v>#REF!</v>
      </c>
      <c r="BP55" s="517" t="e">
        <f>#REF!</f>
        <v>#REF!</v>
      </c>
      <c r="BQ55" s="518" t="e">
        <f>#REF!</f>
        <v>#REF!</v>
      </c>
      <c r="BR55" s="519" t="e">
        <f>#REF!</f>
        <v>#REF!</v>
      </c>
      <c r="BS55" s="520" t="e">
        <f>#REF!</f>
        <v>#REF!</v>
      </c>
      <c r="BT55" s="517" t="e">
        <f>#REF!</f>
        <v>#REF!</v>
      </c>
      <c r="BU55" s="521" t="e">
        <f>IF(#REF!="Plato perforado","PP",IF(OR(#REF!=0,#REF!=""),"",#REF!))</f>
        <v>#REF!</v>
      </c>
      <c r="BV55" s="522" t="e">
        <f>#REF!</f>
        <v>#REF!</v>
      </c>
      <c r="BW55" s="523" t="e">
        <f>#REF!</f>
        <v>#REF!</v>
      </c>
      <c r="BX55" s="524"/>
      <c r="BY55" s="514" t="e">
        <f>IF(#REF!="","",#REF!)</f>
        <v>#REF!</v>
      </c>
      <c r="BZ55" s="521" t="e">
        <f>IF(#REF!="","",#REF!)</f>
        <v>#REF!</v>
      </c>
      <c r="CA55" s="516" t="e">
        <f>#REF!</f>
        <v>#REF!</v>
      </c>
      <c r="CB55" s="517" t="e">
        <f>#REF!</f>
        <v>#REF!</v>
      </c>
      <c r="CC55" s="518" t="e">
        <f>#REF!</f>
        <v>#REF!</v>
      </c>
      <c r="CD55" s="519" t="e">
        <f>#REF!</f>
        <v>#REF!</v>
      </c>
      <c r="CE55" s="520" t="e">
        <f>#REF!</f>
        <v>#REF!</v>
      </c>
      <c r="CF55" s="517" t="e">
        <f>#REF!</f>
        <v>#REF!</v>
      </c>
      <c r="CG55" s="521" t="e">
        <f>IF(#REF!="Plato perforado","PP",IF(OR(#REF!=0,#REF!=""),"",#REF!))</f>
        <v>#REF!</v>
      </c>
      <c r="CH55" s="522" t="e">
        <f>#REF!</f>
        <v>#REF!</v>
      </c>
      <c r="CI55" s="523" t="e">
        <f>#REF!</f>
        <v>#REF!</v>
      </c>
      <c r="CJ55" s="524"/>
      <c r="CK55" s="514" t="e">
        <f>IF(#REF!="","",#REF!)</f>
        <v>#REF!</v>
      </c>
      <c r="CL55" s="521" t="e">
        <f>IF(#REF!="","",#REF!)</f>
        <v>#REF!</v>
      </c>
      <c r="CM55" s="516" t="e">
        <f>#REF!</f>
        <v>#REF!</v>
      </c>
      <c r="CN55" s="517" t="e">
        <f>#REF!</f>
        <v>#REF!</v>
      </c>
      <c r="CO55" s="518" t="e">
        <f>#REF!</f>
        <v>#REF!</v>
      </c>
      <c r="CP55" s="519" t="e">
        <f>#REF!</f>
        <v>#REF!</v>
      </c>
      <c r="CQ55" s="520" t="e">
        <f>#REF!</f>
        <v>#REF!</v>
      </c>
      <c r="CR55" s="517" t="e">
        <f>#REF!</f>
        <v>#REF!</v>
      </c>
      <c r="CS55" s="521" t="e">
        <f>IF(#REF!="Plato perforado","PP",IF(OR(#REF!=0,#REF!=""),"",#REF!))</f>
        <v>#REF!</v>
      </c>
      <c r="CT55" s="522" t="e">
        <f>#REF!</f>
        <v>#REF!</v>
      </c>
      <c r="CU55" s="523" t="e">
        <f>#REF!</f>
        <v>#REF!</v>
      </c>
      <c r="CV55" s="524"/>
      <c r="CW55" s="514" t="e">
        <f>IF(#REF!="","",#REF!)</f>
        <v>#REF!</v>
      </c>
      <c r="CX55" s="521" t="e">
        <f>IF(#REF!="","",#REF!)</f>
        <v>#REF!</v>
      </c>
      <c r="CY55" s="516" t="e">
        <f>#REF!</f>
        <v>#REF!</v>
      </c>
      <c r="CZ55" s="517" t="e">
        <f>#REF!</f>
        <v>#REF!</v>
      </c>
      <c r="DA55" s="518" t="e">
        <f>#REF!</f>
        <v>#REF!</v>
      </c>
      <c r="DB55" s="519" t="e">
        <f>#REF!</f>
        <v>#REF!</v>
      </c>
      <c r="DC55" s="520" t="e">
        <f>#REF!</f>
        <v>#REF!</v>
      </c>
      <c r="DD55" s="517" t="e">
        <f>#REF!</f>
        <v>#REF!</v>
      </c>
      <c r="DE55" s="521" t="e">
        <f>IF(#REF!="Plato perforado","PP",IF(OR(#REF!=0,#REF!=""),"",#REF!))</f>
        <v>#REF!</v>
      </c>
      <c r="DF55" s="522" t="e">
        <f>#REF!</f>
        <v>#REF!</v>
      </c>
      <c r="DG55" s="523" t="e">
        <f>#REF!</f>
        <v>#REF!</v>
      </c>
      <c r="DH55" s="525"/>
    </row>
    <row r="56" spans="3:112" ht="13.8" customHeight="1" x14ac:dyDescent="0.3">
      <c r="C56" s="471" t="str">
        <f>IF(OR(Inyección!B56="",Inyección!N56="",Inyección!P56=""),"",INDEX($C$26:$C$29,Inyección!C56)&amp;" de "&amp;TEXT(Inyección!N56,"00")&amp;""""&amp;" × "&amp;TEXT(Inyección!P56,"00")&amp;""""&amp;IF(Inyección!C56=1,", "&amp;Inyección!R56&amp;IF(Inyección!R56=1," vía",IF(OR(Inyección!R56=2,Inyección!R56=3,Inyección!R56=4)," vías","")),""))</f>
        <v/>
      </c>
      <c r="F56"/>
      <c r="H56" s="471">
        <f t="shared" si="7"/>
        <v>0</v>
      </c>
      <c r="I56" s="471" t="str">
        <f t="shared" si="8"/>
        <v>0</v>
      </c>
      <c r="J56" s="471" t="str">
        <f t="shared" si="9"/>
        <v/>
      </c>
      <c r="K56" s="471" t="str">
        <f t="shared" si="9"/>
        <v/>
      </c>
      <c r="L56" s="471" t="str">
        <f t="shared" si="9"/>
        <v/>
      </c>
      <c r="M56"/>
      <c r="N56" s="471">
        <f t="shared" si="1"/>
        <v>0</v>
      </c>
      <c r="O56"/>
      <c r="P56" s="471">
        <f t="shared" si="2"/>
        <v>0</v>
      </c>
      <c r="Q56"/>
      <c r="R56" s="471">
        <f t="shared" si="3"/>
        <v>0</v>
      </c>
      <c r="T56" s="479"/>
      <c r="V56" s="479"/>
      <c r="AA56" s="474"/>
      <c r="AB56" s="496" t="str">
        <f t="shared" si="10"/>
        <v/>
      </c>
      <c r="AC56" s="497" t="str">
        <f t="shared" si="11"/>
        <v/>
      </c>
      <c r="AD56" s="474"/>
      <c r="AE56" s="472" t="e">
        <f>IF(#REF!=2,#REF!,0)</f>
        <v>#REF!</v>
      </c>
      <c r="AF56" s="472" t="e">
        <f>IF(#REF!=2,#REF!,0)</f>
        <v>#REF!</v>
      </c>
      <c r="AG56" s="472" t="e">
        <f t="shared" si="4"/>
        <v>#REF!</v>
      </c>
      <c r="AH56" s="473">
        <v>10</v>
      </c>
      <c r="AI56" s="473">
        <v>24</v>
      </c>
      <c r="AJ56" s="487">
        <f t="shared" si="12"/>
        <v>1.6666666666666667</v>
      </c>
      <c r="AK56" s="488">
        <f t="shared" si="5"/>
        <v>0</v>
      </c>
      <c r="AL56" s="488">
        <f t="shared" si="6"/>
        <v>0.41666666666666669</v>
      </c>
      <c r="AM56" s="472">
        <f t="shared" si="13"/>
        <v>1024</v>
      </c>
      <c r="AN56" s="472" t="e">
        <v>#REF!</v>
      </c>
      <c r="AO56" s="472">
        <v>12</v>
      </c>
      <c r="AP56" s="472">
        <v>16</v>
      </c>
      <c r="AQ56" s="472">
        <v>12</v>
      </c>
      <c r="AR56" s="472">
        <f t="shared" si="14"/>
        <v>1216</v>
      </c>
      <c r="AS56" s="472">
        <f t="shared" si="14"/>
        <v>1612</v>
      </c>
      <c r="AT56" s="498" t="str">
        <f t="shared" si="15"/>
        <v/>
      </c>
      <c r="AU56" s="499" t="str">
        <f t="shared" si="16"/>
        <v/>
      </c>
      <c r="AV56" s="474"/>
      <c r="AW56" s="472" t="e">
        <f>IF(#REF!=3,#REF!,0)</f>
        <v>#REF!</v>
      </c>
      <c r="AX56" s="498" t="str">
        <f t="shared" si="17"/>
        <v/>
      </c>
      <c r="AY56" s="500" t="str">
        <f t="shared" si="18"/>
        <v/>
      </c>
      <c r="AZ56" s="474"/>
      <c r="BA56" s="514" t="e">
        <f>IF(#REF!="","",#REF!)</f>
        <v>#REF!</v>
      </c>
      <c r="BB56" s="526" t="e">
        <f>IF(#REF!="","",#REF!)</f>
        <v>#REF!</v>
      </c>
      <c r="BC56" s="516" t="e">
        <f>#REF!</f>
        <v>#REF!</v>
      </c>
      <c r="BD56" s="517" t="e">
        <f>#REF!</f>
        <v>#REF!</v>
      </c>
      <c r="BE56" s="518" t="e">
        <f>#REF!</f>
        <v>#REF!</v>
      </c>
      <c r="BF56" s="519" t="e">
        <f>#REF!</f>
        <v>#REF!</v>
      </c>
      <c r="BG56" s="520" t="e">
        <f>#REF!</f>
        <v>#REF!</v>
      </c>
      <c r="BH56" s="517" t="e">
        <f>#REF!</f>
        <v>#REF!</v>
      </c>
      <c r="BI56" s="521" t="e">
        <f>IF(#REF!="Plato perforado","PP",IF(OR(#REF!=0,#REF!=""),"",#REF!))</f>
        <v>#REF!</v>
      </c>
      <c r="BJ56" s="522" t="e">
        <f>#REF!</f>
        <v>#REF!</v>
      </c>
      <c r="BK56" s="523" t="e">
        <f>#REF!</f>
        <v>#REF!</v>
      </c>
      <c r="BL56" s="524"/>
      <c r="BM56" s="514" t="e">
        <f>IF(#REF!="","",#REF!)</f>
        <v>#REF!</v>
      </c>
      <c r="BN56" s="521" t="e">
        <f>IF(#REF!="","",#REF!)</f>
        <v>#REF!</v>
      </c>
      <c r="BO56" s="516" t="e">
        <f>#REF!</f>
        <v>#REF!</v>
      </c>
      <c r="BP56" s="517" t="e">
        <f>#REF!</f>
        <v>#REF!</v>
      </c>
      <c r="BQ56" s="518" t="e">
        <f>#REF!</f>
        <v>#REF!</v>
      </c>
      <c r="BR56" s="519" t="e">
        <f>#REF!</f>
        <v>#REF!</v>
      </c>
      <c r="BS56" s="520" t="e">
        <f>#REF!</f>
        <v>#REF!</v>
      </c>
      <c r="BT56" s="517" t="e">
        <f>#REF!</f>
        <v>#REF!</v>
      </c>
      <c r="BU56" s="521" t="e">
        <f>IF(#REF!="Plato perforado","PP",IF(OR(#REF!=0,#REF!=""),"",#REF!))</f>
        <v>#REF!</v>
      </c>
      <c r="BV56" s="522" t="e">
        <f>#REF!</f>
        <v>#REF!</v>
      </c>
      <c r="BW56" s="523" t="e">
        <f>#REF!</f>
        <v>#REF!</v>
      </c>
      <c r="BX56" s="524"/>
      <c r="BY56" s="514" t="e">
        <f>IF(#REF!="","",#REF!)</f>
        <v>#REF!</v>
      </c>
      <c r="BZ56" s="521" t="e">
        <f>IF(#REF!="","",#REF!)</f>
        <v>#REF!</v>
      </c>
      <c r="CA56" s="516" t="e">
        <f>#REF!</f>
        <v>#REF!</v>
      </c>
      <c r="CB56" s="517" t="e">
        <f>#REF!</f>
        <v>#REF!</v>
      </c>
      <c r="CC56" s="518" t="e">
        <f>#REF!</f>
        <v>#REF!</v>
      </c>
      <c r="CD56" s="519" t="e">
        <f>#REF!</f>
        <v>#REF!</v>
      </c>
      <c r="CE56" s="520" t="e">
        <f>#REF!</f>
        <v>#REF!</v>
      </c>
      <c r="CF56" s="517" t="e">
        <f>#REF!</f>
        <v>#REF!</v>
      </c>
      <c r="CG56" s="521" t="e">
        <f>IF(#REF!="Plato perforado","PP",IF(OR(#REF!=0,#REF!=""),"",#REF!))</f>
        <v>#REF!</v>
      </c>
      <c r="CH56" s="522" t="e">
        <f>#REF!</f>
        <v>#REF!</v>
      </c>
      <c r="CI56" s="523" t="e">
        <f>#REF!</f>
        <v>#REF!</v>
      </c>
      <c r="CJ56" s="524"/>
      <c r="CK56" s="514" t="e">
        <f>IF(#REF!="","",#REF!)</f>
        <v>#REF!</v>
      </c>
      <c r="CL56" s="521" t="e">
        <f>IF(#REF!="","",#REF!)</f>
        <v>#REF!</v>
      </c>
      <c r="CM56" s="516" t="e">
        <f>#REF!</f>
        <v>#REF!</v>
      </c>
      <c r="CN56" s="517" t="e">
        <f>#REF!</f>
        <v>#REF!</v>
      </c>
      <c r="CO56" s="518" t="e">
        <f>#REF!</f>
        <v>#REF!</v>
      </c>
      <c r="CP56" s="519" t="e">
        <f>#REF!</f>
        <v>#REF!</v>
      </c>
      <c r="CQ56" s="520" t="e">
        <f>#REF!</f>
        <v>#REF!</v>
      </c>
      <c r="CR56" s="517" t="e">
        <f>#REF!</f>
        <v>#REF!</v>
      </c>
      <c r="CS56" s="521" t="e">
        <f>IF(#REF!="Plato perforado","PP",IF(OR(#REF!=0,#REF!=""),"",#REF!))</f>
        <v>#REF!</v>
      </c>
      <c r="CT56" s="522" t="e">
        <f>#REF!</f>
        <v>#REF!</v>
      </c>
      <c r="CU56" s="523" t="e">
        <f>#REF!</f>
        <v>#REF!</v>
      </c>
      <c r="CV56" s="524"/>
      <c r="CW56" s="514" t="e">
        <f>IF(#REF!="","",#REF!)</f>
        <v>#REF!</v>
      </c>
      <c r="CX56" s="521" t="e">
        <f>IF(#REF!="","",#REF!)</f>
        <v>#REF!</v>
      </c>
      <c r="CY56" s="516" t="e">
        <f>#REF!</f>
        <v>#REF!</v>
      </c>
      <c r="CZ56" s="517" t="e">
        <f>#REF!</f>
        <v>#REF!</v>
      </c>
      <c r="DA56" s="518" t="e">
        <f>#REF!</f>
        <v>#REF!</v>
      </c>
      <c r="DB56" s="519" t="e">
        <f>#REF!</f>
        <v>#REF!</v>
      </c>
      <c r="DC56" s="520" t="e">
        <f>#REF!</f>
        <v>#REF!</v>
      </c>
      <c r="DD56" s="517" t="e">
        <f>#REF!</f>
        <v>#REF!</v>
      </c>
      <c r="DE56" s="521" t="e">
        <f>IF(#REF!="Plato perforado","PP",IF(OR(#REF!=0,#REF!=""),"",#REF!))</f>
        <v>#REF!</v>
      </c>
      <c r="DF56" s="522" t="e">
        <f>#REF!</f>
        <v>#REF!</v>
      </c>
      <c r="DG56" s="523" t="e">
        <f>#REF!</f>
        <v>#REF!</v>
      </c>
      <c r="DH56" s="525"/>
    </row>
    <row r="57" spans="3:112" ht="13.8" customHeight="1" x14ac:dyDescent="0.3">
      <c r="C57" s="471" t="str">
        <f>IF(OR(Inyección!B57="",Inyección!N57="",Inyección!P57=""),"",INDEX($C$26:$C$29,Inyección!C57)&amp;" de "&amp;TEXT(Inyección!N57,"00")&amp;""""&amp;" × "&amp;TEXT(Inyección!P57,"00")&amp;""""&amp;IF(Inyección!C57=1,", "&amp;Inyección!R57&amp;IF(Inyección!R57=1," vía",IF(OR(Inyección!R57=2,Inyección!R57=3,Inyección!R57=4)," vías","")),""))</f>
        <v/>
      </c>
      <c r="F57"/>
      <c r="H57" s="471">
        <f t="shared" si="7"/>
        <v>0</v>
      </c>
      <c r="I57" s="471" t="str">
        <f t="shared" si="8"/>
        <v>0</v>
      </c>
      <c r="J57" s="471" t="str">
        <f t="shared" si="9"/>
        <v/>
      </c>
      <c r="K57" s="471" t="str">
        <f t="shared" si="9"/>
        <v/>
      </c>
      <c r="L57" s="471" t="str">
        <f t="shared" si="9"/>
        <v/>
      </c>
      <c r="M57"/>
      <c r="N57" s="471">
        <f t="shared" si="1"/>
        <v>0</v>
      </c>
      <c r="O57"/>
      <c r="P57" s="471">
        <f t="shared" si="2"/>
        <v>0</v>
      </c>
      <c r="Q57"/>
      <c r="R57" s="471">
        <f t="shared" si="3"/>
        <v>0</v>
      </c>
      <c r="T57" s="479"/>
      <c r="V57" s="479"/>
      <c r="AA57" s="474"/>
      <c r="AB57" s="496" t="str">
        <f t="shared" si="10"/>
        <v/>
      </c>
      <c r="AC57" s="497" t="str">
        <f t="shared" si="11"/>
        <v/>
      </c>
      <c r="AD57" s="474"/>
      <c r="AE57" s="472" t="e">
        <f>IF(#REF!=2,#REF!,0)</f>
        <v>#REF!</v>
      </c>
      <c r="AF57" s="472" t="e">
        <f>IF(#REF!=2,#REF!,0)</f>
        <v>#REF!</v>
      </c>
      <c r="AG57" s="472" t="e">
        <f t="shared" si="4"/>
        <v>#REF!</v>
      </c>
      <c r="AH57" s="473">
        <v>12</v>
      </c>
      <c r="AI57" s="473">
        <v>6</v>
      </c>
      <c r="AJ57" s="487">
        <f t="shared" si="12"/>
        <v>0.5</v>
      </c>
      <c r="AK57" s="488">
        <f t="shared" si="5"/>
        <v>0</v>
      </c>
      <c r="AL57" s="488">
        <f t="shared" si="6"/>
        <v>2</v>
      </c>
      <c r="AM57" s="472">
        <f t="shared" si="13"/>
        <v>1206</v>
      </c>
      <c r="AN57" s="472" t="e">
        <v>#REF!</v>
      </c>
      <c r="AO57" s="472">
        <v>12</v>
      </c>
      <c r="AP57" s="472">
        <v>18</v>
      </c>
      <c r="AQ57" s="472">
        <v>12</v>
      </c>
      <c r="AR57" s="472">
        <f t="shared" si="14"/>
        <v>1218</v>
      </c>
      <c r="AS57" s="472">
        <f t="shared" si="14"/>
        <v>1812</v>
      </c>
      <c r="AT57" s="498" t="str">
        <f t="shared" si="15"/>
        <v/>
      </c>
      <c r="AU57" s="499" t="str">
        <f t="shared" si="16"/>
        <v/>
      </c>
      <c r="AV57" s="474"/>
      <c r="AW57" s="472" t="e">
        <f>IF(#REF!=3,#REF!,0)</f>
        <v>#REF!</v>
      </c>
      <c r="AX57" s="498" t="str">
        <f t="shared" si="17"/>
        <v/>
      </c>
      <c r="AY57" s="500" t="str">
        <f t="shared" si="18"/>
        <v/>
      </c>
      <c r="AZ57" s="474"/>
      <c r="BA57" s="514" t="e">
        <f>IF(#REF!="","",#REF!)</f>
        <v>#REF!</v>
      </c>
      <c r="BB57" s="526" t="e">
        <f>IF(#REF!="","",#REF!)</f>
        <v>#REF!</v>
      </c>
      <c r="BC57" s="516" t="e">
        <f>#REF!</f>
        <v>#REF!</v>
      </c>
      <c r="BD57" s="517" t="e">
        <f>#REF!</f>
        <v>#REF!</v>
      </c>
      <c r="BE57" s="518" t="e">
        <f>#REF!</f>
        <v>#REF!</v>
      </c>
      <c r="BF57" s="519" t="e">
        <f>#REF!</f>
        <v>#REF!</v>
      </c>
      <c r="BG57" s="520" t="e">
        <f>#REF!</f>
        <v>#REF!</v>
      </c>
      <c r="BH57" s="517" t="e">
        <f>#REF!</f>
        <v>#REF!</v>
      </c>
      <c r="BI57" s="521" t="e">
        <f>IF(#REF!="Plato perforado","PP",IF(OR(#REF!=0,#REF!=""),"",#REF!))</f>
        <v>#REF!</v>
      </c>
      <c r="BJ57" s="522" t="e">
        <f>#REF!</f>
        <v>#REF!</v>
      </c>
      <c r="BK57" s="523" t="e">
        <f>#REF!</f>
        <v>#REF!</v>
      </c>
      <c r="BL57" s="524"/>
      <c r="BM57" s="514" t="e">
        <f>IF(#REF!="","",#REF!)</f>
        <v>#REF!</v>
      </c>
      <c r="BN57" s="521" t="e">
        <f>IF(#REF!="","",#REF!)</f>
        <v>#REF!</v>
      </c>
      <c r="BO57" s="516" t="e">
        <f>#REF!</f>
        <v>#REF!</v>
      </c>
      <c r="BP57" s="517" t="e">
        <f>#REF!</f>
        <v>#REF!</v>
      </c>
      <c r="BQ57" s="518" t="e">
        <f>#REF!</f>
        <v>#REF!</v>
      </c>
      <c r="BR57" s="519" t="e">
        <f>#REF!</f>
        <v>#REF!</v>
      </c>
      <c r="BS57" s="520" t="e">
        <f>#REF!</f>
        <v>#REF!</v>
      </c>
      <c r="BT57" s="517" t="e">
        <f>#REF!</f>
        <v>#REF!</v>
      </c>
      <c r="BU57" s="521" t="e">
        <f>IF(#REF!="Plato perforado","PP",IF(OR(#REF!=0,#REF!=""),"",#REF!))</f>
        <v>#REF!</v>
      </c>
      <c r="BV57" s="522" t="e">
        <f>#REF!</f>
        <v>#REF!</v>
      </c>
      <c r="BW57" s="523" t="e">
        <f>#REF!</f>
        <v>#REF!</v>
      </c>
      <c r="BX57" s="524"/>
      <c r="BY57" s="514" t="e">
        <f>IF(#REF!="","",#REF!)</f>
        <v>#REF!</v>
      </c>
      <c r="BZ57" s="521" t="e">
        <f>IF(#REF!="","",#REF!)</f>
        <v>#REF!</v>
      </c>
      <c r="CA57" s="516" t="e">
        <f>#REF!</f>
        <v>#REF!</v>
      </c>
      <c r="CB57" s="517" t="e">
        <f>#REF!</f>
        <v>#REF!</v>
      </c>
      <c r="CC57" s="518" t="e">
        <f>#REF!</f>
        <v>#REF!</v>
      </c>
      <c r="CD57" s="519" t="e">
        <f>#REF!</f>
        <v>#REF!</v>
      </c>
      <c r="CE57" s="520" t="e">
        <f>#REF!</f>
        <v>#REF!</v>
      </c>
      <c r="CF57" s="517" t="e">
        <f>#REF!</f>
        <v>#REF!</v>
      </c>
      <c r="CG57" s="521" t="e">
        <f>IF(#REF!="Plato perforado","PP",IF(OR(#REF!=0,#REF!=""),"",#REF!))</f>
        <v>#REF!</v>
      </c>
      <c r="CH57" s="522" t="e">
        <f>#REF!</f>
        <v>#REF!</v>
      </c>
      <c r="CI57" s="523" t="e">
        <f>#REF!</f>
        <v>#REF!</v>
      </c>
      <c r="CJ57" s="524"/>
      <c r="CK57" s="514" t="e">
        <f>IF(#REF!="","",#REF!)</f>
        <v>#REF!</v>
      </c>
      <c r="CL57" s="521" t="e">
        <f>IF(#REF!="","",#REF!)</f>
        <v>#REF!</v>
      </c>
      <c r="CM57" s="516" t="e">
        <f>#REF!</f>
        <v>#REF!</v>
      </c>
      <c r="CN57" s="517" t="e">
        <f>#REF!</f>
        <v>#REF!</v>
      </c>
      <c r="CO57" s="518" t="e">
        <f>#REF!</f>
        <v>#REF!</v>
      </c>
      <c r="CP57" s="519" t="e">
        <f>#REF!</f>
        <v>#REF!</v>
      </c>
      <c r="CQ57" s="520" t="e">
        <f>#REF!</f>
        <v>#REF!</v>
      </c>
      <c r="CR57" s="517" t="e">
        <f>#REF!</f>
        <v>#REF!</v>
      </c>
      <c r="CS57" s="521" t="e">
        <f>IF(#REF!="Plato perforado","PP",IF(OR(#REF!=0,#REF!=""),"",#REF!))</f>
        <v>#REF!</v>
      </c>
      <c r="CT57" s="522" t="e">
        <f>#REF!</f>
        <v>#REF!</v>
      </c>
      <c r="CU57" s="523" t="e">
        <f>#REF!</f>
        <v>#REF!</v>
      </c>
      <c r="CV57" s="524"/>
      <c r="CW57" s="514" t="e">
        <f>IF(#REF!="","",#REF!)</f>
        <v>#REF!</v>
      </c>
      <c r="CX57" s="521" t="e">
        <f>IF(#REF!="","",#REF!)</f>
        <v>#REF!</v>
      </c>
      <c r="CY57" s="516" t="e">
        <f>#REF!</f>
        <v>#REF!</v>
      </c>
      <c r="CZ57" s="517" t="e">
        <f>#REF!</f>
        <v>#REF!</v>
      </c>
      <c r="DA57" s="518" t="e">
        <f>#REF!</f>
        <v>#REF!</v>
      </c>
      <c r="DB57" s="519" t="e">
        <f>#REF!</f>
        <v>#REF!</v>
      </c>
      <c r="DC57" s="520" t="e">
        <f>#REF!</f>
        <v>#REF!</v>
      </c>
      <c r="DD57" s="517" t="e">
        <f>#REF!</f>
        <v>#REF!</v>
      </c>
      <c r="DE57" s="521" t="e">
        <f>IF(#REF!="Plato perforado","PP",IF(OR(#REF!=0,#REF!=""),"",#REF!))</f>
        <v>#REF!</v>
      </c>
      <c r="DF57" s="522" t="e">
        <f>#REF!</f>
        <v>#REF!</v>
      </c>
      <c r="DG57" s="523" t="e">
        <f>#REF!</f>
        <v>#REF!</v>
      </c>
      <c r="DH57" s="525"/>
    </row>
    <row r="58" spans="3:112" x14ac:dyDescent="0.3">
      <c r="C58" s="471" t="str">
        <f>IF(OR(Inyección!B58="",Inyección!N58="",Inyección!P58=""),"",INDEX($C$26:$C$29,Inyección!C58)&amp;" de "&amp;TEXT(Inyección!N58,"00")&amp;""""&amp;" × "&amp;TEXT(Inyección!P58,"00")&amp;""""&amp;IF(Inyección!C58=1,", "&amp;Inyección!R58&amp;IF(Inyección!R58=1," vía",IF(OR(Inyección!R58=2,Inyección!R58=3,Inyección!R58=4)," vías","")),""))</f>
        <v/>
      </c>
      <c r="F58"/>
      <c r="H58" s="471">
        <f t="shared" si="7"/>
        <v>0</v>
      </c>
      <c r="I58" s="471" t="str">
        <f t="shared" si="8"/>
        <v>0</v>
      </c>
      <c r="J58" s="471" t="str">
        <f t="shared" si="9"/>
        <v/>
      </c>
      <c r="K58" s="471" t="str">
        <f t="shared" si="9"/>
        <v/>
      </c>
      <c r="L58" s="471" t="str">
        <f t="shared" si="9"/>
        <v/>
      </c>
      <c r="M58"/>
      <c r="N58" s="471">
        <f t="shared" si="1"/>
        <v>0</v>
      </c>
      <c r="O58"/>
      <c r="P58" s="471">
        <f t="shared" si="2"/>
        <v>0</v>
      </c>
      <c r="Q58"/>
      <c r="R58" s="471">
        <f t="shared" si="3"/>
        <v>0</v>
      </c>
      <c r="T58" s="479"/>
      <c r="V58" s="479"/>
      <c r="AA58" s="474"/>
      <c r="AB58" s="496" t="str">
        <f t="shared" si="10"/>
        <v/>
      </c>
      <c r="AC58" s="497" t="str">
        <f t="shared" si="11"/>
        <v/>
      </c>
      <c r="AD58" s="474"/>
      <c r="AE58" s="472" t="e">
        <f>IF(#REF!=2,#REF!,0)</f>
        <v>#REF!</v>
      </c>
      <c r="AF58" s="472" t="e">
        <f>IF(#REF!=2,#REF!,0)</f>
        <v>#REF!</v>
      </c>
      <c r="AG58" s="472" t="e">
        <f t="shared" si="4"/>
        <v>#REF!</v>
      </c>
      <c r="AH58" s="473">
        <v>12</v>
      </c>
      <c r="AI58" s="473">
        <v>8</v>
      </c>
      <c r="AJ58" s="487">
        <f t="shared" si="12"/>
        <v>0.66666666666666663</v>
      </c>
      <c r="AK58" s="488">
        <f t="shared" si="5"/>
        <v>0</v>
      </c>
      <c r="AL58" s="488">
        <f t="shared" si="6"/>
        <v>1.5</v>
      </c>
      <c r="AM58" s="472">
        <f t="shared" si="13"/>
        <v>1208</v>
      </c>
      <c r="AN58" s="472" t="e">
        <v>#REF!</v>
      </c>
      <c r="AO58" s="472">
        <v>12</v>
      </c>
      <c r="AP58" s="472">
        <v>20</v>
      </c>
      <c r="AQ58" s="472">
        <v>12</v>
      </c>
      <c r="AR58" s="472">
        <f t="shared" si="14"/>
        <v>1220</v>
      </c>
      <c r="AS58" s="472">
        <f t="shared" si="14"/>
        <v>2012</v>
      </c>
      <c r="AT58" s="498" t="str">
        <f t="shared" si="15"/>
        <v/>
      </c>
      <c r="AU58" s="499" t="str">
        <f t="shared" si="16"/>
        <v/>
      </c>
      <c r="AV58" s="474"/>
      <c r="AW58" s="472" t="e">
        <f>IF(#REF!=3,#REF!,0)</f>
        <v>#REF!</v>
      </c>
      <c r="AX58" s="498" t="str">
        <f t="shared" si="17"/>
        <v/>
      </c>
      <c r="AY58" s="500" t="str">
        <f t="shared" si="18"/>
        <v/>
      </c>
      <c r="AZ58" s="474"/>
      <c r="BA58" s="514" t="e">
        <f>IF(#REF!="","",#REF!)</f>
        <v>#REF!</v>
      </c>
      <c r="BB58" s="526" t="e">
        <f>IF(#REF!="","",#REF!)</f>
        <v>#REF!</v>
      </c>
      <c r="BC58" s="516" t="e">
        <f>#REF!</f>
        <v>#REF!</v>
      </c>
      <c r="BD58" s="517" t="e">
        <f>#REF!</f>
        <v>#REF!</v>
      </c>
      <c r="BE58" s="518" t="e">
        <f>#REF!</f>
        <v>#REF!</v>
      </c>
      <c r="BF58" s="519" t="e">
        <f>#REF!</f>
        <v>#REF!</v>
      </c>
      <c r="BG58" s="520" t="e">
        <f>#REF!</f>
        <v>#REF!</v>
      </c>
      <c r="BH58" s="517" t="e">
        <f>#REF!</f>
        <v>#REF!</v>
      </c>
      <c r="BI58" s="521" t="e">
        <f>IF(#REF!="Plato perforado","PP",IF(OR(#REF!=0,#REF!=""),"",#REF!))</f>
        <v>#REF!</v>
      </c>
      <c r="BJ58" s="522" t="e">
        <f>#REF!</f>
        <v>#REF!</v>
      </c>
      <c r="BK58" s="523" t="e">
        <f>#REF!</f>
        <v>#REF!</v>
      </c>
      <c r="BL58" s="524"/>
      <c r="BM58" s="514" t="e">
        <f>IF(#REF!="","",#REF!)</f>
        <v>#REF!</v>
      </c>
      <c r="BN58" s="521" t="e">
        <f>IF(#REF!="","",#REF!)</f>
        <v>#REF!</v>
      </c>
      <c r="BO58" s="516" t="e">
        <f>#REF!</f>
        <v>#REF!</v>
      </c>
      <c r="BP58" s="517" t="e">
        <f>#REF!</f>
        <v>#REF!</v>
      </c>
      <c r="BQ58" s="518" t="e">
        <f>#REF!</f>
        <v>#REF!</v>
      </c>
      <c r="BR58" s="519" t="e">
        <f>#REF!</f>
        <v>#REF!</v>
      </c>
      <c r="BS58" s="520" t="e">
        <f>#REF!</f>
        <v>#REF!</v>
      </c>
      <c r="BT58" s="517" t="e">
        <f>#REF!</f>
        <v>#REF!</v>
      </c>
      <c r="BU58" s="521" t="e">
        <f>IF(#REF!="Plato perforado","PP",IF(OR(#REF!=0,#REF!=""),"",#REF!))</f>
        <v>#REF!</v>
      </c>
      <c r="BV58" s="522" t="e">
        <f>#REF!</f>
        <v>#REF!</v>
      </c>
      <c r="BW58" s="523" t="e">
        <f>#REF!</f>
        <v>#REF!</v>
      </c>
      <c r="BX58" s="524"/>
      <c r="BY58" s="514" t="e">
        <f>IF(#REF!="","",#REF!)</f>
        <v>#REF!</v>
      </c>
      <c r="BZ58" s="521" t="e">
        <f>IF(#REF!="","",#REF!)</f>
        <v>#REF!</v>
      </c>
      <c r="CA58" s="516" t="e">
        <f>#REF!</f>
        <v>#REF!</v>
      </c>
      <c r="CB58" s="517" t="e">
        <f>#REF!</f>
        <v>#REF!</v>
      </c>
      <c r="CC58" s="518" t="e">
        <f>#REF!</f>
        <v>#REF!</v>
      </c>
      <c r="CD58" s="519" t="e">
        <f>#REF!</f>
        <v>#REF!</v>
      </c>
      <c r="CE58" s="520" t="e">
        <f>#REF!</f>
        <v>#REF!</v>
      </c>
      <c r="CF58" s="517" t="e">
        <f>#REF!</f>
        <v>#REF!</v>
      </c>
      <c r="CG58" s="521" t="e">
        <f>IF(#REF!="Plato perforado","PP",IF(OR(#REF!=0,#REF!=""),"",#REF!))</f>
        <v>#REF!</v>
      </c>
      <c r="CH58" s="522" t="e">
        <f>#REF!</f>
        <v>#REF!</v>
      </c>
      <c r="CI58" s="523" t="e">
        <f>#REF!</f>
        <v>#REF!</v>
      </c>
      <c r="CJ58" s="524"/>
      <c r="CK58" s="514" t="e">
        <f>IF(#REF!="","",#REF!)</f>
        <v>#REF!</v>
      </c>
      <c r="CL58" s="521" t="e">
        <f>IF(#REF!="","",#REF!)</f>
        <v>#REF!</v>
      </c>
      <c r="CM58" s="516" t="e">
        <f>#REF!</f>
        <v>#REF!</v>
      </c>
      <c r="CN58" s="517" t="e">
        <f>#REF!</f>
        <v>#REF!</v>
      </c>
      <c r="CO58" s="518" t="e">
        <f>#REF!</f>
        <v>#REF!</v>
      </c>
      <c r="CP58" s="519" t="e">
        <f>#REF!</f>
        <v>#REF!</v>
      </c>
      <c r="CQ58" s="520" t="e">
        <f>#REF!</f>
        <v>#REF!</v>
      </c>
      <c r="CR58" s="517" t="e">
        <f>#REF!</f>
        <v>#REF!</v>
      </c>
      <c r="CS58" s="521" t="e">
        <f>IF(#REF!="Plato perforado","PP",IF(OR(#REF!=0,#REF!=""),"",#REF!))</f>
        <v>#REF!</v>
      </c>
      <c r="CT58" s="522" t="e">
        <f>#REF!</f>
        <v>#REF!</v>
      </c>
      <c r="CU58" s="523" t="e">
        <f>#REF!</f>
        <v>#REF!</v>
      </c>
      <c r="CV58" s="524"/>
      <c r="CW58" s="514" t="e">
        <f>IF(#REF!="","",#REF!)</f>
        <v>#REF!</v>
      </c>
      <c r="CX58" s="521" t="e">
        <f>IF(#REF!="","",#REF!)</f>
        <v>#REF!</v>
      </c>
      <c r="CY58" s="516" t="e">
        <f>#REF!</f>
        <v>#REF!</v>
      </c>
      <c r="CZ58" s="517" t="e">
        <f>#REF!</f>
        <v>#REF!</v>
      </c>
      <c r="DA58" s="518" t="e">
        <f>#REF!</f>
        <v>#REF!</v>
      </c>
      <c r="DB58" s="519" t="e">
        <f>#REF!</f>
        <v>#REF!</v>
      </c>
      <c r="DC58" s="520" t="e">
        <f>#REF!</f>
        <v>#REF!</v>
      </c>
      <c r="DD58" s="517" t="e">
        <f>#REF!</f>
        <v>#REF!</v>
      </c>
      <c r="DE58" s="521" t="e">
        <f>IF(#REF!="Plato perforado","PP",IF(OR(#REF!=0,#REF!=""),"",#REF!))</f>
        <v>#REF!</v>
      </c>
      <c r="DF58" s="522" t="e">
        <f>#REF!</f>
        <v>#REF!</v>
      </c>
      <c r="DG58" s="523" t="e">
        <f>#REF!</f>
        <v>#REF!</v>
      </c>
      <c r="DH58" s="525"/>
    </row>
    <row r="59" spans="3:112" x14ac:dyDescent="0.3">
      <c r="C59" s="471" t="str">
        <f>IF(OR(Inyección!B59="",Inyección!N59="",Inyección!P59=""),"",INDEX($C$26:$C$29,Inyección!C59)&amp;" de "&amp;TEXT(Inyección!N59,"00")&amp;""""&amp;" × "&amp;TEXT(Inyección!P59,"00")&amp;""""&amp;IF(Inyección!C59=1,", "&amp;Inyección!R59&amp;IF(Inyección!R59=1," vía",IF(OR(Inyección!R59=2,Inyección!R59=3,Inyección!R59=4)," vías","")),""))</f>
        <v/>
      </c>
      <c r="F59"/>
      <c r="H59" s="471">
        <f t="shared" si="7"/>
        <v>0</v>
      </c>
      <c r="I59" s="471" t="str">
        <f t="shared" si="8"/>
        <v>0</v>
      </c>
      <c r="J59" s="471" t="str">
        <f t="shared" si="9"/>
        <v/>
      </c>
      <c r="K59" s="471" t="str">
        <f t="shared" si="9"/>
        <v/>
      </c>
      <c r="L59" s="471" t="str">
        <f t="shared" si="9"/>
        <v/>
      </c>
      <c r="M59"/>
      <c r="N59" s="471">
        <f t="shared" si="1"/>
        <v>0</v>
      </c>
      <c r="O59"/>
      <c r="P59" s="471">
        <f t="shared" si="2"/>
        <v>0</v>
      </c>
      <c r="Q59"/>
      <c r="R59" s="471">
        <f t="shared" si="3"/>
        <v>0</v>
      </c>
      <c r="T59" s="479"/>
      <c r="V59" s="479"/>
      <c r="AA59" s="474"/>
      <c r="AB59" s="496" t="str">
        <f t="shared" si="10"/>
        <v/>
      </c>
      <c r="AC59" s="497" t="str">
        <f t="shared" si="11"/>
        <v/>
      </c>
      <c r="AD59" s="474"/>
      <c r="AE59" s="472" t="e">
        <f>IF(#REF!=2,#REF!,0)</f>
        <v>#REF!</v>
      </c>
      <c r="AF59" s="472" t="e">
        <f>IF(#REF!=2,#REF!,0)</f>
        <v>#REF!</v>
      </c>
      <c r="AG59" s="472" t="e">
        <f t="shared" si="4"/>
        <v>#REF!</v>
      </c>
      <c r="AH59" s="473">
        <v>12</v>
      </c>
      <c r="AI59" s="473">
        <v>10</v>
      </c>
      <c r="AJ59" s="487">
        <f t="shared" si="12"/>
        <v>0.83333333333333337</v>
      </c>
      <c r="AK59" s="488">
        <f t="shared" si="5"/>
        <v>0</v>
      </c>
      <c r="AL59" s="488">
        <f t="shared" si="6"/>
        <v>1.2</v>
      </c>
      <c r="AM59" s="472">
        <f t="shared" si="13"/>
        <v>1210</v>
      </c>
      <c r="AN59" s="472" t="e">
        <v>#REF!</v>
      </c>
      <c r="AO59" s="472">
        <v>12</v>
      </c>
      <c r="AP59" s="472">
        <v>22</v>
      </c>
      <c r="AQ59" s="472">
        <v>12</v>
      </c>
      <c r="AR59" s="472">
        <f t="shared" si="14"/>
        <v>1222</v>
      </c>
      <c r="AS59" s="472">
        <f t="shared" si="14"/>
        <v>2212</v>
      </c>
      <c r="AT59" s="498" t="str">
        <f t="shared" si="15"/>
        <v/>
      </c>
      <c r="AU59" s="499" t="str">
        <f t="shared" si="16"/>
        <v/>
      </c>
      <c r="AV59" s="474"/>
      <c r="AW59" s="472" t="e">
        <f>IF(#REF!=3,#REF!,0)</f>
        <v>#REF!</v>
      </c>
      <c r="AX59" s="498" t="str">
        <f t="shared" si="17"/>
        <v/>
      </c>
      <c r="AY59" s="500" t="str">
        <f t="shared" si="18"/>
        <v/>
      </c>
      <c r="AZ59" s="474"/>
      <c r="BA59" s="514" t="e">
        <f>IF(#REF!="","",#REF!)</f>
        <v>#REF!</v>
      </c>
      <c r="BB59" s="526" t="e">
        <f>IF(#REF!="","",#REF!)</f>
        <v>#REF!</v>
      </c>
      <c r="BC59" s="516" t="e">
        <f>#REF!</f>
        <v>#REF!</v>
      </c>
      <c r="BD59" s="517" t="e">
        <f>#REF!</f>
        <v>#REF!</v>
      </c>
      <c r="BE59" s="518" t="e">
        <f>#REF!</f>
        <v>#REF!</v>
      </c>
      <c r="BF59" s="519" t="e">
        <f>#REF!</f>
        <v>#REF!</v>
      </c>
      <c r="BG59" s="520" t="e">
        <f>#REF!</f>
        <v>#REF!</v>
      </c>
      <c r="BH59" s="517" t="e">
        <f>#REF!</f>
        <v>#REF!</v>
      </c>
      <c r="BI59" s="521" t="e">
        <f>IF(#REF!="Plato perforado","PP",IF(OR(#REF!=0,#REF!=""),"",#REF!))</f>
        <v>#REF!</v>
      </c>
      <c r="BJ59" s="522" t="e">
        <f>#REF!</f>
        <v>#REF!</v>
      </c>
      <c r="BK59" s="523" t="e">
        <f>#REF!</f>
        <v>#REF!</v>
      </c>
      <c r="BL59" s="524"/>
      <c r="BM59" s="514" t="e">
        <f>IF(#REF!="","",#REF!)</f>
        <v>#REF!</v>
      </c>
      <c r="BN59" s="521" t="e">
        <f>IF(#REF!="","",#REF!)</f>
        <v>#REF!</v>
      </c>
      <c r="BO59" s="516" t="e">
        <f>#REF!</f>
        <v>#REF!</v>
      </c>
      <c r="BP59" s="517" t="e">
        <f>#REF!</f>
        <v>#REF!</v>
      </c>
      <c r="BQ59" s="518" t="e">
        <f>#REF!</f>
        <v>#REF!</v>
      </c>
      <c r="BR59" s="519" t="e">
        <f>#REF!</f>
        <v>#REF!</v>
      </c>
      <c r="BS59" s="520" t="e">
        <f>#REF!</f>
        <v>#REF!</v>
      </c>
      <c r="BT59" s="517" t="e">
        <f>#REF!</f>
        <v>#REF!</v>
      </c>
      <c r="BU59" s="521" t="e">
        <f>IF(#REF!="Plato perforado","PP",IF(OR(#REF!=0,#REF!=""),"",#REF!))</f>
        <v>#REF!</v>
      </c>
      <c r="BV59" s="522" t="e">
        <f>#REF!</f>
        <v>#REF!</v>
      </c>
      <c r="BW59" s="523" t="e">
        <f>#REF!</f>
        <v>#REF!</v>
      </c>
      <c r="BX59" s="524"/>
      <c r="BY59" s="514" t="e">
        <f>IF(#REF!="","",#REF!)</f>
        <v>#REF!</v>
      </c>
      <c r="BZ59" s="521" t="e">
        <f>IF(#REF!="","",#REF!)</f>
        <v>#REF!</v>
      </c>
      <c r="CA59" s="516" t="e">
        <f>#REF!</f>
        <v>#REF!</v>
      </c>
      <c r="CB59" s="517" t="e">
        <f>#REF!</f>
        <v>#REF!</v>
      </c>
      <c r="CC59" s="518" t="e">
        <f>#REF!</f>
        <v>#REF!</v>
      </c>
      <c r="CD59" s="519" t="e">
        <f>#REF!</f>
        <v>#REF!</v>
      </c>
      <c r="CE59" s="520" t="e">
        <f>#REF!</f>
        <v>#REF!</v>
      </c>
      <c r="CF59" s="517" t="e">
        <f>#REF!</f>
        <v>#REF!</v>
      </c>
      <c r="CG59" s="521" t="e">
        <f>IF(#REF!="Plato perforado","PP",IF(OR(#REF!=0,#REF!=""),"",#REF!))</f>
        <v>#REF!</v>
      </c>
      <c r="CH59" s="522" t="e">
        <f>#REF!</f>
        <v>#REF!</v>
      </c>
      <c r="CI59" s="523" t="e">
        <f>#REF!</f>
        <v>#REF!</v>
      </c>
      <c r="CJ59" s="524"/>
      <c r="CK59" s="514" t="e">
        <f>IF(#REF!="","",#REF!)</f>
        <v>#REF!</v>
      </c>
      <c r="CL59" s="521" t="e">
        <f>IF(#REF!="","",#REF!)</f>
        <v>#REF!</v>
      </c>
      <c r="CM59" s="516" t="e">
        <f>#REF!</f>
        <v>#REF!</v>
      </c>
      <c r="CN59" s="517" t="e">
        <f>#REF!</f>
        <v>#REF!</v>
      </c>
      <c r="CO59" s="518" t="e">
        <f>#REF!</f>
        <v>#REF!</v>
      </c>
      <c r="CP59" s="519" t="e">
        <f>#REF!</f>
        <v>#REF!</v>
      </c>
      <c r="CQ59" s="520" t="e">
        <f>#REF!</f>
        <v>#REF!</v>
      </c>
      <c r="CR59" s="517" t="e">
        <f>#REF!</f>
        <v>#REF!</v>
      </c>
      <c r="CS59" s="521" t="e">
        <f>IF(#REF!="Plato perforado","PP",IF(OR(#REF!=0,#REF!=""),"",#REF!))</f>
        <v>#REF!</v>
      </c>
      <c r="CT59" s="522" t="e">
        <f>#REF!</f>
        <v>#REF!</v>
      </c>
      <c r="CU59" s="523" t="e">
        <f>#REF!</f>
        <v>#REF!</v>
      </c>
      <c r="CV59" s="524"/>
      <c r="CW59" s="514" t="e">
        <f>IF(#REF!="","",#REF!)</f>
        <v>#REF!</v>
      </c>
      <c r="CX59" s="521" t="e">
        <f>IF(#REF!="","",#REF!)</f>
        <v>#REF!</v>
      </c>
      <c r="CY59" s="516" t="e">
        <f>#REF!</f>
        <v>#REF!</v>
      </c>
      <c r="CZ59" s="517" t="e">
        <f>#REF!</f>
        <v>#REF!</v>
      </c>
      <c r="DA59" s="518" t="e">
        <f>#REF!</f>
        <v>#REF!</v>
      </c>
      <c r="DB59" s="519" t="e">
        <f>#REF!</f>
        <v>#REF!</v>
      </c>
      <c r="DC59" s="520" t="e">
        <f>#REF!</f>
        <v>#REF!</v>
      </c>
      <c r="DD59" s="517" t="e">
        <f>#REF!</f>
        <v>#REF!</v>
      </c>
      <c r="DE59" s="521" t="e">
        <f>IF(#REF!="Plato perforado","PP",IF(OR(#REF!=0,#REF!=""),"",#REF!))</f>
        <v>#REF!</v>
      </c>
      <c r="DF59" s="522" t="e">
        <f>#REF!</f>
        <v>#REF!</v>
      </c>
      <c r="DG59" s="523" t="e">
        <f>#REF!</f>
        <v>#REF!</v>
      </c>
      <c r="DH59" s="525"/>
    </row>
    <row r="60" spans="3:112" x14ac:dyDescent="0.3">
      <c r="C60" s="471" t="str">
        <f>IF(OR(Inyección!B60="",Inyección!N60="",Inyección!P60=""),"",INDEX($C$26:$C$29,Inyección!C60)&amp;" de "&amp;TEXT(Inyección!N60,"00")&amp;""""&amp;" × "&amp;TEXT(Inyección!P60,"00")&amp;""""&amp;IF(Inyección!C60=1,", "&amp;Inyección!R60&amp;IF(Inyección!R60=1," vía",IF(OR(Inyección!R60=2,Inyección!R60=3,Inyección!R60=4)," vías","")),""))</f>
        <v/>
      </c>
      <c r="F60"/>
      <c r="H60" s="471">
        <f t="shared" si="7"/>
        <v>0</v>
      </c>
      <c r="I60" s="471" t="str">
        <f t="shared" si="8"/>
        <v>0</v>
      </c>
      <c r="J60" s="471" t="str">
        <f t="shared" si="9"/>
        <v/>
      </c>
      <c r="K60" s="471" t="str">
        <f t="shared" si="9"/>
        <v/>
      </c>
      <c r="L60" s="471" t="str">
        <f t="shared" si="9"/>
        <v/>
      </c>
      <c r="M60"/>
      <c r="N60" s="471">
        <f t="shared" si="1"/>
        <v>0</v>
      </c>
      <c r="O60"/>
      <c r="P60" s="471">
        <f t="shared" si="2"/>
        <v>0</v>
      </c>
      <c r="Q60"/>
      <c r="R60" s="471">
        <f t="shared" si="3"/>
        <v>0</v>
      </c>
      <c r="T60" s="479"/>
      <c r="V60" s="479"/>
      <c r="AA60" s="474"/>
      <c r="AB60" s="496" t="str">
        <f t="shared" si="10"/>
        <v/>
      </c>
      <c r="AC60" s="497" t="str">
        <f t="shared" si="11"/>
        <v/>
      </c>
      <c r="AD60" s="474"/>
      <c r="AE60" s="472" t="e">
        <f>IF(#REF!=2,#REF!,0)</f>
        <v>#REF!</v>
      </c>
      <c r="AF60" s="472" t="e">
        <f>IF(#REF!=2,#REF!,0)</f>
        <v>#REF!</v>
      </c>
      <c r="AG60" s="472" t="e">
        <f t="shared" si="4"/>
        <v>#REF!</v>
      </c>
      <c r="AH60" s="473">
        <v>12</v>
      </c>
      <c r="AI60" s="473">
        <v>12</v>
      </c>
      <c r="AJ60" s="487">
        <f t="shared" si="12"/>
        <v>1</v>
      </c>
      <c r="AK60" s="488">
        <f t="shared" si="5"/>
        <v>0</v>
      </c>
      <c r="AL60" s="488">
        <f t="shared" si="6"/>
        <v>1</v>
      </c>
      <c r="AM60" s="472">
        <f t="shared" si="13"/>
        <v>1212</v>
      </c>
      <c r="AN60" s="472" t="e">
        <v>#REF!</v>
      </c>
      <c r="AO60" s="472">
        <v>12</v>
      </c>
      <c r="AP60" s="472">
        <v>24</v>
      </c>
      <c r="AQ60" s="472">
        <v>12</v>
      </c>
      <c r="AR60" s="472">
        <f t="shared" si="14"/>
        <v>1224</v>
      </c>
      <c r="AS60" s="472">
        <f t="shared" si="14"/>
        <v>2412</v>
      </c>
      <c r="AT60" s="498" t="str">
        <f t="shared" si="15"/>
        <v/>
      </c>
      <c r="AU60" s="499" t="str">
        <f t="shared" si="16"/>
        <v/>
      </c>
      <c r="AV60" s="474"/>
      <c r="AW60" s="472" t="e">
        <f>IF(#REF!=3,#REF!,0)</f>
        <v>#REF!</v>
      </c>
      <c r="AX60" s="498" t="str">
        <f t="shared" si="17"/>
        <v/>
      </c>
      <c r="AY60" s="500" t="str">
        <f t="shared" si="18"/>
        <v/>
      </c>
      <c r="AZ60" s="474"/>
      <c r="BA60" s="514" t="e">
        <f>IF(#REF!="","",#REF!)</f>
        <v>#REF!</v>
      </c>
      <c r="BB60" s="526" t="e">
        <f>IF(#REF!="","",#REF!)</f>
        <v>#REF!</v>
      </c>
      <c r="BC60" s="516" t="e">
        <f>#REF!</f>
        <v>#REF!</v>
      </c>
      <c r="BD60" s="517" t="e">
        <f>#REF!</f>
        <v>#REF!</v>
      </c>
      <c r="BE60" s="518" t="e">
        <f>#REF!</f>
        <v>#REF!</v>
      </c>
      <c r="BF60" s="519" t="e">
        <f>#REF!</f>
        <v>#REF!</v>
      </c>
      <c r="BG60" s="520" t="e">
        <f>#REF!</f>
        <v>#REF!</v>
      </c>
      <c r="BH60" s="517" t="e">
        <f>#REF!</f>
        <v>#REF!</v>
      </c>
      <c r="BI60" s="521" t="e">
        <f>IF(#REF!="Plato perforado","PP",IF(OR(#REF!=0,#REF!=""),"",#REF!))</f>
        <v>#REF!</v>
      </c>
      <c r="BJ60" s="522" t="e">
        <f>#REF!</f>
        <v>#REF!</v>
      </c>
      <c r="BK60" s="523" t="e">
        <f>#REF!</f>
        <v>#REF!</v>
      </c>
      <c r="BL60" s="524"/>
      <c r="BM60" s="514" t="e">
        <f>IF(#REF!="","",#REF!)</f>
        <v>#REF!</v>
      </c>
      <c r="BN60" s="521" t="e">
        <f>IF(#REF!="","",#REF!)</f>
        <v>#REF!</v>
      </c>
      <c r="BO60" s="516" t="e">
        <f>#REF!</f>
        <v>#REF!</v>
      </c>
      <c r="BP60" s="517" t="e">
        <f>#REF!</f>
        <v>#REF!</v>
      </c>
      <c r="BQ60" s="518" t="e">
        <f>#REF!</f>
        <v>#REF!</v>
      </c>
      <c r="BR60" s="519" t="e">
        <f>#REF!</f>
        <v>#REF!</v>
      </c>
      <c r="BS60" s="520" t="e">
        <f>#REF!</f>
        <v>#REF!</v>
      </c>
      <c r="BT60" s="517" t="e">
        <f>#REF!</f>
        <v>#REF!</v>
      </c>
      <c r="BU60" s="521" t="e">
        <f>IF(#REF!="Plato perforado","PP",IF(OR(#REF!=0,#REF!=""),"",#REF!))</f>
        <v>#REF!</v>
      </c>
      <c r="BV60" s="522" t="e">
        <f>#REF!</f>
        <v>#REF!</v>
      </c>
      <c r="BW60" s="523" t="e">
        <f>#REF!</f>
        <v>#REF!</v>
      </c>
      <c r="BX60" s="524"/>
      <c r="BY60" s="514" t="e">
        <f>IF(#REF!="","",#REF!)</f>
        <v>#REF!</v>
      </c>
      <c r="BZ60" s="521" t="e">
        <f>IF(#REF!="","",#REF!)</f>
        <v>#REF!</v>
      </c>
      <c r="CA60" s="516" t="e">
        <f>#REF!</f>
        <v>#REF!</v>
      </c>
      <c r="CB60" s="517" t="e">
        <f>#REF!</f>
        <v>#REF!</v>
      </c>
      <c r="CC60" s="518" t="e">
        <f>#REF!</f>
        <v>#REF!</v>
      </c>
      <c r="CD60" s="519" t="e">
        <f>#REF!</f>
        <v>#REF!</v>
      </c>
      <c r="CE60" s="520" t="e">
        <f>#REF!</f>
        <v>#REF!</v>
      </c>
      <c r="CF60" s="517" t="e">
        <f>#REF!</f>
        <v>#REF!</v>
      </c>
      <c r="CG60" s="521" t="e">
        <f>IF(#REF!="Plato perforado","PP",IF(OR(#REF!=0,#REF!=""),"",#REF!))</f>
        <v>#REF!</v>
      </c>
      <c r="CH60" s="522" t="e">
        <f>#REF!</f>
        <v>#REF!</v>
      </c>
      <c r="CI60" s="523" t="e">
        <f>#REF!</f>
        <v>#REF!</v>
      </c>
      <c r="CJ60" s="524"/>
      <c r="CK60" s="514" t="e">
        <f>IF(#REF!="","",#REF!)</f>
        <v>#REF!</v>
      </c>
      <c r="CL60" s="521" t="e">
        <f>IF(#REF!="","",#REF!)</f>
        <v>#REF!</v>
      </c>
      <c r="CM60" s="516" t="e">
        <f>#REF!</f>
        <v>#REF!</v>
      </c>
      <c r="CN60" s="517" t="e">
        <f>#REF!</f>
        <v>#REF!</v>
      </c>
      <c r="CO60" s="518" t="e">
        <f>#REF!</f>
        <v>#REF!</v>
      </c>
      <c r="CP60" s="519" t="e">
        <f>#REF!</f>
        <v>#REF!</v>
      </c>
      <c r="CQ60" s="520" t="e">
        <f>#REF!</f>
        <v>#REF!</v>
      </c>
      <c r="CR60" s="517" t="e">
        <f>#REF!</f>
        <v>#REF!</v>
      </c>
      <c r="CS60" s="521" t="e">
        <f>IF(#REF!="Plato perforado","PP",IF(OR(#REF!=0,#REF!=""),"",#REF!))</f>
        <v>#REF!</v>
      </c>
      <c r="CT60" s="522" t="e">
        <f>#REF!</f>
        <v>#REF!</v>
      </c>
      <c r="CU60" s="523" t="e">
        <f>#REF!</f>
        <v>#REF!</v>
      </c>
      <c r="CV60" s="524"/>
      <c r="CW60" s="514" t="e">
        <f>IF(#REF!="","",#REF!)</f>
        <v>#REF!</v>
      </c>
      <c r="CX60" s="521" t="e">
        <f>IF(#REF!="","",#REF!)</f>
        <v>#REF!</v>
      </c>
      <c r="CY60" s="516" t="e">
        <f>#REF!</f>
        <v>#REF!</v>
      </c>
      <c r="CZ60" s="517" t="e">
        <f>#REF!</f>
        <v>#REF!</v>
      </c>
      <c r="DA60" s="518" t="e">
        <f>#REF!</f>
        <v>#REF!</v>
      </c>
      <c r="DB60" s="519" t="e">
        <f>#REF!</f>
        <v>#REF!</v>
      </c>
      <c r="DC60" s="520" t="e">
        <f>#REF!</f>
        <v>#REF!</v>
      </c>
      <c r="DD60" s="517" t="e">
        <f>#REF!</f>
        <v>#REF!</v>
      </c>
      <c r="DE60" s="521" t="e">
        <f>IF(#REF!="Plato perforado","PP",IF(OR(#REF!=0,#REF!=""),"",#REF!))</f>
        <v>#REF!</v>
      </c>
      <c r="DF60" s="522" t="e">
        <f>#REF!</f>
        <v>#REF!</v>
      </c>
      <c r="DG60" s="523" t="e">
        <f>#REF!</f>
        <v>#REF!</v>
      </c>
      <c r="DH60" s="525"/>
    </row>
    <row r="61" spans="3:112" x14ac:dyDescent="0.3">
      <c r="C61" s="471" t="str">
        <f>IF(OR(Inyección!B61="",Inyección!N61="",Inyección!P61=""),"",INDEX($C$26:$C$29,Inyección!C61)&amp;" de "&amp;TEXT(Inyección!N61,"00")&amp;""""&amp;" × "&amp;TEXT(Inyección!P61,"00")&amp;""""&amp;IF(Inyección!C61=1,", "&amp;Inyección!R61&amp;IF(Inyección!R61=1," vía",IF(OR(Inyección!R61=2,Inyección!R61=3,Inyección!R61=4)," vías","")),""))</f>
        <v/>
      </c>
      <c r="F61"/>
      <c r="H61" s="471">
        <f t="shared" si="7"/>
        <v>0</v>
      </c>
      <c r="I61" s="471" t="str">
        <f t="shared" si="8"/>
        <v>0</v>
      </c>
      <c r="J61" s="471" t="str">
        <f t="shared" si="9"/>
        <v/>
      </c>
      <c r="K61" s="471" t="str">
        <f t="shared" si="9"/>
        <v/>
      </c>
      <c r="L61" s="471" t="str">
        <f t="shared" si="9"/>
        <v/>
      </c>
      <c r="M61"/>
      <c r="N61" s="471">
        <f t="shared" si="1"/>
        <v>0</v>
      </c>
      <c r="O61"/>
      <c r="P61" s="471">
        <f t="shared" si="2"/>
        <v>0</v>
      </c>
      <c r="Q61"/>
      <c r="R61" s="471">
        <f t="shared" si="3"/>
        <v>0</v>
      </c>
      <c r="T61" s="479"/>
      <c r="V61" s="479"/>
      <c r="AA61" s="474"/>
      <c r="AB61" s="496" t="str">
        <f t="shared" si="10"/>
        <v/>
      </c>
      <c r="AC61" s="497" t="str">
        <f t="shared" si="11"/>
        <v/>
      </c>
      <c r="AD61" s="474"/>
      <c r="AE61" s="472" t="e">
        <f>IF(#REF!=2,#REF!,0)</f>
        <v>#REF!</v>
      </c>
      <c r="AF61" s="472" t="e">
        <f>IF(#REF!=2,#REF!,0)</f>
        <v>#REF!</v>
      </c>
      <c r="AG61" s="472" t="e">
        <f t="shared" si="4"/>
        <v>#REF!</v>
      </c>
      <c r="AH61" s="473">
        <v>12</v>
      </c>
      <c r="AI61" s="473">
        <v>14</v>
      </c>
      <c r="AJ61" s="487">
        <f t="shared" si="12"/>
        <v>1.1666666666666667</v>
      </c>
      <c r="AK61" s="488">
        <f t="shared" si="5"/>
        <v>0</v>
      </c>
      <c r="AL61" s="488">
        <f t="shared" si="6"/>
        <v>0.8571428571428571</v>
      </c>
      <c r="AM61" s="472">
        <f t="shared" si="13"/>
        <v>1214</v>
      </c>
      <c r="AN61" s="472" t="e">
        <v>#REF!</v>
      </c>
      <c r="AO61" s="472">
        <v>12</v>
      </c>
      <c r="AP61" s="472">
        <v>26</v>
      </c>
      <c r="AQ61" s="472">
        <v>12</v>
      </c>
      <c r="AR61" s="472">
        <f t="shared" si="14"/>
        <v>1226</v>
      </c>
      <c r="AS61" s="472">
        <f t="shared" si="14"/>
        <v>2612</v>
      </c>
      <c r="AT61" s="498" t="str">
        <f t="shared" si="15"/>
        <v/>
      </c>
      <c r="AU61" s="499" t="str">
        <f t="shared" si="16"/>
        <v/>
      </c>
      <c r="AV61" s="474"/>
      <c r="AW61" s="472" t="e">
        <f>IF(#REF!=3,#REF!,0)</f>
        <v>#REF!</v>
      </c>
      <c r="AX61" s="498" t="str">
        <f t="shared" si="17"/>
        <v/>
      </c>
      <c r="AY61" s="500" t="str">
        <f t="shared" si="18"/>
        <v/>
      </c>
      <c r="AZ61" s="474"/>
      <c r="BA61" s="514" t="e">
        <f>IF(#REF!="","",#REF!)</f>
        <v>#REF!</v>
      </c>
      <c r="BB61" s="526" t="e">
        <f>IF(#REF!="","",#REF!)</f>
        <v>#REF!</v>
      </c>
      <c r="BC61" s="516" t="e">
        <f>#REF!</f>
        <v>#REF!</v>
      </c>
      <c r="BD61" s="517" t="e">
        <f>#REF!</f>
        <v>#REF!</v>
      </c>
      <c r="BE61" s="518" t="e">
        <f>#REF!</f>
        <v>#REF!</v>
      </c>
      <c r="BF61" s="519" t="e">
        <f>#REF!</f>
        <v>#REF!</v>
      </c>
      <c r="BG61" s="520" t="e">
        <f>#REF!</f>
        <v>#REF!</v>
      </c>
      <c r="BH61" s="517" t="e">
        <f>#REF!</f>
        <v>#REF!</v>
      </c>
      <c r="BI61" s="521" t="e">
        <f>IF(#REF!="Plato perforado","PP",IF(OR(#REF!=0,#REF!=""),"",#REF!))</f>
        <v>#REF!</v>
      </c>
      <c r="BJ61" s="522" t="e">
        <f>#REF!</f>
        <v>#REF!</v>
      </c>
      <c r="BK61" s="523" t="e">
        <f>#REF!</f>
        <v>#REF!</v>
      </c>
      <c r="BL61" s="524"/>
      <c r="BM61" s="514" t="e">
        <f>IF(#REF!="","",#REF!)</f>
        <v>#REF!</v>
      </c>
      <c r="BN61" s="521" t="e">
        <f>IF(#REF!="","",#REF!)</f>
        <v>#REF!</v>
      </c>
      <c r="BO61" s="516" t="e">
        <f>#REF!</f>
        <v>#REF!</v>
      </c>
      <c r="BP61" s="517" t="e">
        <f>#REF!</f>
        <v>#REF!</v>
      </c>
      <c r="BQ61" s="518" t="e">
        <f>#REF!</f>
        <v>#REF!</v>
      </c>
      <c r="BR61" s="519" t="e">
        <f>#REF!</f>
        <v>#REF!</v>
      </c>
      <c r="BS61" s="520" t="e">
        <f>#REF!</f>
        <v>#REF!</v>
      </c>
      <c r="BT61" s="517" t="e">
        <f>#REF!</f>
        <v>#REF!</v>
      </c>
      <c r="BU61" s="521" t="e">
        <f>IF(#REF!="Plato perforado","PP",IF(OR(#REF!=0,#REF!=""),"",#REF!))</f>
        <v>#REF!</v>
      </c>
      <c r="BV61" s="522" t="e">
        <f>#REF!</f>
        <v>#REF!</v>
      </c>
      <c r="BW61" s="523" t="e">
        <f>#REF!</f>
        <v>#REF!</v>
      </c>
      <c r="BX61" s="524"/>
      <c r="BY61" s="514" t="e">
        <f>IF(#REF!="","",#REF!)</f>
        <v>#REF!</v>
      </c>
      <c r="BZ61" s="521" t="e">
        <f>IF(#REF!="","",#REF!)</f>
        <v>#REF!</v>
      </c>
      <c r="CA61" s="516" t="e">
        <f>#REF!</f>
        <v>#REF!</v>
      </c>
      <c r="CB61" s="517" t="e">
        <f>#REF!</f>
        <v>#REF!</v>
      </c>
      <c r="CC61" s="518" t="e">
        <f>#REF!</f>
        <v>#REF!</v>
      </c>
      <c r="CD61" s="519" t="e">
        <f>#REF!</f>
        <v>#REF!</v>
      </c>
      <c r="CE61" s="520" t="e">
        <f>#REF!</f>
        <v>#REF!</v>
      </c>
      <c r="CF61" s="517" t="e">
        <f>#REF!</f>
        <v>#REF!</v>
      </c>
      <c r="CG61" s="521" t="e">
        <f>IF(#REF!="Plato perforado","PP",IF(OR(#REF!=0,#REF!=""),"",#REF!))</f>
        <v>#REF!</v>
      </c>
      <c r="CH61" s="522" t="e">
        <f>#REF!</f>
        <v>#REF!</v>
      </c>
      <c r="CI61" s="523" t="e">
        <f>#REF!</f>
        <v>#REF!</v>
      </c>
      <c r="CJ61" s="524"/>
      <c r="CK61" s="514" t="e">
        <f>IF(#REF!="","",#REF!)</f>
        <v>#REF!</v>
      </c>
      <c r="CL61" s="521" t="e">
        <f>IF(#REF!="","",#REF!)</f>
        <v>#REF!</v>
      </c>
      <c r="CM61" s="516" t="e">
        <f>#REF!</f>
        <v>#REF!</v>
      </c>
      <c r="CN61" s="517" t="e">
        <f>#REF!</f>
        <v>#REF!</v>
      </c>
      <c r="CO61" s="518" t="e">
        <f>#REF!</f>
        <v>#REF!</v>
      </c>
      <c r="CP61" s="519" t="e">
        <f>#REF!</f>
        <v>#REF!</v>
      </c>
      <c r="CQ61" s="520" t="e">
        <f>#REF!</f>
        <v>#REF!</v>
      </c>
      <c r="CR61" s="517" t="e">
        <f>#REF!</f>
        <v>#REF!</v>
      </c>
      <c r="CS61" s="521" t="e">
        <f>IF(#REF!="Plato perforado","PP",IF(OR(#REF!=0,#REF!=""),"",#REF!))</f>
        <v>#REF!</v>
      </c>
      <c r="CT61" s="522" t="e">
        <f>#REF!</f>
        <v>#REF!</v>
      </c>
      <c r="CU61" s="523" t="e">
        <f>#REF!</f>
        <v>#REF!</v>
      </c>
      <c r="CV61" s="524"/>
      <c r="CW61" s="514" t="e">
        <f>IF(#REF!="","",#REF!)</f>
        <v>#REF!</v>
      </c>
      <c r="CX61" s="521" t="e">
        <f>IF(#REF!="","",#REF!)</f>
        <v>#REF!</v>
      </c>
      <c r="CY61" s="516" t="e">
        <f>#REF!</f>
        <v>#REF!</v>
      </c>
      <c r="CZ61" s="517" t="e">
        <f>#REF!</f>
        <v>#REF!</v>
      </c>
      <c r="DA61" s="518" t="e">
        <f>#REF!</f>
        <v>#REF!</v>
      </c>
      <c r="DB61" s="519" t="e">
        <f>#REF!</f>
        <v>#REF!</v>
      </c>
      <c r="DC61" s="520" t="e">
        <f>#REF!</f>
        <v>#REF!</v>
      </c>
      <c r="DD61" s="517" t="e">
        <f>#REF!</f>
        <v>#REF!</v>
      </c>
      <c r="DE61" s="521" t="e">
        <f>IF(#REF!="Plato perforado","PP",IF(OR(#REF!=0,#REF!=""),"",#REF!))</f>
        <v>#REF!</v>
      </c>
      <c r="DF61" s="522" t="e">
        <f>#REF!</f>
        <v>#REF!</v>
      </c>
      <c r="DG61" s="523" t="e">
        <f>#REF!</f>
        <v>#REF!</v>
      </c>
      <c r="DH61" s="525"/>
    </row>
    <row r="62" spans="3:112" x14ac:dyDescent="0.3">
      <c r="C62" s="471" t="str">
        <f>IF(OR(Inyección!B62="",Inyección!N62="",Inyección!P62=""),"",INDEX($C$26:$C$29,Inyección!C62)&amp;" de "&amp;TEXT(Inyección!N62,"00")&amp;""""&amp;" × "&amp;TEXT(Inyección!P62,"00")&amp;""""&amp;IF(Inyección!C62=1,", "&amp;Inyección!R62&amp;IF(Inyección!R62=1," vía",IF(OR(Inyección!R62=2,Inyección!R62=3,Inyección!R62=4)," vías","")),""))</f>
        <v/>
      </c>
      <c r="F62"/>
      <c r="H62" s="471">
        <f t="shared" si="7"/>
        <v>0</v>
      </c>
      <c r="I62" s="471" t="str">
        <f t="shared" si="8"/>
        <v>0</v>
      </c>
      <c r="J62" s="471" t="str">
        <f t="shared" si="9"/>
        <v/>
      </c>
      <c r="K62" s="471" t="str">
        <f t="shared" si="9"/>
        <v/>
      </c>
      <c r="L62" s="471" t="str">
        <f t="shared" si="9"/>
        <v/>
      </c>
      <c r="M62"/>
      <c r="N62" s="471">
        <f t="shared" si="1"/>
        <v>0</v>
      </c>
      <c r="O62"/>
      <c r="P62" s="471">
        <f t="shared" si="2"/>
        <v>0</v>
      </c>
      <c r="Q62"/>
      <c r="R62" s="471">
        <f t="shared" si="3"/>
        <v>0</v>
      </c>
      <c r="T62" s="479"/>
      <c r="V62" s="479"/>
      <c r="AA62" s="474"/>
      <c r="AB62" s="496" t="str">
        <f t="shared" si="10"/>
        <v/>
      </c>
      <c r="AC62" s="497" t="str">
        <f t="shared" si="11"/>
        <v/>
      </c>
      <c r="AD62" s="474"/>
      <c r="AE62" s="472" t="e">
        <f>IF(#REF!=2,#REF!,0)</f>
        <v>#REF!</v>
      </c>
      <c r="AF62" s="472" t="e">
        <f>IF(#REF!=2,#REF!,0)</f>
        <v>#REF!</v>
      </c>
      <c r="AG62" s="472" t="e">
        <f t="shared" si="4"/>
        <v>#REF!</v>
      </c>
      <c r="AH62" s="473">
        <v>12</v>
      </c>
      <c r="AI62" s="473">
        <v>16</v>
      </c>
      <c r="AJ62" s="487">
        <f t="shared" si="12"/>
        <v>1.3333333333333333</v>
      </c>
      <c r="AK62" s="488">
        <f t="shared" si="5"/>
        <v>0</v>
      </c>
      <c r="AL62" s="488">
        <f t="shared" si="6"/>
        <v>0.75</v>
      </c>
      <c r="AM62" s="472">
        <f t="shared" si="13"/>
        <v>1216</v>
      </c>
      <c r="AN62" s="472" t="e">
        <v>#REF!</v>
      </c>
      <c r="AO62" s="472">
        <v>12</v>
      </c>
      <c r="AP62" s="472">
        <v>28</v>
      </c>
      <c r="AQ62" s="472">
        <v>12</v>
      </c>
      <c r="AR62" s="472">
        <f t="shared" si="14"/>
        <v>1228</v>
      </c>
      <c r="AS62" s="472">
        <f t="shared" si="14"/>
        <v>2812</v>
      </c>
      <c r="AT62" s="498" t="str">
        <f t="shared" si="15"/>
        <v/>
      </c>
      <c r="AU62" s="499" t="str">
        <f t="shared" si="16"/>
        <v/>
      </c>
      <c r="AV62" s="474"/>
      <c r="AW62" s="472" t="e">
        <f>IF(#REF!=3,#REF!,0)</f>
        <v>#REF!</v>
      </c>
      <c r="AX62" s="498" t="str">
        <f t="shared" si="17"/>
        <v/>
      </c>
      <c r="AY62" s="500" t="str">
        <f t="shared" si="18"/>
        <v/>
      </c>
      <c r="AZ62" s="474"/>
      <c r="BA62" s="514" t="e">
        <f>IF(#REF!="","",#REF!)</f>
        <v>#REF!</v>
      </c>
      <c r="BB62" s="526" t="e">
        <f>IF(#REF!="","",#REF!)</f>
        <v>#REF!</v>
      </c>
      <c r="BC62" s="516" t="e">
        <f>#REF!</f>
        <v>#REF!</v>
      </c>
      <c r="BD62" s="517" t="e">
        <f>#REF!</f>
        <v>#REF!</v>
      </c>
      <c r="BE62" s="518" t="e">
        <f>#REF!</f>
        <v>#REF!</v>
      </c>
      <c r="BF62" s="519" t="e">
        <f>#REF!</f>
        <v>#REF!</v>
      </c>
      <c r="BG62" s="520" t="e">
        <f>#REF!</f>
        <v>#REF!</v>
      </c>
      <c r="BH62" s="517" t="e">
        <f>#REF!</f>
        <v>#REF!</v>
      </c>
      <c r="BI62" s="521" t="e">
        <f>IF(#REF!="Plato perforado","PP",IF(OR(#REF!=0,#REF!=""),"",#REF!))</f>
        <v>#REF!</v>
      </c>
      <c r="BJ62" s="522" t="e">
        <f>#REF!</f>
        <v>#REF!</v>
      </c>
      <c r="BK62" s="523" t="e">
        <f>#REF!</f>
        <v>#REF!</v>
      </c>
      <c r="BL62" s="524"/>
      <c r="BM62" s="514" t="e">
        <f>IF(#REF!="","",#REF!)</f>
        <v>#REF!</v>
      </c>
      <c r="BN62" s="521" t="e">
        <f>IF(#REF!="","",#REF!)</f>
        <v>#REF!</v>
      </c>
      <c r="BO62" s="516" t="e">
        <f>#REF!</f>
        <v>#REF!</v>
      </c>
      <c r="BP62" s="517" t="e">
        <f>#REF!</f>
        <v>#REF!</v>
      </c>
      <c r="BQ62" s="518" t="e">
        <f>#REF!</f>
        <v>#REF!</v>
      </c>
      <c r="BR62" s="519" t="e">
        <f>#REF!</f>
        <v>#REF!</v>
      </c>
      <c r="BS62" s="520" t="e">
        <f>#REF!</f>
        <v>#REF!</v>
      </c>
      <c r="BT62" s="517" t="e">
        <f>#REF!</f>
        <v>#REF!</v>
      </c>
      <c r="BU62" s="521" t="e">
        <f>IF(#REF!="Plato perforado","PP",IF(OR(#REF!=0,#REF!=""),"",#REF!))</f>
        <v>#REF!</v>
      </c>
      <c r="BV62" s="522" t="e">
        <f>#REF!</f>
        <v>#REF!</v>
      </c>
      <c r="BW62" s="523" t="e">
        <f>#REF!</f>
        <v>#REF!</v>
      </c>
      <c r="BX62" s="524"/>
      <c r="BY62" s="514" t="e">
        <f>IF(#REF!="","",#REF!)</f>
        <v>#REF!</v>
      </c>
      <c r="BZ62" s="521" t="e">
        <f>IF(#REF!="","",#REF!)</f>
        <v>#REF!</v>
      </c>
      <c r="CA62" s="516" t="e">
        <f>#REF!</f>
        <v>#REF!</v>
      </c>
      <c r="CB62" s="517" t="e">
        <f>#REF!</f>
        <v>#REF!</v>
      </c>
      <c r="CC62" s="518" t="e">
        <f>#REF!</f>
        <v>#REF!</v>
      </c>
      <c r="CD62" s="519" t="e">
        <f>#REF!</f>
        <v>#REF!</v>
      </c>
      <c r="CE62" s="520" t="e">
        <f>#REF!</f>
        <v>#REF!</v>
      </c>
      <c r="CF62" s="517" t="e">
        <f>#REF!</f>
        <v>#REF!</v>
      </c>
      <c r="CG62" s="521" t="e">
        <f>IF(#REF!="Plato perforado","PP",IF(OR(#REF!=0,#REF!=""),"",#REF!))</f>
        <v>#REF!</v>
      </c>
      <c r="CH62" s="522" t="e">
        <f>#REF!</f>
        <v>#REF!</v>
      </c>
      <c r="CI62" s="523" t="e">
        <f>#REF!</f>
        <v>#REF!</v>
      </c>
      <c r="CJ62" s="524"/>
      <c r="CK62" s="514" t="e">
        <f>IF(#REF!="","",#REF!)</f>
        <v>#REF!</v>
      </c>
      <c r="CL62" s="521" t="e">
        <f>IF(#REF!="","",#REF!)</f>
        <v>#REF!</v>
      </c>
      <c r="CM62" s="516" t="e">
        <f>#REF!</f>
        <v>#REF!</v>
      </c>
      <c r="CN62" s="517" t="e">
        <f>#REF!</f>
        <v>#REF!</v>
      </c>
      <c r="CO62" s="518" t="e">
        <f>#REF!</f>
        <v>#REF!</v>
      </c>
      <c r="CP62" s="519" t="e">
        <f>#REF!</f>
        <v>#REF!</v>
      </c>
      <c r="CQ62" s="520" t="e">
        <f>#REF!</f>
        <v>#REF!</v>
      </c>
      <c r="CR62" s="517" t="e">
        <f>#REF!</f>
        <v>#REF!</v>
      </c>
      <c r="CS62" s="521" t="e">
        <f>IF(#REF!="Plato perforado","PP",IF(OR(#REF!=0,#REF!=""),"",#REF!))</f>
        <v>#REF!</v>
      </c>
      <c r="CT62" s="522" t="e">
        <f>#REF!</f>
        <v>#REF!</v>
      </c>
      <c r="CU62" s="523" t="e">
        <f>#REF!</f>
        <v>#REF!</v>
      </c>
      <c r="CV62" s="524"/>
      <c r="CW62" s="514" t="e">
        <f>IF(#REF!="","",#REF!)</f>
        <v>#REF!</v>
      </c>
      <c r="CX62" s="521" t="e">
        <f>IF(#REF!="","",#REF!)</f>
        <v>#REF!</v>
      </c>
      <c r="CY62" s="516" t="e">
        <f>#REF!</f>
        <v>#REF!</v>
      </c>
      <c r="CZ62" s="517" t="e">
        <f>#REF!</f>
        <v>#REF!</v>
      </c>
      <c r="DA62" s="518" t="e">
        <f>#REF!</f>
        <v>#REF!</v>
      </c>
      <c r="DB62" s="519" t="e">
        <f>#REF!</f>
        <v>#REF!</v>
      </c>
      <c r="DC62" s="520" t="e">
        <f>#REF!</f>
        <v>#REF!</v>
      </c>
      <c r="DD62" s="517" t="e">
        <f>#REF!</f>
        <v>#REF!</v>
      </c>
      <c r="DE62" s="521" t="e">
        <f>IF(#REF!="Plato perforado","PP",IF(OR(#REF!=0,#REF!=""),"",#REF!))</f>
        <v>#REF!</v>
      </c>
      <c r="DF62" s="522" t="e">
        <f>#REF!</f>
        <v>#REF!</v>
      </c>
      <c r="DG62" s="523" t="e">
        <f>#REF!</f>
        <v>#REF!</v>
      </c>
      <c r="DH62" s="525"/>
    </row>
    <row r="63" spans="3:112" x14ac:dyDescent="0.3">
      <c r="C63" s="471" t="str">
        <f>IF(OR(Inyección!B63="",Inyección!N63="",Inyección!P63=""),"",INDEX($C$26:$C$29,Inyección!C63)&amp;" de "&amp;TEXT(Inyección!N63,"00")&amp;""""&amp;" × "&amp;TEXT(Inyección!P63,"00")&amp;""""&amp;IF(Inyección!C63=1,", "&amp;Inyección!R63&amp;IF(Inyección!R63=1," vía",IF(OR(Inyección!R63=2,Inyección!R63=3,Inyección!R63=4)," vías","")),""))</f>
        <v/>
      </c>
      <c r="F63"/>
      <c r="H63" s="471">
        <f t="shared" si="7"/>
        <v>0</v>
      </c>
      <c r="I63" s="471" t="str">
        <f t="shared" si="8"/>
        <v>0</v>
      </c>
      <c r="J63" s="471" t="str">
        <f t="shared" si="9"/>
        <v/>
      </c>
      <c r="K63" s="471" t="str">
        <f t="shared" si="9"/>
        <v/>
      </c>
      <c r="L63" s="471" t="str">
        <f t="shared" si="9"/>
        <v/>
      </c>
      <c r="M63"/>
      <c r="N63" s="471">
        <f t="shared" si="1"/>
        <v>0</v>
      </c>
      <c r="O63"/>
      <c r="P63" s="471">
        <f t="shared" si="2"/>
        <v>0</v>
      </c>
      <c r="Q63"/>
      <c r="R63" s="471">
        <f t="shared" si="3"/>
        <v>0</v>
      </c>
      <c r="T63" s="479"/>
      <c r="V63" s="479"/>
      <c r="AA63" s="474"/>
      <c r="AB63" s="496" t="str">
        <f t="shared" si="10"/>
        <v/>
      </c>
      <c r="AC63" s="527" t="str">
        <f t="shared" si="11"/>
        <v/>
      </c>
      <c r="AD63" s="474"/>
      <c r="AE63" s="472" t="e">
        <f>IF(#REF!=2,#REF!,0)</f>
        <v>#REF!</v>
      </c>
      <c r="AF63" s="472" t="e">
        <f>IF(#REF!=2,#REF!,0)</f>
        <v>#REF!</v>
      </c>
      <c r="AG63" s="472" t="e">
        <f t="shared" si="4"/>
        <v>#REF!</v>
      </c>
      <c r="AH63" s="473">
        <v>12</v>
      </c>
      <c r="AI63" s="473">
        <v>18</v>
      </c>
      <c r="AJ63" s="487">
        <f t="shared" si="12"/>
        <v>1.5</v>
      </c>
      <c r="AK63" s="488">
        <f t="shared" si="5"/>
        <v>0</v>
      </c>
      <c r="AL63" s="488">
        <f t="shared" si="6"/>
        <v>0.66666666666666663</v>
      </c>
      <c r="AM63" s="472">
        <f t="shared" si="13"/>
        <v>1218</v>
      </c>
      <c r="AN63" s="472" t="e">
        <v>#REF!</v>
      </c>
      <c r="AO63" s="472">
        <v>14</v>
      </c>
      <c r="AP63" s="472">
        <v>14</v>
      </c>
      <c r="AQ63" s="472">
        <v>14</v>
      </c>
      <c r="AR63" s="472">
        <f t="shared" si="14"/>
        <v>1414</v>
      </c>
      <c r="AS63" s="472">
        <f t="shared" si="14"/>
        <v>1414</v>
      </c>
      <c r="AT63" s="498" t="str">
        <f t="shared" si="15"/>
        <v/>
      </c>
      <c r="AU63" s="499" t="str">
        <f t="shared" si="16"/>
        <v/>
      </c>
      <c r="AV63" s="474"/>
      <c r="AW63" s="472" t="e">
        <f>IF(#REF!=3,#REF!,0)</f>
        <v>#REF!</v>
      </c>
      <c r="AX63" s="498" t="str">
        <f t="shared" si="17"/>
        <v/>
      </c>
      <c r="AY63" s="500" t="str">
        <f t="shared" si="18"/>
        <v/>
      </c>
      <c r="AZ63" s="474"/>
      <c r="BA63" s="514" t="e">
        <f>IF(#REF!="","",#REF!)</f>
        <v>#REF!</v>
      </c>
      <c r="BB63" s="526" t="e">
        <f>IF(#REF!="","",#REF!)</f>
        <v>#REF!</v>
      </c>
      <c r="BC63" s="516" t="e">
        <f>#REF!</f>
        <v>#REF!</v>
      </c>
      <c r="BD63" s="517" t="e">
        <f>#REF!</f>
        <v>#REF!</v>
      </c>
      <c r="BE63" s="518" t="e">
        <f>#REF!</f>
        <v>#REF!</v>
      </c>
      <c r="BF63" s="519" t="e">
        <f>#REF!</f>
        <v>#REF!</v>
      </c>
      <c r="BG63" s="520" t="e">
        <f>#REF!</f>
        <v>#REF!</v>
      </c>
      <c r="BH63" s="517" t="e">
        <f>#REF!</f>
        <v>#REF!</v>
      </c>
      <c r="BI63" s="521" t="e">
        <f>IF(#REF!="Plato perforado","PP",IF(OR(#REF!=0,#REF!=""),"",#REF!))</f>
        <v>#REF!</v>
      </c>
      <c r="BJ63" s="522" t="e">
        <f>#REF!</f>
        <v>#REF!</v>
      </c>
      <c r="BK63" s="523" t="e">
        <f>#REF!</f>
        <v>#REF!</v>
      </c>
      <c r="BL63" s="524"/>
      <c r="BM63" s="514" t="e">
        <f>IF(#REF!="","",#REF!)</f>
        <v>#REF!</v>
      </c>
      <c r="BN63" s="521" t="e">
        <f>IF(#REF!="","",#REF!)</f>
        <v>#REF!</v>
      </c>
      <c r="BO63" s="516" t="e">
        <f>#REF!</f>
        <v>#REF!</v>
      </c>
      <c r="BP63" s="517" t="e">
        <f>#REF!</f>
        <v>#REF!</v>
      </c>
      <c r="BQ63" s="518" t="e">
        <f>#REF!</f>
        <v>#REF!</v>
      </c>
      <c r="BR63" s="519" t="e">
        <f>#REF!</f>
        <v>#REF!</v>
      </c>
      <c r="BS63" s="520" t="e">
        <f>#REF!</f>
        <v>#REF!</v>
      </c>
      <c r="BT63" s="517" t="e">
        <f>#REF!</f>
        <v>#REF!</v>
      </c>
      <c r="BU63" s="521" t="e">
        <f>IF(#REF!="Plato perforado","PP",IF(OR(#REF!=0,#REF!=""),"",#REF!))</f>
        <v>#REF!</v>
      </c>
      <c r="BV63" s="522" t="e">
        <f>#REF!</f>
        <v>#REF!</v>
      </c>
      <c r="BW63" s="523" t="e">
        <f>#REF!</f>
        <v>#REF!</v>
      </c>
      <c r="BX63" s="524"/>
      <c r="BY63" s="514" t="e">
        <f>IF(#REF!="","",#REF!)</f>
        <v>#REF!</v>
      </c>
      <c r="BZ63" s="521" t="e">
        <f>IF(#REF!="","",#REF!)</f>
        <v>#REF!</v>
      </c>
      <c r="CA63" s="516" t="e">
        <f>#REF!</f>
        <v>#REF!</v>
      </c>
      <c r="CB63" s="517" t="e">
        <f>#REF!</f>
        <v>#REF!</v>
      </c>
      <c r="CC63" s="518" t="e">
        <f>#REF!</f>
        <v>#REF!</v>
      </c>
      <c r="CD63" s="519" t="e">
        <f>#REF!</f>
        <v>#REF!</v>
      </c>
      <c r="CE63" s="520" t="e">
        <f>#REF!</f>
        <v>#REF!</v>
      </c>
      <c r="CF63" s="517" t="e">
        <f>#REF!</f>
        <v>#REF!</v>
      </c>
      <c r="CG63" s="521" t="e">
        <f>IF(#REF!="Plato perforado","PP",IF(OR(#REF!=0,#REF!=""),"",#REF!))</f>
        <v>#REF!</v>
      </c>
      <c r="CH63" s="522" t="e">
        <f>#REF!</f>
        <v>#REF!</v>
      </c>
      <c r="CI63" s="523" t="e">
        <f>#REF!</f>
        <v>#REF!</v>
      </c>
      <c r="CJ63" s="524"/>
      <c r="CK63" s="514" t="e">
        <f>IF(#REF!="","",#REF!)</f>
        <v>#REF!</v>
      </c>
      <c r="CL63" s="521" t="e">
        <f>IF(#REF!="","",#REF!)</f>
        <v>#REF!</v>
      </c>
      <c r="CM63" s="516" t="e">
        <f>#REF!</f>
        <v>#REF!</v>
      </c>
      <c r="CN63" s="517" t="e">
        <f>#REF!</f>
        <v>#REF!</v>
      </c>
      <c r="CO63" s="518" t="e">
        <f>#REF!</f>
        <v>#REF!</v>
      </c>
      <c r="CP63" s="519" t="e">
        <f>#REF!</f>
        <v>#REF!</v>
      </c>
      <c r="CQ63" s="520" t="e">
        <f>#REF!</f>
        <v>#REF!</v>
      </c>
      <c r="CR63" s="517" t="e">
        <f>#REF!</f>
        <v>#REF!</v>
      </c>
      <c r="CS63" s="521" t="e">
        <f>IF(#REF!="Plato perforado","PP",IF(OR(#REF!=0,#REF!=""),"",#REF!))</f>
        <v>#REF!</v>
      </c>
      <c r="CT63" s="522" t="e">
        <f>#REF!</f>
        <v>#REF!</v>
      </c>
      <c r="CU63" s="523" t="e">
        <f>#REF!</f>
        <v>#REF!</v>
      </c>
      <c r="CV63" s="524"/>
      <c r="CW63" s="514" t="e">
        <f>IF(#REF!="","",#REF!)</f>
        <v>#REF!</v>
      </c>
      <c r="CX63" s="521" t="e">
        <f>IF(#REF!="","",#REF!)</f>
        <v>#REF!</v>
      </c>
      <c r="CY63" s="516" t="e">
        <f>#REF!</f>
        <v>#REF!</v>
      </c>
      <c r="CZ63" s="517" t="e">
        <f>#REF!</f>
        <v>#REF!</v>
      </c>
      <c r="DA63" s="518" t="e">
        <f>#REF!</f>
        <v>#REF!</v>
      </c>
      <c r="DB63" s="519" t="e">
        <f>#REF!</f>
        <v>#REF!</v>
      </c>
      <c r="DC63" s="520" t="e">
        <f>#REF!</f>
        <v>#REF!</v>
      </c>
      <c r="DD63" s="517" t="e">
        <f>#REF!</f>
        <v>#REF!</v>
      </c>
      <c r="DE63" s="521" t="e">
        <f>IF(#REF!="Plato perforado","PP",IF(OR(#REF!=0,#REF!=""),"",#REF!))</f>
        <v>#REF!</v>
      </c>
      <c r="DF63" s="522" t="e">
        <f>#REF!</f>
        <v>#REF!</v>
      </c>
      <c r="DG63" s="523" t="e">
        <f>#REF!</f>
        <v>#REF!</v>
      </c>
      <c r="DH63" s="525"/>
    </row>
    <row r="64" spans="3:112" x14ac:dyDescent="0.3">
      <c r="C64" s="471" t="str">
        <f>IF(OR(Inyección!B64="",Inyección!N64="",Inyección!P64=""),"",INDEX($C$26:$C$29,Inyección!C64)&amp;" de "&amp;TEXT(Inyección!N64,"00")&amp;""""&amp;" × "&amp;TEXT(Inyección!P64,"00")&amp;""""&amp;IF(Inyección!C64=1,", "&amp;Inyección!R64&amp;IF(Inyección!R64=1," vía",IF(OR(Inyección!R64=2,Inyección!R64=3,Inyección!R64=4)," vías","")),""))</f>
        <v/>
      </c>
      <c r="F64"/>
      <c r="H64" s="471">
        <f t="shared" si="7"/>
        <v>0</v>
      </c>
      <c r="I64" s="471" t="str">
        <f t="shared" si="8"/>
        <v>0</v>
      </c>
      <c r="J64" s="471" t="str">
        <f t="shared" si="9"/>
        <v/>
      </c>
      <c r="K64" s="471" t="str">
        <f t="shared" si="9"/>
        <v/>
      </c>
      <c r="L64" s="471" t="str">
        <f t="shared" si="9"/>
        <v/>
      </c>
      <c r="M64"/>
      <c r="N64" s="471">
        <f t="shared" si="1"/>
        <v>0</v>
      </c>
      <c r="O64"/>
      <c r="P64" s="471">
        <f t="shared" si="2"/>
        <v>0</v>
      </c>
      <c r="Q64"/>
      <c r="R64" s="471">
        <f t="shared" si="3"/>
        <v>0</v>
      </c>
      <c r="T64" s="479"/>
      <c r="V64" s="479"/>
      <c r="AA64" s="474"/>
      <c r="AB64" s="496" t="str">
        <f t="shared" si="10"/>
        <v/>
      </c>
      <c r="AC64" s="527" t="str">
        <f t="shared" si="11"/>
        <v/>
      </c>
      <c r="AD64" s="474"/>
      <c r="AE64" s="472" t="e">
        <f>IF(#REF!=2,#REF!,0)</f>
        <v>#REF!</v>
      </c>
      <c r="AF64" s="472" t="e">
        <f>IF(#REF!=2,#REF!,0)</f>
        <v>#REF!</v>
      </c>
      <c r="AG64" s="472" t="e">
        <f t="shared" si="4"/>
        <v>#REF!</v>
      </c>
      <c r="AH64" s="473">
        <v>12</v>
      </c>
      <c r="AI64" s="473">
        <v>20</v>
      </c>
      <c r="AJ64" s="487">
        <f t="shared" si="12"/>
        <v>1.6666666666666667</v>
      </c>
      <c r="AK64" s="488">
        <f t="shared" si="5"/>
        <v>0</v>
      </c>
      <c r="AL64" s="488">
        <f t="shared" si="6"/>
        <v>0.6</v>
      </c>
      <c r="AM64" s="472">
        <f t="shared" si="13"/>
        <v>1220</v>
      </c>
      <c r="AN64" s="472" t="e">
        <v>#REF!</v>
      </c>
      <c r="AO64" s="472">
        <v>14</v>
      </c>
      <c r="AP64" s="472">
        <v>16</v>
      </c>
      <c r="AQ64" s="472">
        <v>14</v>
      </c>
      <c r="AR64" s="472">
        <f t="shared" si="14"/>
        <v>1416</v>
      </c>
      <c r="AS64" s="472">
        <f t="shared" si="14"/>
        <v>1614</v>
      </c>
      <c r="AT64" s="498" t="str">
        <f t="shared" si="15"/>
        <v/>
      </c>
      <c r="AU64" s="499" t="str">
        <f t="shared" si="16"/>
        <v/>
      </c>
      <c r="AV64" s="474"/>
      <c r="AW64" s="472" t="e">
        <f>IF(#REF!=3,#REF!,0)</f>
        <v>#REF!</v>
      </c>
      <c r="AX64" s="498" t="str">
        <f t="shared" si="17"/>
        <v/>
      </c>
      <c r="AY64" s="500" t="str">
        <f t="shared" si="18"/>
        <v/>
      </c>
      <c r="AZ64" s="474"/>
      <c r="BA64" s="528" t="e">
        <f>IF(#REF!="","",#REF!)</f>
        <v>#REF!</v>
      </c>
      <c r="BB64" s="529" t="e">
        <f>IF(#REF!="","",#REF!)</f>
        <v>#REF!</v>
      </c>
      <c r="BC64" s="530" t="e">
        <f>#REF!</f>
        <v>#REF!</v>
      </c>
      <c r="BD64" s="531" t="e">
        <f>#REF!</f>
        <v>#REF!</v>
      </c>
      <c r="BE64" s="532" t="e">
        <f>#REF!</f>
        <v>#REF!</v>
      </c>
      <c r="BF64" s="533" t="e">
        <f>#REF!</f>
        <v>#REF!</v>
      </c>
      <c r="BG64" s="534" t="e">
        <f>#REF!</f>
        <v>#REF!</v>
      </c>
      <c r="BH64" s="531" t="e">
        <f>#REF!</f>
        <v>#REF!</v>
      </c>
      <c r="BI64" s="535" t="e">
        <f>IF(#REF!="Plato perforado","PP",IF(OR(#REF!=0,#REF!=""),"",#REF!))</f>
        <v>#REF!</v>
      </c>
      <c r="BJ64" s="536" t="e">
        <f>#REF!</f>
        <v>#REF!</v>
      </c>
      <c r="BK64" s="537" t="e">
        <f>#REF!</f>
        <v>#REF!</v>
      </c>
      <c r="BL64" s="538"/>
      <c r="BM64" s="528" t="e">
        <f>IF(#REF!="","",#REF!)</f>
        <v>#REF!</v>
      </c>
      <c r="BN64" s="535" t="e">
        <f>IF(#REF!="","",#REF!)</f>
        <v>#REF!</v>
      </c>
      <c r="BO64" s="530" t="e">
        <f>#REF!</f>
        <v>#REF!</v>
      </c>
      <c r="BP64" s="531" t="e">
        <f>#REF!</f>
        <v>#REF!</v>
      </c>
      <c r="BQ64" s="532" t="e">
        <f>#REF!</f>
        <v>#REF!</v>
      </c>
      <c r="BR64" s="533" t="e">
        <f>#REF!</f>
        <v>#REF!</v>
      </c>
      <c r="BS64" s="534" t="e">
        <f>#REF!</f>
        <v>#REF!</v>
      </c>
      <c r="BT64" s="531" t="e">
        <f>#REF!</f>
        <v>#REF!</v>
      </c>
      <c r="BU64" s="535" t="e">
        <f>IF(#REF!="Plato perforado","PP",IF(OR(#REF!=0,#REF!=""),"",#REF!))</f>
        <v>#REF!</v>
      </c>
      <c r="BV64" s="536" t="e">
        <f>#REF!</f>
        <v>#REF!</v>
      </c>
      <c r="BW64" s="537" t="e">
        <f>#REF!</f>
        <v>#REF!</v>
      </c>
      <c r="BX64" s="538"/>
      <c r="BY64" s="528" t="e">
        <f>IF(#REF!="","",#REF!)</f>
        <v>#REF!</v>
      </c>
      <c r="BZ64" s="535" t="e">
        <f>IF(#REF!="","",#REF!)</f>
        <v>#REF!</v>
      </c>
      <c r="CA64" s="530" t="e">
        <f>#REF!</f>
        <v>#REF!</v>
      </c>
      <c r="CB64" s="531" t="e">
        <f>#REF!</f>
        <v>#REF!</v>
      </c>
      <c r="CC64" s="532" t="e">
        <f>#REF!</f>
        <v>#REF!</v>
      </c>
      <c r="CD64" s="533" t="e">
        <f>#REF!</f>
        <v>#REF!</v>
      </c>
      <c r="CE64" s="534" t="e">
        <f>#REF!</f>
        <v>#REF!</v>
      </c>
      <c r="CF64" s="531" t="e">
        <f>#REF!</f>
        <v>#REF!</v>
      </c>
      <c r="CG64" s="535" t="e">
        <f>IF(#REF!="Plato perforado","PP",IF(OR(#REF!=0,#REF!=""),"",#REF!))</f>
        <v>#REF!</v>
      </c>
      <c r="CH64" s="536" t="e">
        <f>#REF!</f>
        <v>#REF!</v>
      </c>
      <c r="CI64" s="537" t="e">
        <f>#REF!</f>
        <v>#REF!</v>
      </c>
      <c r="CJ64" s="538"/>
      <c r="CK64" s="528" t="e">
        <f>IF(#REF!="","",#REF!)</f>
        <v>#REF!</v>
      </c>
      <c r="CL64" s="535" t="e">
        <f>IF(#REF!="","",#REF!)</f>
        <v>#REF!</v>
      </c>
      <c r="CM64" s="530" t="e">
        <f>#REF!</f>
        <v>#REF!</v>
      </c>
      <c r="CN64" s="531" t="e">
        <f>#REF!</f>
        <v>#REF!</v>
      </c>
      <c r="CO64" s="532" t="e">
        <f>#REF!</f>
        <v>#REF!</v>
      </c>
      <c r="CP64" s="533" t="e">
        <f>#REF!</f>
        <v>#REF!</v>
      </c>
      <c r="CQ64" s="534" t="e">
        <f>#REF!</f>
        <v>#REF!</v>
      </c>
      <c r="CR64" s="531" t="e">
        <f>#REF!</f>
        <v>#REF!</v>
      </c>
      <c r="CS64" s="535" t="e">
        <f>IF(#REF!="Plato perforado","PP",IF(OR(#REF!=0,#REF!=""),"",#REF!))</f>
        <v>#REF!</v>
      </c>
      <c r="CT64" s="536" t="e">
        <f>#REF!</f>
        <v>#REF!</v>
      </c>
      <c r="CU64" s="537" t="e">
        <f>#REF!</f>
        <v>#REF!</v>
      </c>
      <c r="CV64" s="538"/>
      <c r="CW64" s="528" t="e">
        <f>IF(#REF!="","",#REF!)</f>
        <v>#REF!</v>
      </c>
      <c r="CX64" s="535" t="e">
        <f>IF(#REF!="","",#REF!)</f>
        <v>#REF!</v>
      </c>
      <c r="CY64" s="530" t="e">
        <f>#REF!</f>
        <v>#REF!</v>
      </c>
      <c r="CZ64" s="531" t="e">
        <f>#REF!</f>
        <v>#REF!</v>
      </c>
      <c r="DA64" s="532" t="e">
        <f>#REF!</f>
        <v>#REF!</v>
      </c>
      <c r="DB64" s="533" t="e">
        <f>#REF!</f>
        <v>#REF!</v>
      </c>
      <c r="DC64" s="534" t="e">
        <f>#REF!</f>
        <v>#REF!</v>
      </c>
      <c r="DD64" s="531" t="e">
        <f>#REF!</f>
        <v>#REF!</v>
      </c>
      <c r="DE64" s="535" t="e">
        <f>IF(#REF!="Plato perforado","PP",IF(OR(#REF!=0,#REF!=""),"",#REF!))</f>
        <v>#REF!</v>
      </c>
      <c r="DF64" s="536" t="e">
        <f>#REF!</f>
        <v>#REF!</v>
      </c>
      <c r="DG64" s="537" t="e">
        <f>#REF!</f>
        <v>#REF!</v>
      </c>
      <c r="DH64" s="539"/>
    </row>
    <row r="65" spans="3:52" x14ac:dyDescent="0.3">
      <c r="C65" s="471" t="str">
        <f>IF(OR(Inyección!B65="",Inyección!N65="",Inyección!P65=""),"",INDEX($C$26:$C$29,Inyección!C65)&amp;" de "&amp;TEXT(Inyección!N65,"00")&amp;""""&amp;" × "&amp;TEXT(Inyección!P65,"00")&amp;""""&amp;IF(Inyección!C65=1,", "&amp;Inyección!R65&amp;IF(Inyección!R65=1," vía",IF(OR(Inyección!R65=2,Inyección!R65=3,Inyección!R65=4)," vías","")),""))</f>
        <v/>
      </c>
      <c r="F65"/>
      <c r="H65" s="471">
        <f t="shared" si="7"/>
        <v>0</v>
      </c>
      <c r="I65" s="471" t="str">
        <f t="shared" si="8"/>
        <v>0</v>
      </c>
      <c r="J65" s="471" t="str">
        <f t="shared" si="9"/>
        <v/>
      </c>
      <c r="K65" s="471" t="str">
        <f t="shared" si="9"/>
        <v/>
      </c>
      <c r="L65" s="471" t="str">
        <f t="shared" si="9"/>
        <v/>
      </c>
      <c r="M65"/>
      <c r="N65" s="471">
        <f t="shared" si="1"/>
        <v>0</v>
      </c>
      <c r="O65"/>
      <c r="P65" s="471">
        <f t="shared" si="2"/>
        <v>0</v>
      </c>
      <c r="Q65"/>
      <c r="R65" s="471">
        <f t="shared" si="3"/>
        <v>0</v>
      </c>
      <c r="T65" s="479"/>
      <c r="V65" s="479"/>
      <c r="AA65" s="474"/>
      <c r="AB65" s="496" t="str">
        <f t="shared" si="10"/>
        <v/>
      </c>
      <c r="AC65" s="527" t="str">
        <f t="shared" si="11"/>
        <v/>
      </c>
      <c r="AD65" s="474"/>
      <c r="AE65" s="472" t="e">
        <f>IF(#REF!=2,#REF!,0)</f>
        <v>#REF!</v>
      </c>
      <c r="AF65" s="472" t="e">
        <f>IF(#REF!=2,#REF!,0)</f>
        <v>#REF!</v>
      </c>
      <c r="AG65" s="472" t="e">
        <f t="shared" si="4"/>
        <v>#REF!</v>
      </c>
      <c r="AH65" s="473">
        <v>12</v>
      </c>
      <c r="AI65" s="473">
        <v>22</v>
      </c>
      <c r="AJ65" s="487">
        <f t="shared" si="12"/>
        <v>1.8333333333333333</v>
      </c>
      <c r="AK65" s="488">
        <f t="shared" si="5"/>
        <v>0</v>
      </c>
      <c r="AL65" s="488">
        <f t="shared" si="6"/>
        <v>0.54545454545454541</v>
      </c>
      <c r="AM65" s="472">
        <f t="shared" si="13"/>
        <v>1222</v>
      </c>
      <c r="AN65" s="472" t="e">
        <v>#REF!</v>
      </c>
      <c r="AO65" s="472">
        <v>14</v>
      </c>
      <c r="AP65" s="472">
        <v>18</v>
      </c>
      <c r="AQ65" s="472">
        <v>14</v>
      </c>
      <c r="AR65" s="472">
        <f t="shared" si="14"/>
        <v>1418</v>
      </c>
      <c r="AS65" s="472">
        <f t="shared" si="14"/>
        <v>1814</v>
      </c>
      <c r="AT65" s="498" t="str">
        <f t="shared" si="15"/>
        <v/>
      </c>
      <c r="AU65" s="499" t="str">
        <f t="shared" si="16"/>
        <v/>
      </c>
      <c r="AV65" s="474"/>
      <c r="AW65" s="472" t="e">
        <f>IF(#REF!=3,#REF!,0)</f>
        <v>#REF!</v>
      </c>
      <c r="AX65" s="498" t="str">
        <f t="shared" si="17"/>
        <v/>
      </c>
      <c r="AY65" s="500" t="str">
        <f t="shared" si="18"/>
        <v/>
      </c>
      <c r="AZ65" s="474"/>
    </row>
    <row r="66" spans="3:52" x14ac:dyDescent="0.3">
      <c r="C66" s="471" t="str">
        <f>IF(OR(Inyección!B66="",Inyección!N66="",Inyección!P66=""),"",INDEX($C$26:$C$29,Inyección!C66)&amp;" de "&amp;TEXT(Inyección!N66,"00")&amp;""""&amp;" × "&amp;TEXT(Inyección!P66,"00")&amp;""""&amp;IF(Inyección!C66=1,", "&amp;Inyección!R66&amp;IF(Inyección!R66=1," vía",IF(OR(Inyección!R66=2,Inyección!R66=3,Inyección!R66=4)," vías","")),""))</f>
        <v/>
      </c>
      <c r="F66"/>
      <c r="H66" s="471">
        <f t="shared" si="7"/>
        <v>0</v>
      </c>
      <c r="I66" s="471" t="str">
        <f t="shared" si="8"/>
        <v>0</v>
      </c>
      <c r="J66" s="471" t="str">
        <f t="shared" si="9"/>
        <v/>
      </c>
      <c r="K66" s="471" t="str">
        <f t="shared" si="9"/>
        <v/>
      </c>
      <c r="L66" s="471" t="str">
        <f t="shared" si="9"/>
        <v/>
      </c>
      <c r="M66"/>
      <c r="N66" s="471">
        <f t="shared" ref="N66:N97" si="19">COUNTIF(DISP_INY,M66)</f>
        <v>0</v>
      </c>
      <c r="O66"/>
      <c r="P66" s="471">
        <f t="shared" ref="P66:P97" si="20">COUNTIF(DISP_INY,O66)</f>
        <v>0</v>
      </c>
      <c r="Q66"/>
      <c r="R66" s="471">
        <f t="shared" ref="R66:R97" si="21">COUNTIF(DISP_INY,Q66)</f>
        <v>0</v>
      </c>
      <c r="T66" s="479"/>
      <c r="V66" s="479"/>
      <c r="AA66" s="474"/>
      <c r="AB66" s="496" t="str">
        <f t="shared" si="10"/>
        <v/>
      </c>
      <c r="AC66" s="527" t="str">
        <f t="shared" si="11"/>
        <v/>
      </c>
      <c r="AD66" s="474"/>
      <c r="AE66" s="472" t="e">
        <f>IF(#REF!=2,#REF!,0)</f>
        <v>#REF!</v>
      </c>
      <c r="AF66" s="472" t="e">
        <f>IF(#REF!=2,#REF!,0)</f>
        <v>#REF!</v>
      </c>
      <c r="AG66" s="472" t="e">
        <f t="shared" si="4"/>
        <v>#REF!</v>
      </c>
      <c r="AH66" s="473">
        <v>12</v>
      </c>
      <c r="AI66" s="473">
        <v>24</v>
      </c>
      <c r="AJ66" s="487">
        <f t="shared" si="12"/>
        <v>2</v>
      </c>
      <c r="AK66" s="488">
        <f t="shared" si="5"/>
        <v>0</v>
      </c>
      <c r="AL66" s="488">
        <f t="shared" si="6"/>
        <v>0.5</v>
      </c>
      <c r="AM66" s="472">
        <f t="shared" si="13"/>
        <v>1224</v>
      </c>
      <c r="AN66" s="472" t="e">
        <v>#REF!</v>
      </c>
      <c r="AO66" s="472">
        <v>14</v>
      </c>
      <c r="AP66" s="472">
        <v>20</v>
      </c>
      <c r="AQ66" s="472">
        <v>14</v>
      </c>
      <c r="AR66" s="472">
        <f t="shared" si="14"/>
        <v>1420</v>
      </c>
      <c r="AS66" s="472">
        <f t="shared" si="14"/>
        <v>2014</v>
      </c>
      <c r="AT66" s="498" t="str">
        <f t="shared" si="15"/>
        <v/>
      </c>
      <c r="AU66" s="499" t="str">
        <f t="shared" si="16"/>
        <v/>
      </c>
      <c r="AV66" s="474"/>
      <c r="AW66" s="472" t="e">
        <f>IF(#REF!=3,#REF!,0)</f>
        <v>#REF!</v>
      </c>
      <c r="AX66" s="498" t="str">
        <f t="shared" si="17"/>
        <v/>
      </c>
      <c r="AY66" s="500" t="str">
        <f t="shared" si="18"/>
        <v/>
      </c>
      <c r="AZ66" s="474"/>
    </row>
    <row r="67" spans="3:52" x14ac:dyDescent="0.3">
      <c r="C67" s="471" t="str">
        <f>IF(OR(Inyección!B67="",Inyección!N67="",Inyección!P67=""),"",INDEX($C$26:$C$29,Inyección!C67)&amp;" de "&amp;TEXT(Inyección!N67,"00")&amp;""""&amp;" × "&amp;TEXT(Inyección!P67,"00")&amp;""""&amp;IF(Inyección!C67=1,", "&amp;Inyección!R67&amp;IF(Inyección!R67=1," vía",IF(OR(Inyección!R67=2,Inyección!R67=3,Inyección!R67=4)," vías","")),""))</f>
        <v/>
      </c>
      <c r="F67"/>
      <c r="H67" s="471">
        <f t="shared" si="7"/>
        <v>0</v>
      </c>
      <c r="I67" s="471" t="str">
        <f t="shared" si="8"/>
        <v>0</v>
      </c>
      <c r="J67" s="471" t="str">
        <f t="shared" ref="J67:L98" si="22">IF($I67=J$33,$H67,"")</f>
        <v/>
      </c>
      <c r="K67" s="471" t="str">
        <f t="shared" si="22"/>
        <v/>
      </c>
      <c r="L67" s="471" t="str">
        <f t="shared" si="22"/>
        <v/>
      </c>
      <c r="M67"/>
      <c r="N67" s="471">
        <f t="shared" si="19"/>
        <v>0</v>
      </c>
      <c r="O67"/>
      <c r="P67" s="471">
        <f t="shared" si="20"/>
        <v>0</v>
      </c>
      <c r="Q67"/>
      <c r="R67" s="471">
        <f t="shared" si="21"/>
        <v>0</v>
      </c>
      <c r="T67" s="479"/>
      <c r="V67" s="479"/>
      <c r="AA67" s="474"/>
      <c r="AB67" s="496" t="str">
        <f t="shared" si="10"/>
        <v/>
      </c>
      <c r="AC67" s="527" t="str">
        <f t="shared" si="11"/>
        <v/>
      </c>
      <c r="AD67" s="474"/>
      <c r="AE67" s="472" t="e">
        <f>IF(#REF!=2,#REF!,0)</f>
        <v>#REF!</v>
      </c>
      <c r="AF67" s="472" t="e">
        <f>IF(#REF!=2,#REF!,0)</f>
        <v>#REF!</v>
      </c>
      <c r="AG67" s="472" t="e">
        <f t="shared" si="4"/>
        <v>#REF!</v>
      </c>
      <c r="AH67" s="473">
        <v>12</v>
      </c>
      <c r="AI67" s="473">
        <v>26</v>
      </c>
      <c r="AJ67" s="487">
        <f t="shared" si="12"/>
        <v>2.1666666666666665</v>
      </c>
      <c r="AK67" s="488">
        <f t="shared" si="5"/>
        <v>0</v>
      </c>
      <c r="AL67" s="488">
        <f t="shared" si="6"/>
        <v>0.46153846153846156</v>
      </c>
      <c r="AM67" s="472">
        <f t="shared" si="13"/>
        <v>1226</v>
      </c>
      <c r="AN67" s="472" t="e">
        <v>#REF!</v>
      </c>
      <c r="AO67" s="472">
        <v>14</v>
      </c>
      <c r="AP67" s="472">
        <v>22</v>
      </c>
      <c r="AQ67" s="472">
        <v>14</v>
      </c>
      <c r="AR67" s="472">
        <f t="shared" si="14"/>
        <v>1422</v>
      </c>
      <c r="AS67" s="472">
        <f t="shared" si="14"/>
        <v>2214</v>
      </c>
      <c r="AT67" s="498" t="str">
        <f t="shared" si="15"/>
        <v/>
      </c>
      <c r="AU67" s="499" t="str">
        <f t="shared" si="16"/>
        <v/>
      </c>
      <c r="AV67" s="474"/>
      <c r="AW67" s="472" t="e">
        <f>IF(#REF!=3,#REF!,0)</f>
        <v>#REF!</v>
      </c>
      <c r="AX67" s="498" t="str">
        <f t="shared" si="17"/>
        <v/>
      </c>
      <c r="AY67" s="500" t="str">
        <f t="shared" si="18"/>
        <v/>
      </c>
      <c r="AZ67" s="474"/>
    </row>
    <row r="68" spans="3:52" x14ac:dyDescent="0.3">
      <c r="C68" s="471" t="str">
        <f>IF(OR(Inyección!B68="",Inyección!N68="",Inyección!P68=""),"",INDEX($C$26:$C$29,Inyección!C68)&amp;" de "&amp;TEXT(Inyección!N68,"00")&amp;""""&amp;" × "&amp;TEXT(Inyección!P68,"00")&amp;""""&amp;IF(Inyección!C68=1,", "&amp;Inyección!R68&amp;IF(Inyección!R68=1," vía",IF(OR(Inyección!R68=2,Inyección!R68=3,Inyección!R68=4)," vías","")),""))</f>
        <v/>
      </c>
      <c r="F68"/>
      <c r="H68" s="471">
        <f t="shared" si="7"/>
        <v>0</v>
      </c>
      <c r="I68" s="471" t="str">
        <f t="shared" si="8"/>
        <v>0</v>
      </c>
      <c r="J68" s="471" t="str">
        <f t="shared" si="22"/>
        <v/>
      </c>
      <c r="K68" s="471" t="str">
        <f t="shared" si="22"/>
        <v/>
      </c>
      <c r="L68" s="471" t="str">
        <f t="shared" si="22"/>
        <v/>
      </c>
      <c r="M68"/>
      <c r="N68" s="471">
        <f t="shared" si="19"/>
        <v>0</v>
      </c>
      <c r="O68"/>
      <c r="P68" s="471">
        <f t="shared" si="20"/>
        <v>0</v>
      </c>
      <c r="Q68"/>
      <c r="R68" s="471">
        <f t="shared" si="21"/>
        <v>0</v>
      </c>
      <c r="T68" s="479"/>
      <c r="V68" s="479"/>
      <c r="AA68" s="474"/>
      <c r="AB68" s="496" t="str">
        <f t="shared" si="10"/>
        <v/>
      </c>
      <c r="AC68" s="527" t="str">
        <f t="shared" si="11"/>
        <v/>
      </c>
      <c r="AD68" s="474"/>
      <c r="AE68" s="472" t="e">
        <f>IF(#REF!=2,#REF!,0)</f>
        <v>#REF!</v>
      </c>
      <c r="AF68" s="472" t="e">
        <f>IF(#REF!=2,#REF!,0)</f>
        <v>#REF!</v>
      </c>
      <c r="AG68" s="472" t="e">
        <f t="shared" si="4"/>
        <v>#REF!</v>
      </c>
      <c r="AH68" s="473">
        <v>12</v>
      </c>
      <c r="AI68" s="473">
        <v>28</v>
      </c>
      <c r="AJ68" s="487">
        <f t="shared" si="12"/>
        <v>2.3333333333333335</v>
      </c>
      <c r="AK68" s="488">
        <f t="shared" si="5"/>
        <v>0</v>
      </c>
      <c r="AL68" s="488">
        <f t="shared" si="6"/>
        <v>0.42857142857142855</v>
      </c>
      <c r="AM68" s="472">
        <f t="shared" si="13"/>
        <v>1228</v>
      </c>
      <c r="AN68" s="472" t="e">
        <v>#REF!</v>
      </c>
      <c r="AO68" s="472">
        <v>14</v>
      </c>
      <c r="AP68" s="472">
        <v>24</v>
      </c>
      <c r="AQ68" s="472">
        <v>14</v>
      </c>
      <c r="AR68" s="472">
        <f t="shared" si="14"/>
        <v>1424</v>
      </c>
      <c r="AS68" s="472">
        <f t="shared" si="14"/>
        <v>2414</v>
      </c>
      <c r="AT68" s="498" t="str">
        <f t="shared" si="15"/>
        <v/>
      </c>
      <c r="AU68" s="499" t="str">
        <f t="shared" si="16"/>
        <v/>
      </c>
      <c r="AV68" s="474"/>
      <c r="AW68" s="472" t="e">
        <f>IF(#REF!=3,#REF!,0)</f>
        <v>#REF!</v>
      </c>
      <c r="AX68" s="498" t="str">
        <f t="shared" si="17"/>
        <v/>
      </c>
      <c r="AY68" s="500" t="str">
        <f t="shared" si="18"/>
        <v/>
      </c>
      <c r="AZ68" s="474"/>
    </row>
    <row r="69" spans="3:52" x14ac:dyDescent="0.3">
      <c r="C69" s="471" t="str">
        <f>IF(OR(Inyección!B69="",Inyección!N69="",Inyección!P69=""),"",INDEX($C$26:$C$29,Inyección!C69)&amp;" de "&amp;TEXT(Inyección!N69,"00")&amp;""""&amp;" × "&amp;TEXT(Inyección!P69,"00")&amp;""""&amp;IF(Inyección!C69=1,", "&amp;Inyección!R69&amp;IF(Inyección!R69=1," vía",IF(OR(Inyección!R69=2,Inyección!R69=3,Inyección!R69=4)," vías","")),""))</f>
        <v/>
      </c>
      <c r="F69"/>
      <c r="H69" s="471">
        <f t="shared" si="7"/>
        <v>0</v>
      </c>
      <c r="I69" s="471" t="str">
        <f t="shared" si="8"/>
        <v>0</v>
      </c>
      <c r="J69" s="471" t="str">
        <f t="shared" si="22"/>
        <v/>
      </c>
      <c r="K69" s="471" t="str">
        <f t="shared" si="22"/>
        <v/>
      </c>
      <c r="L69" s="471" t="str">
        <f t="shared" si="22"/>
        <v/>
      </c>
      <c r="M69"/>
      <c r="N69" s="471">
        <f t="shared" si="19"/>
        <v>0</v>
      </c>
      <c r="O69"/>
      <c r="P69" s="471">
        <f t="shared" si="20"/>
        <v>0</v>
      </c>
      <c r="Q69"/>
      <c r="R69" s="471">
        <f t="shared" si="21"/>
        <v>0</v>
      </c>
      <c r="T69" s="479"/>
      <c r="V69" s="479"/>
      <c r="AA69" s="474"/>
      <c r="AB69" s="496" t="str">
        <f t="shared" si="10"/>
        <v/>
      </c>
      <c r="AC69" s="527" t="str">
        <f t="shared" si="11"/>
        <v/>
      </c>
      <c r="AD69" s="474"/>
      <c r="AE69" s="472" t="e">
        <f>IF(#REF!=2,#REF!,0)</f>
        <v>#REF!</v>
      </c>
      <c r="AF69" s="472" t="e">
        <f>IF(#REF!=2,#REF!,0)</f>
        <v>#REF!</v>
      </c>
      <c r="AG69" s="472" t="e">
        <f t="shared" si="4"/>
        <v>#REF!</v>
      </c>
      <c r="AH69" s="473">
        <v>14</v>
      </c>
      <c r="AI69" s="473">
        <v>6</v>
      </c>
      <c r="AJ69" s="487">
        <f t="shared" si="12"/>
        <v>0.58333333333333337</v>
      </c>
      <c r="AK69" s="488">
        <f t="shared" si="5"/>
        <v>0</v>
      </c>
      <c r="AL69" s="488">
        <f t="shared" si="6"/>
        <v>2.3333333333333335</v>
      </c>
      <c r="AM69" s="472">
        <f t="shared" si="13"/>
        <v>1406</v>
      </c>
      <c r="AN69" s="472" t="e">
        <v>#REF!</v>
      </c>
      <c r="AO69" s="472">
        <v>14</v>
      </c>
      <c r="AP69" s="472">
        <v>26</v>
      </c>
      <c r="AQ69" s="472">
        <v>14</v>
      </c>
      <c r="AR69" s="472">
        <f t="shared" si="14"/>
        <v>1426</v>
      </c>
      <c r="AS69" s="472">
        <f t="shared" si="14"/>
        <v>2614</v>
      </c>
      <c r="AT69" s="498" t="str">
        <f t="shared" si="15"/>
        <v/>
      </c>
      <c r="AU69" s="499" t="str">
        <f t="shared" si="16"/>
        <v/>
      </c>
      <c r="AV69" s="474"/>
      <c r="AW69" s="472" t="e">
        <f>IF(#REF!=3,#REF!,0)</f>
        <v>#REF!</v>
      </c>
      <c r="AX69" s="498" t="str">
        <f t="shared" si="17"/>
        <v/>
      </c>
      <c r="AY69" s="500" t="str">
        <f t="shared" si="18"/>
        <v/>
      </c>
      <c r="AZ69" s="474"/>
    </row>
    <row r="70" spans="3:52" x14ac:dyDescent="0.3">
      <c r="C70" s="471" t="str">
        <f>IF(OR(Inyección!B70="",Inyección!N70="",Inyección!P70=""),"",INDEX($C$26:$C$29,Inyección!C70)&amp;" de "&amp;TEXT(Inyección!N70,"00")&amp;""""&amp;" × "&amp;TEXT(Inyección!P70,"00")&amp;""""&amp;IF(Inyección!C70=1,", "&amp;Inyección!R70&amp;IF(Inyección!R70=1," vía",IF(OR(Inyección!R70=2,Inyección!R70=3,Inyección!R70=4)," vías","")),""))</f>
        <v/>
      </c>
      <c r="F70"/>
      <c r="H70" s="471">
        <f t="shared" si="7"/>
        <v>0</v>
      </c>
      <c r="I70" s="471" t="str">
        <f t="shared" si="8"/>
        <v>0</v>
      </c>
      <c r="J70" s="471" t="str">
        <f t="shared" si="22"/>
        <v/>
      </c>
      <c r="K70" s="471" t="str">
        <f t="shared" si="22"/>
        <v/>
      </c>
      <c r="L70" s="471" t="str">
        <f t="shared" si="22"/>
        <v/>
      </c>
      <c r="M70"/>
      <c r="N70" s="471">
        <f t="shared" si="19"/>
        <v>0</v>
      </c>
      <c r="O70"/>
      <c r="P70" s="471">
        <f t="shared" si="20"/>
        <v>0</v>
      </c>
      <c r="Q70"/>
      <c r="R70" s="471">
        <f t="shared" si="21"/>
        <v>0</v>
      </c>
      <c r="T70" s="479"/>
      <c r="V70" s="479"/>
      <c r="AA70" s="474"/>
      <c r="AB70" s="496" t="str">
        <f t="shared" si="10"/>
        <v/>
      </c>
      <c r="AC70" s="527" t="str">
        <f t="shared" si="11"/>
        <v/>
      </c>
      <c r="AD70" s="474"/>
      <c r="AE70" s="472" t="e">
        <f>IF(#REF!=2,#REF!,0)</f>
        <v>#REF!</v>
      </c>
      <c r="AF70" s="472" t="e">
        <f>IF(#REF!=2,#REF!,0)</f>
        <v>#REF!</v>
      </c>
      <c r="AG70" s="472" t="e">
        <f t="shared" si="4"/>
        <v>#REF!</v>
      </c>
      <c r="AH70" s="473">
        <v>14</v>
      </c>
      <c r="AI70" s="473">
        <v>8</v>
      </c>
      <c r="AJ70" s="487">
        <f t="shared" si="12"/>
        <v>0.77777777777777779</v>
      </c>
      <c r="AK70" s="488">
        <f t="shared" si="5"/>
        <v>0</v>
      </c>
      <c r="AL70" s="488">
        <f t="shared" si="6"/>
        <v>1.75</v>
      </c>
      <c r="AM70" s="472">
        <f t="shared" si="13"/>
        <v>1408</v>
      </c>
      <c r="AN70" s="472" t="e">
        <v>#REF!</v>
      </c>
      <c r="AO70" s="472">
        <v>14</v>
      </c>
      <c r="AP70" s="472">
        <v>28</v>
      </c>
      <c r="AQ70" s="472">
        <v>14</v>
      </c>
      <c r="AR70" s="472">
        <f t="shared" si="14"/>
        <v>1428</v>
      </c>
      <c r="AS70" s="472">
        <f t="shared" si="14"/>
        <v>2814</v>
      </c>
      <c r="AT70" s="498" t="str">
        <f t="shared" si="15"/>
        <v/>
      </c>
      <c r="AU70" s="499" t="str">
        <f t="shared" si="16"/>
        <v/>
      </c>
      <c r="AV70" s="474"/>
      <c r="AW70" s="472" t="e">
        <f>IF(#REF!=3,#REF!,0)</f>
        <v>#REF!</v>
      </c>
      <c r="AX70" s="498" t="str">
        <f t="shared" si="17"/>
        <v/>
      </c>
      <c r="AY70" s="500" t="str">
        <f t="shared" si="18"/>
        <v/>
      </c>
      <c r="AZ70" s="474"/>
    </row>
    <row r="71" spans="3:52" x14ac:dyDescent="0.3">
      <c r="C71" s="471" t="str">
        <f>IF(OR(Inyección!B71="",Inyección!N71="",Inyección!P71=""),"",INDEX($C$26:$C$29,Inyección!C71)&amp;" de "&amp;TEXT(Inyección!N71,"00")&amp;""""&amp;" × "&amp;TEXT(Inyección!P71,"00")&amp;""""&amp;IF(Inyección!C71=1,", "&amp;Inyección!R71&amp;IF(Inyección!R71=1," vía",IF(OR(Inyección!R71=2,Inyección!R71=3,Inyección!R71=4)," vías","")),""))</f>
        <v/>
      </c>
      <c r="F71"/>
      <c r="H71" s="471">
        <f t="shared" si="7"/>
        <v>0</v>
      </c>
      <c r="I71" s="471" t="str">
        <f t="shared" si="8"/>
        <v>0</v>
      </c>
      <c r="J71" s="471" t="str">
        <f t="shared" si="22"/>
        <v/>
      </c>
      <c r="K71" s="471" t="str">
        <f t="shared" si="22"/>
        <v/>
      </c>
      <c r="L71" s="471" t="str">
        <f t="shared" si="22"/>
        <v/>
      </c>
      <c r="M71"/>
      <c r="N71" s="471">
        <f t="shared" si="19"/>
        <v>0</v>
      </c>
      <c r="O71"/>
      <c r="P71" s="471">
        <f t="shared" si="20"/>
        <v>0</v>
      </c>
      <c r="Q71"/>
      <c r="R71" s="471">
        <f t="shared" si="21"/>
        <v>0</v>
      </c>
      <c r="T71" s="479"/>
      <c r="V71" s="479"/>
      <c r="AA71" s="474"/>
      <c r="AB71" s="496" t="str">
        <f t="shared" si="10"/>
        <v/>
      </c>
      <c r="AC71" s="527" t="str">
        <f t="shared" si="11"/>
        <v/>
      </c>
      <c r="AD71" s="474"/>
      <c r="AE71" s="472" t="e">
        <f>IF(#REF!=2,#REF!,0)</f>
        <v>#REF!</v>
      </c>
      <c r="AF71" s="472" t="e">
        <f>IF(#REF!=2,#REF!,0)</f>
        <v>#REF!</v>
      </c>
      <c r="AG71" s="472" t="e">
        <f t="shared" si="4"/>
        <v>#REF!</v>
      </c>
      <c r="AH71" s="473">
        <v>14</v>
      </c>
      <c r="AI71" s="473">
        <v>10</v>
      </c>
      <c r="AJ71" s="487">
        <f t="shared" si="12"/>
        <v>0.97222222222222232</v>
      </c>
      <c r="AK71" s="488">
        <f t="shared" si="5"/>
        <v>0</v>
      </c>
      <c r="AL71" s="488">
        <f t="shared" si="6"/>
        <v>1.4</v>
      </c>
      <c r="AM71" s="472">
        <f t="shared" si="13"/>
        <v>1410</v>
      </c>
      <c r="AN71" s="472" t="e">
        <v>#REF!</v>
      </c>
      <c r="AO71" s="472">
        <v>16</v>
      </c>
      <c r="AP71" s="472">
        <v>16</v>
      </c>
      <c r="AQ71" s="472">
        <v>16</v>
      </c>
      <c r="AR71" s="472">
        <f t="shared" si="14"/>
        <v>1616</v>
      </c>
      <c r="AS71" s="472">
        <f t="shared" si="14"/>
        <v>1616</v>
      </c>
      <c r="AT71" s="498" t="str">
        <f t="shared" si="15"/>
        <v/>
      </c>
      <c r="AU71" s="499" t="str">
        <f t="shared" si="16"/>
        <v/>
      </c>
      <c r="AV71" s="474"/>
      <c r="AW71" s="472" t="e">
        <f>IF(#REF!=3,#REF!,0)</f>
        <v>#REF!</v>
      </c>
      <c r="AX71" s="498" t="str">
        <f t="shared" si="17"/>
        <v/>
      </c>
      <c r="AY71" s="500" t="str">
        <f t="shared" si="18"/>
        <v/>
      </c>
      <c r="AZ71" s="474"/>
    </row>
    <row r="72" spans="3:52" x14ac:dyDescent="0.3">
      <c r="C72" s="471" t="str">
        <f>IF(OR(Inyección!B72="",Inyección!N72="",Inyección!P72=""),"",INDEX($C$26:$C$29,Inyección!C72)&amp;" de "&amp;TEXT(Inyección!N72,"00")&amp;""""&amp;" × "&amp;TEXT(Inyección!P72,"00")&amp;""""&amp;IF(Inyección!C72=1,", "&amp;Inyección!R72&amp;IF(Inyección!R72=1," vía",IF(OR(Inyección!R72=2,Inyección!R72=3,Inyección!R72=4)," vías","")),""))</f>
        <v/>
      </c>
      <c r="F72"/>
      <c r="H72" s="471">
        <f t="shared" si="7"/>
        <v>0</v>
      </c>
      <c r="I72" s="471" t="str">
        <f t="shared" si="8"/>
        <v>0</v>
      </c>
      <c r="J72" s="471" t="str">
        <f t="shared" si="22"/>
        <v/>
      </c>
      <c r="K72" s="471" t="str">
        <f t="shared" si="22"/>
        <v/>
      </c>
      <c r="L72" s="471" t="str">
        <f t="shared" si="22"/>
        <v/>
      </c>
      <c r="M72"/>
      <c r="N72" s="471">
        <f t="shared" si="19"/>
        <v>0</v>
      </c>
      <c r="O72"/>
      <c r="P72" s="471">
        <f t="shared" si="20"/>
        <v>0</v>
      </c>
      <c r="Q72"/>
      <c r="R72" s="471">
        <f t="shared" si="21"/>
        <v>0</v>
      </c>
      <c r="T72" s="479"/>
      <c r="V72" s="479"/>
      <c r="AA72" s="474"/>
      <c r="AB72" s="540" t="str">
        <f t="shared" si="10"/>
        <v/>
      </c>
      <c r="AC72" s="541" t="str">
        <f t="shared" si="11"/>
        <v/>
      </c>
      <c r="AD72" s="474"/>
      <c r="AE72" s="472" t="e">
        <f>IF(#REF!=2,#REF!,0)</f>
        <v>#REF!</v>
      </c>
      <c r="AF72" s="472" t="e">
        <f>IF(#REF!=2,#REF!,0)</f>
        <v>#REF!</v>
      </c>
      <c r="AG72" s="472" t="e">
        <f t="shared" si="4"/>
        <v>#REF!</v>
      </c>
      <c r="AH72" s="473">
        <v>14</v>
      </c>
      <c r="AI72" s="473">
        <v>12</v>
      </c>
      <c r="AJ72" s="487">
        <f t="shared" si="12"/>
        <v>1.1666666666666667</v>
      </c>
      <c r="AK72" s="488">
        <f t="shared" si="5"/>
        <v>0</v>
      </c>
      <c r="AL72" s="488">
        <f t="shared" si="6"/>
        <v>1.1666666666666667</v>
      </c>
      <c r="AM72" s="472">
        <f t="shared" si="13"/>
        <v>1412</v>
      </c>
      <c r="AN72" s="472" t="e">
        <v>#REF!</v>
      </c>
      <c r="AO72" s="472">
        <v>16</v>
      </c>
      <c r="AP72" s="472">
        <v>18</v>
      </c>
      <c r="AQ72" s="472">
        <v>16</v>
      </c>
      <c r="AR72" s="472">
        <f t="shared" si="14"/>
        <v>1618</v>
      </c>
      <c r="AS72" s="472">
        <f t="shared" si="14"/>
        <v>1816</v>
      </c>
      <c r="AT72" s="542" t="str">
        <f t="shared" si="15"/>
        <v/>
      </c>
      <c r="AU72" s="543" t="str">
        <f t="shared" si="16"/>
        <v/>
      </c>
      <c r="AV72" s="474"/>
      <c r="AW72" s="472" t="e">
        <f>IF(#REF!=3,#REF!,0)</f>
        <v>#REF!</v>
      </c>
      <c r="AX72" s="542" t="str">
        <f t="shared" si="17"/>
        <v/>
      </c>
      <c r="AY72" s="543" t="str">
        <f t="shared" si="18"/>
        <v/>
      </c>
      <c r="AZ72" s="474"/>
    </row>
    <row r="73" spans="3:52" x14ac:dyDescent="0.3">
      <c r="C73" s="471" t="str">
        <f>IF(OR(Inyección!B73="",Inyección!N73="",Inyección!P73=""),"",INDEX($C$26:$C$29,Inyección!C73)&amp;" de "&amp;TEXT(Inyección!N73,"00")&amp;""""&amp;" × "&amp;TEXT(Inyección!P73,"00")&amp;""""&amp;IF(Inyección!C73=1,", "&amp;Inyección!R73&amp;IF(Inyección!R73=1," vía",IF(OR(Inyección!R73=2,Inyección!R73=3,Inyección!R73=4)," vías","")),""))</f>
        <v/>
      </c>
      <c r="F73"/>
      <c r="H73" s="471">
        <f t="shared" si="7"/>
        <v>0</v>
      </c>
      <c r="I73" s="471" t="str">
        <f t="shared" si="8"/>
        <v>0</v>
      </c>
      <c r="J73" s="471" t="str">
        <f t="shared" si="22"/>
        <v/>
      </c>
      <c r="K73" s="471" t="str">
        <f t="shared" si="22"/>
        <v/>
      </c>
      <c r="L73" s="471" t="str">
        <f t="shared" si="22"/>
        <v/>
      </c>
      <c r="M73"/>
      <c r="N73" s="471">
        <f t="shared" si="19"/>
        <v>0</v>
      </c>
      <c r="O73"/>
      <c r="P73" s="471">
        <f t="shared" si="20"/>
        <v>0</v>
      </c>
      <c r="Q73"/>
      <c r="R73" s="471">
        <f t="shared" si="21"/>
        <v>0</v>
      </c>
      <c r="T73" s="479"/>
      <c r="V73" s="479"/>
      <c r="AA73" s="474"/>
      <c r="AB73" s="474"/>
      <c r="AC73" s="474"/>
      <c r="AD73" s="474"/>
      <c r="AE73" s="474" t="e">
        <f>IF(#REF!=2,#REF!,0)</f>
        <v>#REF!</v>
      </c>
      <c r="AF73" s="474" t="e">
        <f>IF(#REF!=2,#REF!,0)</f>
        <v>#REF!</v>
      </c>
      <c r="AG73" s="474" t="e">
        <f t="shared" si="4"/>
        <v>#REF!</v>
      </c>
      <c r="AH73" s="477">
        <v>14</v>
      </c>
      <c r="AI73" s="477">
        <v>14</v>
      </c>
      <c r="AJ73" s="544">
        <f t="shared" si="12"/>
        <v>1.3611111111111114</v>
      </c>
      <c r="AK73" s="545">
        <f t="shared" si="5"/>
        <v>0</v>
      </c>
      <c r="AL73" s="545">
        <f t="shared" si="6"/>
        <v>1</v>
      </c>
      <c r="AM73" s="474">
        <f t="shared" si="13"/>
        <v>1414</v>
      </c>
      <c r="AN73" s="474" t="e">
        <v>#REF!</v>
      </c>
      <c r="AO73" s="474">
        <v>16</v>
      </c>
      <c r="AP73" s="474">
        <v>20</v>
      </c>
      <c r="AQ73" s="474">
        <v>16</v>
      </c>
      <c r="AR73" s="474">
        <f t="shared" si="14"/>
        <v>1620</v>
      </c>
      <c r="AS73" s="474">
        <f t="shared" si="14"/>
        <v>2016</v>
      </c>
      <c r="AT73" s="474"/>
      <c r="AU73" s="474"/>
      <c r="AV73" s="474"/>
      <c r="AW73" s="474" t="e">
        <f>IF(#REF!=3,#REF!,0)</f>
        <v>#REF!</v>
      </c>
      <c r="AX73" s="474"/>
      <c r="AY73" s="474"/>
      <c r="AZ73" s="474"/>
    </row>
    <row r="74" spans="3:52" x14ac:dyDescent="0.3">
      <c r="C74" s="471" t="str">
        <f>IF(OR(Inyección!B74="",Inyección!N74="",Inyección!P74=""),"",INDEX($C$26:$C$29,Inyección!C74)&amp;" de "&amp;TEXT(Inyección!N74,"00")&amp;""""&amp;" × "&amp;TEXT(Inyección!P74,"00")&amp;""""&amp;IF(Inyección!C74=1,", "&amp;Inyección!R74&amp;IF(Inyección!R74=1," vía",IF(OR(Inyección!R74=2,Inyección!R74=3,Inyección!R74=4)," vías","")),""))</f>
        <v/>
      </c>
      <c r="F74"/>
      <c r="H74" s="471">
        <f t="shared" si="7"/>
        <v>0</v>
      </c>
      <c r="I74" s="471" t="str">
        <f t="shared" si="8"/>
        <v>0</v>
      </c>
      <c r="J74" s="471" t="str">
        <f t="shared" si="22"/>
        <v/>
      </c>
      <c r="K74" s="471" t="str">
        <f t="shared" si="22"/>
        <v/>
      </c>
      <c r="L74" s="471" t="str">
        <f t="shared" si="22"/>
        <v/>
      </c>
      <c r="M74"/>
      <c r="N74" s="471">
        <f t="shared" si="19"/>
        <v>0</v>
      </c>
      <c r="O74"/>
      <c r="P74" s="471">
        <f t="shared" si="20"/>
        <v>0</v>
      </c>
      <c r="Q74"/>
      <c r="R74" s="471">
        <f t="shared" si="21"/>
        <v>0</v>
      </c>
      <c r="T74" s="479"/>
      <c r="V74" s="479"/>
      <c r="AE74" s="472" t="e">
        <f>IF(#REF!=2,#REF!,0)</f>
        <v>#REF!</v>
      </c>
      <c r="AF74" s="472" t="e">
        <f>IF(#REF!=2,#REF!,0)</f>
        <v>#REF!</v>
      </c>
      <c r="AG74" s="472" t="e">
        <f t="shared" si="4"/>
        <v>#REF!</v>
      </c>
      <c r="AH74" s="473">
        <v>14</v>
      </c>
      <c r="AI74" s="473">
        <v>16</v>
      </c>
      <c r="AJ74" s="487">
        <f t="shared" si="12"/>
        <v>1.5555555555555556</v>
      </c>
      <c r="AK74" s="488">
        <f t="shared" si="5"/>
        <v>0</v>
      </c>
      <c r="AL74" s="488">
        <f t="shared" si="6"/>
        <v>0.875</v>
      </c>
      <c r="AM74" s="472">
        <f t="shared" si="13"/>
        <v>1416</v>
      </c>
      <c r="AN74" s="472" t="e">
        <v>#REF!</v>
      </c>
      <c r="AO74" s="472">
        <v>16</v>
      </c>
      <c r="AP74" s="472">
        <v>22</v>
      </c>
      <c r="AQ74" s="472">
        <v>16</v>
      </c>
      <c r="AR74" s="472">
        <f t="shared" si="14"/>
        <v>1622</v>
      </c>
      <c r="AS74" s="472">
        <f t="shared" si="14"/>
        <v>2216</v>
      </c>
      <c r="AW74" s="472" t="e">
        <f>IF(#REF!=3,#REF!,0)</f>
        <v>#REF!</v>
      </c>
    </row>
    <row r="75" spans="3:52" x14ac:dyDescent="0.3">
      <c r="C75" s="471" t="str">
        <f>IF(OR(Inyección!B75="",Inyección!N75="",Inyección!P75=""),"",INDEX($C$26:$C$29,Inyección!C75)&amp;" de "&amp;TEXT(Inyección!N75,"00")&amp;""""&amp;" × "&amp;TEXT(Inyección!P75,"00")&amp;""""&amp;IF(Inyección!C75=1,", "&amp;Inyección!R75&amp;IF(Inyección!R75=1," vía",IF(OR(Inyección!R75=2,Inyección!R75=3,Inyección!R75=4)," vías","")),""))</f>
        <v/>
      </c>
      <c r="F75"/>
      <c r="H75" s="471">
        <f t="shared" si="7"/>
        <v>0</v>
      </c>
      <c r="I75" s="471" t="str">
        <f t="shared" si="8"/>
        <v>0</v>
      </c>
      <c r="J75" s="471" t="str">
        <f t="shared" si="22"/>
        <v/>
      </c>
      <c r="K75" s="471" t="str">
        <f t="shared" si="22"/>
        <v/>
      </c>
      <c r="L75" s="471" t="str">
        <f t="shared" si="22"/>
        <v/>
      </c>
      <c r="M75"/>
      <c r="N75" s="471">
        <f t="shared" si="19"/>
        <v>0</v>
      </c>
      <c r="O75"/>
      <c r="P75" s="471">
        <f t="shared" si="20"/>
        <v>0</v>
      </c>
      <c r="Q75"/>
      <c r="R75" s="471">
        <f t="shared" si="21"/>
        <v>0</v>
      </c>
      <c r="T75" s="479"/>
      <c r="V75" s="479"/>
      <c r="AE75" s="472" t="e">
        <f>IF(#REF!=2,#REF!,0)</f>
        <v>#REF!</v>
      </c>
      <c r="AF75" s="472" t="e">
        <f>IF(#REF!=2,#REF!,0)</f>
        <v>#REF!</v>
      </c>
      <c r="AG75" s="472" t="e">
        <f t="shared" si="4"/>
        <v>#REF!</v>
      </c>
      <c r="AH75" s="473">
        <v>14</v>
      </c>
      <c r="AI75" s="473">
        <v>18</v>
      </c>
      <c r="AJ75" s="487">
        <f t="shared" si="12"/>
        <v>1.75</v>
      </c>
      <c r="AK75" s="488">
        <f t="shared" si="5"/>
        <v>0</v>
      </c>
      <c r="AL75" s="488">
        <f t="shared" si="6"/>
        <v>0.77777777777777779</v>
      </c>
      <c r="AM75" s="472">
        <f t="shared" si="13"/>
        <v>1418</v>
      </c>
      <c r="AN75" s="472" t="e">
        <v>#REF!</v>
      </c>
      <c r="AO75" s="472">
        <v>16</v>
      </c>
      <c r="AP75" s="472">
        <v>24</v>
      </c>
      <c r="AQ75" s="472">
        <v>16</v>
      </c>
      <c r="AR75" s="472">
        <f t="shared" si="14"/>
        <v>1624</v>
      </c>
      <c r="AS75" s="472">
        <f t="shared" si="14"/>
        <v>2416</v>
      </c>
      <c r="AW75" s="472" t="e">
        <f>IF(#REF!=3,#REF!,0)</f>
        <v>#REF!</v>
      </c>
    </row>
    <row r="76" spans="3:52" x14ac:dyDescent="0.3">
      <c r="C76" s="471" t="str">
        <f>IF(OR(Inyección!B76="",Inyección!N76="",Inyección!P76=""),"",INDEX($C$26:$C$29,Inyección!C76)&amp;" de "&amp;TEXT(Inyección!N76,"00")&amp;""""&amp;" × "&amp;TEXT(Inyección!P76,"00")&amp;""""&amp;IF(Inyección!C76=1,", "&amp;Inyección!R76&amp;IF(Inyección!R76=1," vía",IF(OR(Inyección!R76=2,Inyección!R76=3,Inyección!R76=4)," vías","")),""))</f>
        <v/>
      </c>
      <c r="F76"/>
      <c r="H76" s="471">
        <f t="shared" si="7"/>
        <v>0</v>
      </c>
      <c r="I76" s="471" t="str">
        <f t="shared" si="8"/>
        <v>0</v>
      </c>
      <c r="J76" s="471" t="str">
        <f t="shared" si="22"/>
        <v/>
      </c>
      <c r="K76" s="471" t="str">
        <f t="shared" si="22"/>
        <v/>
      </c>
      <c r="L76" s="471" t="str">
        <f t="shared" si="22"/>
        <v/>
      </c>
      <c r="M76"/>
      <c r="N76" s="471">
        <f t="shared" si="19"/>
        <v>0</v>
      </c>
      <c r="O76"/>
      <c r="P76" s="471">
        <f t="shared" si="20"/>
        <v>0</v>
      </c>
      <c r="Q76"/>
      <c r="R76" s="471">
        <f t="shared" si="21"/>
        <v>0</v>
      </c>
      <c r="T76" s="479"/>
      <c r="V76" s="479"/>
      <c r="AE76" s="472" t="e">
        <f>IF(#REF!=2,#REF!,0)</f>
        <v>#REF!</v>
      </c>
      <c r="AF76" s="472" t="e">
        <f>IF(#REF!=2,#REF!,0)</f>
        <v>#REF!</v>
      </c>
      <c r="AG76" s="472" t="e">
        <f t="shared" si="4"/>
        <v>#REF!</v>
      </c>
      <c r="AH76" s="473">
        <v>14</v>
      </c>
      <c r="AI76" s="473">
        <v>20</v>
      </c>
      <c r="AJ76" s="487">
        <f t="shared" si="12"/>
        <v>1.9444444444444446</v>
      </c>
      <c r="AK76" s="488">
        <f t="shared" si="5"/>
        <v>0</v>
      </c>
      <c r="AL76" s="488">
        <f t="shared" si="6"/>
        <v>0.7</v>
      </c>
      <c r="AM76" s="472">
        <f t="shared" si="13"/>
        <v>1420</v>
      </c>
      <c r="AN76" s="472" t="e">
        <v>#REF!</v>
      </c>
      <c r="AO76" s="472">
        <v>18</v>
      </c>
      <c r="AP76" s="472">
        <v>18</v>
      </c>
      <c r="AQ76" s="472">
        <v>18</v>
      </c>
      <c r="AR76" s="472">
        <f t="shared" si="14"/>
        <v>1818</v>
      </c>
      <c r="AS76" s="472">
        <f t="shared" si="14"/>
        <v>1818</v>
      </c>
      <c r="AW76" s="472" t="e">
        <f>IF(#REF!=3,#REF!,0)</f>
        <v>#REF!</v>
      </c>
    </row>
    <row r="77" spans="3:52" x14ac:dyDescent="0.3">
      <c r="C77" s="471" t="str">
        <f>IF(OR(Inyección!B77="",Inyección!N77="",Inyección!P77=""),"",INDEX($C$26:$C$29,Inyección!C77)&amp;" de "&amp;TEXT(Inyección!N77,"00")&amp;""""&amp;" × "&amp;TEXT(Inyección!P77,"00")&amp;""""&amp;IF(Inyección!C77=1,", "&amp;Inyección!R77&amp;IF(Inyección!R77=1," vía",IF(OR(Inyección!R77=2,Inyección!R77=3,Inyección!R77=4)," vías","")),""))</f>
        <v/>
      </c>
      <c r="F77"/>
      <c r="H77" s="471">
        <f t="shared" si="7"/>
        <v>0</v>
      </c>
      <c r="I77" s="471" t="str">
        <f t="shared" si="8"/>
        <v>0</v>
      </c>
      <c r="J77" s="471" t="str">
        <f t="shared" si="22"/>
        <v/>
      </c>
      <c r="K77" s="471" t="str">
        <f t="shared" si="22"/>
        <v/>
      </c>
      <c r="L77" s="471" t="str">
        <f t="shared" si="22"/>
        <v/>
      </c>
      <c r="M77"/>
      <c r="N77" s="471">
        <f t="shared" si="19"/>
        <v>0</v>
      </c>
      <c r="O77"/>
      <c r="P77" s="471">
        <f t="shared" si="20"/>
        <v>0</v>
      </c>
      <c r="Q77"/>
      <c r="R77" s="471">
        <f t="shared" si="21"/>
        <v>0</v>
      </c>
      <c r="T77" s="479"/>
      <c r="V77" s="479"/>
      <c r="AE77" s="472" t="e">
        <f>IF(#REF!=2,#REF!,0)</f>
        <v>#REF!</v>
      </c>
      <c r="AF77" s="472" t="e">
        <f>IF(#REF!=2,#REF!,0)</f>
        <v>#REF!</v>
      </c>
      <c r="AG77" s="472" t="e">
        <f t="shared" si="4"/>
        <v>#REF!</v>
      </c>
      <c r="AH77" s="473">
        <v>14</v>
      </c>
      <c r="AI77" s="473">
        <v>22</v>
      </c>
      <c r="AJ77" s="487">
        <f t="shared" si="12"/>
        <v>2.1388888888888888</v>
      </c>
      <c r="AK77" s="488">
        <f t="shared" si="5"/>
        <v>0</v>
      </c>
      <c r="AL77" s="488">
        <f t="shared" si="6"/>
        <v>0.63636363636363635</v>
      </c>
      <c r="AM77" s="472">
        <f t="shared" si="13"/>
        <v>1422</v>
      </c>
      <c r="AN77" s="472" t="e">
        <v>#REF!</v>
      </c>
      <c r="AO77" s="472">
        <v>18</v>
      </c>
      <c r="AP77" s="472">
        <v>20</v>
      </c>
      <c r="AQ77" s="472">
        <v>18</v>
      </c>
      <c r="AR77" s="472">
        <f t="shared" si="14"/>
        <v>1820</v>
      </c>
      <c r="AS77" s="472">
        <f t="shared" si="14"/>
        <v>2018</v>
      </c>
      <c r="AW77" s="472" t="e">
        <f>IF(#REF!=3,#REF!,0)</f>
        <v>#REF!</v>
      </c>
    </row>
    <row r="78" spans="3:52" x14ac:dyDescent="0.3">
      <c r="C78" s="471" t="str">
        <f>IF(OR(Inyección!B78="",Inyección!N78="",Inyección!P78=""),"",INDEX($C$26:$C$29,Inyección!C78)&amp;" de "&amp;TEXT(Inyección!N78,"00")&amp;""""&amp;" × "&amp;TEXT(Inyección!P78,"00")&amp;""""&amp;IF(Inyección!C78=1,", "&amp;Inyección!R78&amp;IF(Inyección!R78=1," vía",IF(OR(Inyección!R78=2,Inyección!R78=3,Inyección!R78=4)," vías","")),""))</f>
        <v/>
      </c>
      <c r="F78"/>
      <c r="H78" s="471">
        <f t="shared" si="7"/>
        <v>0</v>
      </c>
      <c r="I78" s="471" t="str">
        <f t="shared" si="8"/>
        <v>0</v>
      </c>
      <c r="J78" s="471" t="str">
        <f t="shared" si="22"/>
        <v/>
      </c>
      <c r="K78" s="471" t="str">
        <f t="shared" si="22"/>
        <v/>
      </c>
      <c r="L78" s="471" t="str">
        <f t="shared" si="22"/>
        <v/>
      </c>
      <c r="M78"/>
      <c r="N78" s="471">
        <f t="shared" si="19"/>
        <v>0</v>
      </c>
      <c r="O78"/>
      <c r="P78" s="471">
        <f t="shared" si="20"/>
        <v>0</v>
      </c>
      <c r="Q78"/>
      <c r="R78" s="471">
        <f t="shared" si="21"/>
        <v>0</v>
      </c>
      <c r="T78" s="479"/>
      <c r="V78" s="479"/>
      <c r="AE78" s="472" t="e">
        <f>IF(#REF!=2,#REF!,0)</f>
        <v>#REF!</v>
      </c>
      <c r="AF78" s="472" t="e">
        <f>IF(#REF!=2,#REF!,0)</f>
        <v>#REF!</v>
      </c>
      <c r="AG78" s="472" t="e">
        <f t="shared" si="4"/>
        <v>#REF!</v>
      </c>
      <c r="AH78" s="473">
        <v>14</v>
      </c>
      <c r="AI78" s="473">
        <v>24</v>
      </c>
      <c r="AJ78" s="487">
        <f t="shared" si="12"/>
        <v>2.3333333333333335</v>
      </c>
      <c r="AK78" s="488">
        <f t="shared" si="5"/>
        <v>0</v>
      </c>
      <c r="AL78" s="488">
        <f t="shared" si="6"/>
        <v>0.58333333333333337</v>
      </c>
      <c r="AM78" s="472">
        <f t="shared" si="13"/>
        <v>1424</v>
      </c>
      <c r="AN78" s="472" t="e">
        <v>#REF!</v>
      </c>
      <c r="AO78" s="472">
        <v>30</v>
      </c>
      <c r="AP78" s="472">
        <v>12</v>
      </c>
      <c r="AQ78" s="472">
        <v>30</v>
      </c>
      <c r="AR78" s="472">
        <f t="shared" si="14"/>
        <v>3012</v>
      </c>
      <c r="AS78" s="472">
        <f t="shared" si="14"/>
        <v>1230</v>
      </c>
      <c r="AW78" s="472" t="e">
        <f>IF(#REF!=3,#REF!,0)</f>
        <v>#REF!</v>
      </c>
    </row>
    <row r="79" spans="3:52" x14ac:dyDescent="0.3">
      <c r="C79" s="471" t="str">
        <f>IF(OR(Inyección!B79="",Inyección!N79="",Inyección!P79=""),"",INDEX($C$26:$C$29,Inyección!C79)&amp;" de "&amp;TEXT(Inyección!N79,"00")&amp;""""&amp;" × "&amp;TEXT(Inyección!P79,"00")&amp;""""&amp;IF(Inyección!C79=1,", "&amp;Inyección!R79&amp;IF(Inyección!R79=1," vía",IF(OR(Inyección!R79=2,Inyección!R79=3,Inyección!R79=4)," vías","")),""))</f>
        <v/>
      </c>
      <c r="F79"/>
      <c r="H79" s="471">
        <f t="shared" si="7"/>
        <v>0</v>
      </c>
      <c r="I79" s="471" t="str">
        <f t="shared" si="8"/>
        <v>0</v>
      </c>
      <c r="J79" s="471" t="str">
        <f t="shared" si="22"/>
        <v/>
      </c>
      <c r="K79" s="471" t="str">
        <f t="shared" si="22"/>
        <v/>
      </c>
      <c r="L79" s="471" t="str">
        <f t="shared" si="22"/>
        <v/>
      </c>
      <c r="M79"/>
      <c r="N79" s="471">
        <f t="shared" si="19"/>
        <v>0</v>
      </c>
      <c r="O79"/>
      <c r="P79" s="471">
        <f t="shared" si="20"/>
        <v>0</v>
      </c>
      <c r="Q79"/>
      <c r="R79" s="471">
        <f t="shared" si="21"/>
        <v>0</v>
      </c>
      <c r="T79" s="479"/>
      <c r="V79" s="479"/>
      <c r="AE79" s="472" t="e">
        <f>IF(#REF!=2,#REF!,0)</f>
        <v>#REF!</v>
      </c>
      <c r="AF79" s="472" t="e">
        <f>IF(#REF!=2,#REF!,0)</f>
        <v>#REF!</v>
      </c>
      <c r="AG79" s="472" t="e">
        <f t="shared" si="4"/>
        <v>#REF!</v>
      </c>
      <c r="AH79" s="473">
        <v>14</v>
      </c>
      <c r="AI79" s="473">
        <v>26</v>
      </c>
      <c r="AJ79" s="487">
        <f t="shared" si="12"/>
        <v>2.5277777777777777</v>
      </c>
      <c r="AK79" s="488">
        <f t="shared" si="5"/>
        <v>0</v>
      </c>
      <c r="AL79" s="488">
        <f t="shared" si="6"/>
        <v>0.53846153846153844</v>
      </c>
      <c r="AM79" s="472">
        <f t="shared" si="13"/>
        <v>1426</v>
      </c>
      <c r="AN79" s="472" t="e">
        <v>#REF!</v>
      </c>
      <c r="AW79" s="472" t="e">
        <f>IF(#REF!=3,#REF!,0)</f>
        <v>#REF!</v>
      </c>
    </row>
    <row r="80" spans="3:52" x14ac:dyDescent="0.3">
      <c r="C80" s="471" t="str">
        <f>IF(OR(Inyección!B80="",Inyección!N80="",Inyección!P80=""),"",INDEX($C$26:$C$29,Inyección!C80)&amp;" de "&amp;TEXT(Inyección!N80,"00")&amp;""""&amp;" × "&amp;TEXT(Inyección!P80,"00")&amp;""""&amp;IF(Inyección!C80=1,", "&amp;Inyección!R80&amp;IF(Inyección!R80=1," vía",IF(OR(Inyección!R80=2,Inyección!R80=3,Inyección!R80=4)," vías","")),""))</f>
        <v/>
      </c>
      <c r="F80"/>
      <c r="H80" s="471">
        <f t="shared" si="7"/>
        <v>0</v>
      </c>
      <c r="I80" s="471" t="str">
        <f t="shared" si="8"/>
        <v>0</v>
      </c>
      <c r="J80" s="471" t="str">
        <f t="shared" si="22"/>
        <v/>
      </c>
      <c r="K80" s="471" t="str">
        <f t="shared" si="22"/>
        <v/>
      </c>
      <c r="L80" s="471" t="str">
        <f t="shared" si="22"/>
        <v/>
      </c>
      <c r="M80"/>
      <c r="N80" s="471">
        <f t="shared" si="19"/>
        <v>0</v>
      </c>
      <c r="O80"/>
      <c r="P80" s="471">
        <f t="shared" si="20"/>
        <v>0</v>
      </c>
      <c r="Q80"/>
      <c r="R80" s="471">
        <f t="shared" si="21"/>
        <v>0</v>
      </c>
      <c r="T80" s="479"/>
      <c r="V80" s="479"/>
      <c r="AE80" s="472" t="e">
        <f>IF(#REF!=2,#REF!,0)</f>
        <v>#REF!</v>
      </c>
      <c r="AF80" s="472" t="e">
        <f>IF(#REF!=2,#REF!,0)</f>
        <v>#REF!</v>
      </c>
      <c r="AG80" s="472" t="e">
        <f t="shared" si="4"/>
        <v>#REF!</v>
      </c>
      <c r="AH80" s="473">
        <v>14</v>
      </c>
      <c r="AI80" s="473">
        <v>28</v>
      </c>
      <c r="AJ80" s="487">
        <f t="shared" si="12"/>
        <v>2.7222222222222228</v>
      </c>
      <c r="AK80" s="488">
        <f t="shared" si="5"/>
        <v>0</v>
      </c>
      <c r="AL80" s="488">
        <f t="shared" si="6"/>
        <v>0.5</v>
      </c>
      <c r="AM80" s="472">
        <f t="shared" si="13"/>
        <v>1428</v>
      </c>
      <c r="AN80" s="472" t="e">
        <v>#REF!</v>
      </c>
      <c r="AW80" s="472" t="e">
        <f>IF(#REF!=3,#REF!,0)</f>
        <v>#REF!</v>
      </c>
    </row>
    <row r="81" spans="3:49" x14ac:dyDescent="0.3">
      <c r="C81" s="471" t="str">
        <f>IF(OR(Inyección!B81="",Inyección!N81="",Inyección!P81=""),"",INDEX($C$26:$C$29,Inyección!C81)&amp;" de "&amp;TEXT(Inyección!N81,"00")&amp;""""&amp;" × "&amp;TEXT(Inyección!P81,"00")&amp;""""&amp;IF(Inyección!C81=1,", "&amp;Inyección!R81&amp;IF(Inyección!R81=1," vía",IF(OR(Inyección!R81=2,Inyección!R81=3,Inyección!R81=4)," vías","")),""))</f>
        <v/>
      </c>
      <c r="F81"/>
      <c r="H81" s="471">
        <f t="shared" si="7"/>
        <v>0</v>
      </c>
      <c r="I81" s="471" t="str">
        <f t="shared" si="8"/>
        <v>0</v>
      </c>
      <c r="J81" s="471" t="str">
        <f t="shared" si="22"/>
        <v/>
      </c>
      <c r="K81" s="471" t="str">
        <f t="shared" si="22"/>
        <v/>
      </c>
      <c r="L81" s="471" t="str">
        <f t="shared" si="22"/>
        <v/>
      </c>
      <c r="M81"/>
      <c r="N81" s="471">
        <f t="shared" si="19"/>
        <v>0</v>
      </c>
      <c r="O81"/>
      <c r="P81" s="471">
        <f t="shared" si="20"/>
        <v>0</v>
      </c>
      <c r="Q81"/>
      <c r="R81" s="471">
        <f t="shared" si="21"/>
        <v>0</v>
      </c>
      <c r="T81" s="479"/>
      <c r="V81" s="479"/>
      <c r="AE81" s="472" t="e">
        <f>IF(#REF!=2,#REF!,0)</f>
        <v>#REF!</v>
      </c>
      <c r="AF81" s="472" t="e">
        <f>IF(#REF!=2,#REF!,0)</f>
        <v>#REF!</v>
      </c>
      <c r="AG81" s="472" t="e">
        <f t="shared" si="4"/>
        <v>#REF!</v>
      </c>
      <c r="AH81" s="473">
        <v>16</v>
      </c>
      <c r="AI81" s="473">
        <v>8</v>
      </c>
      <c r="AJ81" s="487">
        <f t="shared" si="12"/>
        <v>0.88888888888888884</v>
      </c>
      <c r="AK81" s="488">
        <f t="shared" si="5"/>
        <v>0</v>
      </c>
      <c r="AL81" s="488">
        <f t="shared" si="6"/>
        <v>2</v>
      </c>
      <c r="AM81" s="472">
        <f t="shared" si="13"/>
        <v>1608</v>
      </c>
      <c r="AN81" s="472" t="e">
        <v>#REF!</v>
      </c>
      <c r="AW81" s="472" t="e">
        <f>IF(#REF!=3,#REF!,0)</f>
        <v>#REF!</v>
      </c>
    </row>
    <row r="82" spans="3:49" x14ac:dyDescent="0.3">
      <c r="C82" s="471" t="str">
        <f>IF(OR(Inyección!B82="",Inyección!N82="",Inyección!P82=""),"",INDEX($C$26:$C$29,Inyección!C82)&amp;" de "&amp;TEXT(Inyección!N82,"00")&amp;""""&amp;" × "&amp;TEXT(Inyección!P82,"00")&amp;""""&amp;IF(Inyección!C82=1,", "&amp;Inyección!R82&amp;IF(Inyección!R82=1," vía",IF(OR(Inyección!R82=2,Inyección!R82=3,Inyección!R82=4)," vías","")),""))</f>
        <v/>
      </c>
      <c r="F82"/>
      <c r="H82" s="471">
        <f t="shared" si="7"/>
        <v>0</v>
      </c>
      <c r="I82" s="471" t="str">
        <f t="shared" si="8"/>
        <v>0</v>
      </c>
      <c r="J82" s="471" t="str">
        <f t="shared" si="22"/>
        <v/>
      </c>
      <c r="K82" s="471" t="str">
        <f t="shared" si="22"/>
        <v/>
      </c>
      <c r="L82" s="471" t="str">
        <f t="shared" si="22"/>
        <v/>
      </c>
      <c r="M82"/>
      <c r="N82" s="471">
        <f t="shared" si="19"/>
        <v>0</v>
      </c>
      <c r="O82"/>
      <c r="P82" s="471">
        <f t="shared" si="20"/>
        <v>0</v>
      </c>
      <c r="Q82"/>
      <c r="R82" s="471">
        <f t="shared" si="21"/>
        <v>0</v>
      </c>
      <c r="T82" s="479"/>
      <c r="V82" s="479"/>
      <c r="AE82" s="472" t="e">
        <f>IF(#REF!=2,#REF!,0)</f>
        <v>#REF!</v>
      </c>
      <c r="AF82" s="472" t="e">
        <f>IF(#REF!=2,#REF!,0)</f>
        <v>#REF!</v>
      </c>
      <c r="AG82" s="472" t="e">
        <f t="shared" si="4"/>
        <v>#REF!</v>
      </c>
      <c r="AH82" s="473">
        <v>16</v>
      </c>
      <c r="AI82" s="473">
        <v>10</v>
      </c>
      <c r="AJ82" s="487">
        <f t="shared" si="12"/>
        <v>1.1111111111111112</v>
      </c>
      <c r="AK82" s="488">
        <f t="shared" si="5"/>
        <v>0</v>
      </c>
      <c r="AL82" s="488">
        <f t="shared" si="6"/>
        <v>1.6</v>
      </c>
      <c r="AM82" s="472">
        <f t="shared" si="13"/>
        <v>1610</v>
      </c>
      <c r="AN82" s="472" t="e">
        <v>#REF!</v>
      </c>
      <c r="AW82" s="472" t="e">
        <f>IF(#REF!=3,#REF!,0)</f>
        <v>#REF!</v>
      </c>
    </row>
    <row r="83" spans="3:49" x14ac:dyDescent="0.3">
      <c r="C83" s="471" t="str">
        <f>IF(OR(Inyección!B83="",Inyección!N83="",Inyección!P83=""),"",INDEX($C$26:$C$29,Inyección!C83)&amp;" de "&amp;TEXT(Inyección!N83,"00")&amp;""""&amp;" × "&amp;TEXT(Inyección!P83,"00")&amp;""""&amp;IF(Inyección!C83=1,", "&amp;Inyección!R83&amp;IF(Inyección!R83=1," vía",IF(OR(Inyección!R83=2,Inyección!R83=3,Inyección!R83=4)," vías","")),""))</f>
        <v/>
      </c>
      <c r="F83"/>
      <c r="H83" s="471">
        <f t="shared" si="7"/>
        <v>0</v>
      </c>
      <c r="I83" s="471" t="str">
        <f t="shared" si="8"/>
        <v>0</v>
      </c>
      <c r="J83" s="471" t="str">
        <f t="shared" si="22"/>
        <v/>
      </c>
      <c r="K83" s="471" t="str">
        <f t="shared" si="22"/>
        <v/>
      </c>
      <c r="L83" s="471" t="str">
        <f t="shared" si="22"/>
        <v/>
      </c>
      <c r="M83"/>
      <c r="N83" s="471">
        <f t="shared" si="19"/>
        <v>0</v>
      </c>
      <c r="O83"/>
      <c r="P83" s="471">
        <f t="shared" si="20"/>
        <v>0</v>
      </c>
      <c r="Q83"/>
      <c r="R83" s="471">
        <f t="shared" si="21"/>
        <v>0</v>
      </c>
      <c r="T83" s="479"/>
      <c r="V83" s="479"/>
      <c r="AE83" s="472" t="e">
        <f>IF(#REF!=2,#REF!,0)</f>
        <v>#REF!</v>
      </c>
      <c r="AF83" s="472" t="e">
        <f>IF(#REF!=2,#REF!,0)</f>
        <v>#REF!</v>
      </c>
      <c r="AG83" s="472" t="e">
        <f t="shared" si="4"/>
        <v>#REF!</v>
      </c>
      <c r="AH83" s="473">
        <v>16</v>
      </c>
      <c r="AI83" s="473">
        <v>12</v>
      </c>
      <c r="AJ83" s="487">
        <f t="shared" si="12"/>
        <v>1.3333333333333333</v>
      </c>
      <c r="AK83" s="488">
        <f t="shared" si="5"/>
        <v>0</v>
      </c>
      <c r="AL83" s="488">
        <f t="shared" si="6"/>
        <v>1.3333333333333333</v>
      </c>
      <c r="AM83" s="472">
        <f t="shared" si="13"/>
        <v>1612</v>
      </c>
      <c r="AN83" s="472" t="e">
        <v>#REF!</v>
      </c>
      <c r="AW83" s="472" t="e">
        <f>IF(#REF!=3,#REF!,0)</f>
        <v>#REF!</v>
      </c>
    </row>
    <row r="84" spans="3:49" x14ac:dyDescent="0.3">
      <c r="C84" s="471" t="str">
        <f>IF(OR(Inyección!B84="",Inyección!N84="",Inyección!P84=""),"",INDEX($C$26:$C$29,Inyección!C84)&amp;" de "&amp;TEXT(Inyección!N84,"00")&amp;""""&amp;" × "&amp;TEXT(Inyección!P84,"00")&amp;""""&amp;IF(Inyección!C84=1,", "&amp;Inyección!R84&amp;IF(Inyección!R84=1," vía",IF(OR(Inyección!R84=2,Inyección!R84=3,Inyección!R84=4)," vías","")),""))</f>
        <v/>
      </c>
      <c r="F84"/>
      <c r="H84" s="471">
        <f t="shared" si="7"/>
        <v>0</v>
      </c>
      <c r="I84" s="471" t="str">
        <f t="shared" si="8"/>
        <v>0</v>
      </c>
      <c r="J84" s="471" t="str">
        <f t="shared" si="22"/>
        <v/>
      </c>
      <c r="K84" s="471" t="str">
        <f t="shared" si="22"/>
        <v/>
      </c>
      <c r="L84" s="471" t="str">
        <f t="shared" si="22"/>
        <v/>
      </c>
      <c r="M84"/>
      <c r="N84" s="471">
        <f t="shared" si="19"/>
        <v>0</v>
      </c>
      <c r="O84"/>
      <c r="P84" s="471">
        <f t="shared" si="20"/>
        <v>0</v>
      </c>
      <c r="Q84"/>
      <c r="R84" s="471">
        <f t="shared" si="21"/>
        <v>0</v>
      </c>
      <c r="T84" s="479"/>
      <c r="V84" s="479"/>
      <c r="AE84" s="472" t="e">
        <f>IF(#REF!=2,#REF!,0)</f>
        <v>#REF!</v>
      </c>
      <c r="AF84" s="472" t="e">
        <f>IF(#REF!=2,#REF!,0)</f>
        <v>#REF!</v>
      </c>
      <c r="AG84" s="472" t="e">
        <f t="shared" si="4"/>
        <v>#REF!</v>
      </c>
      <c r="AH84" s="473">
        <v>16</v>
      </c>
      <c r="AI84" s="473">
        <v>14</v>
      </c>
      <c r="AJ84" s="487">
        <f t="shared" si="12"/>
        <v>1.5555555555555556</v>
      </c>
      <c r="AK84" s="488">
        <f t="shared" si="5"/>
        <v>0</v>
      </c>
      <c r="AL84" s="488">
        <f t="shared" si="6"/>
        <v>1.1428571428571428</v>
      </c>
      <c r="AM84" s="472">
        <f t="shared" si="13"/>
        <v>1614</v>
      </c>
      <c r="AN84" s="472" t="e">
        <v>#REF!</v>
      </c>
      <c r="AW84" s="472" t="e">
        <f>IF(#REF!=3,#REF!,0)</f>
        <v>#REF!</v>
      </c>
    </row>
    <row r="85" spans="3:49" x14ac:dyDescent="0.3">
      <c r="C85" s="471" t="str">
        <f>IF(OR(Inyección!B85="",Inyección!N85="",Inyección!P85=""),"",INDEX($C$26:$C$29,Inyección!C85)&amp;" de "&amp;TEXT(Inyección!N85,"00")&amp;""""&amp;" × "&amp;TEXT(Inyección!P85,"00")&amp;""""&amp;IF(Inyección!C85=1,", "&amp;Inyección!R85&amp;IF(Inyección!R85=1," vía",IF(OR(Inyección!R85=2,Inyección!R85=3,Inyección!R85=4)," vías","")),""))</f>
        <v/>
      </c>
      <c r="F85"/>
      <c r="H85" s="471">
        <f t="shared" si="7"/>
        <v>0</v>
      </c>
      <c r="I85" s="471" t="str">
        <f t="shared" si="8"/>
        <v>0</v>
      </c>
      <c r="J85" s="471" t="str">
        <f t="shared" si="22"/>
        <v/>
      </c>
      <c r="K85" s="471" t="str">
        <f t="shared" si="22"/>
        <v/>
      </c>
      <c r="L85" s="471" t="str">
        <f t="shared" si="22"/>
        <v/>
      </c>
      <c r="M85"/>
      <c r="N85" s="471">
        <f t="shared" si="19"/>
        <v>0</v>
      </c>
      <c r="O85"/>
      <c r="P85" s="471">
        <f t="shared" si="20"/>
        <v>0</v>
      </c>
      <c r="Q85"/>
      <c r="R85" s="471">
        <f t="shared" si="21"/>
        <v>0</v>
      </c>
      <c r="T85" s="479"/>
      <c r="V85" s="479"/>
      <c r="AE85" s="472" t="e">
        <f>IF(#REF!=2,#REF!,0)</f>
        <v>#REF!</v>
      </c>
      <c r="AF85" s="472" t="e">
        <f>IF(#REF!=2,#REF!,0)</f>
        <v>#REF!</v>
      </c>
      <c r="AG85" s="472" t="e">
        <f t="shared" si="4"/>
        <v>#REF!</v>
      </c>
      <c r="AH85" s="473">
        <v>16</v>
      </c>
      <c r="AI85" s="473">
        <v>16</v>
      </c>
      <c r="AJ85" s="487">
        <f t="shared" si="12"/>
        <v>1.7777777777777777</v>
      </c>
      <c r="AK85" s="488">
        <f t="shared" si="5"/>
        <v>0</v>
      </c>
      <c r="AL85" s="488">
        <f t="shared" si="6"/>
        <v>1</v>
      </c>
      <c r="AM85" s="472">
        <f t="shared" si="13"/>
        <v>1616</v>
      </c>
      <c r="AN85" s="472" t="e">
        <v>#REF!</v>
      </c>
      <c r="AW85" s="472" t="e">
        <f>IF(#REF!=3,#REF!,0)</f>
        <v>#REF!</v>
      </c>
    </row>
    <row r="86" spans="3:49" x14ac:dyDescent="0.3">
      <c r="C86" s="471" t="str">
        <f>IF(OR(Inyección!B86="",Inyección!N86="",Inyección!P86=""),"",INDEX($C$26:$C$29,Inyección!C86)&amp;" de "&amp;TEXT(Inyección!N86,"00")&amp;""""&amp;" × "&amp;TEXT(Inyección!P86,"00")&amp;""""&amp;IF(Inyección!C86=1,", "&amp;Inyección!R86&amp;IF(Inyección!R86=1," vía",IF(OR(Inyección!R86=2,Inyección!R86=3,Inyección!R86=4)," vías","")),""))</f>
        <v/>
      </c>
      <c r="F86"/>
      <c r="H86" s="471">
        <f t="shared" si="7"/>
        <v>0</v>
      </c>
      <c r="I86" s="471" t="str">
        <f t="shared" si="8"/>
        <v>0</v>
      </c>
      <c r="J86" s="471" t="str">
        <f t="shared" si="22"/>
        <v/>
      </c>
      <c r="K86" s="471" t="str">
        <f t="shared" si="22"/>
        <v/>
      </c>
      <c r="L86" s="471" t="str">
        <f t="shared" si="22"/>
        <v/>
      </c>
      <c r="M86"/>
      <c r="N86" s="471">
        <f t="shared" si="19"/>
        <v>0</v>
      </c>
      <c r="O86"/>
      <c r="P86" s="471">
        <f t="shared" si="20"/>
        <v>0</v>
      </c>
      <c r="Q86"/>
      <c r="R86" s="471">
        <f t="shared" si="21"/>
        <v>0</v>
      </c>
      <c r="T86" s="479"/>
      <c r="V86" s="479"/>
      <c r="AE86" s="472" t="e">
        <f>IF(#REF!=2,#REF!,0)</f>
        <v>#REF!</v>
      </c>
      <c r="AF86" s="472" t="e">
        <f>IF(#REF!=2,#REF!,0)</f>
        <v>#REF!</v>
      </c>
      <c r="AG86" s="472" t="e">
        <f t="shared" si="4"/>
        <v>#REF!</v>
      </c>
      <c r="AH86" s="473">
        <v>16</v>
      </c>
      <c r="AI86" s="473">
        <v>18</v>
      </c>
      <c r="AJ86" s="487">
        <f t="shared" si="12"/>
        <v>2</v>
      </c>
      <c r="AK86" s="488">
        <f t="shared" si="5"/>
        <v>0</v>
      </c>
      <c r="AL86" s="488">
        <f t="shared" si="6"/>
        <v>0.88888888888888884</v>
      </c>
      <c r="AM86" s="472">
        <f t="shared" si="13"/>
        <v>1618</v>
      </c>
      <c r="AN86" s="472" t="e">
        <v>#REF!</v>
      </c>
      <c r="AW86" s="472" t="e">
        <f>IF(#REF!=3,#REF!,0)</f>
        <v>#REF!</v>
      </c>
    </row>
    <row r="87" spans="3:49" x14ac:dyDescent="0.3">
      <c r="C87" s="471" t="str">
        <f>IF(OR(Inyección!B87="",Inyección!N87="",Inyección!P87=""),"",INDEX($C$26:$C$29,Inyección!C87)&amp;" de "&amp;TEXT(Inyección!N87,"00")&amp;""""&amp;" × "&amp;TEXT(Inyección!P87,"00")&amp;""""&amp;IF(Inyección!C87=1,", "&amp;Inyección!R87&amp;IF(Inyección!R87=1," vía",IF(OR(Inyección!R87=2,Inyección!R87=3,Inyección!R87=4)," vías","")),""))</f>
        <v/>
      </c>
      <c r="F87"/>
      <c r="H87" s="471">
        <f t="shared" si="7"/>
        <v>0</v>
      </c>
      <c r="I87" s="471" t="str">
        <f t="shared" si="8"/>
        <v>0</v>
      </c>
      <c r="J87" s="471" t="str">
        <f t="shared" si="22"/>
        <v/>
      </c>
      <c r="K87" s="471" t="str">
        <f t="shared" si="22"/>
        <v/>
      </c>
      <c r="L87" s="471" t="str">
        <f t="shared" si="22"/>
        <v/>
      </c>
      <c r="M87"/>
      <c r="N87" s="471">
        <f t="shared" si="19"/>
        <v>0</v>
      </c>
      <c r="O87"/>
      <c r="P87" s="471">
        <f t="shared" si="20"/>
        <v>0</v>
      </c>
      <c r="Q87"/>
      <c r="R87" s="471">
        <f t="shared" si="21"/>
        <v>0</v>
      </c>
      <c r="T87" s="479"/>
      <c r="V87" s="479"/>
      <c r="AE87" s="472" t="e">
        <f>IF(#REF!=2,#REF!,0)</f>
        <v>#REF!</v>
      </c>
      <c r="AF87" s="472" t="e">
        <f>IF(#REF!=2,#REF!,0)</f>
        <v>#REF!</v>
      </c>
      <c r="AG87" s="472" t="e">
        <f t="shared" si="4"/>
        <v>#REF!</v>
      </c>
      <c r="AH87" s="473">
        <v>16</v>
      </c>
      <c r="AI87" s="473">
        <v>20</v>
      </c>
      <c r="AJ87" s="487">
        <f t="shared" si="12"/>
        <v>2.2222222222222223</v>
      </c>
      <c r="AK87" s="488">
        <f t="shared" si="5"/>
        <v>0</v>
      </c>
      <c r="AL87" s="488">
        <f t="shared" si="6"/>
        <v>0.8</v>
      </c>
      <c r="AM87" s="472">
        <f t="shared" si="13"/>
        <v>1620</v>
      </c>
      <c r="AN87" s="472" t="e">
        <v>#REF!</v>
      </c>
      <c r="AW87" s="472" t="e">
        <f>IF(#REF!=3,#REF!,0)</f>
        <v>#REF!</v>
      </c>
    </row>
    <row r="88" spans="3:49" x14ac:dyDescent="0.3">
      <c r="C88" s="471" t="str">
        <f>IF(OR(Inyección!B88="",Inyección!N88="",Inyección!P88=""),"",INDEX($C$26:$C$29,Inyección!C88)&amp;" de "&amp;TEXT(Inyección!N88,"00")&amp;""""&amp;" × "&amp;TEXT(Inyección!P88,"00")&amp;""""&amp;IF(Inyección!C88=1,", "&amp;Inyección!R88&amp;IF(Inyección!R88=1," vía",IF(OR(Inyección!R88=2,Inyección!R88=3,Inyección!R88=4)," vías","")),""))</f>
        <v/>
      </c>
      <c r="F88"/>
      <c r="H88" s="471">
        <f t="shared" si="7"/>
        <v>0</v>
      </c>
      <c r="I88" s="471" t="str">
        <f t="shared" si="8"/>
        <v>0</v>
      </c>
      <c r="J88" s="471" t="str">
        <f t="shared" si="22"/>
        <v/>
      </c>
      <c r="K88" s="471" t="str">
        <f t="shared" si="22"/>
        <v/>
      </c>
      <c r="L88" s="471" t="str">
        <f t="shared" si="22"/>
        <v/>
      </c>
      <c r="M88"/>
      <c r="N88" s="471">
        <f t="shared" si="19"/>
        <v>0</v>
      </c>
      <c r="O88"/>
      <c r="P88" s="471">
        <f t="shared" si="20"/>
        <v>0</v>
      </c>
      <c r="Q88"/>
      <c r="R88" s="471">
        <f t="shared" si="21"/>
        <v>0</v>
      </c>
      <c r="T88" s="479"/>
      <c r="V88" s="479"/>
      <c r="AE88" s="472" t="e">
        <f>IF(#REF!=2,#REF!,0)</f>
        <v>#REF!</v>
      </c>
      <c r="AF88" s="472" t="e">
        <f>IF(#REF!=2,#REF!,0)</f>
        <v>#REF!</v>
      </c>
      <c r="AG88" s="472" t="e">
        <f t="shared" si="4"/>
        <v>#REF!</v>
      </c>
      <c r="AH88" s="473">
        <v>16</v>
      </c>
      <c r="AI88" s="473">
        <v>22</v>
      </c>
      <c r="AJ88" s="487">
        <f t="shared" si="12"/>
        <v>2.4444444444444442</v>
      </c>
      <c r="AK88" s="488">
        <f t="shared" si="5"/>
        <v>0</v>
      </c>
      <c r="AL88" s="488">
        <f t="shared" si="6"/>
        <v>0.72727272727272729</v>
      </c>
      <c r="AM88" s="472">
        <f t="shared" si="13"/>
        <v>1622</v>
      </c>
      <c r="AN88" s="472" t="e">
        <v>#REF!</v>
      </c>
      <c r="AW88" s="472" t="e">
        <f>IF(#REF!=3,#REF!,0)</f>
        <v>#REF!</v>
      </c>
    </row>
    <row r="89" spans="3:49" x14ac:dyDescent="0.3">
      <c r="C89" s="471" t="str">
        <f>IF(OR(Inyección!B89="",Inyección!N89="",Inyección!P89=""),"",INDEX($C$26:$C$29,Inyección!C89)&amp;" de "&amp;TEXT(Inyección!N89,"00")&amp;""""&amp;" × "&amp;TEXT(Inyección!P89,"00")&amp;""""&amp;IF(Inyección!C89=1,", "&amp;Inyección!R89&amp;IF(Inyección!R89=1," vía",IF(OR(Inyección!R89=2,Inyección!R89=3,Inyección!R89=4)," vías","")),""))</f>
        <v/>
      </c>
      <c r="F89"/>
      <c r="H89" s="471">
        <f t="shared" si="7"/>
        <v>0</v>
      </c>
      <c r="I89" s="471" t="str">
        <f t="shared" si="8"/>
        <v>0</v>
      </c>
      <c r="J89" s="471" t="str">
        <f t="shared" si="22"/>
        <v/>
      </c>
      <c r="K89" s="471" t="str">
        <f t="shared" si="22"/>
        <v/>
      </c>
      <c r="L89" s="471" t="str">
        <f t="shared" si="22"/>
        <v/>
      </c>
      <c r="M89"/>
      <c r="N89" s="471">
        <f t="shared" si="19"/>
        <v>0</v>
      </c>
      <c r="O89"/>
      <c r="P89" s="471">
        <f t="shared" si="20"/>
        <v>0</v>
      </c>
      <c r="Q89"/>
      <c r="R89" s="471">
        <f t="shared" si="21"/>
        <v>0</v>
      </c>
      <c r="T89" s="479"/>
      <c r="V89" s="479"/>
      <c r="AE89" s="472" t="e">
        <f>IF(#REF!=2,#REF!,0)</f>
        <v>#REF!</v>
      </c>
      <c r="AF89" s="472" t="e">
        <f>IF(#REF!=2,#REF!,0)</f>
        <v>#REF!</v>
      </c>
      <c r="AG89" s="472" t="e">
        <f t="shared" si="4"/>
        <v>#REF!</v>
      </c>
      <c r="AH89" s="473">
        <v>16</v>
      </c>
      <c r="AI89" s="473">
        <v>24</v>
      </c>
      <c r="AJ89" s="487">
        <f t="shared" si="12"/>
        <v>2.6666666666666665</v>
      </c>
      <c r="AK89" s="488">
        <f t="shared" si="5"/>
        <v>0</v>
      </c>
      <c r="AL89" s="488">
        <f t="shared" si="6"/>
        <v>0.66666666666666663</v>
      </c>
      <c r="AM89" s="472">
        <f t="shared" si="13"/>
        <v>1624</v>
      </c>
      <c r="AN89" s="472" t="e">
        <v>#REF!</v>
      </c>
      <c r="AW89" s="472" t="e">
        <f>IF(#REF!=3,#REF!,0)</f>
        <v>#REF!</v>
      </c>
    </row>
    <row r="90" spans="3:49" x14ac:dyDescent="0.3">
      <c r="C90" s="471" t="str">
        <f>IF(OR(Inyección!B90="",Inyección!N90="",Inyección!P90=""),"",INDEX($C$26:$C$29,Inyección!C90)&amp;" de "&amp;TEXT(Inyección!N90,"00")&amp;""""&amp;" × "&amp;TEXT(Inyección!P90,"00")&amp;""""&amp;IF(Inyección!C90=1,", "&amp;Inyección!R90&amp;IF(Inyección!R90=1," vía",IF(OR(Inyección!R90=2,Inyección!R90=3,Inyección!R90=4)," vías","")),""))</f>
        <v/>
      </c>
      <c r="F90"/>
      <c r="H90" s="471">
        <f t="shared" si="7"/>
        <v>0</v>
      </c>
      <c r="I90" s="471" t="str">
        <f t="shared" si="8"/>
        <v>0</v>
      </c>
      <c r="J90" s="471" t="str">
        <f t="shared" si="22"/>
        <v/>
      </c>
      <c r="K90" s="471" t="str">
        <f t="shared" si="22"/>
        <v/>
      </c>
      <c r="L90" s="471" t="str">
        <f t="shared" si="22"/>
        <v/>
      </c>
      <c r="M90"/>
      <c r="N90" s="471">
        <f t="shared" si="19"/>
        <v>0</v>
      </c>
      <c r="O90"/>
      <c r="P90" s="471">
        <f t="shared" si="20"/>
        <v>0</v>
      </c>
      <c r="Q90"/>
      <c r="R90" s="471">
        <f t="shared" si="21"/>
        <v>0</v>
      </c>
      <c r="T90" s="479"/>
      <c r="V90" s="479"/>
      <c r="AE90" s="472" t="e">
        <f>IF(#REF!=2,#REF!,0)</f>
        <v>#REF!</v>
      </c>
      <c r="AF90" s="472" t="e">
        <f>IF(#REF!=2,#REF!,0)</f>
        <v>#REF!</v>
      </c>
      <c r="AG90" s="472" t="e">
        <f t="shared" si="4"/>
        <v>#REF!</v>
      </c>
      <c r="AH90" s="473">
        <v>18</v>
      </c>
      <c r="AI90" s="473">
        <v>8</v>
      </c>
      <c r="AJ90" s="487">
        <f t="shared" si="12"/>
        <v>1</v>
      </c>
      <c r="AK90" s="488">
        <f t="shared" si="5"/>
        <v>0</v>
      </c>
      <c r="AL90" s="488">
        <f t="shared" si="6"/>
        <v>2.25</v>
      </c>
      <c r="AM90" s="472">
        <f t="shared" si="13"/>
        <v>1808</v>
      </c>
      <c r="AN90" s="472" t="e">
        <v>#REF!</v>
      </c>
      <c r="AW90" s="472" t="e">
        <f>IF(#REF!=3,#REF!,0)</f>
        <v>#REF!</v>
      </c>
    </row>
    <row r="91" spans="3:49" x14ac:dyDescent="0.3">
      <c r="C91" s="471" t="str">
        <f>IF(OR(Inyección!B91="",Inyección!N91="",Inyección!P91=""),"",INDEX($C$26:$C$29,Inyección!C91)&amp;" de "&amp;TEXT(Inyección!N91,"00")&amp;""""&amp;" × "&amp;TEXT(Inyección!P91,"00")&amp;""""&amp;IF(Inyección!C91=1,", "&amp;Inyección!R91&amp;IF(Inyección!R91=1," vía",IF(OR(Inyección!R91=2,Inyección!R91=3,Inyección!R91=4)," vías","")),""))</f>
        <v/>
      </c>
      <c r="F91"/>
      <c r="H91" s="471">
        <f t="shared" si="7"/>
        <v>0</v>
      </c>
      <c r="I91" s="471" t="str">
        <f t="shared" si="8"/>
        <v>0</v>
      </c>
      <c r="J91" s="471" t="str">
        <f t="shared" si="22"/>
        <v/>
      </c>
      <c r="K91" s="471" t="str">
        <f t="shared" si="22"/>
        <v/>
      </c>
      <c r="L91" s="471" t="str">
        <f t="shared" si="22"/>
        <v/>
      </c>
      <c r="M91"/>
      <c r="N91" s="471">
        <f t="shared" si="19"/>
        <v>0</v>
      </c>
      <c r="O91"/>
      <c r="P91" s="471">
        <f t="shared" si="20"/>
        <v>0</v>
      </c>
      <c r="Q91"/>
      <c r="R91" s="471">
        <f t="shared" si="21"/>
        <v>0</v>
      </c>
      <c r="T91" s="479"/>
      <c r="V91" s="479"/>
      <c r="AE91" s="472" t="e">
        <f>IF(#REF!=2,#REF!,0)</f>
        <v>#REF!</v>
      </c>
      <c r="AF91" s="472" t="e">
        <f>IF(#REF!=2,#REF!,0)</f>
        <v>#REF!</v>
      </c>
      <c r="AG91" s="472" t="e">
        <f t="shared" si="4"/>
        <v>#REF!</v>
      </c>
      <c r="AH91" s="473">
        <v>18</v>
      </c>
      <c r="AI91" s="473">
        <v>10</v>
      </c>
      <c r="AJ91" s="487">
        <f t="shared" si="12"/>
        <v>1.25</v>
      </c>
      <c r="AK91" s="488">
        <f t="shared" si="5"/>
        <v>0</v>
      </c>
      <c r="AL91" s="488">
        <f t="shared" si="6"/>
        <v>1.8</v>
      </c>
      <c r="AM91" s="472">
        <f t="shared" si="13"/>
        <v>1810</v>
      </c>
      <c r="AN91" s="472" t="e">
        <v>#REF!</v>
      </c>
      <c r="AW91" s="472" t="e">
        <f>IF(#REF!=3,#REF!,0)</f>
        <v>#REF!</v>
      </c>
    </row>
    <row r="92" spans="3:49" x14ac:dyDescent="0.3">
      <c r="C92" s="471" t="str">
        <f>IF(OR(Inyección!B92="",Inyección!N92="",Inyección!P92=""),"",INDEX($C$26:$C$29,Inyección!C92)&amp;" de "&amp;TEXT(Inyección!N92,"00")&amp;""""&amp;" × "&amp;TEXT(Inyección!P92,"00")&amp;""""&amp;IF(Inyección!C92=1,", "&amp;Inyección!R92&amp;IF(Inyección!R92=1," vía",IF(OR(Inyección!R92=2,Inyección!R92=3,Inyección!R92=4)," vías","")),""))</f>
        <v/>
      </c>
      <c r="F92"/>
      <c r="H92" s="471">
        <f t="shared" si="7"/>
        <v>0</v>
      </c>
      <c r="I92" s="471" t="str">
        <f t="shared" si="8"/>
        <v>0</v>
      </c>
      <c r="J92" s="471" t="str">
        <f t="shared" si="22"/>
        <v/>
      </c>
      <c r="K92" s="471" t="str">
        <f t="shared" si="22"/>
        <v/>
      </c>
      <c r="L92" s="471" t="str">
        <f t="shared" si="22"/>
        <v/>
      </c>
      <c r="M92"/>
      <c r="N92" s="471">
        <f t="shared" si="19"/>
        <v>0</v>
      </c>
      <c r="O92"/>
      <c r="P92" s="471">
        <f t="shared" si="20"/>
        <v>0</v>
      </c>
      <c r="Q92"/>
      <c r="R92" s="471">
        <f t="shared" si="21"/>
        <v>0</v>
      </c>
      <c r="T92" s="479"/>
      <c r="V92" s="479"/>
      <c r="AE92" s="472" t="e">
        <f>IF(#REF!=2,#REF!,0)</f>
        <v>#REF!</v>
      </c>
      <c r="AF92" s="472" t="e">
        <f>IF(#REF!=2,#REF!,0)</f>
        <v>#REF!</v>
      </c>
      <c r="AG92" s="472" t="e">
        <f t="shared" si="4"/>
        <v>#REF!</v>
      </c>
      <c r="AH92" s="473">
        <v>18</v>
      </c>
      <c r="AI92" s="473">
        <v>12</v>
      </c>
      <c r="AJ92" s="487">
        <f t="shared" si="12"/>
        <v>1.5</v>
      </c>
      <c r="AK92" s="488">
        <f t="shared" si="5"/>
        <v>0</v>
      </c>
      <c r="AL92" s="488">
        <f t="shared" si="6"/>
        <v>1.5</v>
      </c>
      <c r="AM92" s="472">
        <f t="shared" si="13"/>
        <v>1812</v>
      </c>
      <c r="AN92" s="472" t="e">
        <v>#REF!</v>
      </c>
      <c r="AW92" s="472" t="e">
        <f>IF(#REF!=3,#REF!,0)</f>
        <v>#REF!</v>
      </c>
    </row>
    <row r="93" spans="3:49" x14ac:dyDescent="0.3">
      <c r="C93" s="471" t="str">
        <f>IF(OR(Inyección!B93="",Inyección!N93="",Inyección!P93=""),"",INDEX($C$26:$C$29,Inyección!C93)&amp;" de "&amp;TEXT(Inyección!N93,"00")&amp;""""&amp;" × "&amp;TEXT(Inyección!P93,"00")&amp;""""&amp;IF(Inyección!C93=1,", "&amp;Inyección!R93&amp;IF(Inyección!R93=1," vía",IF(OR(Inyección!R93=2,Inyección!R93=3,Inyección!R93=4)," vías","")),""))</f>
        <v/>
      </c>
      <c r="F93"/>
      <c r="H93" s="471">
        <f t="shared" si="7"/>
        <v>0</v>
      </c>
      <c r="I93" s="471" t="str">
        <f t="shared" si="8"/>
        <v>0</v>
      </c>
      <c r="J93" s="471" t="str">
        <f t="shared" si="22"/>
        <v/>
      </c>
      <c r="K93" s="471" t="str">
        <f t="shared" si="22"/>
        <v/>
      </c>
      <c r="L93" s="471" t="str">
        <f t="shared" si="22"/>
        <v/>
      </c>
      <c r="M93"/>
      <c r="N93" s="471">
        <f t="shared" si="19"/>
        <v>0</v>
      </c>
      <c r="O93"/>
      <c r="P93" s="471">
        <f t="shared" si="20"/>
        <v>0</v>
      </c>
      <c r="Q93"/>
      <c r="R93" s="471">
        <f t="shared" si="21"/>
        <v>0</v>
      </c>
      <c r="T93" s="479"/>
      <c r="V93" s="479"/>
      <c r="AE93" s="472" t="e">
        <f>IF(#REF!=2,#REF!,0)</f>
        <v>#REF!</v>
      </c>
      <c r="AF93" s="472" t="e">
        <f>IF(#REF!=2,#REF!,0)</f>
        <v>#REF!</v>
      </c>
      <c r="AG93" s="472" t="e">
        <f t="shared" si="4"/>
        <v>#REF!</v>
      </c>
      <c r="AH93" s="473">
        <v>18</v>
      </c>
      <c r="AI93" s="473">
        <v>14</v>
      </c>
      <c r="AJ93" s="487">
        <f t="shared" si="12"/>
        <v>1.75</v>
      </c>
      <c r="AK93" s="488">
        <f t="shared" si="5"/>
        <v>0</v>
      </c>
      <c r="AL93" s="488">
        <f t="shared" si="6"/>
        <v>1.2857142857142858</v>
      </c>
      <c r="AM93" s="472">
        <f t="shared" si="13"/>
        <v>1814</v>
      </c>
      <c r="AN93" s="472" t="e">
        <v>#REF!</v>
      </c>
      <c r="AW93" s="472" t="e">
        <f>IF(#REF!=3,#REF!,0)</f>
        <v>#REF!</v>
      </c>
    </row>
    <row r="94" spans="3:49" x14ac:dyDescent="0.3">
      <c r="C94" s="471" t="str">
        <f>IF(OR(Inyección!B94="",Inyección!N94="",Inyección!P94=""),"",INDEX($C$26:$C$29,Inyección!C94)&amp;" de "&amp;TEXT(Inyección!N94,"00")&amp;""""&amp;" × "&amp;TEXT(Inyección!P94,"00")&amp;""""&amp;IF(Inyección!C94=1,", "&amp;Inyección!R94&amp;IF(Inyección!R94=1," vía",IF(OR(Inyección!R94=2,Inyección!R94=3,Inyección!R94=4)," vías","")),""))</f>
        <v/>
      </c>
      <c r="F94"/>
      <c r="H94" s="471">
        <f t="shared" si="7"/>
        <v>0</v>
      </c>
      <c r="I94" s="471" t="str">
        <f t="shared" si="8"/>
        <v>0</v>
      </c>
      <c r="J94" s="471" t="str">
        <f t="shared" si="22"/>
        <v/>
      </c>
      <c r="K94" s="471" t="str">
        <f t="shared" si="22"/>
        <v/>
      </c>
      <c r="L94" s="471" t="str">
        <f t="shared" si="22"/>
        <v/>
      </c>
      <c r="M94"/>
      <c r="N94" s="471">
        <f t="shared" si="19"/>
        <v>0</v>
      </c>
      <c r="O94"/>
      <c r="P94" s="471">
        <f t="shared" si="20"/>
        <v>0</v>
      </c>
      <c r="Q94"/>
      <c r="R94" s="471">
        <f t="shared" si="21"/>
        <v>0</v>
      </c>
      <c r="T94" s="479"/>
      <c r="V94" s="479"/>
      <c r="AE94" s="472" t="e">
        <f>IF(#REF!=2,#REF!,0)</f>
        <v>#REF!</v>
      </c>
      <c r="AF94" s="472" t="e">
        <f>IF(#REF!=2,#REF!,0)</f>
        <v>#REF!</v>
      </c>
      <c r="AG94" s="472" t="e">
        <f t="shared" si="4"/>
        <v>#REF!</v>
      </c>
      <c r="AH94" s="473">
        <v>18</v>
      </c>
      <c r="AI94" s="473">
        <v>16</v>
      </c>
      <c r="AJ94" s="487">
        <f t="shared" si="12"/>
        <v>2</v>
      </c>
      <c r="AK94" s="488">
        <f t="shared" si="5"/>
        <v>0</v>
      </c>
      <c r="AL94" s="488">
        <f t="shared" si="6"/>
        <v>1.125</v>
      </c>
      <c r="AM94" s="472">
        <f t="shared" si="13"/>
        <v>1816</v>
      </c>
      <c r="AN94" s="472" t="e">
        <v>#REF!</v>
      </c>
      <c r="AW94" s="472" t="e">
        <f>IF(#REF!=3,#REF!,0)</f>
        <v>#REF!</v>
      </c>
    </row>
    <row r="95" spans="3:49" x14ac:dyDescent="0.3">
      <c r="C95" s="471" t="str">
        <f>IF(OR(Inyección!B95="",Inyección!N95="",Inyección!P95=""),"",INDEX($C$26:$C$29,Inyección!C95)&amp;" de "&amp;TEXT(Inyección!N95,"00")&amp;""""&amp;" × "&amp;TEXT(Inyección!P95,"00")&amp;""""&amp;IF(Inyección!C95=1,", "&amp;Inyección!R95&amp;IF(Inyección!R95=1," vía",IF(OR(Inyección!R95=2,Inyección!R95=3,Inyección!R95=4)," vías","")),""))</f>
        <v/>
      </c>
      <c r="F95"/>
      <c r="H95" s="471">
        <f t="shared" si="7"/>
        <v>0</v>
      </c>
      <c r="I95" s="471" t="str">
        <f t="shared" si="8"/>
        <v>0</v>
      </c>
      <c r="J95" s="471" t="str">
        <f t="shared" si="22"/>
        <v/>
      </c>
      <c r="K95" s="471" t="str">
        <f t="shared" si="22"/>
        <v/>
      </c>
      <c r="L95" s="471" t="str">
        <f t="shared" si="22"/>
        <v/>
      </c>
      <c r="M95"/>
      <c r="N95" s="471">
        <f t="shared" si="19"/>
        <v>0</v>
      </c>
      <c r="O95"/>
      <c r="P95" s="471">
        <f t="shared" si="20"/>
        <v>0</v>
      </c>
      <c r="Q95"/>
      <c r="R95" s="471">
        <f t="shared" si="21"/>
        <v>0</v>
      </c>
      <c r="T95" s="479"/>
      <c r="V95" s="479"/>
      <c r="AE95" s="472" t="e">
        <f>IF(#REF!=2,#REF!,0)</f>
        <v>#REF!</v>
      </c>
      <c r="AF95" s="472" t="e">
        <f>IF(#REF!=2,#REF!,0)</f>
        <v>#REF!</v>
      </c>
      <c r="AG95" s="472" t="e">
        <f t="shared" si="4"/>
        <v>#REF!</v>
      </c>
      <c r="AH95" s="473">
        <v>18</v>
      </c>
      <c r="AI95" s="473">
        <v>18</v>
      </c>
      <c r="AJ95" s="487">
        <f t="shared" si="12"/>
        <v>2.25</v>
      </c>
      <c r="AK95" s="488">
        <f t="shared" si="5"/>
        <v>0</v>
      </c>
      <c r="AL95" s="488">
        <f t="shared" si="6"/>
        <v>1</v>
      </c>
      <c r="AM95" s="472">
        <f t="shared" si="13"/>
        <v>1818</v>
      </c>
      <c r="AN95" s="472" t="e">
        <v>#REF!</v>
      </c>
      <c r="AW95" s="472" t="e">
        <f>IF(#REF!=3,#REF!,0)</f>
        <v>#REF!</v>
      </c>
    </row>
    <row r="96" spans="3:49" x14ac:dyDescent="0.3">
      <c r="C96" s="471" t="str">
        <f>IF(OR(Inyección!B96="",Inyección!N96="",Inyección!P96=""),"",INDEX($C$26:$C$29,Inyección!C96)&amp;" de "&amp;TEXT(Inyección!N96,"00")&amp;""""&amp;" × "&amp;TEXT(Inyección!P96,"00")&amp;""""&amp;IF(Inyección!C96=1,", "&amp;Inyección!R96&amp;IF(Inyección!R96=1," vía",IF(OR(Inyección!R96=2,Inyección!R96=3,Inyección!R96=4)," vías","")),""))</f>
        <v/>
      </c>
      <c r="F96"/>
      <c r="H96" s="471">
        <f t="shared" si="7"/>
        <v>0</v>
      </c>
      <c r="I96" s="471" t="str">
        <f t="shared" si="8"/>
        <v>0</v>
      </c>
      <c r="J96" s="471" t="str">
        <f t="shared" si="22"/>
        <v/>
      </c>
      <c r="K96" s="471" t="str">
        <f t="shared" si="22"/>
        <v/>
      </c>
      <c r="L96" s="471" t="str">
        <f t="shared" si="22"/>
        <v/>
      </c>
      <c r="M96"/>
      <c r="N96" s="471">
        <f t="shared" si="19"/>
        <v>0</v>
      </c>
      <c r="O96"/>
      <c r="P96" s="471">
        <f t="shared" si="20"/>
        <v>0</v>
      </c>
      <c r="Q96"/>
      <c r="R96" s="471">
        <f t="shared" si="21"/>
        <v>0</v>
      </c>
      <c r="T96" s="479"/>
      <c r="V96" s="479"/>
      <c r="AE96" s="472" t="e">
        <f>IF(#REF!=2,#REF!,0)</f>
        <v>#REF!</v>
      </c>
      <c r="AF96" s="472" t="e">
        <f>IF(#REF!=2,#REF!,0)</f>
        <v>#REF!</v>
      </c>
      <c r="AG96" s="472" t="e">
        <f t="shared" si="4"/>
        <v>#REF!</v>
      </c>
      <c r="AH96" s="473">
        <v>18</v>
      </c>
      <c r="AI96" s="473">
        <v>20</v>
      </c>
      <c r="AJ96" s="487">
        <f t="shared" si="12"/>
        <v>2.5</v>
      </c>
      <c r="AK96" s="488">
        <f t="shared" si="5"/>
        <v>0</v>
      </c>
      <c r="AL96" s="488">
        <f t="shared" si="6"/>
        <v>0.9</v>
      </c>
      <c r="AM96" s="472">
        <f t="shared" si="13"/>
        <v>1820</v>
      </c>
      <c r="AN96" s="472" t="e">
        <v>#REF!</v>
      </c>
      <c r="AW96" s="472" t="e">
        <f>IF(#REF!=3,#REF!,0)</f>
        <v>#REF!</v>
      </c>
    </row>
    <row r="97" spans="3:49" x14ac:dyDescent="0.3">
      <c r="C97" s="471" t="str">
        <f>IF(OR(Inyección!B97="",Inyección!N97="",Inyección!P97=""),"",INDEX($C$26:$C$29,Inyección!C97)&amp;" de "&amp;TEXT(Inyección!N97,"00")&amp;""""&amp;" × "&amp;TEXT(Inyección!P97,"00")&amp;""""&amp;IF(Inyección!C97=1,", "&amp;Inyección!R97&amp;IF(Inyección!R97=1," vía",IF(OR(Inyección!R97=2,Inyección!R97=3,Inyección!R97=4)," vías","")),""))</f>
        <v/>
      </c>
      <c r="F97"/>
      <c r="H97" s="471">
        <f t="shared" si="7"/>
        <v>0</v>
      </c>
      <c r="I97" s="471" t="str">
        <f t="shared" si="8"/>
        <v>0</v>
      </c>
      <c r="J97" s="471" t="str">
        <f t="shared" si="22"/>
        <v/>
      </c>
      <c r="K97" s="471" t="str">
        <f t="shared" si="22"/>
        <v/>
      </c>
      <c r="L97" s="471" t="str">
        <f t="shared" si="22"/>
        <v/>
      </c>
      <c r="M97"/>
      <c r="N97" s="471">
        <f t="shared" si="19"/>
        <v>0</v>
      </c>
      <c r="O97"/>
      <c r="P97" s="471">
        <f t="shared" si="20"/>
        <v>0</v>
      </c>
      <c r="Q97"/>
      <c r="R97" s="471">
        <f t="shared" si="21"/>
        <v>0</v>
      </c>
      <c r="T97" s="479"/>
      <c r="V97" s="479"/>
      <c r="AE97" s="472" t="e">
        <f>IF(#REF!=2,#REF!,0)</f>
        <v>#REF!</v>
      </c>
      <c r="AF97" s="472" t="e">
        <f>IF(#REF!=2,#REF!,0)</f>
        <v>#REF!</v>
      </c>
      <c r="AG97" s="472" t="e">
        <f t="shared" si="4"/>
        <v>#REF!</v>
      </c>
      <c r="AH97" s="473">
        <v>20</v>
      </c>
      <c r="AI97" s="473">
        <v>10</v>
      </c>
      <c r="AJ97" s="487">
        <f t="shared" si="12"/>
        <v>1.3888888888888891</v>
      </c>
      <c r="AK97" s="488">
        <f t="shared" si="5"/>
        <v>0</v>
      </c>
      <c r="AL97" s="488">
        <f t="shared" si="6"/>
        <v>2</v>
      </c>
      <c r="AM97" s="472">
        <f t="shared" si="13"/>
        <v>2010</v>
      </c>
      <c r="AN97" s="472" t="e">
        <v>#REF!</v>
      </c>
      <c r="AW97" s="472" t="e">
        <f>IF(#REF!=3,#REF!,0)</f>
        <v>#REF!</v>
      </c>
    </row>
    <row r="98" spans="3:49" x14ac:dyDescent="0.3">
      <c r="C98" s="471" t="str">
        <f>IF(OR(Inyección!B98="",Inyección!N98="",Inyección!P98=""),"",INDEX($C$26:$C$29,Inyección!C98)&amp;" de "&amp;TEXT(Inyección!N98,"00")&amp;""""&amp;" × "&amp;TEXT(Inyección!P98,"00")&amp;""""&amp;IF(Inyección!C98=1,", "&amp;Inyección!R98&amp;IF(Inyección!R98=1," vía",IF(OR(Inyección!R98=2,Inyección!R98=3,Inyección!R98=4)," vías","")),""))</f>
        <v/>
      </c>
      <c r="F98"/>
      <c r="H98" s="471">
        <f t="shared" si="7"/>
        <v>0</v>
      </c>
      <c r="I98" s="471" t="str">
        <f t="shared" si="8"/>
        <v>0</v>
      </c>
      <c r="J98" s="471" t="str">
        <f t="shared" si="22"/>
        <v/>
      </c>
      <c r="K98" s="471" t="str">
        <f t="shared" si="22"/>
        <v/>
      </c>
      <c r="L98" s="471" t="str">
        <f t="shared" si="22"/>
        <v/>
      </c>
      <c r="M98"/>
      <c r="N98" s="471">
        <f t="shared" ref="N98:N129" si="23">COUNTIF(DISP_INY,M98)</f>
        <v>0</v>
      </c>
      <c r="O98"/>
      <c r="P98" s="471">
        <f t="shared" ref="P98:P129" si="24">COUNTIF(DISP_INY,O98)</f>
        <v>0</v>
      </c>
      <c r="Q98"/>
      <c r="R98" s="471">
        <f t="shared" ref="R98:R129" si="25">COUNTIF(DISP_INY,Q98)</f>
        <v>0</v>
      </c>
      <c r="T98" s="479"/>
      <c r="V98" s="479"/>
      <c r="AE98" s="472" t="e">
        <f>IF(#REF!=2,#REF!,0)</f>
        <v>#REF!</v>
      </c>
      <c r="AF98" s="472" t="e">
        <f>IF(#REF!=2,#REF!,0)</f>
        <v>#REF!</v>
      </c>
      <c r="AG98" s="472" t="e">
        <f t="shared" ref="AG98:AG161" si="26">VALUE(TEXT(AE98,"00")&amp;TEXT(AF98,"00"))</f>
        <v>#REF!</v>
      </c>
      <c r="AH98" s="473">
        <v>20</v>
      </c>
      <c r="AI98" s="473">
        <v>12</v>
      </c>
      <c r="AJ98" s="487">
        <f t="shared" si="12"/>
        <v>1.6666666666666667</v>
      </c>
      <c r="AK98" s="488">
        <f t="shared" ref="AK98:AK114" si="27">AJ98*$AK$31</f>
        <v>0</v>
      </c>
      <c r="AL98" s="488">
        <f t="shared" ref="AL98:AL109" si="28">AH98/AI98</f>
        <v>1.6666666666666667</v>
      </c>
      <c r="AM98" s="472">
        <f t="shared" si="13"/>
        <v>2012</v>
      </c>
      <c r="AN98" s="472" t="e">
        <v>#REF!</v>
      </c>
      <c r="AW98" s="472" t="e">
        <f>IF(#REF!=3,#REF!,0)</f>
        <v>#REF!</v>
      </c>
    </row>
    <row r="99" spans="3:49" x14ac:dyDescent="0.3">
      <c r="C99" s="471" t="str">
        <f>IF(OR(Inyección!B99="",Inyección!N99="",Inyección!P99=""),"",INDEX($C$26:$C$29,Inyección!C99)&amp;" de "&amp;TEXT(Inyección!N99,"00")&amp;""""&amp;" × "&amp;TEXT(Inyección!P99,"00")&amp;""""&amp;IF(Inyección!C99=1,", "&amp;Inyección!R99&amp;IF(Inyección!R99=1," vía",IF(OR(Inyección!R99=2,Inyección!R99=3,Inyección!R99=4)," vías","")),""))</f>
        <v/>
      </c>
      <c r="F99"/>
      <c r="H99" s="471">
        <f t="shared" ref="H99:H162" si="29">F99</f>
        <v>0</v>
      </c>
      <c r="I99" s="471" t="str">
        <f t="shared" ref="I99:I162" si="30">LEFT(H99,1)</f>
        <v>0</v>
      </c>
      <c r="J99" s="471" t="str">
        <f t="shared" ref="J99:L130" si="31">IF($I99=J$33,$H99,"")</f>
        <v/>
      </c>
      <c r="K99" s="471" t="str">
        <f t="shared" si="31"/>
        <v/>
      </c>
      <c r="L99" s="471" t="str">
        <f t="shared" si="31"/>
        <v/>
      </c>
      <c r="M99"/>
      <c r="N99" s="471">
        <f t="shared" si="23"/>
        <v>0</v>
      </c>
      <c r="O99"/>
      <c r="P99" s="471">
        <f t="shared" si="24"/>
        <v>0</v>
      </c>
      <c r="Q99"/>
      <c r="R99" s="471">
        <f t="shared" si="25"/>
        <v>0</v>
      </c>
      <c r="T99" s="479"/>
      <c r="V99" s="479"/>
      <c r="AE99" s="472" t="e">
        <f>IF(#REF!=2,#REF!,0)</f>
        <v>#REF!</v>
      </c>
      <c r="AF99" s="472" t="e">
        <f>IF(#REF!=2,#REF!,0)</f>
        <v>#REF!</v>
      </c>
      <c r="AG99" s="472" t="e">
        <f t="shared" si="26"/>
        <v>#REF!</v>
      </c>
      <c r="AH99" s="473">
        <v>20</v>
      </c>
      <c r="AI99" s="473">
        <v>14</v>
      </c>
      <c r="AJ99" s="487">
        <f t="shared" ref="AJ99:AJ109" si="32">(AH99/12)*(AI99/12)</f>
        <v>1.9444444444444446</v>
      </c>
      <c r="AK99" s="488">
        <f t="shared" si="27"/>
        <v>0</v>
      </c>
      <c r="AL99" s="488">
        <f t="shared" si="28"/>
        <v>1.4285714285714286</v>
      </c>
      <c r="AM99" s="472">
        <f t="shared" ref="AM99:AM114" si="33">VALUE(TEXT(AH99,"00")&amp;TEXT(AI99,"00"))</f>
        <v>2014</v>
      </c>
      <c r="AN99" s="472" t="e">
        <v>#REF!</v>
      </c>
      <c r="AW99" s="472" t="e">
        <f>IF(#REF!=3,#REF!,0)</f>
        <v>#REF!</v>
      </c>
    </row>
    <row r="100" spans="3:49" x14ac:dyDescent="0.3">
      <c r="C100" s="471" t="str">
        <f>IF(OR(Inyección!B100="",Inyección!N100="",Inyección!P100=""),"",INDEX($C$26:$C$29,Inyección!C100)&amp;" de "&amp;TEXT(Inyección!N100,"00")&amp;""""&amp;" × "&amp;TEXT(Inyección!P100,"00")&amp;""""&amp;IF(Inyección!C100=1,", "&amp;Inyección!R100&amp;IF(Inyección!R100=1," vía",IF(OR(Inyección!R100=2,Inyección!R100=3,Inyección!R100=4)," vías","")),""))</f>
        <v/>
      </c>
      <c r="F100"/>
      <c r="H100" s="471">
        <f t="shared" si="29"/>
        <v>0</v>
      </c>
      <c r="I100" s="471" t="str">
        <f t="shared" si="30"/>
        <v>0</v>
      </c>
      <c r="J100" s="471" t="str">
        <f t="shared" si="31"/>
        <v/>
      </c>
      <c r="K100" s="471" t="str">
        <f t="shared" si="31"/>
        <v/>
      </c>
      <c r="L100" s="471" t="str">
        <f t="shared" si="31"/>
        <v/>
      </c>
      <c r="M100"/>
      <c r="N100" s="471">
        <f t="shared" si="23"/>
        <v>0</v>
      </c>
      <c r="O100"/>
      <c r="P100" s="471">
        <f t="shared" si="24"/>
        <v>0</v>
      </c>
      <c r="Q100"/>
      <c r="R100" s="471">
        <f t="shared" si="25"/>
        <v>0</v>
      </c>
      <c r="T100" s="479"/>
      <c r="V100" s="479"/>
      <c r="AE100" s="472" t="e">
        <f>IF(#REF!=2,#REF!,0)</f>
        <v>#REF!</v>
      </c>
      <c r="AF100" s="472" t="e">
        <f>IF(#REF!=2,#REF!,0)</f>
        <v>#REF!</v>
      </c>
      <c r="AG100" s="472" t="e">
        <f t="shared" si="26"/>
        <v>#REF!</v>
      </c>
      <c r="AH100" s="473">
        <v>20</v>
      </c>
      <c r="AI100" s="473">
        <v>16</v>
      </c>
      <c r="AJ100" s="487">
        <f t="shared" si="32"/>
        <v>2.2222222222222223</v>
      </c>
      <c r="AK100" s="488">
        <f t="shared" si="27"/>
        <v>0</v>
      </c>
      <c r="AL100" s="488">
        <f t="shared" si="28"/>
        <v>1.25</v>
      </c>
      <c r="AM100" s="472">
        <f t="shared" si="33"/>
        <v>2016</v>
      </c>
      <c r="AN100" s="472" t="e">
        <v>#REF!</v>
      </c>
      <c r="AW100" s="472" t="e">
        <f>IF(#REF!=3,#REF!,0)</f>
        <v>#REF!</v>
      </c>
    </row>
    <row r="101" spans="3:49" x14ac:dyDescent="0.3">
      <c r="C101" s="471" t="str">
        <f>IF(OR(Inyección!B101="",Inyección!N101="",Inyección!P101=""),"",INDEX($C$26:$C$29,Inyección!C101)&amp;" de "&amp;TEXT(Inyección!N101,"00")&amp;""""&amp;" × "&amp;TEXT(Inyección!P101,"00")&amp;""""&amp;IF(Inyección!C101=1,", "&amp;Inyección!R101&amp;IF(Inyección!R101=1," vía",IF(OR(Inyección!R101=2,Inyección!R101=3,Inyección!R101=4)," vías","")),""))</f>
        <v/>
      </c>
      <c r="F101"/>
      <c r="H101" s="471">
        <f t="shared" si="29"/>
        <v>0</v>
      </c>
      <c r="I101" s="471" t="str">
        <f t="shared" si="30"/>
        <v>0</v>
      </c>
      <c r="J101" s="471" t="str">
        <f t="shared" si="31"/>
        <v/>
      </c>
      <c r="K101" s="471" t="str">
        <f t="shared" si="31"/>
        <v/>
      </c>
      <c r="L101" s="471" t="str">
        <f t="shared" si="31"/>
        <v/>
      </c>
      <c r="M101"/>
      <c r="N101" s="471">
        <f t="shared" si="23"/>
        <v>0</v>
      </c>
      <c r="O101"/>
      <c r="P101" s="471">
        <f t="shared" si="24"/>
        <v>0</v>
      </c>
      <c r="Q101"/>
      <c r="R101" s="471">
        <f t="shared" si="25"/>
        <v>0</v>
      </c>
      <c r="T101" s="479"/>
      <c r="V101" s="479"/>
      <c r="AE101" s="472" t="e">
        <f>IF(#REF!=2,#REF!,0)</f>
        <v>#REF!</v>
      </c>
      <c r="AF101" s="472" t="e">
        <f>IF(#REF!=2,#REF!,0)</f>
        <v>#REF!</v>
      </c>
      <c r="AG101" s="472" t="e">
        <f t="shared" si="26"/>
        <v>#REF!</v>
      </c>
      <c r="AH101" s="473">
        <v>20</v>
      </c>
      <c r="AI101" s="473">
        <v>18</v>
      </c>
      <c r="AJ101" s="487">
        <f t="shared" si="32"/>
        <v>2.5</v>
      </c>
      <c r="AK101" s="488">
        <f t="shared" si="27"/>
        <v>0</v>
      </c>
      <c r="AL101" s="488">
        <f t="shared" si="28"/>
        <v>1.1111111111111112</v>
      </c>
      <c r="AM101" s="472">
        <f t="shared" si="33"/>
        <v>2018</v>
      </c>
      <c r="AN101" s="472" t="e">
        <v>#REF!</v>
      </c>
      <c r="AW101" s="472" t="e">
        <f>IF(#REF!=3,#REF!,0)</f>
        <v>#REF!</v>
      </c>
    </row>
    <row r="102" spans="3:49" x14ac:dyDescent="0.3">
      <c r="C102" s="471" t="str">
        <f>IF(OR(Inyección!B102="",Inyección!N102="",Inyección!P102=""),"",INDEX($C$26:$C$29,Inyección!C102)&amp;" de "&amp;TEXT(Inyección!N102,"00")&amp;""""&amp;" × "&amp;TEXT(Inyección!P102,"00")&amp;""""&amp;IF(Inyección!C102=1,", "&amp;Inyección!R102&amp;IF(Inyección!R102=1," vía",IF(OR(Inyección!R102=2,Inyección!R102=3,Inyección!R102=4)," vías","")),""))</f>
        <v/>
      </c>
      <c r="F102"/>
      <c r="H102" s="471">
        <f t="shared" si="29"/>
        <v>0</v>
      </c>
      <c r="I102" s="471" t="str">
        <f t="shared" si="30"/>
        <v>0</v>
      </c>
      <c r="J102" s="471" t="str">
        <f t="shared" si="31"/>
        <v/>
      </c>
      <c r="K102" s="471" t="str">
        <f t="shared" si="31"/>
        <v/>
      </c>
      <c r="L102" s="471" t="str">
        <f t="shared" si="31"/>
        <v/>
      </c>
      <c r="M102"/>
      <c r="N102" s="471">
        <f t="shared" si="23"/>
        <v>0</v>
      </c>
      <c r="O102"/>
      <c r="P102" s="471">
        <f t="shared" si="24"/>
        <v>0</v>
      </c>
      <c r="Q102"/>
      <c r="R102" s="471">
        <f t="shared" si="25"/>
        <v>0</v>
      </c>
      <c r="T102" s="479"/>
      <c r="V102" s="479"/>
      <c r="AE102" s="472" t="e">
        <f>IF(#REF!=2,#REF!,0)</f>
        <v>#REF!</v>
      </c>
      <c r="AF102" s="472" t="e">
        <f>IF(#REF!=2,#REF!,0)</f>
        <v>#REF!</v>
      </c>
      <c r="AG102" s="472" t="e">
        <f t="shared" si="26"/>
        <v>#REF!</v>
      </c>
      <c r="AH102" s="473">
        <v>22</v>
      </c>
      <c r="AI102" s="473">
        <v>10</v>
      </c>
      <c r="AJ102" s="487">
        <f t="shared" si="32"/>
        <v>1.5277777777777777</v>
      </c>
      <c r="AK102" s="488">
        <f t="shared" si="27"/>
        <v>0</v>
      </c>
      <c r="AL102" s="488">
        <f t="shared" si="28"/>
        <v>2.2000000000000002</v>
      </c>
      <c r="AM102" s="472">
        <f t="shared" si="33"/>
        <v>2210</v>
      </c>
      <c r="AN102" s="472" t="e">
        <v>#REF!</v>
      </c>
      <c r="AW102" s="472" t="e">
        <f>IF(#REF!=3,#REF!,0)</f>
        <v>#REF!</v>
      </c>
    </row>
    <row r="103" spans="3:49" x14ac:dyDescent="0.3">
      <c r="C103" s="471" t="str">
        <f>IF(OR(Inyección!B103="",Inyección!N103="",Inyección!P103=""),"",INDEX($C$26:$C$29,Inyección!C103)&amp;" de "&amp;TEXT(Inyección!N103,"00")&amp;""""&amp;" × "&amp;TEXT(Inyección!P103,"00")&amp;""""&amp;IF(Inyección!C103=1,", "&amp;Inyección!R103&amp;IF(Inyección!R103=1," vía",IF(OR(Inyección!R103=2,Inyección!R103=3,Inyección!R103=4)," vías","")),""))</f>
        <v/>
      </c>
      <c r="F103"/>
      <c r="H103" s="471">
        <f t="shared" si="29"/>
        <v>0</v>
      </c>
      <c r="I103" s="471" t="str">
        <f t="shared" si="30"/>
        <v>0</v>
      </c>
      <c r="J103" s="471" t="str">
        <f t="shared" si="31"/>
        <v/>
      </c>
      <c r="K103" s="471" t="str">
        <f t="shared" si="31"/>
        <v/>
      </c>
      <c r="L103" s="471" t="str">
        <f t="shared" si="31"/>
        <v/>
      </c>
      <c r="M103"/>
      <c r="N103" s="471">
        <f t="shared" si="23"/>
        <v>0</v>
      </c>
      <c r="O103"/>
      <c r="P103" s="471">
        <f t="shared" si="24"/>
        <v>0</v>
      </c>
      <c r="Q103"/>
      <c r="R103" s="471">
        <f t="shared" si="25"/>
        <v>0</v>
      </c>
      <c r="T103" s="479"/>
      <c r="V103" s="479"/>
      <c r="AE103" s="472" t="e">
        <f>IF(#REF!=2,#REF!,0)</f>
        <v>#REF!</v>
      </c>
      <c r="AF103" s="472" t="e">
        <f>IF(#REF!=2,#REF!,0)</f>
        <v>#REF!</v>
      </c>
      <c r="AG103" s="472" t="e">
        <f t="shared" si="26"/>
        <v>#REF!</v>
      </c>
      <c r="AH103" s="473">
        <v>22</v>
      </c>
      <c r="AI103" s="473">
        <v>12</v>
      </c>
      <c r="AJ103" s="487">
        <f t="shared" si="32"/>
        <v>1.8333333333333333</v>
      </c>
      <c r="AK103" s="488">
        <f t="shared" si="27"/>
        <v>0</v>
      </c>
      <c r="AL103" s="488">
        <f t="shared" si="28"/>
        <v>1.8333333333333333</v>
      </c>
      <c r="AM103" s="472">
        <f t="shared" si="33"/>
        <v>2212</v>
      </c>
      <c r="AN103" s="472" t="e">
        <v>#REF!</v>
      </c>
      <c r="AW103" s="472" t="e">
        <f>IF(#REF!=3,#REF!,0)</f>
        <v>#REF!</v>
      </c>
    </row>
    <row r="104" spans="3:49" x14ac:dyDescent="0.3">
      <c r="C104" s="471" t="str">
        <f>IF(OR(Inyección!B104="",Inyección!N104="",Inyección!P104=""),"",INDEX($C$26:$C$29,Inyección!C104)&amp;" de "&amp;TEXT(Inyección!N104,"00")&amp;""""&amp;" × "&amp;TEXT(Inyección!P104,"00")&amp;""""&amp;IF(Inyección!C104=1,", "&amp;Inyección!R104&amp;IF(Inyección!R104=1," vía",IF(OR(Inyección!R104=2,Inyección!R104=3,Inyección!R104=4)," vías","")),""))</f>
        <v/>
      </c>
      <c r="F104"/>
      <c r="H104" s="471">
        <f t="shared" si="29"/>
        <v>0</v>
      </c>
      <c r="I104" s="471" t="str">
        <f t="shared" si="30"/>
        <v>0</v>
      </c>
      <c r="J104" s="471" t="str">
        <f t="shared" si="31"/>
        <v/>
      </c>
      <c r="K104" s="471" t="str">
        <f t="shared" si="31"/>
        <v/>
      </c>
      <c r="L104" s="471" t="str">
        <f t="shared" si="31"/>
        <v/>
      </c>
      <c r="M104"/>
      <c r="N104" s="471">
        <f t="shared" si="23"/>
        <v>0</v>
      </c>
      <c r="O104"/>
      <c r="P104" s="471">
        <f t="shared" si="24"/>
        <v>0</v>
      </c>
      <c r="Q104"/>
      <c r="R104" s="471">
        <f t="shared" si="25"/>
        <v>0</v>
      </c>
      <c r="T104" s="479"/>
      <c r="V104" s="479"/>
      <c r="AE104" s="472" t="e">
        <f>IF(#REF!=2,#REF!,0)</f>
        <v>#REF!</v>
      </c>
      <c r="AF104" s="472" t="e">
        <f>IF(#REF!=2,#REF!,0)</f>
        <v>#REF!</v>
      </c>
      <c r="AG104" s="472" t="e">
        <f t="shared" si="26"/>
        <v>#REF!</v>
      </c>
      <c r="AH104" s="473">
        <v>22</v>
      </c>
      <c r="AI104" s="473">
        <v>14</v>
      </c>
      <c r="AJ104" s="487">
        <f t="shared" si="32"/>
        <v>2.1388888888888888</v>
      </c>
      <c r="AK104" s="488">
        <f t="shared" si="27"/>
        <v>0</v>
      </c>
      <c r="AL104" s="488">
        <f t="shared" si="28"/>
        <v>1.5714285714285714</v>
      </c>
      <c r="AM104" s="472">
        <f t="shared" si="33"/>
        <v>2214</v>
      </c>
      <c r="AN104" s="472" t="e">
        <v>#REF!</v>
      </c>
      <c r="AW104" s="472" t="e">
        <f>IF(#REF!=3,#REF!,0)</f>
        <v>#REF!</v>
      </c>
    </row>
    <row r="105" spans="3:49" x14ac:dyDescent="0.3">
      <c r="C105" s="471" t="str">
        <f>IF(OR(Inyección!B105="",Inyección!N105="",Inyección!P105=""),"",INDEX($C$26:$C$29,Inyección!C105)&amp;" de "&amp;TEXT(Inyección!N105,"00")&amp;""""&amp;" × "&amp;TEXT(Inyección!P105,"00")&amp;""""&amp;IF(Inyección!C105=1,", "&amp;Inyección!R105&amp;IF(Inyección!R105=1," vía",IF(OR(Inyección!R105=2,Inyección!R105=3,Inyección!R105=4)," vías","")),""))</f>
        <v/>
      </c>
      <c r="F105"/>
      <c r="H105" s="471">
        <f t="shared" si="29"/>
        <v>0</v>
      </c>
      <c r="I105" s="471" t="str">
        <f t="shared" si="30"/>
        <v>0</v>
      </c>
      <c r="J105" s="471" t="str">
        <f t="shared" si="31"/>
        <v/>
      </c>
      <c r="K105" s="471" t="str">
        <f t="shared" si="31"/>
        <v/>
      </c>
      <c r="L105" s="471" t="str">
        <f t="shared" si="31"/>
        <v/>
      </c>
      <c r="M105"/>
      <c r="N105" s="471">
        <f t="shared" si="23"/>
        <v>0</v>
      </c>
      <c r="O105"/>
      <c r="P105" s="471">
        <f t="shared" si="24"/>
        <v>0</v>
      </c>
      <c r="Q105"/>
      <c r="R105" s="471">
        <f t="shared" si="25"/>
        <v>0</v>
      </c>
      <c r="T105" s="479"/>
      <c r="V105" s="479"/>
      <c r="AE105" s="472" t="e">
        <f>IF(#REF!=2,#REF!,0)</f>
        <v>#REF!</v>
      </c>
      <c r="AF105" s="472" t="e">
        <f>IF(#REF!=2,#REF!,0)</f>
        <v>#REF!</v>
      </c>
      <c r="AG105" s="472" t="e">
        <f t="shared" si="26"/>
        <v>#REF!</v>
      </c>
      <c r="AH105" s="473">
        <v>22</v>
      </c>
      <c r="AI105" s="473">
        <v>16</v>
      </c>
      <c r="AJ105" s="487">
        <f t="shared" si="32"/>
        <v>2.4444444444444442</v>
      </c>
      <c r="AK105" s="488">
        <f t="shared" si="27"/>
        <v>0</v>
      </c>
      <c r="AL105" s="488">
        <f t="shared" si="28"/>
        <v>1.375</v>
      </c>
      <c r="AM105" s="472">
        <f t="shared" si="33"/>
        <v>2216</v>
      </c>
      <c r="AN105" s="472" t="e">
        <v>#REF!</v>
      </c>
      <c r="AW105" s="472" t="e">
        <f>IF(#REF!=3,#REF!,0)</f>
        <v>#REF!</v>
      </c>
    </row>
    <row r="106" spans="3:49" x14ac:dyDescent="0.3">
      <c r="C106" s="471" t="str">
        <f>IF(OR(Inyección!B106="",Inyección!N106="",Inyección!P106=""),"",INDEX($C$26:$C$29,Inyección!C106)&amp;" de "&amp;TEXT(Inyección!N106,"00")&amp;""""&amp;" × "&amp;TEXT(Inyección!P106,"00")&amp;""""&amp;IF(Inyección!C106=1,", "&amp;Inyección!R106&amp;IF(Inyección!R106=1," vía",IF(OR(Inyección!R106=2,Inyección!R106=3,Inyección!R106=4)," vías","")),""))</f>
        <v/>
      </c>
      <c r="F106"/>
      <c r="H106" s="471">
        <f t="shared" si="29"/>
        <v>0</v>
      </c>
      <c r="I106" s="471" t="str">
        <f t="shared" si="30"/>
        <v>0</v>
      </c>
      <c r="J106" s="471" t="str">
        <f t="shared" si="31"/>
        <v/>
      </c>
      <c r="K106" s="471" t="str">
        <f t="shared" si="31"/>
        <v/>
      </c>
      <c r="L106" s="471" t="str">
        <f t="shared" si="31"/>
        <v/>
      </c>
      <c r="M106"/>
      <c r="N106" s="471">
        <f t="shared" si="23"/>
        <v>0</v>
      </c>
      <c r="O106"/>
      <c r="P106" s="471">
        <f t="shared" si="24"/>
        <v>0</v>
      </c>
      <c r="Q106"/>
      <c r="R106" s="471">
        <f t="shared" si="25"/>
        <v>0</v>
      </c>
      <c r="T106" s="479"/>
      <c r="V106" s="479"/>
      <c r="AE106" s="472" t="e">
        <f>IF(#REF!=2,#REF!,0)</f>
        <v>#REF!</v>
      </c>
      <c r="AF106" s="472" t="e">
        <f>IF(#REF!=2,#REF!,0)</f>
        <v>#REF!</v>
      </c>
      <c r="AG106" s="472" t="e">
        <f t="shared" si="26"/>
        <v>#REF!</v>
      </c>
      <c r="AH106" s="473">
        <v>24</v>
      </c>
      <c r="AI106" s="473">
        <v>10</v>
      </c>
      <c r="AJ106" s="487">
        <f t="shared" si="32"/>
        <v>1.6666666666666667</v>
      </c>
      <c r="AK106" s="488">
        <f t="shared" si="27"/>
        <v>0</v>
      </c>
      <c r="AL106" s="488">
        <f t="shared" si="28"/>
        <v>2.4</v>
      </c>
      <c r="AM106" s="472">
        <f t="shared" si="33"/>
        <v>2410</v>
      </c>
      <c r="AN106" s="472" t="e">
        <v>#REF!</v>
      </c>
      <c r="AW106" s="472" t="e">
        <f>IF(#REF!=3,#REF!,0)</f>
        <v>#REF!</v>
      </c>
    </row>
    <row r="107" spans="3:49" x14ac:dyDescent="0.3">
      <c r="C107" s="471" t="str">
        <f>IF(OR(Inyección!B107="",Inyección!N107="",Inyección!P107=""),"",INDEX($C$26:$C$29,Inyección!C107)&amp;" de "&amp;TEXT(Inyección!N107,"00")&amp;""""&amp;" × "&amp;TEXT(Inyección!P107,"00")&amp;""""&amp;IF(Inyección!C107=1,", "&amp;Inyección!R107&amp;IF(Inyección!R107=1," vía",IF(OR(Inyección!R107=2,Inyección!R107=3,Inyección!R107=4)," vías","")),""))</f>
        <v/>
      </c>
      <c r="F107"/>
      <c r="H107" s="471">
        <f t="shared" si="29"/>
        <v>0</v>
      </c>
      <c r="I107" s="471" t="str">
        <f t="shared" si="30"/>
        <v>0</v>
      </c>
      <c r="J107" s="471" t="str">
        <f t="shared" si="31"/>
        <v/>
      </c>
      <c r="K107" s="471" t="str">
        <f t="shared" si="31"/>
        <v/>
      </c>
      <c r="L107" s="471" t="str">
        <f t="shared" si="31"/>
        <v/>
      </c>
      <c r="M107"/>
      <c r="N107" s="471">
        <f t="shared" si="23"/>
        <v>0</v>
      </c>
      <c r="O107"/>
      <c r="P107" s="471">
        <f t="shared" si="24"/>
        <v>0</v>
      </c>
      <c r="Q107"/>
      <c r="R107" s="471">
        <f t="shared" si="25"/>
        <v>0</v>
      </c>
      <c r="T107" s="479"/>
      <c r="V107" s="479"/>
      <c r="AE107" s="472" t="e">
        <f>IF(#REF!=2,#REF!,0)</f>
        <v>#REF!</v>
      </c>
      <c r="AF107" s="472" t="e">
        <f>IF(#REF!=2,#REF!,0)</f>
        <v>#REF!</v>
      </c>
      <c r="AG107" s="472" t="e">
        <f t="shared" si="26"/>
        <v>#REF!</v>
      </c>
      <c r="AH107" s="473">
        <v>24</v>
      </c>
      <c r="AI107" s="473">
        <v>12</v>
      </c>
      <c r="AJ107" s="487">
        <f t="shared" si="32"/>
        <v>2</v>
      </c>
      <c r="AK107" s="488">
        <f t="shared" si="27"/>
        <v>0</v>
      </c>
      <c r="AL107" s="488">
        <f t="shared" si="28"/>
        <v>2</v>
      </c>
      <c r="AM107" s="472">
        <f t="shared" si="33"/>
        <v>2412</v>
      </c>
      <c r="AN107" s="472" t="e">
        <v>#REF!</v>
      </c>
      <c r="AW107" s="472" t="e">
        <f>IF(#REF!=3,#REF!,0)</f>
        <v>#REF!</v>
      </c>
    </row>
    <row r="108" spans="3:49" x14ac:dyDescent="0.3">
      <c r="C108" s="471" t="str">
        <f>IF(OR(Inyección!B108="",Inyección!N108="",Inyección!P108=""),"",INDEX($C$26:$C$29,Inyección!C108)&amp;" de "&amp;TEXT(Inyección!N108,"00")&amp;""""&amp;" × "&amp;TEXT(Inyección!P108,"00")&amp;""""&amp;IF(Inyección!C108=1,", "&amp;Inyección!R108&amp;IF(Inyección!R108=1," vía",IF(OR(Inyección!R108=2,Inyección!R108=3,Inyección!R108=4)," vías","")),""))</f>
        <v/>
      </c>
      <c r="F108"/>
      <c r="H108" s="471">
        <f t="shared" si="29"/>
        <v>0</v>
      </c>
      <c r="I108" s="471" t="str">
        <f t="shared" si="30"/>
        <v>0</v>
      </c>
      <c r="J108" s="471" t="str">
        <f t="shared" si="31"/>
        <v/>
      </c>
      <c r="K108" s="471" t="str">
        <f t="shared" si="31"/>
        <v/>
      </c>
      <c r="L108" s="471" t="str">
        <f t="shared" si="31"/>
        <v/>
      </c>
      <c r="M108"/>
      <c r="N108" s="471">
        <f t="shared" si="23"/>
        <v>0</v>
      </c>
      <c r="O108"/>
      <c r="P108" s="471">
        <f t="shared" si="24"/>
        <v>0</v>
      </c>
      <c r="Q108"/>
      <c r="R108" s="471">
        <f t="shared" si="25"/>
        <v>0</v>
      </c>
      <c r="T108" s="479"/>
      <c r="V108" s="479"/>
      <c r="AE108" s="472" t="e">
        <f>IF(#REF!=2,#REF!,0)</f>
        <v>#REF!</v>
      </c>
      <c r="AF108" s="472" t="e">
        <f>IF(#REF!=2,#REF!,0)</f>
        <v>#REF!</v>
      </c>
      <c r="AG108" s="472" t="e">
        <f t="shared" si="26"/>
        <v>#REF!</v>
      </c>
      <c r="AH108" s="473">
        <v>24</v>
      </c>
      <c r="AI108" s="473">
        <v>14</v>
      </c>
      <c r="AJ108" s="487">
        <f t="shared" si="32"/>
        <v>2.3333333333333335</v>
      </c>
      <c r="AK108" s="488">
        <f t="shared" si="27"/>
        <v>0</v>
      </c>
      <c r="AL108" s="488">
        <f t="shared" si="28"/>
        <v>1.7142857142857142</v>
      </c>
      <c r="AM108" s="472">
        <f t="shared" si="33"/>
        <v>2414</v>
      </c>
      <c r="AN108" s="472" t="e">
        <v>#REF!</v>
      </c>
      <c r="AW108" s="472" t="e">
        <f>IF(#REF!=3,#REF!,0)</f>
        <v>#REF!</v>
      </c>
    </row>
    <row r="109" spans="3:49" x14ac:dyDescent="0.3">
      <c r="C109" s="471" t="str">
        <f>IF(OR(Inyección!B109="",Inyección!N109="",Inyección!P109=""),"",INDEX($C$26:$C$29,Inyección!C109)&amp;" de "&amp;TEXT(Inyección!N109,"00")&amp;""""&amp;" × "&amp;TEXT(Inyección!P109,"00")&amp;""""&amp;IF(Inyección!C109=1,", "&amp;Inyección!R109&amp;IF(Inyección!R109=1," vía",IF(OR(Inyección!R109=2,Inyección!R109=3,Inyección!R109=4)," vías","")),""))</f>
        <v/>
      </c>
      <c r="F109"/>
      <c r="H109" s="471">
        <f t="shared" si="29"/>
        <v>0</v>
      </c>
      <c r="I109" s="471" t="str">
        <f t="shared" si="30"/>
        <v>0</v>
      </c>
      <c r="J109" s="471" t="str">
        <f t="shared" si="31"/>
        <v/>
      </c>
      <c r="K109" s="471" t="str">
        <f t="shared" si="31"/>
        <v/>
      </c>
      <c r="L109" s="471" t="str">
        <f t="shared" si="31"/>
        <v/>
      </c>
      <c r="M109"/>
      <c r="N109" s="471">
        <f t="shared" si="23"/>
        <v>0</v>
      </c>
      <c r="O109"/>
      <c r="P109" s="471">
        <f t="shared" si="24"/>
        <v>0</v>
      </c>
      <c r="Q109"/>
      <c r="R109" s="471">
        <f t="shared" si="25"/>
        <v>0</v>
      </c>
      <c r="T109" s="479"/>
      <c r="V109" s="479"/>
      <c r="AE109" s="472" t="e">
        <f>IF(#REF!=2,#REF!,0)</f>
        <v>#REF!</v>
      </c>
      <c r="AF109" s="472" t="e">
        <f>IF(#REF!=2,#REF!,0)</f>
        <v>#REF!</v>
      </c>
      <c r="AG109" s="472" t="e">
        <f t="shared" si="26"/>
        <v>#REF!</v>
      </c>
      <c r="AH109" s="473">
        <v>24</v>
      </c>
      <c r="AI109" s="473">
        <v>16</v>
      </c>
      <c r="AJ109" s="487">
        <f t="shared" si="32"/>
        <v>2.6666666666666665</v>
      </c>
      <c r="AK109" s="488">
        <f t="shared" si="27"/>
        <v>0</v>
      </c>
      <c r="AL109" s="488">
        <f t="shared" si="28"/>
        <v>1.5</v>
      </c>
      <c r="AM109" s="472">
        <f t="shared" si="33"/>
        <v>2416</v>
      </c>
      <c r="AN109" s="472" t="e">
        <v>#REF!</v>
      </c>
      <c r="AW109" s="472" t="e">
        <f>IF(#REF!=3,#REF!,0)</f>
        <v>#REF!</v>
      </c>
    </row>
    <row r="110" spans="3:49" x14ac:dyDescent="0.3">
      <c r="C110" s="471" t="str">
        <f>IF(OR(Inyección!B110="",Inyección!N110="",Inyección!P110=""),"",INDEX($C$26:$C$29,Inyección!C110)&amp;" de "&amp;TEXT(Inyección!N110,"00")&amp;""""&amp;" × "&amp;TEXT(Inyección!P110,"00")&amp;""""&amp;IF(Inyección!C110=1,", "&amp;Inyección!R110&amp;IF(Inyección!R110=1," vía",IF(OR(Inyección!R110=2,Inyección!R110=3,Inyección!R110=4)," vías","")),""))</f>
        <v/>
      </c>
      <c r="F110"/>
      <c r="H110" s="471">
        <f t="shared" si="29"/>
        <v>0</v>
      </c>
      <c r="I110" s="471" t="str">
        <f t="shared" si="30"/>
        <v>0</v>
      </c>
      <c r="J110" s="471" t="str">
        <f t="shared" si="31"/>
        <v/>
      </c>
      <c r="K110" s="471" t="str">
        <f t="shared" si="31"/>
        <v/>
      </c>
      <c r="L110" s="471" t="str">
        <f t="shared" si="31"/>
        <v/>
      </c>
      <c r="M110"/>
      <c r="N110" s="471">
        <f t="shared" si="23"/>
        <v>0</v>
      </c>
      <c r="O110"/>
      <c r="P110" s="471">
        <f t="shared" si="24"/>
        <v>0</v>
      </c>
      <c r="Q110"/>
      <c r="R110" s="471">
        <f t="shared" si="25"/>
        <v>0</v>
      </c>
      <c r="T110" s="479"/>
      <c r="V110" s="479"/>
      <c r="AE110" s="472" t="e">
        <f>IF(#REF!=2,#REF!,0)</f>
        <v>#REF!</v>
      </c>
      <c r="AF110" s="472" t="e">
        <f>IF(#REF!=2,#REF!,0)</f>
        <v>#REF!</v>
      </c>
      <c r="AG110" s="472" t="e">
        <f t="shared" si="26"/>
        <v>#REF!</v>
      </c>
      <c r="AH110" s="473">
        <v>26</v>
      </c>
      <c r="AI110" s="473">
        <v>12</v>
      </c>
      <c r="AJ110" s="487">
        <f>(AH110/12)*(AI110/12)</f>
        <v>2.1666666666666665</v>
      </c>
      <c r="AK110" s="488">
        <f t="shared" si="27"/>
        <v>0</v>
      </c>
      <c r="AL110" s="488">
        <f>AH110/AI110</f>
        <v>2.1666666666666665</v>
      </c>
      <c r="AM110" s="472">
        <f t="shared" si="33"/>
        <v>2612</v>
      </c>
      <c r="AN110" s="472" t="e">
        <v>#REF!</v>
      </c>
      <c r="AW110" s="472" t="e">
        <f>IF(#REF!=3,#REF!,0)</f>
        <v>#REF!</v>
      </c>
    </row>
    <row r="111" spans="3:49" x14ac:dyDescent="0.3">
      <c r="C111" s="471" t="str">
        <f>IF(OR(Inyección!B111="",Inyección!N111="",Inyección!P111=""),"",INDEX($C$26:$C$29,Inyección!C111)&amp;" de "&amp;TEXT(Inyección!N111,"00")&amp;""""&amp;" × "&amp;TEXT(Inyección!P111,"00")&amp;""""&amp;IF(Inyección!C111=1,", "&amp;Inyección!R111&amp;IF(Inyección!R111=1," vía",IF(OR(Inyección!R111=2,Inyección!R111=3,Inyección!R111=4)," vías","")),""))</f>
        <v/>
      </c>
      <c r="F111"/>
      <c r="H111" s="471">
        <f t="shared" si="29"/>
        <v>0</v>
      </c>
      <c r="I111" s="471" t="str">
        <f t="shared" si="30"/>
        <v>0</v>
      </c>
      <c r="J111" s="471" t="str">
        <f t="shared" si="31"/>
        <v/>
      </c>
      <c r="K111" s="471" t="str">
        <f t="shared" si="31"/>
        <v/>
      </c>
      <c r="L111" s="471" t="str">
        <f t="shared" si="31"/>
        <v/>
      </c>
      <c r="M111"/>
      <c r="N111" s="471">
        <f t="shared" si="23"/>
        <v>0</v>
      </c>
      <c r="O111"/>
      <c r="P111" s="471">
        <f t="shared" si="24"/>
        <v>0</v>
      </c>
      <c r="Q111"/>
      <c r="R111" s="471">
        <f t="shared" si="25"/>
        <v>0</v>
      </c>
      <c r="T111" s="479"/>
      <c r="V111" s="479"/>
      <c r="AE111" s="472" t="e">
        <f>IF(#REF!=2,#REF!,0)</f>
        <v>#REF!</v>
      </c>
      <c r="AF111" s="472" t="e">
        <f>IF(#REF!=2,#REF!,0)</f>
        <v>#REF!</v>
      </c>
      <c r="AG111" s="472" t="e">
        <f t="shared" si="26"/>
        <v>#REF!</v>
      </c>
      <c r="AH111" s="473">
        <v>26</v>
      </c>
      <c r="AI111" s="473">
        <v>14</v>
      </c>
      <c r="AJ111" s="487">
        <f>(AH111/12)*(AI111/12)</f>
        <v>2.5277777777777777</v>
      </c>
      <c r="AK111" s="488">
        <f t="shared" si="27"/>
        <v>0</v>
      </c>
      <c r="AL111" s="488">
        <f>AH111/AI111</f>
        <v>1.8571428571428572</v>
      </c>
      <c r="AM111" s="472">
        <f t="shared" si="33"/>
        <v>2614</v>
      </c>
      <c r="AN111" s="472" t="e">
        <v>#REF!</v>
      </c>
      <c r="AW111" s="472" t="e">
        <f>IF(#REF!=3,#REF!,0)</f>
        <v>#REF!</v>
      </c>
    </row>
    <row r="112" spans="3:49" x14ac:dyDescent="0.3">
      <c r="C112" s="471" t="str">
        <f>IF(OR(Inyección!B112="",Inyección!N112="",Inyección!P112=""),"",INDEX($C$26:$C$29,Inyección!C112)&amp;" de "&amp;TEXT(Inyección!N112,"00")&amp;""""&amp;" × "&amp;TEXT(Inyección!P112,"00")&amp;""""&amp;IF(Inyección!C112=1,", "&amp;Inyección!R112&amp;IF(Inyección!R112=1," vía",IF(OR(Inyección!R112=2,Inyección!R112=3,Inyección!R112=4)," vías","")),""))</f>
        <v/>
      </c>
      <c r="F112"/>
      <c r="H112" s="471">
        <f t="shared" si="29"/>
        <v>0</v>
      </c>
      <c r="I112" s="471" t="str">
        <f t="shared" si="30"/>
        <v>0</v>
      </c>
      <c r="J112" s="471" t="str">
        <f t="shared" si="31"/>
        <v/>
      </c>
      <c r="K112" s="471" t="str">
        <f t="shared" si="31"/>
        <v/>
      </c>
      <c r="L112" s="471" t="str">
        <f t="shared" si="31"/>
        <v/>
      </c>
      <c r="M112"/>
      <c r="N112" s="471">
        <f t="shared" si="23"/>
        <v>0</v>
      </c>
      <c r="O112"/>
      <c r="P112" s="471">
        <f t="shared" si="24"/>
        <v>0</v>
      </c>
      <c r="Q112"/>
      <c r="R112" s="471">
        <f t="shared" si="25"/>
        <v>0</v>
      </c>
      <c r="T112" s="479"/>
      <c r="V112" s="479"/>
      <c r="AE112" s="472" t="e">
        <f>IF(#REF!=2,#REF!,0)</f>
        <v>#REF!</v>
      </c>
      <c r="AF112" s="472" t="e">
        <f>IF(#REF!=2,#REF!,0)</f>
        <v>#REF!</v>
      </c>
      <c r="AG112" s="472" t="e">
        <f t="shared" si="26"/>
        <v>#REF!</v>
      </c>
      <c r="AH112" s="473">
        <v>28</v>
      </c>
      <c r="AI112" s="473">
        <v>12</v>
      </c>
      <c r="AJ112" s="487">
        <f>(AH112/12)*(AI112/12)</f>
        <v>2.3333333333333335</v>
      </c>
      <c r="AK112" s="488">
        <f t="shared" si="27"/>
        <v>0</v>
      </c>
      <c r="AL112" s="488">
        <f>AH112/AI112</f>
        <v>2.3333333333333335</v>
      </c>
      <c r="AM112" s="472">
        <f t="shared" si="33"/>
        <v>2812</v>
      </c>
      <c r="AN112" s="472" t="e">
        <v>#REF!</v>
      </c>
      <c r="AW112" s="472" t="e">
        <f>IF(#REF!=3,#REF!,0)</f>
        <v>#REF!</v>
      </c>
    </row>
    <row r="113" spans="3:49" x14ac:dyDescent="0.3">
      <c r="C113" s="471" t="str">
        <f>IF(OR(Inyección!B113="",Inyección!N113="",Inyección!P113=""),"",INDEX($C$26:$C$29,Inyección!C113)&amp;" de "&amp;TEXT(Inyección!N113,"00")&amp;""""&amp;" × "&amp;TEXT(Inyección!P113,"00")&amp;""""&amp;IF(Inyección!C113=1,", "&amp;Inyección!R113&amp;IF(Inyección!R113=1," vía",IF(OR(Inyección!R113=2,Inyección!R113=3,Inyección!R113=4)," vías","")),""))</f>
        <v/>
      </c>
      <c r="F113"/>
      <c r="H113" s="471">
        <f t="shared" si="29"/>
        <v>0</v>
      </c>
      <c r="I113" s="471" t="str">
        <f t="shared" si="30"/>
        <v>0</v>
      </c>
      <c r="J113" s="471" t="str">
        <f t="shared" si="31"/>
        <v/>
      </c>
      <c r="K113" s="471" t="str">
        <f t="shared" si="31"/>
        <v/>
      </c>
      <c r="L113" s="471" t="str">
        <f t="shared" si="31"/>
        <v/>
      </c>
      <c r="M113"/>
      <c r="N113" s="471">
        <f t="shared" si="23"/>
        <v>0</v>
      </c>
      <c r="O113"/>
      <c r="P113" s="471">
        <f t="shared" si="24"/>
        <v>0</v>
      </c>
      <c r="Q113"/>
      <c r="R113" s="471">
        <f t="shared" si="25"/>
        <v>0</v>
      </c>
      <c r="T113" s="479"/>
      <c r="V113" s="479"/>
      <c r="AE113" s="472" t="e">
        <f>IF(#REF!=2,#REF!,0)</f>
        <v>#REF!</v>
      </c>
      <c r="AF113" s="472" t="e">
        <f>IF(#REF!=2,#REF!,0)</f>
        <v>#REF!</v>
      </c>
      <c r="AG113" s="472" t="e">
        <f t="shared" si="26"/>
        <v>#REF!</v>
      </c>
      <c r="AH113" s="473">
        <v>28</v>
      </c>
      <c r="AI113" s="473">
        <v>14</v>
      </c>
      <c r="AJ113" s="487">
        <f>(AH113/12)*(AI113/12)</f>
        <v>2.7222222222222228</v>
      </c>
      <c r="AK113" s="488">
        <f t="shared" si="27"/>
        <v>0</v>
      </c>
      <c r="AL113" s="488">
        <f>AH113/AI113</f>
        <v>2</v>
      </c>
      <c r="AM113" s="472">
        <f t="shared" si="33"/>
        <v>2814</v>
      </c>
      <c r="AN113" s="472" t="e">
        <v>#REF!</v>
      </c>
      <c r="AW113" s="472" t="e">
        <f>IF(#REF!=3,#REF!,0)</f>
        <v>#REF!</v>
      </c>
    </row>
    <row r="114" spans="3:49" x14ac:dyDescent="0.3">
      <c r="C114" s="471" t="str">
        <f>IF(OR(Inyección!B114="",Inyección!N114="",Inyección!P114=""),"",INDEX($C$26:$C$29,Inyección!C114)&amp;" de "&amp;TEXT(Inyección!N114,"00")&amp;""""&amp;" × "&amp;TEXT(Inyección!P114,"00")&amp;""""&amp;IF(Inyección!C114=1,", "&amp;Inyección!R114&amp;IF(Inyección!R114=1," vía",IF(OR(Inyección!R114=2,Inyección!R114=3,Inyección!R114=4)," vías","")),""))</f>
        <v/>
      </c>
      <c r="F114"/>
      <c r="H114" s="471">
        <f t="shared" si="29"/>
        <v>0</v>
      </c>
      <c r="I114" s="471" t="str">
        <f t="shared" si="30"/>
        <v>0</v>
      </c>
      <c r="J114" s="471" t="str">
        <f t="shared" si="31"/>
        <v/>
      </c>
      <c r="K114" s="471" t="str">
        <f t="shared" si="31"/>
        <v/>
      </c>
      <c r="L114" s="471" t="str">
        <f t="shared" si="31"/>
        <v/>
      </c>
      <c r="M114"/>
      <c r="N114" s="471">
        <f t="shared" si="23"/>
        <v>0</v>
      </c>
      <c r="O114"/>
      <c r="P114" s="471">
        <f t="shared" si="24"/>
        <v>0</v>
      </c>
      <c r="Q114"/>
      <c r="R114" s="471">
        <f t="shared" si="25"/>
        <v>0</v>
      </c>
      <c r="T114" s="479"/>
      <c r="V114" s="479"/>
      <c r="AE114" s="472" t="e">
        <f>IF(#REF!=2,#REF!,0)</f>
        <v>#REF!</v>
      </c>
      <c r="AF114" s="472" t="e">
        <f>IF(#REF!=2,#REF!,0)</f>
        <v>#REF!</v>
      </c>
      <c r="AG114" s="472" t="e">
        <f t="shared" si="26"/>
        <v>#REF!</v>
      </c>
      <c r="AH114" s="473">
        <v>30</v>
      </c>
      <c r="AI114" s="473">
        <v>12</v>
      </c>
      <c r="AJ114" s="487">
        <f>(AH114/12)*(AI114/12)</f>
        <v>2.5</v>
      </c>
      <c r="AK114" s="488">
        <f t="shared" si="27"/>
        <v>0</v>
      </c>
      <c r="AL114" s="488">
        <f>AH114/AI114</f>
        <v>2.5</v>
      </c>
      <c r="AM114" s="472">
        <f t="shared" si="33"/>
        <v>3012</v>
      </c>
      <c r="AN114" s="472" t="e">
        <v>#REF!</v>
      </c>
      <c r="AW114" s="472" t="e">
        <f>IF(#REF!=3,#REF!,0)</f>
        <v>#REF!</v>
      </c>
    </row>
    <row r="115" spans="3:49" x14ac:dyDescent="0.3">
      <c r="C115" s="471" t="str">
        <f>IF(OR(Inyección!B115="",Inyección!N115="",Inyección!P115=""),"",INDEX($C$26:$C$29,Inyección!C115)&amp;" de "&amp;TEXT(Inyección!N115,"00")&amp;""""&amp;" × "&amp;TEXT(Inyección!P115,"00")&amp;""""&amp;IF(Inyección!C115=1,", "&amp;Inyección!R115&amp;IF(Inyección!R115=1," vía",IF(OR(Inyección!R115=2,Inyección!R115=3,Inyección!R115=4)," vías","")),""))</f>
        <v/>
      </c>
      <c r="F115"/>
      <c r="H115" s="471">
        <f t="shared" si="29"/>
        <v>0</v>
      </c>
      <c r="I115" s="471" t="str">
        <f t="shared" si="30"/>
        <v>0</v>
      </c>
      <c r="J115" s="471" t="str">
        <f t="shared" si="31"/>
        <v/>
      </c>
      <c r="K115" s="471" t="str">
        <f t="shared" si="31"/>
        <v/>
      </c>
      <c r="L115" s="471" t="str">
        <f t="shared" si="31"/>
        <v/>
      </c>
      <c r="M115"/>
      <c r="N115" s="471">
        <f t="shared" si="23"/>
        <v>0</v>
      </c>
      <c r="O115"/>
      <c r="P115" s="471">
        <f t="shared" si="24"/>
        <v>0</v>
      </c>
      <c r="Q115"/>
      <c r="R115" s="471">
        <f t="shared" si="25"/>
        <v>0</v>
      </c>
      <c r="T115" s="479"/>
      <c r="V115" s="479"/>
      <c r="AE115" s="472" t="e">
        <f>IF(#REF!=2,#REF!,0)</f>
        <v>#REF!</v>
      </c>
      <c r="AF115" s="472" t="e">
        <f>IF(#REF!=2,#REF!,0)</f>
        <v>#REF!</v>
      </c>
      <c r="AG115" s="472" t="e">
        <f t="shared" si="26"/>
        <v>#REF!</v>
      </c>
      <c r="AN115" s="472" t="e">
        <v>#REF!</v>
      </c>
      <c r="AW115" s="472" t="e">
        <f>IF(#REF!=3,#REF!,0)</f>
        <v>#REF!</v>
      </c>
    </row>
    <row r="116" spans="3:49" x14ac:dyDescent="0.3">
      <c r="C116" s="471" t="str">
        <f>IF(OR(Inyección!B116="",Inyección!N116="",Inyección!P116=""),"",INDEX($C$26:$C$29,Inyección!C116)&amp;" de "&amp;TEXT(Inyección!N116,"00")&amp;""""&amp;" × "&amp;TEXT(Inyección!P116,"00")&amp;""""&amp;IF(Inyección!C116=1,", "&amp;Inyección!R116&amp;IF(Inyección!R116=1," vía",IF(OR(Inyección!R116=2,Inyección!R116=3,Inyección!R116=4)," vías","")),""))</f>
        <v/>
      </c>
      <c r="F116"/>
      <c r="H116" s="471">
        <f t="shared" si="29"/>
        <v>0</v>
      </c>
      <c r="I116" s="471" t="str">
        <f t="shared" si="30"/>
        <v>0</v>
      </c>
      <c r="J116" s="471" t="str">
        <f t="shared" si="31"/>
        <v/>
      </c>
      <c r="K116" s="471" t="str">
        <f t="shared" si="31"/>
        <v/>
      </c>
      <c r="L116" s="471" t="str">
        <f t="shared" si="31"/>
        <v/>
      </c>
      <c r="M116"/>
      <c r="N116" s="471">
        <f t="shared" si="23"/>
        <v>0</v>
      </c>
      <c r="O116"/>
      <c r="P116" s="471">
        <f t="shared" si="24"/>
        <v>0</v>
      </c>
      <c r="Q116"/>
      <c r="R116" s="471">
        <f t="shared" si="25"/>
        <v>0</v>
      </c>
      <c r="T116" s="479"/>
      <c r="V116" s="479"/>
      <c r="AE116" s="472" t="e">
        <f>IF(#REF!=2,#REF!,0)</f>
        <v>#REF!</v>
      </c>
      <c r="AF116" s="472" t="e">
        <f>IF(#REF!=2,#REF!,0)</f>
        <v>#REF!</v>
      </c>
      <c r="AG116" s="472" t="e">
        <f t="shared" si="26"/>
        <v>#REF!</v>
      </c>
      <c r="AW116" s="472" t="e">
        <f>IF(#REF!=3,#REF!,0)</f>
        <v>#REF!</v>
      </c>
    </row>
    <row r="117" spans="3:49" x14ac:dyDescent="0.3">
      <c r="C117" s="471" t="str">
        <f>IF(OR(Inyección!B117="",Inyección!N117="",Inyección!P117=""),"",INDEX($C$26:$C$29,Inyección!C117)&amp;" de "&amp;TEXT(Inyección!N117,"00")&amp;""""&amp;" × "&amp;TEXT(Inyección!P117,"00")&amp;""""&amp;IF(Inyección!C117=1,", "&amp;Inyección!R117&amp;IF(Inyección!R117=1," vía",IF(OR(Inyección!R117=2,Inyección!R117=3,Inyección!R117=4)," vías","")),""))</f>
        <v/>
      </c>
      <c r="F117"/>
      <c r="H117" s="471">
        <f t="shared" si="29"/>
        <v>0</v>
      </c>
      <c r="I117" s="471" t="str">
        <f t="shared" si="30"/>
        <v>0</v>
      </c>
      <c r="J117" s="471" t="str">
        <f t="shared" si="31"/>
        <v/>
      </c>
      <c r="K117" s="471" t="str">
        <f t="shared" si="31"/>
        <v/>
      </c>
      <c r="L117" s="471" t="str">
        <f t="shared" si="31"/>
        <v/>
      </c>
      <c r="M117"/>
      <c r="N117" s="471">
        <f t="shared" si="23"/>
        <v>0</v>
      </c>
      <c r="O117"/>
      <c r="P117" s="471">
        <f t="shared" si="24"/>
        <v>0</v>
      </c>
      <c r="Q117"/>
      <c r="R117" s="471">
        <f t="shared" si="25"/>
        <v>0</v>
      </c>
      <c r="T117" s="479"/>
      <c r="V117" s="479"/>
      <c r="AE117" s="472" t="e">
        <f>IF(#REF!=2,#REF!,0)</f>
        <v>#REF!</v>
      </c>
      <c r="AF117" s="472" t="e">
        <f>IF(#REF!=2,#REF!,0)</f>
        <v>#REF!</v>
      </c>
      <c r="AG117" s="472" t="e">
        <f t="shared" si="26"/>
        <v>#REF!</v>
      </c>
      <c r="AW117" s="472" t="e">
        <f>IF(#REF!=3,#REF!,0)</f>
        <v>#REF!</v>
      </c>
    </row>
    <row r="118" spans="3:49" x14ac:dyDescent="0.3">
      <c r="C118" s="471" t="str">
        <f>IF(OR(Inyección!B118="",Inyección!N118="",Inyección!P118=""),"",INDEX($C$26:$C$29,Inyección!C118)&amp;" de "&amp;TEXT(Inyección!N118,"00")&amp;""""&amp;" × "&amp;TEXT(Inyección!P118,"00")&amp;""""&amp;IF(Inyección!C118=1,", "&amp;Inyección!R118&amp;IF(Inyección!R118=1," vía",IF(OR(Inyección!R118=2,Inyección!R118=3,Inyección!R118=4)," vías","")),""))</f>
        <v/>
      </c>
      <c r="F118"/>
      <c r="H118" s="471">
        <f t="shared" si="29"/>
        <v>0</v>
      </c>
      <c r="I118" s="471" t="str">
        <f t="shared" si="30"/>
        <v>0</v>
      </c>
      <c r="J118" s="471" t="str">
        <f t="shared" si="31"/>
        <v/>
      </c>
      <c r="K118" s="471" t="str">
        <f t="shared" si="31"/>
        <v/>
      </c>
      <c r="L118" s="471" t="str">
        <f t="shared" si="31"/>
        <v/>
      </c>
      <c r="M118"/>
      <c r="N118" s="471">
        <f t="shared" si="23"/>
        <v>0</v>
      </c>
      <c r="O118"/>
      <c r="P118" s="471">
        <f t="shared" si="24"/>
        <v>0</v>
      </c>
      <c r="Q118"/>
      <c r="R118" s="471">
        <f t="shared" si="25"/>
        <v>0</v>
      </c>
      <c r="T118" s="479"/>
      <c r="V118" s="479"/>
      <c r="AE118" s="472" t="e">
        <f>IF(#REF!=2,#REF!,0)</f>
        <v>#REF!</v>
      </c>
      <c r="AF118" s="472" t="e">
        <f>IF(#REF!=2,#REF!,0)</f>
        <v>#REF!</v>
      </c>
      <c r="AG118" s="472" t="e">
        <f t="shared" si="26"/>
        <v>#REF!</v>
      </c>
      <c r="AW118" s="472" t="e">
        <f>IF(#REF!=3,#REF!,0)</f>
        <v>#REF!</v>
      </c>
    </row>
    <row r="119" spans="3:49" x14ac:dyDescent="0.3">
      <c r="C119" s="471" t="str">
        <f>IF(OR(Inyección!B119="",Inyección!N119="",Inyección!P119=""),"",INDEX($C$26:$C$29,Inyección!C119)&amp;" de "&amp;TEXT(Inyección!N119,"00")&amp;""""&amp;" × "&amp;TEXT(Inyección!P119,"00")&amp;""""&amp;IF(Inyección!C119=1,", "&amp;Inyección!R119&amp;IF(Inyección!R119=1," vía",IF(OR(Inyección!R119=2,Inyección!R119=3,Inyección!R119=4)," vías","")),""))</f>
        <v/>
      </c>
      <c r="F119"/>
      <c r="H119" s="471">
        <f t="shared" si="29"/>
        <v>0</v>
      </c>
      <c r="I119" s="471" t="str">
        <f t="shared" si="30"/>
        <v>0</v>
      </c>
      <c r="J119" s="471" t="str">
        <f t="shared" si="31"/>
        <v/>
      </c>
      <c r="K119" s="471" t="str">
        <f t="shared" si="31"/>
        <v/>
      </c>
      <c r="L119" s="471" t="str">
        <f t="shared" si="31"/>
        <v/>
      </c>
      <c r="M119"/>
      <c r="N119" s="471">
        <f t="shared" si="23"/>
        <v>0</v>
      </c>
      <c r="O119"/>
      <c r="P119" s="471">
        <f t="shared" si="24"/>
        <v>0</v>
      </c>
      <c r="Q119"/>
      <c r="R119" s="471">
        <f t="shared" si="25"/>
        <v>0</v>
      </c>
      <c r="T119" s="479"/>
      <c r="V119" s="479"/>
      <c r="AE119" s="472" t="e">
        <f>IF(#REF!=2,#REF!,0)</f>
        <v>#REF!</v>
      </c>
      <c r="AF119" s="472" t="e">
        <f>IF(#REF!=2,#REF!,0)</f>
        <v>#REF!</v>
      </c>
      <c r="AG119" s="472" t="e">
        <f t="shared" si="26"/>
        <v>#REF!</v>
      </c>
      <c r="AW119" s="472" t="e">
        <f>IF(#REF!=3,#REF!,0)</f>
        <v>#REF!</v>
      </c>
    </row>
    <row r="120" spans="3:49" x14ac:dyDescent="0.3">
      <c r="C120" s="471" t="str">
        <f>IF(OR(Inyección!B120="",Inyección!N120="",Inyección!P120=""),"",INDEX($C$26:$C$29,Inyección!C120)&amp;" de "&amp;TEXT(Inyección!N120,"00")&amp;""""&amp;" × "&amp;TEXT(Inyección!P120,"00")&amp;""""&amp;IF(Inyección!C120=1,", "&amp;Inyección!R120&amp;IF(Inyección!R120=1," vía",IF(OR(Inyección!R120=2,Inyección!R120=3,Inyección!R120=4)," vías","")),""))</f>
        <v/>
      </c>
      <c r="F120"/>
      <c r="H120" s="471">
        <f t="shared" si="29"/>
        <v>0</v>
      </c>
      <c r="I120" s="471" t="str">
        <f t="shared" si="30"/>
        <v>0</v>
      </c>
      <c r="J120" s="471" t="str">
        <f t="shared" si="31"/>
        <v/>
      </c>
      <c r="K120" s="471" t="str">
        <f t="shared" si="31"/>
        <v/>
      </c>
      <c r="L120" s="471" t="str">
        <f t="shared" si="31"/>
        <v/>
      </c>
      <c r="M120"/>
      <c r="N120" s="471">
        <f t="shared" si="23"/>
        <v>0</v>
      </c>
      <c r="O120"/>
      <c r="P120" s="471">
        <f t="shared" si="24"/>
        <v>0</v>
      </c>
      <c r="Q120"/>
      <c r="R120" s="471">
        <f t="shared" si="25"/>
        <v>0</v>
      </c>
      <c r="T120" s="479"/>
      <c r="V120" s="479"/>
      <c r="AE120" s="472" t="e">
        <f>IF(#REF!=2,#REF!,0)</f>
        <v>#REF!</v>
      </c>
      <c r="AF120" s="472" t="e">
        <f>IF(#REF!=2,#REF!,0)</f>
        <v>#REF!</v>
      </c>
      <c r="AG120" s="472" t="e">
        <f t="shared" si="26"/>
        <v>#REF!</v>
      </c>
      <c r="AW120" s="472" t="e">
        <f>IF(#REF!=3,#REF!,0)</f>
        <v>#REF!</v>
      </c>
    </row>
    <row r="121" spans="3:49" x14ac:dyDescent="0.3">
      <c r="C121" s="471" t="str">
        <f>IF(OR(Inyección!B121="",Inyección!N121="",Inyección!P121=""),"",INDEX($C$26:$C$29,Inyección!C121)&amp;" de "&amp;TEXT(Inyección!N121,"00")&amp;""""&amp;" × "&amp;TEXT(Inyección!P121,"00")&amp;""""&amp;IF(Inyección!C121=1,", "&amp;Inyección!R121&amp;IF(Inyección!R121=1," vía",IF(OR(Inyección!R121=2,Inyección!R121=3,Inyección!R121=4)," vías","")),""))</f>
        <v/>
      </c>
      <c r="F121"/>
      <c r="H121" s="471">
        <f t="shared" si="29"/>
        <v>0</v>
      </c>
      <c r="I121" s="471" t="str">
        <f t="shared" si="30"/>
        <v>0</v>
      </c>
      <c r="J121" s="471" t="str">
        <f t="shared" si="31"/>
        <v/>
      </c>
      <c r="K121" s="471" t="str">
        <f t="shared" si="31"/>
        <v/>
      </c>
      <c r="L121" s="471" t="str">
        <f t="shared" si="31"/>
        <v/>
      </c>
      <c r="M121"/>
      <c r="N121" s="471">
        <f t="shared" si="23"/>
        <v>0</v>
      </c>
      <c r="O121"/>
      <c r="P121" s="471">
        <f t="shared" si="24"/>
        <v>0</v>
      </c>
      <c r="Q121"/>
      <c r="R121" s="471">
        <f t="shared" si="25"/>
        <v>0</v>
      </c>
      <c r="T121" s="479"/>
      <c r="V121" s="479"/>
      <c r="AE121" s="472" t="e">
        <f>IF(#REF!=2,#REF!,0)</f>
        <v>#REF!</v>
      </c>
      <c r="AF121" s="472" t="e">
        <f>IF(#REF!=2,#REF!,0)</f>
        <v>#REF!</v>
      </c>
      <c r="AG121" s="472" t="e">
        <f t="shared" si="26"/>
        <v>#REF!</v>
      </c>
      <c r="AW121" s="472" t="e">
        <f>IF(#REF!=3,#REF!,0)</f>
        <v>#REF!</v>
      </c>
    </row>
    <row r="122" spans="3:49" x14ac:dyDescent="0.3">
      <c r="C122" s="471" t="str">
        <f>IF(OR(Inyección!B122="",Inyección!N122="",Inyección!P122=""),"",INDEX($C$26:$C$29,Inyección!C122)&amp;" de "&amp;TEXT(Inyección!N122,"00")&amp;""""&amp;" × "&amp;TEXT(Inyección!P122,"00")&amp;""""&amp;IF(Inyección!C122=1,", "&amp;Inyección!R122&amp;IF(Inyección!R122=1," vía",IF(OR(Inyección!R122=2,Inyección!R122=3,Inyección!R122=4)," vías","")),""))</f>
        <v/>
      </c>
      <c r="F122"/>
      <c r="H122" s="471">
        <f t="shared" si="29"/>
        <v>0</v>
      </c>
      <c r="I122" s="471" t="str">
        <f t="shared" si="30"/>
        <v>0</v>
      </c>
      <c r="J122" s="471" t="str">
        <f t="shared" si="31"/>
        <v/>
      </c>
      <c r="K122" s="471" t="str">
        <f t="shared" si="31"/>
        <v/>
      </c>
      <c r="L122" s="471" t="str">
        <f t="shared" si="31"/>
        <v/>
      </c>
      <c r="M122"/>
      <c r="N122" s="471">
        <f t="shared" si="23"/>
        <v>0</v>
      </c>
      <c r="O122"/>
      <c r="P122" s="471">
        <f t="shared" si="24"/>
        <v>0</v>
      </c>
      <c r="Q122"/>
      <c r="R122" s="471">
        <f t="shared" si="25"/>
        <v>0</v>
      </c>
      <c r="T122" s="479"/>
      <c r="V122" s="479"/>
      <c r="AE122" s="472" t="e">
        <f>IF(#REF!=2,#REF!,0)</f>
        <v>#REF!</v>
      </c>
      <c r="AF122" s="472" t="e">
        <f>IF(#REF!=2,#REF!,0)</f>
        <v>#REF!</v>
      </c>
      <c r="AG122" s="472" t="e">
        <f t="shared" si="26"/>
        <v>#REF!</v>
      </c>
      <c r="AW122" s="472" t="e">
        <f>IF(#REF!=3,#REF!,0)</f>
        <v>#REF!</v>
      </c>
    </row>
    <row r="123" spans="3:49" x14ac:dyDescent="0.3">
      <c r="C123" s="471" t="str">
        <f>IF(OR(Inyección!B123="",Inyección!N123="",Inyección!P123=""),"",INDEX($C$26:$C$29,Inyección!C123)&amp;" de "&amp;TEXT(Inyección!N123,"00")&amp;""""&amp;" × "&amp;TEXT(Inyección!P123,"00")&amp;""""&amp;IF(Inyección!C123=1,", "&amp;Inyección!R123&amp;IF(Inyección!R123=1," vía",IF(OR(Inyección!R123=2,Inyección!R123=3,Inyección!R123=4)," vías","")),""))</f>
        <v/>
      </c>
      <c r="F123"/>
      <c r="H123" s="471">
        <f t="shared" si="29"/>
        <v>0</v>
      </c>
      <c r="I123" s="471" t="str">
        <f t="shared" si="30"/>
        <v>0</v>
      </c>
      <c r="J123" s="471" t="str">
        <f t="shared" si="31"/>
        <v/>
      </c>
      <c r="K123" s="471" t="str">
        <f t="shared" si="31"/>
        <v/>
      </c>
      <c r="L123" s="471" t="str">
        <f t="shared" si="31"/>
        <v/>
      </c>
      <c r="M123"/>
      <c r="N123" s="471">
        <f t="shared" si="23"/>
        <v>0</v>
      </c>
      <c r="O123"/>
      <c r="P123" s="471">
        <f t="shared" si="24"/>
        <v>0</v>
      </c>
      <c r="Q123"/>
      <c r="R123" s="471">
        <f t="shared" si="25"/>
        <v>0</v>
      </c>
      <c r="T123" s="479"/>
      <c r="V123" s="479"/>
      <c r="AE123" s="472" t="e">
        <f>IF(#REF!=2,#REF!,0)</f>
        <v>#REF!</v>
      </c>
      <c r="AF123" s="472" t="e">
        <f>IF(#REF!=2,#REF!,0)</f>
        <v>#REF!</v>
      </c>
      <c r="AG123" s="472" t="e">
        <f t="shared" si="26"/>
        <v>#REF!</v>
      </c>
      <c r="AJ123" s="487"/>
      <c r="AK123" s="488"/>
      <c r="AL123" s="488"/>
      <c r="AW123" s="472" t="e">
        <f>IF(#REF!=3,#REF!,0)</f>
        <v>#REF!</v>
      </c>
    </row>
    <row r="124" spans="3:49" x14ac:dyDescent="0.3">
      <c r="C124" s="471" t="str">
        <f>IF(OR(Inyección!B124="",Inyección!N124="",Inyección!P124=""),"",INDEX($C$26:$C$29,Inyección!C124)&amp;" de "&amp;TEXT(Inyección!N124,"00")&amp;""""&amp;" × "&amp;TEXT(Inyección!P124,"00")&amp;""""&amp;IF(Inyección!C124=1,", "&amp;Inyección!R124&amp;IF(Inyección!R124=1," vía",IF(OR(Inyección!R124=2,Inyección!R124=3,Inyección!R124=4)," vías","")),""))</f>
        <v/>
      </c>
      <c r="F124"/>
      <c r="H124" s="471">
        <f t="shared" si="29"/>
        <v>0</v>
      </c>
      <c r="I124" s="471" t="str">
        <f t="shared" si="30"/>
        <v>0</v>
      </c>
      <c r="J124" s="471" t="str">
        <f t="shared" si="31"/>
        <v/>
      </c>
      <c r="K124" s="471" t="str">
        <f t="shared" si="31"/>
        <v/>
      </c>
      <c r="L124" s="471" t="str">
        <f t="shared" si="31"/>
        <v/>
      </c>
      <c r="M124"/>
      <c r="N124" s="471">
        <f t="shared" si="23"/>
        <v>0</v>
      </c>
      <c r="O124"/>
      <c r="P124" s="471">
        <f t="shared" si="24"/>
        <v>0</v>
      </c>
      <c r="Q124"/>
      <c r="R124" s="471">
        <f t="shared" si="25"/>
        <v>0</v>
      </c>
      <c r="T124" s="479"/>
      <c r="V124" s="479"/>
      <c r="AE124" s="472" t="e">
        <f>IF(#REF!=2,#REF!,0)</f>
        <v>#REF!</v>
      </c>
      <c r="AF124" s="472" t="e">
        <f>IF(#REF!=2,#REF!,0)</f>
        <v>#REF!</v>
      </c>
      <c r="AG124" s="472" t="e">
        <f t="shared" si="26"/>
        <v>#REF!</v>
      </c>
      <c r="AJ124" s="487"/>
      <c r="AK124" s="488"/>
      <c r="AL124" s="488"/>
      <c r="AW124" s="472" t="e">
        <f>IF(#REF!=3,#REF!,0)</f>
        <v>#REF!</v>
      </c>
    </row>
    <row r="125" spans="3:49" x14ac:dyDescent="0.3">
      <c r="C125" s="471" t="str">
        <f>IF(OR(Inyección!B125="",Inyección!N125="",Inyección!P125=""),"",INDEX($C$26:$C$29,Inyección!C125)&amp;" de "&amp;TEXT(Inyección!N125,"00")&amp;""""&amp;" × "&amp;TEXT(Inyección!P125,"00")&amp;""""&amp;IF(Inyección!C125=1,", "&amp;Inyección!R125&amp;IF(Inyección!R125=1," vía",IF(OR(Inyección!R125=2,Inyección!R125=3,Inyección!R125=4)," vías","")),""))</f>
        <v/>
      </c>
      <c r="F125"/>
      <c r="H125" s="471">
        <f t="shared" si="29"/>
        <v>0</v>
      </c>
      <c r="I125" s="471" t="str">
        <f t="shared" si="30"/>
        <v>0</v>
      </c>
      <c r="J125" s="471" t="str">
        <f t="shared" si="31"/>
        <v/>
      </c>
      <c r="K125" s="471" t="str">
        <f t="shared" si="31"/>
        <v/>
      </c>
      <c r="L125" s="471" t="str">
        <f t="shared" si="31"/>
        <v/>
      </c>
      <c r="M125"/>
      <c r="N125" s="471">
        <f t="shared" si="23"/>
        <v>0</v>
      </c>
      <c r="O125"/>
      <c r="P125" s="471">
        <f t="shared" si="24"/>
        <v>0</v>
      </c>
      <c r="Q125"/>
      <c r="R125" s="471">
        <f t="shared" si="25"/>
        <v>0</v>
      </c>
      <c r="T125" s="479"/>
      <c r="V125" s="479"/>
      <c r="AE125" s="472" t="e">
        <f>IF(#REF!=2,#REF!,0)</f>
        <v>#REF!</v>
      </c>
      <c r="AF125" s="472" t="e">
        <f>IF(#REF!=2,#REF!,0)</f>
        <v>#REF!</v>
      </c>
      <c r="AG125" s="472" t="e">
        <f t="shared" si="26"/>
        <v>#REF!</v>
      </c>
      <c r="AJ125" s="487"/>
      <c r="AK125" s="488"/>
      <c r="AL125" s="488"/>
      <c r="AW125" s="472" t="e">
        <f>IF(#REF!=3,#REF!,0)</f>
        <v>#REF!</v>
      </c>
    </row>
    <row r="126" spans="3:49" x14ac:dyDescent="0.3">
      <c r="C126" s="471" t="str">
        <f>IF(OR(Inyección!B126="",Inyección!N126="",Inyección!P126=""),"",INDEX($C$26:$C$29,Inyección!C126)&amp;" de "&amp;TEXT(Inyección!N126,"00")&amp;""""&amp;" × "&amp;TEXT(Inyección!P126,"00")&amp;""""&amp;IF(Inyección!C126=1,", "&amp;Inyección!R126&amp;IF(Inyección!R126=1," vía",IF(OR(Inyección!R126=2,Inyección!R126=3,Inyección!R126=4)," vías","")),""))</f>
        <v/>
      </c>
      <c r="F126"/>
      <c r="H126" s="471">
        <f t="shared" si="29"/>
        <v>0</v>
      </c>
      <c r="I126" s="471" t="str">
        <f t="shared" si="30"/>
        <v>0</v>
      </c>
      <c r="J126" s="471" t="str">
        <f t="shared" si="31"/>
        <v/>
      </c>
      <c r="K126" s="471" t="str">
        <f t="shared" si="31"/>
        <v/>
      </c>
      <c r="L126" s="471" t="str">
        <f t="shared" si="31"/>
        <v/>
      </c>
      <c r="M126"/>
      <c r="N126" s="471">
        <f t="shared" si="23"/>
        <v>0</v>
      </c>
      <c r="O126"/>
      <c r="P126" s="471">
        <f t="shared" si="24"/>
        <v>0</v>
      </c>
      <c r="Q126"/>
      <c r="R126" s="471">
        <f t="shared" si="25"/>
        <v>0</v>
      </c>
      <c r="T126" s="479"/>
      <c r="V126" s="479"/>
      <c r="AE126" s="472" t="e">
        <f>IF(#REF!=2,#REF!,0)</f>
        <v>#REF!</v>
      </c>
      <c r="AF126" s="472" t="e">
        <f>IF(#REF!=2,#REF!,0)</f>
        <v>#REF!</v>
      </c>
      <c r="AG126" s="472" t="e">
        <f t="shared" si="26"/>
        <v>#REF!</v>
      </c>
      <c r="AJ126" s="487"/>
      <c r="AK126" s="488"/>
      <c r="AL126" s="488"/>
      <c r="AW126" s="472" t="e">
        <f>IF(#REF!=3,#REF!,0)</f>
        <v>#REF!</v>
      </c>
    </row>
    <row r="127" spans="3:49" x14ac:dyDescent="0.3">
      <c r="C127" s="471" t="str">
        <f>IF(OR(Inyección!B127="",Inyección!N127="",Inyección!P127=""),"",INDEX($C$26:$C$29,Inyección!C127)&amp;" de "&amp;TEXT(Inyección!N127,"00")&amp;""""&amp;" × "&amp;TEXT(Inyección!P127,"00")&amp;""""&amp;IF(Inyección!C127=1,", "&amp;Inyección!R127&amp;IF(Inyección!R127=1," vía",IF(OR(Inyección!R127=2,Inyección!R127=3,Inyección!R127=4)," vías","")),""))</f>
        <v/>
      </c>
      <c r="F127"/>
      <c r="H127" s="471">
        <f t="shared" si="29"/>
        <v>0</v>
      </c>
      <c r="I127" s="471" t="str">
        <f t="shared" si="30"/>
        <v>0</v>
      </c>
      <c r="J127" s="471" t="str">
        <f t="shared" si="31"/>
        <v/>
      </c>
      <c r="K127" s="471" t="str">
        <f t="shared" si="31"/>
        <v/>
      </c>
      <c r="L127" s="471" t="str">
        <f t="shared" si="31"/>
        <v/>
      </c>
      <c r="M127"/>
      <c r="N127" s="471">
        <f t="shared" si="23"/>
        <v>0</v>
      </c>
      <c r="O127"/>
      <c r="P127" s="471">
        <f t="shared" si="24"/>
        <v>0</v>
      </c>
      <c r="Q127"/>
      <c r="R127" s="471">
        <f t="shared" si="25"/>
        <v>0</v>
      </c>
      <c r="T127" s="479"/>
      <c r="V127" s="479"/>
      <c r="AE127" s="472" t="e">
        <f>IF(#REF!=2,#REF!,0)</f>
        <v>#REF!</v>
      </c>
      <c r="AF127" s="472" t="e">
        <f>IF(#REF!=2,#REF!,0)</f>
        <v>#REF!</v>
      </c>
      <c r="AG127" s="472" t="e">
        <f t="shared" si="26"/>
        <v>#REF!</v>
      </c>
      <c r="AJ127" s="487"/>
      <c r="AK127" s="488"/>
      <c r="AL127" s="488"/>
      <c r="AW127" s="472" t="e">
        <f>IF(#REF!=3,#REF!,0)</f>
        <v>#REF!</v>
      </c>
    </row>
    <row r="128" spans="3:49" x14ac:dyDescent="0.3">
      <c r="C128" s="471" t="str">
        <f>IF(OR(Inyección!B128="",Inyección!N128="",Inyección!P128=""),"",INDEX($C$26:$C$29,Inyección!C128)&amp;" de "&amp;TEXT(Inyección!N128,"00")&amp;""""&amp;" × "&amp;TEXT(Inyección!P128,"00")&amp;""""&amp;IF(Inyección!C128=1,", "&amp;Inyección!R128&amp;IF(Inyección!R128=1," vía",IF(OR(Inyección!R128=2,Inyección!R128=3,Inyección!R128=4)," vías","")),""))</f>
        <v/>
      </c>
      <c r="F128"/>
      <c r="H128" s="471">
        <f t="shared" si="29"/>
        <v>0</v>
      </c>
      <c r="I128" s="471" t="str">
        <f t="shared" si="30"/>
        <v>0</v>
      </c>
      <c r="J128" s="471" t="str">
        <f t="shared" si="31"/>
        <v/>
      </c>
      <c r="K128" s="471" t="str">
        <f t="shared" si="31"/>
        <v/>
      </c>
      <c r="L128" s="471" t="str">
        <f t="shared" si="31"/>
        <v/>
      </c>
      <c r="M128"/>
      <c r="N128" s="471">
        <f t="shared" si="23"/>
        <v>0</v>
      </c>
      <c r="O128"/>
      <c r="P128" s="471">
        <f t="shared" si="24"/>
        <v>0</v>
      </c>
      <c r="Q128"/>
      <c r="R128" s="471">
        <f t="shared" si="25"/>
        <v>0</v>
      </c>
      <c r="T128" s="479"/>
      <c r="V128" s="479"/>
      <c r="AE128" s="472" t="e">
        <f>IF(#REF!=2,#REF!,0)</f>
        <v>#REF!</v>
      </c>
      <c r="AF128" s="472" t="e">
        <f>IF(#REF!=2,#REF!,0)</f>
        <v>#REF!</v>
      </c>
      <c r="AG128" s="472" t="e">
        <f t="shared" si="26"/>
        <v>#REF!</v>
      </c>
      <c r="AJ128" s="487"/>
      <c r="AK128" s="488"/>
      <c r="AL128" s="488"/>
      <c r="AW128" s="472" t="e">
        <f>IF(#REF!=3,#REF!,0)</f>
        <v>#REF!</v>
      </c>
    </row>
    <row r="129" spans="3:49" x14ac:dyDescent="0.3">
      <c r="C129" s="471" t="str">
        <f>IF(OR(Inyección!B129="",Inyección!N129="",Inyección!P129=""),"",INDEX($C$26:$C$29,Inyección!C129)&amp;" de "&amp;TEXT(Inyección!N129,"00")&amp;""""&amp;" × "&amp;TEXT(Inyección!P129,"00")&amp;""""&amp;IF(Inyección!C129=1,", "&amp;Inyección!R129&amp;IF(Inyección!R129=1," vía",IF(OR(Inyección!R129=2,Inyección!R129=3,Inyección!R129=4)," vías","")),""))</f>
        <v/>
      </c>
      <c r="F129"/>
      <c r="H129" s="471">
        <f t="shared" si="29"/>
        <v>0</v>
      </c>
      <c r="I129" s="471" t="str">
        <f t="shared" si="30"/>
        <v>0</v>
      </c>
      <c r="J129" s="471" t="str">
        <f t="shared" si="31"/>
        <v/>
      </c>
      <c r="K129" s="471" t="str">
        <f t="shared" si="31"/>
        <v/>
      </c>
      <c r="L129" s="471" t="str">
        <f t="shared" si="31"/>
        <v/>
      </c>
      <c r="M129"/>
      <c r="N129" s="471">
        <f t="shared" si="23"/>
        <v>0</v>
      </c>
      <c r="O129"/>
      <c r="P129" s="471">
        <f t="shared" si="24"/>
        <v>0</v>
      </c>
      <c r="Q129"/>
      <c r="R129" s="471">
        <f t="shared" si="25"/>
        <v>0</v>
      </c>
      <c r="T129" s="479"/>
      <c r="V129" s="479"/>
      <c r="AE129" s="472" t="e">
        <f>IF(#REF!=2,#REF!,0)</f>
        <v>#REF!</v>
      </c>
      <c r="AF129" s="472" t="e">
        <f>IF(#REF!=2,#REF!,0)</f>
        <v>#REF!</v>
      </c>
      <c r="AG129" s="472" t="e">
        <f t="shared" si="26"/>
        <v>#REF!</v>
      </c>
      <c r="AJ129" s="487"/>
      <c r="AK129" s="488"/>
      <c r="AL129" s="488"/>
      <c r="AW129" s="472" t="e">
        <f>IF(#REF!=3,#REF!,0)</f>
        <v>#REF!</v>
      </c>
    </row>
    <row r="130" spans="3:49" x14ac:dyDescent="0.3">
      <c r="C130" s="471" t="str">
        <f>IF(OR(Inyección!B130="",Inyección!N130="",Inyección!P130=""),"",INDEX($C$26:$C$29,Inyección!C130)&amp;" de "&amp;TEXT(Inyección!N130,"00")&amp;""""&amp;" × "&amp;TEXT(Inyección!P130,"00")&amp;""""&amp;IF(Inyección!C130=1,", "&amp;Inyección!R130&amp;IF(Inyección!R130=1," vía",IF(OR(Inyección!R130=2,Inyección!R130=3,Inyección!R130=4)," vías","")),""))</f>
        <v/>
      </c>
      <c r="F130"/>
      <c r="H130" s="471">
        <f t="shared" si="29"/>
        <v>0</v>
      </c>
      <c r="I130" s="471" t="str">
        <f t="shared" si="30"/>
        <v>0</v>
      </c>
      <c r="J130" s="471" t="str">
        <f t="shared" si="31"/>
        <v/>
      </c>
      <c r="K130" s="471" t="str">
        <f t="shared" si="31"/>
        <v/>
      </c>
      <c r="L130" s="471" t="str">
        <f t="shared" si="31"/>
        <v/>
      </c>
      <c r="M130"/>
      <c r="N130" s="471">
        <f t="shared" ref="N130:N161" si="34">COUNTIF(DISP_INY,M130)</f>
        <v>0</v>
      </c>
      <c r="O130"/>
      <c r="P130" s="471">
        <f t="shared" ref="P130:P161" si="35">COUNTIF(DISP_INY,O130)</f>
        <v>0</v>
      </c>
      <c r="Q130"/>
      <c r="R130" s="471">
        <f t="shared" ref="R130:R161" si="36">COUNTIF(DISP_INY,Q130)</f>
        <v>0</v>
      </c>
      <c r="T130" s="479"/>
      <c r="V130" s="479"/>
      <c r="AE130" s="472" t="e">
        <f>IF(#REF!=2,#REF!,0)</f>
        <v>#REF!</v>
      </c>
      <c r="AF130" s="472" t="e">
        <f>IF(#REF!=2,#REF!,0)</f>
        <v>#REF!</v>
      </c>
      <c r="AG130" s="472" t="e">
        <f t="shared" si="26"/>
        <v>#REF!</v>
      </c>
      <c r="AJ130" s="487"/>
      <c r="AK130" s="488"/>
      <c r="AL130" s="488"/>
      <c r="AW130" s="472" t="e">
        <f>IF(#REF!=3,#REF!,0)</f>
        <v>#REF!</v>
      </c>
    </row>
    <row r="131" spans="3:49" x14ac:dyDescent="0.3">
      <c r="C131" s="471" t="str">
        <f>IF(OR(Inyección!B131="",Inyección!N131="",Inyección!P131=""),"",INDEX($C$26:$C$29,Inyección!C131)&amp;" de "&amp;TEXT(Inyección!N131,"00")&amp;""""&amp;" × "&amp;TEXT(Inyección!P131,"00")&amp;""""&amp;IF(Inyección!C131=1,", "&amp;Inyección!R131&amp;IF(Inyección!R131=1," vía",IF(OR(Inyección!R131=2,Inyección!R131=3,Inyección!R131=4)," vías","")),""))</f>
        <v/>
      </c>
      <c r="F131"/>
      <c r="H131" s="471">
        <f t="shared" si="29"/>
        <v>0</v>
      </c>
      <c r="I131" s="471" t="str">
        <f t="shared" si="30"/>
        <v>0</v>
      </c>
      <c r="J131" s="471" t="str">
        <f t="shared" ref="J131:L162" si="37">IF($I131=J$33,$H131,"")</f>
        <v/>
      </c>
      <c r="K131" s="471" t="str">
        <f t="shared" si="37"/>
        <v/>
      </c>
      <c r="L131" s="471" t="str">
        <f t="shared" si="37"/>
        <v/>
      </c>
      <c r="M131"/>
      <c r="N131" s="471">
        <f t="shared" si="34"/>
        <v>0</v>
      </c>
      <c r="O131"/>
      <c r="P131" s="471">
        <f t="shared" si="35"/>
        <v>0</v>
      </c>
      <c r="Q131"/>
      <c r="R131" s="471">
        <f t="shared" si="36"/>
        <v>0</v>
      </c>
      <c r="T131" s="479"/>
      <c r="V131" s="479"/>
      <c r="AE131" s="472" t="e">
        <f>IF(#REF!=2,#REF!,0)</f>
        <v>#REF!</v>
      </c>
      <c r="AF131" s="472" t="e">
        <f>IF(#REF!=2,#REF!,0)</f>
        <v>#REF!</v>
      </c>
      <c r="AG131" s="472" t="e">
        <f t="shared" si="26"/>
        <v>#REF!</v>
      </c>
      <c r="AW131" s="472" t="e">
        <f>IF(#REF!=3,#REF!,0)</f>
        <v>#REF!</v>
      </c>
    </row>
    <row r="132" spans="3:49" x14ac:dyDescent="0.3">
      <c r="C132" s="471" t="str">
        <f>IF(OR(Inyección!B132="",Inyección!N132="",Inyección!P132=""),"",INDEX($C$26:$C$29,Inyección!C132)&amp;" de "&amp;TEXT(Inyección!N132,"00")&amp;""""&amp;" × "&amp;TEXT(Inyección!P132,"00")&amp;""""&amp;IF(Inyección!C132=1,", "&amp;Inyección!R132&amp;IF(Inyección!R132=1," vía",IF(OR(Inyección!R132=2,Inyección!R132=3,Inyección!R132=4)," vías","")),""))</f>
        <v/>
      </c>
      <c r="F132"/>
      <c r="H132" s="471">
        <f t="shared" si="29"/>
        <v>0</v>
      </c>
      <c r="I132" s="471" t="str">
        <f t="shared" si="30"/>
        <v>0</v>
      </c>
      <c r="J132" s="471" t="str">
        <f t="shared" si="37"/>
        <v/>
      </c>
      <c r="K132" s="471" t="str">
        <f t="shared" si="37"/>
        <v/>
      </c>
      <c r="L132" s="471" t="str">
        <f t="shared" si="37"/>
        <v/>
      </c>
      <c r="M132"/>
      <c r="N132" s="471">
        <f t="shared" si="34"/>
        <v>0</v>
      </c>
      <c r="O132"/>
      <c r="P132" s="471">
        <f t="shared" si="35"/>
        <v>0</v>
      </c>
      <c r="Q132"/>
      <c r="R132" s="471">
        <f t="shared" si="36"/>
        <v>0</v>
      </c>
      <c r="T132" s="479"/>
      <c r="V132" s="479"/>
      <c r="AE132" s="472" t="e">
        <f>IF(#REF!=2,#REF!,0)</f>
        <v>#REF!</v>
      </c>
      <c r="AF132" s="472" t="e">
        <f>IF(#REF!=2,#REF!,0)</f>
        <v>#REF!</v>
      </c>
      <c r="AG132" s="472" t="e">
        <f t="shared" si="26"/>
        <v>#REF!</v>
      </c>
      <c r="AW132" s="472" t="e">
        <f>IF(#REF!=3,#REF!,0)</f>
        <v>#REF!</v>
      </c>
    </row>
    <row r="133" spans="3:49" x14ac:dyDescent="0.3">
      <c r="C133" s="471" t="str">
        <f>IF(OR(Inyección!B133="",Inyección!N133="",Inyección!P133=""),"",INDEX($C$26:$C$29,Inyección!C133)&amp;" de "&amp;TEXT(Inyección!N133,"00")&amp;""""&amp;" × "&amp;TEXT(Inyección!P133,"00")&amp;""""&amp;IF(Inyección!C133=1,", "&amp;Inyección!R133&amp;IF(Inyección!R133=1," vía",IF(OR(Inyección!R133=2,Inyección!R133=3,Inyección!R133=4)," vías","")),""))</f>
        <v/>
      </c>
      <c r="F133"/>
      <c r="H133" s="471">
        <f t="shared" si="29"/>
        <v>0</v>
      </c>
      <c r="I133" s="471" t="str">
        <f t="shared" si="30"/>
        <v>0</v>
      </c>
      <c r="J133" s="471" t="str">
        <f t="shared" si="37"/>
        <v/>
      </c>
      <c r="K133" s="471" t="str">
        <f t="shared" si="37"/>
        <v/>
      </c>
      <c r="L133" s="471" t="str">
        <f t="shared" si="37"/>
        <v/>
      </c>
      <c r="M133"/>
      <c r="N133" s="471">
        <f t="shared" si="34"/>
        <v>0</v>
      </c>
      <c r="O133"/>
      <c r="P133" s="471">
        <f t="shared" si="35"/>
        <v>0</v>
      </c>
      <c r="Q133"/>
      <c r="R133" s="471">
        <f t="shared" si="36"/>
        <v>0</v>
      </c>
      <c r="T133" s="479"/>
      <c r="V133" s="479"/>
      <c r="AE133" s="472" t="e">
        <f>IF(#REF!=2,#REF!,0)</f>
        <v>#REF!</v>
      </c>
      <c r="AF133" s="472" t="e">
        <f>IF(#REF!=2,#REF!,0)</f>
        <v>#REF!</v>
      </c>
      <c r="AG133" s="472" t="e">
        <f t="shared" si="26"/>
        <v>#REF!</v>
      </c>
      <c r="AW133" s="472" t="e">
        <f>IF(#REF!=3,#REF!,0)</f>
        <v>#REF!</v>
      </c>
    </row>
    <row r="134" spans="3:49" x14ac:dyDescent="0.3">
      <c r="C134" s="471" t="str">
        <f>IF(OR(Inyección!B134="",Inyección!N134="",Inyección!P134=""),"",INDEX($C$26:$C$29,Inyección!C134)&amp;" de "&amp;TEXT(Inyección!N134,"00")&amp;""""&amp;" × "&amp;TEXT(Inyección!P134,"00")&amp;""""&amp;IF(Inyección!C134=1,", "&amp;Inyección!R134&amp;IF(Inyección!R134=1," vía",IF(OR(Inyección!R134=2,Inyección!R134=3,Inyección!R134=4)," vías","")),""))</f>
        <v/>
      </c>
      <c r="F134"/>
      <c r="H134" s="471">
        <f t="shared" si="29"/>
        <v>0</v>
      </c>
      <c r="I134" s="471" t="str">
        <f t="shared" si="30"/>
        <v>0</v>
      </c>
      <c r="J134" s="471" t="str">
        <f t="shared" si="37"/>
        <v/>
      </c>
      <c r="K134" s="471" t="str">
        <f t="shared" si="37"/>
        <v/>
      </c>
      <c r="L134" s="471" t="str">
        <f t="shared" si="37"/>
        <v/>
      </c>
      <c r="M134"/>
      <c r="N134" s="471">
        <f t="shared" si="34"/>
        <v>0</v>
      </c>
      <c r="O134"/>
      <c r="P134" s="471">
        <f t="shared" si="35"/>
        <v>0</v>
      </c>
      <c r="Q134"/>
      <c r="R134" s="471">
        <f t="shared" si="36"/>
        <v>0</v>
      </c>
      <c r="T134" s="479"/>
      <c r="V134" s="479"/>
      <c r="AE134" s="472" t="e">
        <f>IF(#REF!=2,#REF!,0)</f>
        <v>#REF!</v>
      </c>
      <c r="AF134" s="472" t="e">
        <f>IF(#REF!=2,#REF!,0)</f>
        <v>#REF!</v>
      </c>
      <c r="AG134" s="472" t="e">
        <f t="shared" si="26"/>
        <v>#REF!</v>
      </c>
      <c r="AW134" s="472" t="e">
        <f>IF(#REF!=3,#REF!,0)</f>
        <v>#REF!</v>
      </c>
    </row>
    <row r="135" spans="3:49" x14ac:dyDescent="0.3">
      <c r="C135" s="471" t="str">
        <f>IF(OR(Inyección!B135="",Inyección!N135="",Inyección!P135=""),"",INDEX($C$26:$C$29,Inyección!C135)&amp;" de "&amp;TEXT(Inyección!N135,"00")&amp;""""&amp;" × "&amp;TEXT(Inyección!P135,"00")&amp;""""&amp;IF(Inyección!C135=1,", "&amp;Inyección!R135&amp;IF(Inyección!R135=1," vía",IF(OR(Inyección!R135=2,Inyección!R135=3,Inyección!R135=4)," vías","")),""))</f>
        <v/>
      </c>
      <c r="F135"/>
      <c r="H135" s="471">
        <f t="shared" si="29"/>
        <v>0</v>
      </c>
      <c r="I135" s="471" t="str">
        <f t="shared" si="30"/>
        <v>0</v>
      </c>
      <c r="J135" s="471" t="str">
        <f t="shared" si="37"/>
        <v/>
      </c>
      <c r="K135" s="471" t="str">
        <f t="shared" si="37"/>
        <v/>
      </c>
      <c r="L135" s="471" t="str">
        <f t="shared" si="37"/>
        <v/>
      </c>
      <c r="M135"/>
      <c r="N135" s="471">
        <f t="shared" si="34"/>
        <v>0</v>
      </c>
      <c r="O135"/>
      <c r="P135" s="471">
        <f t="shared" si="35"/>
        <v>0</v>
      </c>
      <c r="Q135"/>
      <c r="R135" s="471">
        <f t="shared" si="36"/>
        <v>0</v>
      </c>
      <c r="T135" s="479"/>
      <c r="V135" s="479"/>
      <c r="AE135" s="472" t="e">
        <f>IF(#REF!=2,#REF!,0)</f>
        <v>#REF!</v>
      </c>
      <c r="AF135" s="472" t="e">
        <f>IF(#REF!=2,#REF!,0)</f>
        <v>#REF!</v>
      </c>
      <c r="AG135" s="472" t="e">
        <f t="shared" si="26"/>
        <v>#REF!</v>
      </c>
      <c r="AW135" s="472" t="e">
        <f>IF(#REF!=3,#REF!,0)</f>
        <v>#REF!</v>
      </c>
    </row>
    <row r="136" spans="3:49" x14ac:dyDescent="0.3">
      <c r="C136" s="471" t="str">
        <f>IF(OR(Inyección!B136="",Inyección!N136="",Inyección!P136=""),"",INDEX($C$26:$C$29,Inyección!C136)&amp;" de "&amp;TEXT(Inyección!N136,"00")&amp;""""&amp;" × "&amp;TEXT(Inyección!P136,"00")&amp;""""&amp;IF(Inyección!C136=1,", "&amp;Inyección!R136&amp;IF(Inyección!R136=1," vía",IF(OR(Inyección!R136=2,Inyección!R136=3,Inyección!R136=4)," vías","")),""))</f>
        <v/>
      </c>
      <c r="F136"/>
      <c r="H136" s="471">
        <f t="shared" si="29"/>
        <v>0</v>
      </c>
      <c r="I136" s="471" t="str">
        <f t="shared" si="30"/>
        <v>0</v>
      </c>
      <c r="J136" s="471" t="str">
        <f t="shared" si="37"/>
        <v/>
      </c>
      <c r="K136" s="471" t="str">
        <f t="shared" si="37"/>
        <v/>
      </c>
      <c r="L136" s="471" t="str">
        <f t="shared" si="37"/>
        <v/>
      </c>
      <c r="M136"/>
      <c r="N136" s="471">
        <f t="shared" si="34"/>
        <v>0</v>
      </c>
      <c r="O136"/>
      <c r="P136" s="471">
        <f t="shared" si="35"/>
        <v>0</v>
      </c>
      <c r="Q136"/>
      <c r="R136" s="471">
        <f t="shared" si="36"/>
        <v>0</v>
      </c>
      <c r="T136" s="479"/>
      <c r="V136" s="479"/>
      <c r="AE136" s="472" t="e">
        <f>IF(#REF!=2,#REF!,0)</f>
        <v>#REF!</v>
      </c>
      <c r="AF136" s="472" t="e">
        <f>IF(#REF!=2,#REF!,0)</f>
        <v>#REF!</v>
      </c>
      <c r="AG136" s="472" t="e">
        <f t="shared" si="26"/>
        <v>#REF!</v>
      </c>
      <c r="AW136" s="472" t="e">
        <f>IF(#REF!=3,#REF!,0)</f>
        <v>#REF!</v>
      </c>
    </row>
    <row r="137" spans="3:49" x14ac:dyDescent="0.3">
      <c r="C137" s="471" t="str">
        <f>IF(OR(Inyección!B137="",Inyección!N137="",Inyección!P137=""),"",INDEX($C$26:$C$29,Inyección!C137)&amp;" de "&amp;TEXT(Inyección!N137,"00")&amp;""""&amp;" × "&amp;TEXT(Inyección!P137,"00")&amp;""""&amp;IF(Inyección!C137=1,", "&amp;Inyección!R137&amp;IF(Inyección!R137=1," vía",IF(OR(Inyección!R137=2,Inyección!R137=3,Inyección!R137=4)," vías","")),""))</f>
        <v/>
      </c>
      <c r="F137"/>
      <c r="H137" s="471">
        <f t="shared" si="29"/>
        <v>0</v>
      </c>
      <c r="I137" s="471" t="str">
        <f t="shared" si="30"/>
        <v>0</v>
      </c>
      <c r="J137" s="471" t="str">
        <f t="shared" si="37"/>
        <v/>
      </c>
      <c r="K137" s="471" t="str">
        <f t="shared" si="37"/>
        <v/>
      </c>
      <c r="L137" s="471" t="str">
        <f t="shared" si="37"/>
        <v/>
      </c>
      <c r="M137"/>
      <c r="N137" s="471">
        <f t="shared" si="34"/>
        <v>0</v>
      </c>
      <c r="O137"/>
      <c r="P137" s="471">
        <f t="shared" si="35"/>
        <v>0</v>
      </c>
      <c r="Q137"/>
      <c r="R137" s="471">
        <f t="shared" si="36"/>
        <v>0</v>
      </c>
      <c r="T137" s="479"/>
      <c r="V137" s="479"/>
      <c r="AE137" s="472" t="e">
        <f>IF(#REF!=2,#REF!,0)</f>
        <v>#REF!</v>
      </c>
      <c r="AF137" s="472" t="e">
        <f>IF(#REF!=2,#REF!,0)</f>
        <v>#REF!</v>
      </c>
      <c r="AG137" s="472" t="e">
        <f t="shared" si="26"/>
        <v>#REF!</v>
      </c>
      <c r="AW137" s="472" t="e">
        <f>IF(#REF!=3,#REF!,0)</f>
        <v>#REF!</v>
      </c>
    </row>
    <row r="138" spans="3:49" x14ac:dyDescent="0.3">
      <c r="C138" s="471" t="str">
        <f>IF(OR(Inyección!B138="",Inyección!N138="",Inyección!P138=""),"",INDEX($C$26:$C$29,Inyección!C138)&amp;" de "&amp;TEXT(Inyección!N138,"00")&amp;""""&amp;" × "&amp;TEXT(Inyección!P138,"00")&amp;""""&amp;IF(Inyección!C138=1,", "&amp;Inyección!R138&amp;IF(Inyección!R138=1," vía",IF(OR(Inyección!R138=2,Inyección!R138=3,Inyección!R138=4)," vías","")),""))</f>
        <v/>
      </c>
      <c r="F138"/>
      <c r="H138" s="471">
        <f t="shared" si="29"/>
        <v>0</v>
      </c>
      <c r="I138" s="471" t="str">
        <f t="shared" si="30"/>
        <v>0</v>
      </c>
      <c r="J138" s="471" t="str">
        <f t="shared" si="37"/>
        <v/>
      </c>
      <c r="K138" s="471" t="str">
        <f t="shared" si="37"/>
        <v/>
      </c>
      <c r="L138" s="471" t="str">
        <f t="shared" si="37"/>
        <v/>
      </c>
      <c r="M138"/>
      <c r="N138" s="471">
        <f t="shared" si="34"/>
        <v>0</v>
      </c>
      <c r="O138"/>
      <c r="P138" s="471">
        <f t="shared" si="35"/>
        <v>0</v>
      </c>
      <c r="Q138"/>
      <c r="R138" s="471">
        <f t="shared" si="36"/>
        <v>0</v>
      </c>
      <c r="T138" s="479"/>
      <c r="V138" s="479"/>
      <c r="AE138" s="472" t="e">
        <f>IF(#REF!=2,#REF!,0)</f>
        <v>#REF!</v>
      </c>
      <c r="AF138" s="472" t="e">
        <f>IF(#REF!=2,#REF!,0)</f>
        <v>#REF!</v>
      </c>
      <c r="AG138" s="472" t="e">
        <f t="shared" si="26"/>
        <v>#REF!</v>
      </c>
      <c r="AW138" s="472" t="e">
        <f>IF(#REF!=3,#REF!,0)</f>
        <v>#REF!</v>
      </c>
    </row>
    <row r="139" spans="3:49" x14ac:dyDescent="0.3">
      <c r="C139" s="471" t="str">
        <f>IF(OR(Inyección!B139="",Inyección!N139="",Inyección!P139=""),"",INDEX($C$26:$C$29,Inyección!C139)&amp;" de "&amp;TEXT(Inyección!N139,"00")&amp;""""&amp;" × "&amp;TEXT(Inyección!P139,"00")&amp;""""&amp;IF(Inyección!C139=1,", "&amp;Inyección!R139&amp;IF(Inyección!R139=1," vía",IF(OR(Inyección!R139=2,Inyección!R139=3,Inyección!R139=4)," vías","")),""))</f>
        <v/>
      </c>
      <c r="F139"/>
      <c r="H139" s="471">
        <f t="shared" si="29"/>
        <v>0</v>
      </c>
      <c r="I139" s="471" t="str">
        <f t="shared" si="30"/>
        <v>0</v>
      </c>
      <c r="J139" s="471" t="str">
        <f t="shared" si="37"/>
        <v/>
      </c>
      <c r="K139" s="471" t="str">
        <f t="shared" si="37"/>
        <v/>
      </c>
      <c r="L139" s="471" t="str">
        <f t="shared" si="37"/>
        <v/>
      </c>
      <c r="M139"/>
      <c r="N139" s="471">
        <f t="shared" si="34"/>
        <v>0</v>
      </c>
      <c r="O139"/>
      <c r="P139" s="471">
        <f t="shared" si="35"/>
        <v>0</v>
      </c>
      <c r="Q139"/>
      <c r="R139" s="471">
        <f t="shared" si="36"/>
        <v>0</v>
      </c>
      <c r="T139" s="479"/>
      <c r="V139" s="479"/>
      <c r="AE139" s="472" t="e">
        <f>IF(#REF!=2,#REF!,0)</f>
        <v>#REF!</v>
      </c>
      <c r="AF139" s="472" t="e">
        <f>IF(#REF!=2,#REF!,0)</f>
        <v>#REF!</v>
      </c>
      <c r="AG139" s="472" t="e">
        <f t="shared" si="26"/>
        <v>#REF!</v>
      </c>
      <c r="AW139" s="472" t="e">
        <f>IF(#REF!=3,#REF!,0)</f>
        <v>#REF!</v>
      </c>
    </row>
    <row r="140" spans="3:49" x14ac:dyDescent="0.3">
      <c r="C140" s="471" t="str">
        <f>IF(OR(Inyección!B140="",Inyección!N140="",Inyección!P140=""),"",INDEX($C$26:$C$29,Inyección!C140)&amp;" de "&amp;TEXT(Inyección!N140,"00")&amp;""""&amp;" × "&amp;TEXT(Inyección!P140,"00")&amp;""""&amp;IF(Inyección!C140=1,", "&amp;Inyección!R140&amp;IF(Inyección!R140=1," vía",IF(OR(Inyección!R140=2,Inyección!R140=3,Inyección!R140=4)," vías","")),""))</f>
        <v/>
      </c>
      <c r="F140"/>
      <c r="H140" s="471">
        <f t="shared" si="29"/>
        <v>0</v>
      </c>
      <c r="I140" s="471" t="str">
        <f t="shared" si="30"/>
        <v>0</v>
      </c>
      <c r="J140" s="471" t="str">
        <f t="shared" si="37"/>
        <v/>
      </c>
      <c r="K140" s="471" t="str">
        <f t="shared" si="37"/>
        <v/>
      </c>
      <c r="L140" s="471" t="str">
        <f t="shared" si="37"/>
        <v/>
      </c>
      <c r="M140"/>
      <c r="N140" s="471">
        <f t="shared" si="34"/>
        <v>0</v>
      </c>
      <c r="O140"/>
      <c r="P140" s="471">
        <f t="shared" si="35"/>
        <v>0</v>
      </c>
      <c r="Q140"/>
      <c r="R140" s="471">
        <f t="shared" si="36"/>
        <v>0</v>
      </c>
      <c r="T140" s="479"/>
      <c r="V140" s="479"/>
      <c r="AE140" s="472" t="e">
        <f>IF(#REF!=2,#REF!,0)</f>
        <v>#REF!</v>
      </c>
      <c r="AF140" s="472" t="e">
        <f>IF(#REF!=2,#REF!,0)</f>
        <v>#REF!</v>
      </c>
      <c r="AG140" s="472" t="e">
        <f t="shared" si="26"/>
        <v>#REF!</v>
      </c>
      <c r="AW140" s="472" t="e">
        <f>IF(#REF!=3,#REF!,0)</f>
        <v>#REF!</v>
      </c>
    </row>
    <row r="141" spans="3:49" x14ac:dyDescent="0.3">
      <c r="C141" s="471" t="str">
        <f>IF(OR(Inyección!B141="",Inyección!N141="",Inyección!P141=""),"",INDEX($C$26:$C$29,Inyección!C141)&amp;" de "&amp;TEXT(Inyección!N141,"00")&amp;""""&amp;" × "&amp;TEXT(Inyección!P141,"00")&amp;""""&amp;IF(Inyección!C141=1,", "&amp;Inyección!R141&amp;IF(Inyección!R141=1," vía",IF(OR(Inyección!R141=2,Inyección!R141=3,Inyección!R141=4)," vías","")),""))</f>
        <v/>
      </c>
      <c r="F141"/>
      <c r="H141" s="471">
        <f t="shared" si="29"/>
        <v>0</v>
      </c>
      <c r="I141" s="471" t="str">
        <f t="shared" si="30"/>
        <v>0</v>
      </c>
      <c r="J141" s="471" t="str">
        <f t="shared" si="37"/>
        <v/>
      </c>
      <c r="K141" s="471" t="str">
        <f t="shared" si="37"/>
        <v/>
      </c>
      <c r="L141" s="471" t="str">
        <f t="shared" si="37"/>
        <v/>
      </c>
      <c r="M141"/>
      <c r="N141" s="471">
        <f t="shared" si="34"/>
        <v>0</v>
      </c>
      <c r="O141"/>
      <c r="P141" s="471">
        <f t="shared" si="35"/>
        <v>0</v>
      </c>
      <c r="Q141"/>
      <c r="R141" s="471">
        <f t="shared" si="36"/>
        <v>0</v>
      </c>
      <c r="T141" s="479"/>
      <c r="V141" s="479"/>
      <c r="AE141" s="472" t="e">
        <f>IF(#REF!=2,#REF!,0)</f>
        <v>#REF!</v>
      </c>
      <c r="AF141" s="472" t="e">
        <f>IF(#REF!=2,#REF!,0)</f>
        <v>#REF!</v>
      </c>
      <c r="AG141" s="472" t="e">
        <f t="shared" si="26"/>
        <v>#REF!</v>
      </c>
      <c r="AW141" s="472" t="e">
        <f>IF(#REF!=3,#REF!,0)</f>
        <v>#REF!</v>
      </c>
    </row>
    <row r="142" spans="3:49" x14ac:dyDescent="0.3">
      <c r="C142" s="471" t="str">
        <f>IF(OR(Inyección!B142="",Inyección!N142="",Inyección!P142=""),"",INDEX($C$26:$C$29,Inyección!C142)&amp;" de "&amp;TEXT(Inyección!N142,"00")&amp;""""&amp;" × "&amp;TEXT(Inyección!P142,"00")&amp;""""&amp;IF(Inyección!C142=1,", "&amp;Inyección!R142&amp;IF(Inyección!R142=1," vía",IF(OR(Inyección!R142=2,Inyección!R142=3,Inyección!R142=4)," vías","")),""))</f>
        <v/>
      </c>
      <c r="F142"/>
      <c r="H142" s="471">
        <f t="shared" si="29"/>
        <v>0</v>
      </c>
      <c r="I142" s="471" t="str">
        <f t="shared" si="30"/>
        <v>0</v>
      </c>
      <c r="J142" s="471" t="str">
        <f t="shared" si="37"/>
        <v/>
      </c>
      <c r="K142" s="471" t="str">
        <f t="shared" si="37"/>
        <v/>
      </c>
      <c r="L142" s="471" t="str">
        <f t="shared" si="37"/>
        <v/>
      </c>
      <c r="M142"/>
      <c r="N142" s="471">
        <f t="shared" si="34"/>
        <v>0</v>
      </c>
      <c r="O142"/>
      <c r="P142" s="471">
        <f t="shared" si="35"/>
        <v>0</v>
      </c>
      <c r="Q142"/>
      <c r="R142" s="471">
        <f t="shared" si="36"/>
        <v>0</v>
      </c>
      <c r="T142" s="479"/>
      <c r="V142" s="479"/>
      <c r="AE142" s="472" t="e">
        <f>IF(#REF!=2,#REF!,0)</f>
        <v>#REF!</v>
      </c>
      <c r="AF142" s="472" t="e">
        <f>IF(#REF!=2,#REF!,0)</f>
        <v>#REF!</v>
      </c>
      <c r="AG142" s="472" t="e">
        <f t="shared" si="26"/>
        <v>#REF!</v>
      </c>
      <c r="AW142" s="472" t="e">
        <f>IF(#REF!=3,#REF!,0)</f>
        <v>#REF!</v>
      </c>
    </row>
    <row r="143" spans="3:49" x14ac:dyDescent="0.3">
      <c r="C143" s="471" t="str">
        <f>IF(OR(Inyección!B143="",Inyección!N143="",Inyección!P143=""),"",INDEX($C$26:$C$29,Inyección!C143)&amp;" de "&amp;TEXT(Inyección!N143,"00")&amp;""""&amp;" × "&amp;TEXT(Inyección!P143,"00")&amp;""""&amp;IF(Inyección!C143=1,", "&amp;Inyección!R143&amp;IF(Inyección!R143=1," vía",IF(OR(Inyección!R143=2,Inyección!R143=3,Inyección!R143=4)," vías","")),""))</f>
        <v/>
      </c>
      <c r="F143"/>
      <c r="H143" s="471">
        <f t="shared" si="29"/>
        <v>0</v>
      </c>
      <c r="I143" s="471" t="str">
        <f t="shared" si="30"/>
        <v>0</v>
      </c>
      <c r="J143" s="471" t="str">
        <f t="shared" si="37"/>
        <v/>
      </c>
      <c r="K143" s="471" t="str">
        <f t="shared" si="37"/>
        <v/>
      </c>
      <c r="L143" s="471" t="str">
        <f t="shared" si="37"/>
        <v/>
      </c>
      <c r="M143"/>
      <c r="N143" s="471">
        <f t="shared" si="34"/>
        <v>0</v>
      </c>
      <c r="O143"/>
      <c r="P143" s="471">
        <f t="shared" si="35"/>
        <v>0</v>
      </c>
      <c r="Q143"/>
      <c r="R143" s="471">
        <f t="shared" si="36"/>
        <v>0</v>
      </c>
      <c r="T143" s="479"/>
      <c r="V143" s="479"/>
      <c r="AE143" s="472" t="e">
        <f>IF(#REF!=2,#REF!,0)</f>
        <v>#REF!</v>
      </c>
      <c r="AF143" s="472" t="e">
        <f>IF(#REF!=2,#REF!,0)</f>
        <v>#REF!</v>
      </c>
      <c r="AG143" s="472" t="e">
        <f t="shared" si="26"/>
        <v>#REF!</v>
      </c>
      <c r="AW143" s="472" t="e">
        <f>IF(#REF!=3,#REF!,0)</f>
        <v>#REF!</v>
      </c>
    </row>
    <row r="144" spans="3:49" x14ac:dyDescent="0.3">
      <c r="C144" s="471" t="str">
        <f>IF(OR(Inyección!B144="",Inyección!N144="",Inyección!P144=""),"",INDEX($C$26:$C$29,Inyección!C144)&amp;" de "&amp;TEXT(Inyección!N144,"00")&amp;""""&amp;" × "&amp;TEXT(Inyección!P144,"00")&amp;""""&amp;IF(Inyección!C144=1,", "&amp;Inyección!R144&amp;IF(Inyección!R144=1," vía",IF(OR(Inyección!R144=2,Inyección!R144=3,Inyección!R144=4)," vías","")),""))</f>
        <v/>
      </c>
      <c r="F144"/>
      <c r="H144" s="471">
        <f t="shared" si="29"/>
        <v>0</v>
      </c>
      <c r="I144" s="471" t="str">
        <f t="shared" si="30"/>
        <v>0</v>
      </c>
      <c r="J144" s="471" t="str">
        <f t="shared" si="37"/>
        <v/>
      </c>
      <c r="K144" s="471" t="str">
        <f t="shared" si="37"/>
        <v/>
      </c>
      <c r="L144" s="471" t="str">
        <f t="shared" si="37"/>
        <v/>
      </c>
      <c r="M144"/>
      <c r="N144" s="471">
        <f t="shared" si="34"/>
        <v>0</v>
      </c>
      <c r="O144"/>
      <c r="P144" s="471">
        <f t="shared" si="35"/>
        <v>0</v>
      </c>
      <c r="Q144"/>
      <c r="R144" s="471">
        <f t="shared" si="36"/>
        <v>0</v>
      </c>
      <c r="T144" s="479"/>
      <c r="V144" s="479"/>
      <c r="AE144" s="472" t="e">
        <f>IF(#REF!=2,#REF!,0)</f>
        <v>#REF!</v>
      </c>
      <c r="AF144" s="472" t="e">
        <f>IF(#REF!=2,#REF!,0)</f>
        <v>#REF!</v>
      </c>
      <c r="AG144" s="472" t="e">
        <f t="shared" si="26"/>
        <v>#REF!</v>
      </c>
      <c r="AW144" s="472" t="e">
        <f>IF(#REF!=3,#REF!,0)</f>
        <v>#REF!</v>
      </c>
    </row>
    <row r="145" spans="3:49" x14ac:dyDescent="0.3">
      <c r="C145" s="471" t="str">
        <f>IF(OR(Inyección!B145="",Inyección!N145="",Inyección!P145=""),"",INDEX($C$26:$C$29,Inyección!C145)&amp;" de "&amp;TEXT(Inyección!N145,"00")&amp;""""&amp;" × "&amp;TEXT(Inyección!P145,"00")&amp;""""&amp;IF(Inyección!C145=1,", "&amp;Inyección!R145&amp;IF(Inyección!R145=1," vía",IF(OR(Inyección!R145=2,Inyección!R145=3,Inyección!R145=4)," vías","")),""))</f>
        <v/>
      </c>
      <c r="F145"/>
      <c r="H145" s="471">
        <f t="shared" si="29"/>
        <v>0</v>
      </c>
      <c r="I145" s="471" t="str">
        <f t="shared" si="30"/>
        <v>0</v>
      </c>
      <c r="J145" s="471" t="str">
        <f t="shared" si="37"/>
        <v/>
      </c>
      <c r="K145" s="471" t="str">
        <f t="shared" si="37"/>
        <v/>
      </c>
      <c r="L145" s="471" t="str">
        <f t="shared" si="37"/>
        <v/>
      </c>
      <c r="M145"/>
      <c r="N145" s="471">
        <f t="shared" si="34"/>
        <v>0</v>
      </c>
      <c r="O145"/>
      <c r="P145" s="471">
        <f t="shared" si="35"/>
        <v>0</v>
      </c>
      <c r="Q145"/>
      <c r="R145" s="471">
        <f t="shared" si="36"/>
        <v>0</v>
      </c>
      <c r="T145" s="479"/>
      <c r="V145" s="479"/>
      <c r="AE145" s="472" t="e">
        <f>IF(#REF!=2,#REF!,0)</f>
        <v>#REF!</v>
      </c>
      <c r="AF145" s="472" t="e">
        <f>IF(#REF!=2,#REF!,0)</f>
        <v>#REF!</v>
      </c>
      <c r="AG145" s="472" t="e">
        <f t="shared" si="26"/>
        <v>#REF!</v>
      </c>
      <c r="AW145" s="472" t="e">
        <f>IF(#REF!=3,#REF!,0)</f>
        <v>#REF!</v>
      </c>
    </row>
    <row r="146" spans="3:49" x14ac:dyDescent="0.3">
      <c r="C146" s="471" t="str">
        <f>IF(OR(Inyección!B146="",Inyección!N146="",Inyección!P146=""),"",INDEX($C$26:$C$29,Inyección!C146)&amp;" de "&amp;TEXT(Inyección!N146,"00")&amp;""""&amp;" × "&amp;TEXT(Inyección!P146,"00")&amp;""""&amp;IF(Inyección!C146=1,", "&amp;Inyección!R146&amp;IF(Inyección!R146=1," vía",IF(OR(Inyección!R146=2,Inyección!R146=3,Inyección!R146=4)," vías","")),""))</f>
        <v/>
      </c>
      <c r="F146"/>
      <c r="H146" s="471">
        <f t="shared" si="29"/>
        <v>0</v>
      </c>
      <c r="I146" s="471" t="str">
        <f t="shared" si="30"/>
        <v>0</v>
      </c>
      <c r="J146" s="471" t="str">
        <f t="shared" si="37"/>
        <v/>
      </c>
      <c r="K146" s="471" t="str">
        <f t="shared" si="37"/>
        <v/>
      </c>
      <c r="L146" s="471" t="str">
        <f t="shared" si="37"/>
        <v/>
      </c>
      <c r="M146"/>
      <c r="N146" s="471">
        <f t="shared" si="34"/>
        <v>0</v>
      </c>
      <c r="O146"/>
      <c r="P146" s="471">
        <f t="shared" si="35"/>
        <v>0</v>
      </c>
      <c r="Q146"/>
      <c r="R146" s="471">
        <f t="shared" si="36"/>
        <v>0</v>
      </c>
      <c r="T146" s="479"/>
      <c r="V146" s="479"/>
      <c r="AE146" s="472" t="e">
        <f>IF(#REF!=2,#REF!,0)</f>
        <v>#REF!</v>
      </c>
      <c r="AF146" s="472" t="e">
        <f>IF(#REF!=2,#REF!,0)</f>
        <v>#REF!</v>
      </c>
      <c r="AG146" s="472" t="e">
        <f t="shared" si="26"/>
        <v>#REF!</v>
      </c>
      <c r="AW146" s="472" t="e">
        <f>IF(#REF!=3,#REF!,0)</f>
        <v>#REF!</v>
      </c>
    </row>
    <row r="147" spans="3:49" x14ac:dyDescent="0.3">
      <c r="C147" s="471" t="str">
        <f>IF(OR(Inyección!B147="",Inyección!N147="",Inyección!P147=""),"",INDEX($C$26:$C$29,Inyección!C147)&amp;" de "&amp;TEXT(Inyección!N147,"00")&amp;""""&amp;" × "&amp;TEXT(Inyección!P147,"00")&amp;""""&amp;IF(Inyección!C147=1,", "&amp;Inyección!R147&amp;IF(Inyección!R147=1," vía",IF(OR(Inyección!R147=2,Inyección!R147=3,Inyección!R147=4)," vías","")),""))</f>
        <v/>
      </c>
      <c r="F147"/>
      <c r="H147" s="471">
        <f t="shared" si="29"/>
        <v>0</v>
      </c>
      <c r="I147" s="471" t="str">
        <f t="shared" si="30"/>
        <v>0</v>
      </c>
      <c r="J147" s="471" t="str">
        <f t="shared" si="37"/>
        <v/>
      </c>
      <c r="K147" s="471" t="str">
        <f t="shared" si="37"/>
        <v/>
      </c>
      <c r="L147" s="471" t="str">
        <f t="shared" si="37"/>
        <v/>
      </c>
      <c r="M147"/>
      <c r="N147" s="471">
        <f t="shared" si="34"/>
        <v>0</v>
      </c>
      <c r="O147"/>
      <c r="P147" s="471">
        <f t="shared" si="35"/>
        <v>0</v>
      </c>
      <c r="Q147"/>
      <c r="R147" s="471">
        <f t="shared" si="36"/>
        <v>0</v>
      </c>
      <c r="T147" s="479"/>
      <c r="V147" s="479"/>
      <c r="AE147" s="472" t="e">
        <f>IF(#REF!=2,#REF!,0)</f>
        <v>#REF!</v>
      </c>
      <c r="AF147" s="472" t="e">
        <f>IF(#REF!=2,#REF!,0)</f>
        <v>#REF!</v>
      </c>
      <c r="AG147" s="472" t="e">
        <f t="shared" si="26"/>
        <v>#REF!</v>
      </c>
      <c r="AW147" s="472" t="e">
        <f>IF(#REF!=3,#REF!,0)</f>
        <v>#REF!</v>
      </c>
    </row>
    <row r="148" spans="3:49" x14ac:dyDescent="0.3">
      <c r="C148" s="471" t="str">
        <f>IF(OR(Inyección!B148="",Inyección!N148="",Inyección!P148=""),"",INDEX($C$26:$C$29,Inyección!C148)&amp;" de "&amp;TEXT(Inyección!N148,"00")&amp;""""&amp;" × "&amp;TEXT(Inyección!P148,"00")&amp;""""&amp;IF(Inyección!C148=1,", "&amp;Inyección!R148&amp;IF(Inyección!R148=1," vía",IF(OR(Inyección!R148=2,Inyección!R148=3,Inyección!R148=4)," vías","")),""))</f>
        <v/>
      </c>
      <c r="F148"/>
      <c r="H148" s="471">
        <f t="shared" si="29"/>
        <v>0</v>
      </c>
      <c r="I148" s="471" t="str">
        <f t="shared" si="30"/>
        <v>0</v>
      </c>
      <c r="J148" s="471" t="str">
        <f t="shared" si="37"/>
        <v/>
      </c>
      <c r="K148" s="471" t="str">
        <f t="shared" si="37"/>
        <v/>
      </c>
      <c r="L148" s="471" t="str">
        <f t="shared" si="37"/>
        <v/>
      </c>
      <c r="M148"/>
      <c r="N148" s="471">
        <f t="shared" si="34"/>
        <v>0</v>
      </c>
      <c r="O148"/>
      <c r="P148" s="471">
        <f t="shared" si="35"/>
        <v>0</v>
      </c>
      <c r="Q148"/>
      <c r="R148" s="471">
        <f t="shared" si="36"/>
        <v>0</v>
      </c>
      <c r="T148" s="479"/>
      <c r="V148" s="479"/>
      <c r="AE148" s="472" t="e">
        <f>IF(#REF!=2,#REF!,0)</f>
        <v>#REF!</v>
      </c>
      <c r="AF148" s="472" t="e">
        <f>IF(#REF!=2,#REF!,0)</f>
        <v>#REF!</v>
      </c>
      <c r="AG148" s="472" t="e">
        <f t="shared" si="26"/>
        <v>#REF!</v>
      </c>
      <c r="AW148" s="472" t="e">
        <f>IF(#REF!=3,#REF!,0)</f>
        <v>#REF!</v>
      </c>
    </row>
    <row r="149" spans="3:49" x14ac:dyDescent="0.3">
      <c r="C149" s="471" t="str">
        <f>IF(OR(Inyección!B149="",Inyección!N149="",Inyección!P149=""),"",INDEX($C$26:$C$29,Inyección!C149)&amp;" de "&amp;TEXT(Inyección!N149,"00")&amp;""""&amp;" × "&amp;TEXT(Inyección!P149,"00")&amp;""""&amp;IF(Inyección!C149=1,", "&amp;Inyección!R149&amp;IF(Inyección!R149=1," vía",IF(OR(Inyección!R149=2,Inyección!R149=3,Inyección!R149=4)," vías","")),""))</f>
        <v/>
      </c>
      <c r="F149"/>
      <c r="H149" s="471">
        <f t="shared" si="29"/>
        <v>0</v>
      </c>
      <c r="I149" s="471" t="str">
        <f t="shared" si="30"/>
        <v>0</v>
      </c>
      <c r="J149" s="471" t="str">
        <f t="shared" si="37"/>
        <v/>
      </c>
      <c r="K149" s="471" t="str">
        <f t="shared" si="37"/>
        <v/>
      </c>
      <c r="L149" s="471" t="str">
        <f t="shared" si="37"/>
        <v/>
      </c>
      <c r="M149"/>
      <c r="N149" s="471">
        <f t="shared" si="34"/>
        <v>0</v>
      </c>
      <c r="O149"/>
      <c r="P149" s="471">
        <f t="shared" si="35"/>
        <v>0</v>
      </c>
      <c r="Q149"/>
      <c r="R149" s="471">
        <f t="shared" si="36"/>
        <v>0</v>
      </c>
      <c r="T149" s="479"/>
      <c r="V149" s="479"/>
      <c r="AE149" s="472" t="e">
        <f>IF(#REF!=2,#REF!,0)</f>
        <v>#REF!</v>
      </c>
      <c r="AF149" s="472" t="e">
        <f>IF(#REF!=2,#REF!,0)</f>
        <v>#REF!</v>
      </c>
      <c r="AG149" s="472" t="e">
        <f t="shared" si="26"/>
        <v>#REF!</v>
      </c>
      <c r="AW149" s="472" t="e">
        <f>IF(#REF!=3,#REF!,0)</f>
        <v>#REF!</v>
      </c>
    </row>
    <row r="150" spans="3:49" x14ac:dyDescent="0.3">
      <c r="C150" s="471" t="str">
        <f>IF(OR(Inyección!B150="",Inyección!N150="",Inyección!P150=""),"",INDEX($C$26:$C$29,Inyección!C150)&amp;" de "&amp;TEXT(Inyección!N150,"00")&amp;""""&amp;" × "&amp;TEXT(Inyección!P150,"00")&amp;""""&amp;IF(Inyección!C150=1,", "&amp;Inyección!R150&amp;IF(Inyección!R150=1," vía",IF(OR(Inyección!R150=2,Inyección!R150=3,Inyección!R150=4)," vías","")),""))</f>
        <v/>
      </c>
      <c r="F150"/>
      <c r="H150" s="471">
        <f t="shared" si="29"/>
        <v>0</v>
      </c>
      <c r="I150" s="471" t="str">
        <f t="shared" si="30"/>
        <v>0</v>
      </c>
      <c r="J150" s="471" t="str">
        <f t="shared" si="37"/>
        <v/>
      </c>
      <c r="K150" s="471" t="str">
        <f t="shared" si="37"/>
        <v/>
      </c>
      <c r="L150" s="471" t="str">
        <f t="shared" si="37"/>
        <v/>
      </c>
      <c r="M150"/>
      <c r="N150" s="471">
        <f t="shared" si="34"/>
        <v>0</v>
      </c>
      <c r="O150"/>
      <c r="P150" s="471">
        <f t="shared" si="35"/>
        <v>0</v>
      </c>
      <c r="Q150"/>
      <c r="R150" s="471">
        <f t="shared" si="36"/>
        <v>0</v>
      </c>
      <c r="T150" s="479"/>
      <c r="V150" s="479"/>
      <c r="AE150" s="472" t="e">
        <f>IF(#REF!=2,#REF!,0)</f>
        <v>#REF!</v>
      </c>
      <c r="AF150" s="472" t="e">
        <f>IF(#REF!=2,#REF!,0)</f>
        <v>#REF!</v>
      </c>
      <c r="AG150" s="472" t="e">
        <f t="shared" si="26"/>
        <v>#REF!</v>
      </c>
      <c r="AW150" s="472" t="e">
        <f>IF(#REF!=3,#REF!,0)</f>
        <v>#REF!</v>
      </c>
    </row>
    <row r="151" spans="3:49" x14ac:dyDescent="0.3">
      <c r="C151" s="471" t="str">
        <f>IF(OR(Inyección!B151="",Inyección!N151="",Inyección!P151=""),"",INDEX($C$26:$C$29,Inyección!C151)&amp;" de "&amp;TEXT(Inyección!N151,"00")&amp;""""&amp;" × "&amp;TEXT(Inyección!P151,"00")&amp;""""&amp;IF(Inyección!C151=1,", "&amp;Inyección!R151&amp;IF(Inyección!R151=1," vía",IF(OR(Inyección!R151=2,Inyección!R151=3,Inyección!R151=4)," vías","")),""))</f>
        <v/>
      </c>
      <c r="F151"/>
      <c r="H151" s="471">
        <f t="shared" si="29"/>
        <v>0</v>
      </c>
      <c r="I151" s="471" t="str">
        <f t="shared" si="30"/>
        <v>0</v>
      </c>
      <c r="J151" s="471" t="str">
        <f t="shared" si="37"/>
        <v/>
      </c>
      <c r="K151" s="471" t="str">
        <f t="shared" si="37"/>
        <v/>
      </c>
      <c r="L151" s="471" t="str">
        <f t="shared" si="37"/>
        <v/>
      </c>
      <c r="M151"/>
      <c r="N151" s="471">
        <f t="shared" si="34"/>
        <v>0</v>
      </c>
      <c r="O151"/>
      <c r="P151" s="471">
        <f t="shared" si="35"/>
        <v>0</v>
      </c>
      <c r="Q151"/>
      <c r="R151" s="471">
        <f t="shared" si="36"/>
        <v>0</v>
      </c>
      <c r="T151" s="479"/>
      <c r="V151" s="479"/>
      <c r="AE151" s="472" t="e">
        <f>IF(#REF!=2,#REF!,0)</f>
        <v>#REF!</v>
      </c>
      <c r="AF151" s="472" t="e">
        <f>IF(#REF!=2,#REF!,0)</f>
        <v>#REF!</v>
      </c>
      <c r="AG151" s="472" t="e">
        <f t="shared" si="26"/>
        <v>#REF!</v>
      </c>
      <c r="AW151" s="472" t="e">
        <f>IF(#REF!=3,#REF!,0)</f>
        <v>#REF!</v>
      </c>
    </row>
    <row r="152" spans="3:49" x14ac:dyDescent="0.3">
      <c r="C152" s="471" t="str">
        <f>IF(OR(Inyección!B152="",Inyección!N152="",Inyección!P152=""),"",INDEX($C$26:$C$29,Inyección!C152)&amp;" de "&amp;TEXT(Inyección!N152,"00")&amp;""""&amp;" × "&amp;TEXT(Inyección!P152,"00")&amp;""""&amp;IF(Inyección!C152=1,", "&amp;Inyección!R152&amp;IF(Inyección!R152=1," vía",IF(OR(Inyección!R152=2,Inyección!R152=3,Inyección!R152=4)," vías","")),""))</f>
        <v/>
      </c>
      <c r="F152"/>
      <c r="H152" s="471">
        <f t="shared" si="29"/>
        <v>0</v>
      </c>
      <c r="I152" s="471" t="str">
        <f t="shared" si="30"/>
        <v>0</v>
      </c>
      <c r="J152" s="471" t="str">
        <f t="shared" si="37"/>
        <v/>
      </c>
      <c r="K152" s="471" t="str">
        <f t="shared" si="37"/>
        <v/>
      </c>
      <c r="L152" s="471" t="str">
        <f t="shared" si="37"/>
        <v/>
      </c>
      <c r="M152"/>
      <c r="N152" s="471">
        <f t="shared" si="34"/>
        <v>0</v>
      </c>
      <c r="O152"/>
      <c r="P152" s="471">
        <f t="shared" si="35"/>
        <v>0</v>
      </c>
      <c r="Q152"/>
      <c r="R152" s="471">
        <f t="shared" si="36"/>
        <v>0</v>
      </c>
      <c r="T152" s="479"/>
      <c r="V152" s="479"/>
      <c r="AE152" s="472" t="e">
        <f>IF(#REF!=2,#REF!,0)</f>
        <v>#REF!</v>
      </c>
      <c r="AF152" s="472" t="e">
        <f>IF(#REF!=2,#REF!,0)</f>
        <v>#REF!</v>
      </c>
      <c r="AG152" s="472" t="e">
        <f t="shared" si="26"/>
        <v>#REF!</v>
      </c>
      <c r="AW152" s="472" t="e">
        <f>IF(#REF!=3,#REF!,0)</f>
        <v>#REF!</v>
      </c>
    </row>
    <row r="153" spans="3:49" x14ac:dyDescent="0.3">
      <c r="C153" s="471" t="str">
        <f>IF(OR(Inyección!B153="",Inyección!N153="",Inyección!P153=""),"",INDEX($C$26:$C$29,Inyección!C153)&amp;" de "&amp;TEXT(Inyección!N153,"00")&amp;""""&amp;" × "&amp;TEXT(Inyección!P153,"00")&amp;""""&amp;IF(Inyección!C153=1,", "&amp;Inyección!R153&amp;IF(Inyección!R153=1," vía",IF(OR(Inyección!R153=2,Inyección!R153=3,Inyección!R153=4)," vías","")),""))</f>
        <v/>
      </c>
      <c r="F153"/>
      <c r="H153" s="471">
        <f t="shared" si="29"/>
        <v>0</v>
      </c>
      <c r="I153" s="471" t="str">
        <f t="shared" si="30"/>
        <v>0</v>
      </c>
      <c r="J153" s="471" t="str">
        <f t="shared" si="37"/>
        <v/>
      </c>
      <c r="K153" s="471" t="str">
        <f t="shared" si="37"/>
        <v/>
      </c>
      <c r="L153" s="471" t="str">
        <f t="shared" si="37"/>
        <v/>
      </c>
      <c r="M153"/>
      <c r="N153" s="471">
        <f t="shared" si="34"/>
        <v>0</v>
      </c>
      <c r="O153"/>
      <c r="P153" s="471">
        <f t="shared" si="35"/>
        <v>0</v>
      </c>
      <c r="Q153"/>
      <c r="R153" s="471">
        <f t="shared" si="36"/>
        <v>0</v>
      </c>
      <c r="T153" s="479"/>
      <c r="V153" s="479"/>
      <c r="AE153" s="472" t="e">
        <f>IF(#REF!=2,#REF!,0)</f>
        <v>#REF!</v>
      </c>
      <c r="AF153" s="472" t="e">
        <f>IF(#REF!=2,#REF!,0)</f>
        <v>#REF!</v>
      </c>
      <c r="AG153" s="472" t="e">
        <f t="shared" si="26"/>
        <v>#REF!</v>
      </c>
      <c r="AW153" s="472" t="e">
        <f>IF(#REF!=3,#REF!,0)</f>
        <v>#REF!</v>
      </c>
    </row>
    <row r="154" spans="3:49" x14ac:dyDescent="0.3">
      <c r="C154" s="471" t="str">
        <f>IF(OR(Inyección!B154="",Inyección!N154="",Inyección!P154=""),"",INDEX($C$26:$C$29,Inyección!C154)&amp;" de "&amp;TEXT(Inyección!N154,"00")&amp;""""&amp;" × "&amp;TEXT(Inyección!P154,"00")&amp;""""&amp;IF(Inyección!C154=1,", "&amp;Inyección!R154&amp;IF(Inyección!R154=1," vía",IF(OR(Inyección!R154=2,Inyección!R154=3,Inyección!R154=4)," vías","")),""))</f>
        <v/>
      </c>
      <c r="F154"/>
      <c r="H154" s="471">
        <f t="shared" si="29"/>
        <v>0</v>
      </c>
      <c r="I154" s="471" t="str">
        <f t="shared" si="30"/>
        <v>0</v>
      </c>
      <c r="J154" s="471" t="str">
        <f t="shared" si="37"/>
        <v/>
      </c>
      <c r="K154" s="471" t="str">
        <f t="shared" si="37"/>
        <v/>
      </c>
      <c r="L154" s="471" t="str">
        <f t="shared" si="37"/>
        <v/>
      </c>
      <c r="M154"/>
      <c r="N154" s="471">
        <f t="shared" si="34"/>
        <v>0</v>
      </c>
      <c r="O154"/>
      <c r="P154" s="471">
        <f t="shared" si="35"/>
        <v>0</v>
      </c>
      <c r="Q154"/>
      <c r="R154" s="471">
        <f t="shared" si="36"/>
        <v>0</v>
      </c>
      <c r="T154" s="479"/>
      <c r="V154" s="479"/>
      <c r="AE154" s="472" t="e">
        <f>IF(#REF!=2,#REF!,0)</f>
        <v>#REF!</v>
      </c>
      <c r="AF154" s="472" t="e">
        <f>IF(#REF!=2,#REF!,0)</f>
        <v>#REF!</v>
      </c>
      <c r="AG154" s="472" t="e">
        <f t="shared" si="26"/>
        <v>#REF!</v>
      </c>
      <c r="AW154" s="472" t="e">
        <f>IF(#REF!=3,#REF!,0)</f>
        <v>#REF!</v>
      </c>
    </row>
    <row r="155" spans="3:49" x14ac:dyDescent="0.3">
      <c r="C155" s="471" t="str">
        <f>IF(OR(Inyección!B155="",Inyección!N155="",Inyección!P155=""),"",INDEX($C$26:$C$29,Inyección!C155)&amp;" de "&amp;TEXT(Inyección!N155,"00")&amp;""""&amp;" × "&amp;TEXT(Inyección!P155,"00")&amp;""""&amp;IF(Inyección!C155=1,", "&amp;Inyección!R155&amp;IF(Inyección!R155=1," vía",IF(OR(Inyección!R155=2,Inyección!R155=3,Inyección!R155=4)," vías","")),""))</f>
        <v/>
      </c>
      <c r="F155"/>
      <c r="H155" s="471">
        <f t="shared" si="29"/>
        <v>0</v>
      </c>
      <c r="I155" s="471" t="str">
        <f t="shared" si="30"/>
        <v>0</v>
      </c>
      <c r="J155" s="471" t="str">
        <f t="shared" si="37"/>
        <v/>
      </c>
      <c r="K155" s="471" t="str">
        <f t="shared" si="37"/>
        <v/>
      </c>
      <c r="L155" s="471" t="str">
        <f t="shared" si="37"/>
        <v/>
      </c>
      <c r="M155"/>
      <c r="N155" s="471">
        <f t="shared" si="34"/>
        <v>0</v>
      </c>
      <c r="O155"/>
      <c r="P155" s="471">
        <f t="shared" si="35"/>
        <v>0</v>
      </c>
      <c r="Q155"/>
      <c r="R155" s="471">
        <f t="shared" si="36"/>
        <v>0</v>
      </c>
      <c r="T155" s="479"/>
      <c r="V155" s="479"/>
      <c r="AE155" s="472" t="e">
        <f>IF(#REF!=2,#REF!,0)</f>
        <v>#REF!</v>
      </c>
      <c r="AF155" s="472" t="e">
        <f>IF(#REF!=2,#REF!,0)</f>
        <v>#REF!</v>
      </c>
      <c r="AG155" s="472" t="e">
        <f t="shared" si="26"/>
        <v>#REF!</v>
      </c>
      <c r="AW155" s="472" t="e">
        <f>IF(#REF!=3,#REF!,0)</f>
        <v>#REF!</v>
      </c>
    </row>
    <row r="156" spans="3:49" x14ac:dyDescent="0.3">
      <c r="C156" s="471" t="str">
        <f>IF(OR(Inyección!B156="",Inyección!N156="",Inyección!P156=""),"",INDEX($C$26:$C$29,Inyección!C156)&amp;" de "&amp;TEXT(Inyección!N156,"00")&amp;""""&amp;" × "&amp;TEXT(Inyección!P156,"00")&amp;""""&amp;IF(Inyección!C156=1,", "&amp;Inyección!R156&amp;IF(Inyección!R156=1," vía",IF(OR(Inyección!R156=2,Inyección!R156=3,Inyección!R156=4)," vías","")),""))</f>
        <v/>
      </c>
      <c r="F156"/>
      <c r="H156" s="471">
        <f t="shared" si="29"/>
        <v>0</v>
      </c>
      <c r="I156" s="471" t="str">
        <f t="shared" si="30"/>
        <v>0</v>
      </c>
      <c r="J156" s="471" t="str">
        <f t="shared" si="37"/>
        <v/>
      </c>
      <c r="K156" s="471" t="str">
        <f t="shared" si="37"/>
        <v/>
      </c>
      <c r="L156" s="471" t="str">
        <f t="shared" si="37"/>
        <v/>
      </c>
      <c r="M156"/>
      <c r="N156" s="471">
        <f t="shared" si="34"/>
        <v>0</v>
      </c>
      <c r="O156"/>
      <c r="P156" s="471">
        <f t="shared" si="35"/>
        <v>0</v>
      </c>
      <c r="Q156"/>
      <c r="R156" s="471">
        <f t="shared" si="36"/>
        <v>0</v>
      </c>
      <c r="T156" s="479"/>
      <c r="V156" s="479"/>
      <c r="AE156" s="472" t="e">
        <f>IF(#REF!=2,#REF!,0)</f>
        <v>#REF!</v>
      </c>
      <c r="AF156" s="472" t="e">
        <f>IF(#REF!=2,#REF!,0)</f>
        <v>#REF!</v>
      </c>
      <c r="AG156" s="472" t="e">
        <f t="shared" si="26"/>
        <v>#REF!</v>
      </c>
      <c r="AW156" s="472" t="e">
        <f>IF(#REF!=3,#REF!,0)</f>
        <v>#REF!</v>
      </c>
    </row>
    <row r="157" spans="3:49" x14ac:dyDescent="0.3">
      <c r="C157" s="471" t="str">
        <f>IF(OR(Inyección!B157="",Inyección!N157="",Inyección!P157=""),"",INDEX($C$26:$C$29,Inyección!C157)&amp;" de "&amp;TEXT(Inyección!N157,"00")&amp;""""&amp;" × "&amp;TEXT(Inyección!P157,"00")&amp;""""&amp;IF(Inyección!C157=1,", "&amp;Inyección!R157&amp;IF(Inyección!R157=1," vía",IF(OR(Inyección!R157=2,Inyección!R157=3,Inyección!R157=4)," vías","")),""))</f>
        <v/>
      </c>
      <c r="F157"/>
      <c r="H157" s="471">
        <f t="shared" si="29"/>
        <v>0</v>
      </c>
      <c r="I157" s="471" t="str">
        <f t="shared" si="30"/>
        <v>0</v>
      </c>
      <c r="J157" s="471" t="str">
        <f t="shared" si="37"/>
        <v/>
      </c>
      <c r="K157" s="471" t="str">
        <f t="shared" si="37"/>
        <v/>
      </c>
      <c r="L157" s="471" t="str">
        <f t="shared" si="37"/>
        <v/>
      </c>
      <c r="M157"/>
      <c r="N157" s="471">
        <f t="shared" si="34"/>
        <v>0</v>
      </c>
      <c r="O157"/>
      <c r="P157" s="471">
        <f t="shared" si="35"/>
        <v>0</v>
      </c>
      <c r="Q157"/>
      <c r="R157" s="471">
        <f t="shared" si="36"/>
        <v>0</v>
      </c>
      <c r="T157" s="479"/>
      <c r="V157" s="479"/>
      <c r="AE157" s="472" t="e">
        <f>IF(#REF!=2,#REF!,0)</f>
        <v>#REF!</v>
      </c>
      <c r="AF157" s="472" t="e">
        <f>IF(#REF!=2,#REF!,0)</f>
        <v>#REF!</v>
      </c>
      <c r="AG157" s="472" t="e">
        <f t="shared" si="26"/>
        <v>#REF!</v>
      </c>
      <c r="AW157" s="472" t="e">
        <f>IF(#REF!=3,#REF!,0)</f>
        <v>#REF!</v>
      </c>
    </row>
    <row r="158" spans="3:49" x14ac:dyDescent="0.3">
      <c r="C158" s="471" t="str">
        <f>IF(OR(Inyección!B158="",Inyección!N158="",Inyección!P158=""),"",INDEX($C$26:$C$29,Inyección!C158)&amp;" de "&amp;TEXT(Inyección!N158,"00")&amp;""""&amp;" × "&amp;TEXT(Inyección!P158,"00")&amp;""""&amp;IF(Inyección!C158=1,", "&amp;Inyección!R158&amp;IF(Inyección!R158=1," vía",IF(OR(Inyección!R158=2,Inyección!R158=3,Inyección!R158=4)," vías","")),""))</f>
        <v/>
      </c>
      <c r="F158"/>
      <c r="H158" s="471">
        <f t="shared" si="29"/>
        <v>0</v>
      </c>
      <c r="I158" s="471" t="str">
        <f t="shared" si="30"/>
        <v>0</v>
      </c>
      <c r="J158" s="471" t="str">
        <f t="shared" si="37"/>
        <v/>
      </c>
      <c r="K158" s="471" t="str">
        <f t="shared" si="37"/>
        <v/>
      </c>
      <c r="L158" s="471" t="str">
        <f t="shared" si="37"/>
        <v/>
      </c>
      <c r="M158"/>
      <c r="N158" s="471">
        <f t="shared" si="34"/>
        <v>0</v>
      </c>
      <c r="O158"/>
      <c r="P158" s="471">
        <f t="shared" si="35"/>
        <v>0</v>
      </c>
      <c r="Q158"/>
      <c r="R158" s="471">
        <f t="shared" si="36"/>
        <v>0</v>
      </c>
      <c r="T158" s="479"/>
      <c r="V158" s="479"/>
      <c r="AE158" s="472" t="e">
        <f>IF(#REF!=2,#REF!,0)</f>
        <v>#REF!</v>
      </c>
      <c r="AF158" s="472" t="e">
        <f>IF(#REF!=2,#REF!,0)</f>
        <v>#REF!</v>
      </c>
      <c r="AG158" s="472" t="e">
        <f t="shared" si="26"/>
        <v>#REF!</v>
      </c>
      <c r="AW158" s="472" t="e">
        <f>IF(#REF!=3,#REF!,0)</f>
        <v>#REF!</v>
      </c>
    </row>
    <row r="159" spans="3:49" x14ac:dyDescent="0.3">
      <c r="C159" s="471" t="str">
        <f>IF(OR(Inyección!B159="",Inyección!N159="",Inyección!P159=""),"",INDEX($C$26:$C$29,Inyección!C159)&amp;" de "&amp;TEXT(Inyección!N159,"00")&amp;""""&amp;" × "&amp;TEXT(Inyección!P159,"00")&amp;""""&amp;IF(Inyección!C159=1,", "&amp;Inyección!R159&amp;IF(Inyección!R159=1," vía",IF(OR(Inyección!R159=2,Inyección!R159=3,Inyección!R159=4)," vías","")),""))</f>
        <v/>
      </c>
      <c r="F159"/>
      <c r="H159" s="471">
        <f t="shared" si="29"/>
        <v>0</v>
      </c>
      <c r="I159" s="471" t="str">
        <f t="shared" si="30"/>
        <v>0</v>
      </c>
      <c r="J159" s="471" t="str">
        <f t="shared" si="37"/>
        <v/>
      </c>
      <c r="K159" s="471" t="str">
        <f t="shared" si="37"/>
        <v/>
      </c>
      <c r="L159" s="471" t="str">
        <f t="shared" si="37"/>
        <v/>
      </c>
      <c r="M159"/>
      <c r="N159" s="471">
        <f t="shared" si="34"/>
        <v>0</v>
      </c>
      <c r="O159"/>
      <c r="P159" s="471">
        <f t="shared" si="35"/>
        <v>0</v>
      </c>
      <c r="Q159"/>
      <c r="R159" s="471">
        <f t="shared" si="36"/>
        <v>0</v>
      </c>
      <c r="T159" s="479"/>
      <c r="V159" s="479"/>
      <c r="AE159" s="472" t="e">
        <f>IF(#REF!=2,#REF!,0)</f>
        <v>#REF!</v>
      </c>
      <c r="AF159" s="472" t="e">
        <f>IF(#REF!=2,#REF!,0)</f>
        <v>#REF!</v>
      </c>
      <c r="AG159" s="472" t="e">
        <f t="shared" si="26"/>
        <v>#REF!</v>
      </c>
      <c r="AW159" s="472" t="e">
        <f>IF(#REF!=3,#REF!,0)</f>
        <v>#REF!</v>
      </c>
    </row>
    <row r="160" spans="3:49" x14ac:dyDescent="0.3">
      <c r="C160" s="471" t="str">
        <f>IF(OR(Inyección!B160="",Inyección!N160="",Inyección!P160=""),"",INDEX($C$26:$C$29,Inyección!C160)&amp;" de "&amp;TEXT(Inyección!N160,"00")&amp;""""&amp;" × "&amp;TEXT(Inyección!P160,"00")&amp;""""&amp;IF(Inyección!C160=1,", "&amp;Inyección!R160&amp;IF(Inyección!R160=1," vía",IF(OR(Inyección!R160=2,Inyección!R160=3,Inyección!R160=4)," vías","")),""))</f>
        <v/>
      </c>
      <c r="F160"/>
      <c r="H160" s="471">
        <f t="shared" si="29"/>
        <v>0</v>
      </c>
      <c r="I160" s="471" t="str">
        <f t="shared" si="30"/>
        <v>0</v>
      </c>
      <c r="J160" s="471" t="str">
        <f t="shared" si="37"/>
        <v/>
      </c>
      <c r="K160" s="471" t="str">
        <f t="shared" si="37"/>
        <v/>
      </c>
      <c r="L160" s="471" t="str">
        <f t="shared" si="37"/>
        <v/>
      </c>
      <c r="M160"/>
      <c r="N160" s="471">
        <f t="shared" si="34"/>
        <v>0</v>
      </c>
      <c r="O160"/>
      <c r="P160" s="471">
        <f t="shared" si="35"/>
        <v>0</v>
      </c>
      <c r="Q160"/>
      <c r="R160" s="471">
        <f t="shared" si="36"/>
        <v>0</v>
      </c>
      <c r="T160" s="479"/>
      <c r="V160" s="479"/>
      <c r="AE160" s="472" t="e">
        <f>IF(#REF!=2,#REF!,0)</f>
        <v>#REF!</v>
      </c>
      <c r="AF160" s="472" t="e">
        <f>IF(#REF!=2,#REF!,0)</f>
        <v>#REF!</v>
      </c>
      <c r="AG160" s="472" t="e">
        <f t="shared" si="26"/>
        <v>#REF!</v>
      </c>
      <c r="AW160" s="472" t="e">
        <f>IF(#REF!=3,#REF!,0)</f>
        <v>#REF!</v>
      </c>
    </row>
    <row r="161" spans="3:49" x14ac:dyDescent="0.3">
      <c r="C161" s="471" t="str">
        <f>IF(OR(Inyección!B161="",Inyección!N161="",Inyección!P161=""),"",INDEX($C$26:$C$29,Inyección!C161)&amp;" de "&amp;TEXT(Inyección!N161,"00")&amp;""""&amp;" × "&amp;TEXT(Inyección!P161,"00")&amp;""""&amp;IF(Inyección!C161=1,", "&amp;Inyección!R161&amp;IF(Inyección!R161=1," vía",IF(OR(Inyección!R161=2,Inyección!R161=3,Inyección!R161=4)," vías","")),""))</f>
        <v/>
      </c>
      <c r="F161"/>
      <c r="H161" s="471">
        <f t="shared" si="29"/>
        <v>0</v>
      </c>
      <c r="I161" s="471" t="str">
        <f t="shared" si="30"/>
        <v>0</v>
      </c>
      <c r="J161" s="471" t="str">
        <f t="shared" si="37"/>
        <v/>
      </c>
      <c r="K161" s="471" t="str">
        <f t="shared" si="37"/>
        <v/>
      </c>
      <c r="L161" s="471" t="str">
        <f t="shared" si="37"/>
        <v/>
      </c>
      <c r="M161"/>
      <c r="N161" s="471">
        <f t="shared" si="34"/>
        <v>0</v>
      </c>
      <c r="O161"/>
      <c r="P161" s="471">
        <f t="shared" si="35"/>
        <v>0</v>
      </c>
      <c r="Q161"/>
      <c r="R161" s="471">
        <f t="shared" si="36"/>
        <v>0</v>
      </c>
      <c r="T161" s="479"/>
      <c r="V161" s="479"/>
      <c r="AE161" s="472" t="e">
        <f>IF(#REF!=2,#REF!,0)</f>
        <v>#REF!</v>
      </c>
      <c r="AF161" s="472" t="e">
        <f>IF(#REF!=2,#REF!,0)</f>
        <v>#REF!</v>
      </c>
      <c r="AG161" s="472" t="e">
        <f t="shared" si="26"/>
        <v>#REF!</v>
      </c>
      <c r="AW161" s="472" t="e">
        <f>IF(#REF!=3,#REF!,0)</f>
        <v>#REF!</v>
      </c>
    </row>
    <row r="162" spans="3:49" x14ac:dyDescent="0.3">
      <c r="C162" s="471" t="str">
        <f>IF(OR(Inyección!B162="",Inyección!N162="",Inyección!P162=""),"",INDEX($C$26:$C$29,Inyección!C162)&amp;" de "&amp;TEXT(Inyección!N162,"00")&amp;""""&amp;" × "&amp;TEXT(Inyección!P162,"00")&amp;""""&amp;IF(Inyección!C162=1,", "&amp;Inyección!R162&amp;IF(Inyección!R162=1," vía",IF(OR(Inyección!R162=2,Inyección!R162=3,Inyección!R162=4)," vías","")),""))</f>
        <v/>
      </c>
      <c r="F162"/>
      <c r="H162" s="471">
        <f t="shared" si="29"/>
        <v>0</v>
      </c>
      <c r="I162" s="471" t="str">
        <f t="shared" si="30"/>
        <v>0</v>
      </c>
      <c r="J162" s="471" t="str">
        <f t="shared" si="37"/>
        <v/>
      </c>
      <c r="K162" s="471" t="str">
        <f t="shared" si="37"/>
        <v/>
      </c>
      <c r="L162" s="471" t="str">
        <f t="shared" si="37"/>
        <v/>
      </c>
      <c r="M162"/>
      <c r="N162" s="471">
        <f t="shared" ref="N162:N183" si="38">COUNTIF(DISP_INY,M162)</f>
        <v>0</v>
      </c>
      <c r="O162"/>
      <c r="P162" s="471">
        <f t="shared" ref="P162:P183" si="39">COUNTIF(DISP_INY,O162)</f>
        <v>0</v>
      </c>
      <c r="Q162"/>
      <c r="R162" s="471">
        <f t="shared" ref="R162:R183" si="40">COUNTIF(DISP_INY,Q162)</f>
        <v>0</v>
      </c>
      <c r="T162" s="479"/>
      <c r="V162" s="479"/>
      <c r="AE162" s="472" t="e">
        <f>IF(#REF!=2,#REF!,0)</f>
        <v>#REF!</v>
      </c>
      <c r="AF162" s="472" t="e">
        <f>IF(#REF!=2,#REF!,0)</f>
        <v>#REF!</v>
      </c>
      <c r="AG162" s="472" t="e">
        <f t="shared" ref="AG162:AG183" si="41">VALUE(TEXT(AE162,"00")&amp;TEXT(AF162,"00"))</f>
        <v>#REF!</v>
      </c>
      <c r="AW162" s="472" t="e">
        <f>IF(#REF!=3,#REF!,0)</f>
        <v>#REF!</v>
      </c>
    </row>
    <row r="163" spans="3:49" x14ac:dyDescent="0.3">
      <c r="C163" s="471" t="str">
        <f>IF(OR(Inyección!B163="",Inyección!N163="",Inyección!P163=""),"",INDEX($C$26:$C$29,Inyección!C163)&amp;" de "&amp;TEXT(Inyección!N163,"00")&amp;""""&amp;" × "&amp;TEXT(Inyección!P163,"00")&amp;""""&amp;IF(Inyección!C163=1,", "&amp;Inyección!R163&amp;IF(Inyección!R163=1," vía",IF(OR(Inyección!R163=2,Inyección!R163=3,Inyección!R163=4)," vías","")),""))</f>
        <v/>
      </c>
      <c r="F163"/>
      <c r="H163" s="471">
        <f t="shared" ref="H163:H183" si="42">F163</f>
        <v>0</v>
      </c>
      <c r="I163" s="471" t="str">
        <f t="shared" ref="I163:I183" si="43">LEFT(H163,1)</f>
        <v>0</v>
      </c>
      <c r="J163" s="471" t="str">
        <f t="shared" ref="J163:L183" si="44">IF($I163=J$33,$H163,"")</f>
        <v/>
      </c>
      <c r="K163" s="471" t="str">
        <f t="shared" si="44"/>
        <v/>
      </c>
      <c r="L163" s="471" t="str">
        <f t="shared" si="44"/>
        <v/>
      </c>
      <c r="M163"/>
      <c r="N163" s="471">
        <f t="shared" si="38"/>
        <v>0</v>
      </c>
      <c r="O163"/>
      <c r="P163" s="471">
        <f t="shared" si="39"/>
        <v>0</v>
      </c>
      <c r="Q163"/>
      <c r="R163" s="471">
        <f t="shared" si="40"/>
        <v>0</v>
      </c>
      <c r="T163" s="479"/>
      <c r="V163" s="479"/>
      <c r="AE163" s="472" t="e">
        <f>IF(#REF!=2,#REF!,0)</f>
        <v>#REF!</v>
      </c>
      <c r="AF163" s="472" t="e">
        <f>IF(#REF!=2,#REF!,0)</f>
        <v>#REF!</v>
      </c>
      <c r="AG163" s="472" t="e">
        <f t="shared" si="41"/>
        <v>#REF!</v>
      </c>
      <c r="AW163" s="472" t="e">
        <f>IF(#REF!=3,#REF!,0)</f>
        <v>#REF!</v>
      </c>
    </row>
    <row r="164" spans="3:49" x14ac:dyDescent="0.3">
      <c r="C164" s="471" t="str">
        <f>IF(OR(Inyección!B164="",Inyección!N164="",Inyección!P164=""),"",INDEX($C$26:$C$29,Inyección!C164)&amp;" de "&amp;TEXT(Inyección!N164,"00")&amp;""""&amp;" × "&amp;TEXT(Inyección!P164,"00")&amp;""""&amp;IF(Inyección!C164=1,", "&amp;Inyección!R164&amp;IF(Inyección!R164=1," vía",IF(OR(Inyección!R164=2,Inyección!R164=3,Inyección!R164=4)," vías","")),""))</f>
        <v/>
      </c>
      <c r="F164"/>
      <c r="H164" s="471">
        <f t="shared" si="42"/>
        <v>0</v>
      </c>
      <c r="I164" s="471" t="str">
        <f t="shared" si="43"/>
        <v>0</v>
      </c>
      <c r="J164" s="471" t="str">
        <f t="shared" si="44"/>
        <v/>
      </c>
      <c r="K164" s="471" t="str">
        <f t="shared" si="44"/>
        <v/>
      </c>
      <c r="L164" s="471" t="str">
        <f t="shared" si="44"/>
        <v/>
      </c>
      <c r="M164"/>
      <c r="N164" s="471">
        <f t="shared" si="38"/>
        <v>0</v>
      </c>
      <c r="O164"/>
      <c r="P164" s="471">
        <f t="shared" si="39"/>
        <v>0</v>
      </c>
      <c r="Q164"/>
      <c r="R164" s="471">
        <f t="shared" si="40"/>
        <v>0</v>
      </c>
      <c r="T164" s="479"/>
      <c r="V164" s="479"/>
      <c r="AE164" s="472" t="e">
        <f>IF(#REF!=2,#REF!,0)</f>
        <v>#REF!</v>
      </c>
      <c r="AF164" s="472" t="e">
        <f>IF(#REF!=2,#REF!,0)</f>
        <v>#REF!</v>
      </c>
      <c r="AG164" s="472" t="e">
        <f t="shared" si="41"/>
        <v>#REF!</v>
      </c>
      <c r="AW164" s="472" t="e">
        <f>IF(#REF!=3,#REF!,0)</f>
        <v>#REF!</v>
      </c>
    </row>
    <row r="165" spans="3:49" x14ac:dyDescent="0.3">
      <c r="C165" s="471" t="str">
        <f>IF(OR(Inyección!B165="",Inyección!N165="",Inyección!P165=""),"",INDEX($C$26:$C$29,Inyección!C165)&amp;" de "&amp;TEXT(Inyección!N165,"00")&amp;""""&amp;" × "&amp;TEXT(Inyección!P165,"00")&amp;""""&amp;IF(Inyección!C165=1,", "&amp;Inyección!R165&amp;IF(Inyección!R165=1," vía",IF(OR(Inyección!R165=2,Inyección!R165=3,Inyección!R165=4)," vías","")),""))</f>
        <v/>
      </c>
      <c r="F165"/>
      <c r="H165" s="471">
        <f t="shared" si="42"/>
        <v>0</v>
      </c>
      <c r="I165" s="471" t="str">
        <f t="shared" si="43"/>
        <v>0</v>
      </c>
      <c r="J165" s="471" t="str">
        <f t="shared" si="44"/>
        <v/>
      </c>
      <c r="K165" s="471" t="str">
        <f t="shared" si="44"/>
        <v/>
      </c>
      <c r="L165" s="471" t="str">
        <f t="shared" si="44"/>
        <v/>
      </c>
      <c r="M165"/>
      <c r="N165" s="471">
        <f t="shared" si="38"/>
        <v>0</v>
      </c>
      <c r="O165"/>
      <c r="P165" s="471">
        <f t="shared" si="39"/>
        <v>0</v>
      </c>
      <c r="Q165"/>
      <c r="R165" s="471">
        <f t="shared" si="40"/>
        <v>0</v>
      </c>
      <c r="T165" s="479"/>
      <c r="V165" s="479"/>
      <c r="AE165" s="472" t="e">
        <f>IF(#REF!=2,#REF!,0)</f>
        <v>#REF!</v>
      </c>
      <c r="AF165" s="472" t="e">
        <f>IF(#REF!=2,#REF!,0)</f>
        <v>#REF!</v>
      </c>
      <c r="AG165" s="472" t="e">
        <f t="shared" si="41"/>
        <v>#REF!</v>
      </c>
      <c r="AW165" s="472" t="e">
        <f>IF(#REF!=3,#REF!,0)</f>
        <v>#REF!</v>
      </c>
    </row>
    <row r="166" spans="3:49" x14ac:dyDescent="0.3">
      <c r="C166" s="471" t="str">
        <f>IF(OR(Inyección!B166="",Inyección!N166="",Inyección!P166=""),"",INDEX($C$26:$C$29,Inyección!C166)&amp;" de "&amp;TEXT(Inyección!N166,"00")&amp;""""&amp;" × "&amp;TEXT(Inyección!P166,"00")&amp;""""&amp;IF(Inyección!C166=1,", "&amp;Inyección!R166&amp;IF(Inyección!R166=1," vía",IF(OR(Inyección!R166=2,Inyección!R166=3,Inyección!R166=4)," vías","")),""))</f>
        <v/>
      </c>
      <c r="F166"/>
      <c r="H166" s="471">
        <f t="shared" si="42"/>
        <v>0</v>
      </c>
      <c r="I166" s="471" t="str">
        <f t="shared" si="43"/>
        <v>0</v>
      </c>
      <c r="J166" s="471" t="str">
        <f t="shared" si="44"/>
        <v/>
      </c>
      <c r="K166" s="471" t="str">
        <f t="shared" si="44"/>
        <v/>
      </c>
      <c r="L166" s="471" t="str">
        <f t="shared" si="44"/>
        <v/>
      </c>
      <c r="M166"/>
      <c r="N166" s="471">
        <f t="shared" si="38"/>
        <v>0</v>
      </c>
      <c r="O166"/>
      <c r="P166" s="471">
        <f t="shared" si="39"/>
        <v>0</v>
      </c>
      <c r="Q166"/>
      <c r="R166" s="471">
        <f t="shared" si="40"/>
        <v>0</v>
      </c>
      <c r="T166" s="479"/>
      <c r="V166" s="479"/>
      <c r="AE166" s="472" t="e">
        <f>IF(#REF!=2,#REF!,0)</f>
        <v>#REF!</v>
      </c>
      <c r="AF166" s="472" t="e">
        <f>IF(#REF!=2,#REF!,0)</f>
        <v>#REF!</v>
      </c>
      <c r="AG166" s="472" t="e">
        <f t="shared" si="41"/>
        <v>#REF!</v>
      </c>
      <c r="AW166" s="472" t="e">
        <f>IF(#REF!=3,#REF!,0)</f>
        <v>#REF!</v>
      </c>
    </row>
    <row r="167" spans="3:49" x14ac:dyDescent="0.3">
      <c r="C167" s="471" t="str">
        <f>IF(OR(Inyección!B167="",Inyección!N167="",Inyección!P167=""),"",INDEX($C$26:$C$29,Inyección!C167)&amp;" de "&amp;TEXT(Inyección!N167,"00")&amp;""""&amp;" × "&amp;TEXT(Inyección!P167,"00")&amp;""""&amp;IF(Inyección!C167=1,", "&amp;Inyección!R167&amp;IF(Inyección!R167=1," vía",IF(OR(Inyección!R167=2,Inyección!R167=3,Inyección!R167=4)," vías","")),""))</f>
        <v/>
      </c>
      <c r="F167"/>
      <c r="H167" s="471">
        <f t="shared" si="42"/>
        <v>0</v>
      </c>
      <c r="I167" s="471" t="str">
        <f t="shared" si="43"/>
        <v>0</v>
      </c>
      <c r="J167" s="471" t="str">
        <f t="shared" si="44"/>
        <v/>
      </c>
      <c r="K167" s="471" t="str">
        <f t="shared" si="44"/>
        <v/>
      </c>
      <c r="L167" s="471" t="str">
        <f t="shared" si="44"/>
        <v/>
      </c>
      <c r="M167"/>
      <c r="N167" s="471">
        <f t="shared" si="38"/>
        <v>0</v>
      </c>
      <c r="O167"/>
      <c r="P167" s="471">
        <f t="shared" si="39"/>
        <v>0</v>
      </c>
      <c r="Q167"/>
      <c r="R167" s="471">
        <f t="shared" si="40"/>
        <v>0</v>
      </c>
      <c r="T167" s="479"/>
      <c r="V167" s="479"/>
      <c r="AE167" s="472" t="e">
        <f>IF(#REF!=2,#REF!,0)</f>
        <v>#REF!</v>
      </c>
      <c r="AF167" s="472" t="e">
        <f>IF(#REF!=2,#REF!,0)</f>
        <v>#REF!</v>
      </c>
      <c r="AG167" s="472" t="e">
        <f t="shared" si="41"/>
        <v>#REF!</v>
      </c>
      <c r="AW167" s="472" t="e">
        <f>IF(#REF!=3,#REF!,0)</f>
        <v>#REF!</v>
      </c>
    </row>
    <row r="168" spans="3:49" x14ac:dyDescent="0.3">
      <c r="C168" s="471" t="str">
        <f>IF(OR(Inyección!B168="",Inyección!N168="",Inyección!P168=""),"",INDEX($C$26:$C$29,Inyección!C168)&amp;" de "&amp;TEXT(Inyección!N168,"00")&amp;""""&amp;" × "&amp;TEXT(Inyección!P168,"00")&amp;""""&amp;IF(Inyección!C168=1,", "&amp;Inyección!R168&amp;IF(Inyección!R168=1," vía",IF(OR(Inyección!R168=2,Inyección!R168=3,Inyección!R168=4)," vías","")),""))</f>
        <v/>
      </c>
      <c r="F168"/>
      <c r="H168" s="471">
        <f t="shared" si="42"/>
        <v>0</v>
      </c>
      <c r="I168" s="471" t="str">
        <f t="shared" si="43"/>
        <v>0</v>
      </c>
      <c r="J168" s="471" t="str">
        <f t="shared" si="44"/>
        <v/>
      </c>
      <c r="K168" s="471" t="str">
        <f t="shared" si="44"/>
        <v/>
      </c>
      <c r="L168" s="471" t="str">
        <f t="shared" si="44"/>
        <v/>
      </c>
      <c r="M168"/>
      <c r="N168" s="471">
        <f t="shared" si="38"/>
        <v>0</v>
      </c>
      <c r="O168"/>
      <c r="P168" s="471">
        <f t="shared" si="39"/>
        <v>0</v>
      </c>
      <c r="Q168"/>
      <c r="R168" s="471">
        <f t="shared" si="40"/>
        <v>0</v>
      </c>
      <c r="T168" s="479"/>
      <c r="V168" s="479"/>
      <c r="AE168" s="472" t="e">
        <f>IF(#REF!=2,#REF!,0)</f>
        <v>#REF!</v>
      </c>
      <c r="AF168" s="472" t="e">
        <f>IF(#REF!=2,#REF!,0)</f>
        <v>#REF!</v>
      </c>
      <c r="AG168" s="472" t="e">
        <f t="shared" si="41"/>
        <v>#REF!</v>
      </c>
      <c r="AW168" s="472" t="e">
        <f>IF(#REF!=3,#REF!,0)</f>
        <v>#REF!</v>
      </c>
    </row>
    <row r="169" spans="3:49" x14ac:dyDescent="0.3">
      <c r="C169" s="471" t="str">
        <f>IF(OR(Inyección!B169="",Inyección!N169="",Inyección!P169=""),"",INDEX($C$26:$C$29,Inyección!C169)&amp;" de "&amp;TEXT(Inyección!N169,"00")&amp;""""&amp;" × "&amp;TEXT(Inyección!P169,"00")&amp;""""&amp;IF(Inyección!C169=1,", "&amp;Inyección!R169&amp;IF(Inyección!R169=1," vía",IF(OR(Inyección!R169=2,Inyección!R169=3,Inyección!R169=4)," vías","")),""))</f>
        <v/>
      </c>
      <c r="F169"/>
      <c r="H169" s="471">
        <f t="shared" si="42"/>
        <v>0</v>
      </c>
      <c r="I169" s="471" t="str">
        <f t="shared" si="43"/>
        <v>0</v>
      </c>
      <c r="J169" s="471" t="str">
        <f t="shared" si="44"/>
        <v/>
      </c>
      <c r="K169" s="471" t="str">
        <f t="shared" si="44"/>
        <v/>
      </c>
      <c r="L169" s="471" t="str">
        <f t="shared" si="44"/>
        <v/>
      </c>
      <c r="M169"/>
      <c r="N169" s="471">
        <f t="shared" si="38"/>
        <v>0</v>
      </c>
      <c r="O169"/>
      <c r="P169" s="471">
        <f t="shared" si="39"/>
        <v>0</v>
      </c>
      <c r="Q169"/>
      <c r="R169" s="471">
        <f t="shared" si="40"/>
        <v>0</v>
      </c>
      <c r="T169" s="479"/>
      <c r="V169" s="479"/>
      <c r="AE169" s="472" t="e">
        <f>IF(#REF!=2,#REF!,0)</f>
        <v>#REF!</v>
      </c>
      <c r="AF169" s="472" t="e">
        <f>IF(#REF!=2,#REF!,0)</f>
        <v>#REF!</v>
      </c>
      <c r="AG169" s="472" t="e">
        <f t="shared" si="41"/>
        <v>#REF!</v>
      </c>
      <c r="AW169" s="472" t="e">
        <f>IF(#REF!=3,#REF!,0)</f>
        <v>#REF!</v>
      </c>
    </row>
    <row r="170" spans="3:49" x14ac:dyDescent="0.3">
      <c r="C170" s="471" t="str">
        <f>IF(OR(Inyección!B170="",Inyección!N170="",Inyección!P170=""),"",INDEX($C$26:$C$29,Inyección!C170)&amp;" de "&amp;TEXT(Inyección!N170,"00")&amp;""""&amp;" × "&amp;TEXT(Inyección!P170,"00")&amp;""""&amp;IF(Inyección!C170=1,", "&amp;Inyección!R170&amp;IF(Inyección!R170=1," vía",IF(OR(Inyección!R170=2,Inyección!R170=3,Inyección!R170=4)," vías","")),""))</f>
        <v/>
      </c>
      <c r="F170"/>
      <c r="H170" s="471">
        <f t="shared" si="42"/>
        <v>0</v>
      </c>
      <c r="I170" s="471" t="str">
        <f t="shared" si="43"/>
        <v>0</v>
      </c>
      <c r="J170" s="471" t="str">
        <f t="shared" si="44"/>
        <v/>
      </c>
      <c r="K170" s="471" t="str">
        <f t="shared" si="44"/>
        <v/>
      </c>
      <c r="L170" s="471" t="str">
        <f t="shared" si="44"/>
        <v/>
      </c>
      <c r="M170"/>
      <c r="N170" s="471">
        <f t="shared" si="38"/>
        <v>0</v>
      </c>
      <c r="O170"/>
      <c r="P170" s="471">
        <f t="shared" si="39"/>
        <v>0</v>
      </c>
      <c r="Q170"/>
      <c r="R170" s="471">
        <f t="shared" si="40"/>
        <v>0</v>
      </c>
      <c r="T170" s="479"/>
      <c r="V170" s="479"/>
      <c r="AE170" s="472" t="e">
        <f>IF(#REF!=2,#REF!,0)</f>
        <v>#REF!</v>
      </c>
      <c r="AF170" s="472" t="e">
        <f>IF(#REF!=2,#REF!,0)</f>
        <v>#REF!</v>
      </c>
      <c r="AG170" s="472" t="e">
        <f t="shared" si="41"/>
        <v>#REF!</v>
      </c>
      <c r="AW170" s="472" t="e">
        <f>IF(#REF!=3,#REF!,0)</f>
        <v>#REF!</v>
      </c>
    </row>
    <row r="171" spans="3:49" x14ac:dyDescent="0.3">
      <c r="C171" s="471" t="str">
        <f>IF(OR(Inyección!B171="",Inyección!N171="",Inyección!P171=""),"",INDEX($C$26:$C$29,Inyección!C171)&amp;" de "&amp;TEXT(Inyección!N171,"00")&amp;""""&amp;" × "&amp;TEXT(Inyección!P171,"00")&amp;""""&amp;IF(Inyección!C171=1,", "&amp;Inyección!R171&amp;IF(Inyección!R171=1," vía",IF(OR(Inyección!R171=2,Inyección!R171=3,Inyección!R171=4)," vías","")),""))</f>
        <v/>
      </c>
      <c r="F171"/>
      <c r="H171" s="471">
        <f t="shared" si="42"/>
        <v>0</v>
      </c>
      <c r="I171" s="471" t="str">
        <f t="shared" si="43"/>
        <v>0</v>
      </c>
      <c r="J171" s="471" t="str">
        <f t="shared" si="44"/>
        <v/>
      </c>
      <c r="K171" s="471" t="str">
        <f t="shared" si="44"/>
        <v/>
      </c>
      <c r="L171" s="471" t="str">
        <f t="shared" si="44"/>
        <v/>
      </c>
      <c r="M171"/>
      <c r="N171" s="471">
        <f t="shared" si="38"/>
        <v>0</v>
      </c>
      <c r="O171"/>
      <c r="P171" s="471">
        <f t="shared" si="39"/>
        <v>0</v>
      </c>
      <c r="Q171"/>
      <c r="R171" s="471">
        <f t="shared" si="40"/>
        <v>0</v>
      </c>
      <c r="T171" s="479"/>
      <c r="V171" s="479"/>
      <c r="AE171" s="472" t="e">
        <f>IF(#REF!=2,#REF!,0)</f>
        <v>#REF!</v>
      </c>
      <c r="AF171" s="472" t="e">
        <f>IF(#REF!=2,#REF!,0)</f>
        <v>#REF!</v>
      </c>
      <c r="AG171" s="472" t="e">
        <f t="shared" si="41"/>
        <v>#REF!</v>
      </c>
      <c r="AW171" s="472" t="e">
        <f>IF(#REF!=3,#REF!,0)</f>
        <v>#REF!</v>
      </c>
    </row>
    <row r="172" spans="3:49" x14ac:dyDescent="0.3">
      <c r="C172" s="471" t="str">
        <f>IF(OR(Inyección!B172="",Inyección!N172="",Inyección!P172=""),"",INDEX($C$26:$C$29,Inyección!C172)&amp;" de "&amp;TEXT(Inyección!N172,"00")&amp;""""&amp;" × "&amp;TEXT(Inyección!P172,"00")&amp;""""&amp;IF(Inyección!C172=1,", "&amp;Inyección!R172&amp;IF(Inyección!R172=1," vía",IF(OR(Inyección!R172=2,Inyección!R172=3,Inyección!R172=4)," vías","")),""))</f>
        <v/>
      </c>
      <c r="F172"/>
      <c r="H172" s="471">
        <f t="shared" si="42"/>
        <v>0</v>
      </c>
      <c r="I172" s="471" t="str">
        <f t="shared" si="43"/>
        <v>0</v>
      </c>
      <c r="J172" s="471" t="str">
        <f t="shared" si="44"/>
        <v/>
      </c>
      <c r="K172" s="471" t="str">
        <f t="shared" si="44"/>
        <v/>
      </c>
      <c r="L172" s="471" t="str">
        <f t="shared" si="44"/>
        <v/>
      </c>
      <c r="M172"/>
      <c r="N172" s="471">
        <f t="shared" si="38"/>
        <v>0</v>
      </c>
      <c r="O172"/>
      <c r="P172" s="471">
        <f t="shared" si="39"/>
        <v>0</v>
      </c>
      <c r="Q172"/>
      <c r="R172" s="471">
        <f t="shared" si="40"/>
        <v>0</v>
      </c>
      <c r="T172" s="479"/>
      <c r="V172" s="479"/>
      <c r="AE172" s="472" t="e">
        <f>IF(#REF!=2,#REF!,0)</f>
        <v>#REF!</v>
      </c>
      <c r="AF172" s="472" t="e">
        <f>IF(#REF!=2,#REF!,0)</f>
        <v>#REF!</v>
      </c>
      <c r="AG172" s="472" t="e">
        <f t="shared" si="41"/>
        <v>#REF!</v>
      </c>
      <c r="AW172" s="472" t="e">
        <f>IF(#REF!=3,#REF!,0)</f>
        <v>#REF!</v>
      </c>
    </row>
    <row r="173" spans="3:49" x14ac:dyDescent="0.3">
      <c r="C173" s="471" t="str">
        <f>IF(OR(Inyección!B173="",Inyección!N173="",Inyección!P173=""),"",INDEX($C$26:$C$29,Inyección!C173)&amp;" de "&amp;TEXT(Inyección!N173,"00")&amp;""""&amp;" × "&amp;TEXT(Inyección!P173,"00")&amp;""""&amp;IF(Inyección!C173=1,", "&amp;Inyección!R173&amp;IF(Inyección!R173=1," vía",IF(OR(Inyección!R173=2,Inyección!R173=3,Inyección!R173=4)," vías","")),""))</f>
        <v/>
      </c>
      <c r="F173"/>
      <c r="H173" s="471">
        <f t="shared" si="42"/>
        <v>0</v>
      </c>
      <c r="I173" s="471" t="str">
        <f t="shared" si="43"/>
        <v>0</v>
      </c>
      <c r="J173" s="471" t="str">
        <f t="shared" si="44"/>
        <v/>
      </c>
      <c r="K173" s="471" t="str">
        <f t="shared" si="44"/>
        <v/>
      </c>
      <c r="L173" s="471" t="str">
        <f t="shared" si="44"/>
        <v/>
      </c>
      <c r="M173"/>
      <c r="N173" s="471">
        <f t="shared" si="38"/>
        <v>0</v>
      </c>
      <c r="O173"/>
      <c r="P173" s="471">
        <f t="shared" si="39"/>
        <v>0</v>
      </c>
      <c r="Q173"/>
      <c r="R173" s="471">
        <f t="shared" si="40"/>
        <v>0</v>
      </c>
      <c r="T173" s="479"/>
      <c r="V173" s="479"/>
      <c r="AE173" s="472" t="e">
        <f>IF(#REF!=2,#REF!,0)</f>
        <v>#REF!</v>
      </c>
      <c r="AF173" s="472" t="e">
        <f>IF(#REF!=2,#REF!,0)</f>
        <v>#REF!</v>
      </c>
      <c r="AG173" s="472" t="e">
        <f t="shared" si="41"/>
        <v>#REF!</v>
      </c>
      <c r="AW173" s="472" t="e">
        <f>IF(#REF!=3,#REF!,0)</f>
        <v>#REF!</v>
      </c>
    </row>
    <row r="174" spans="3:49" x14ac:dyDescent="0.3">
      <c r="C174" s="471" t="str">
        <f>IF(OR(Inyección!B174="",Inyección!N174="",Inyección!P174=""),"",INDEX($C$26:$C$29,Inyección!C174)&amp;" de "&amp;TEXT(Inyección!N174,"00")&amp;""""&amp;" × "&amp;TEXT(Inyección!P174,"00")&amp;""""&amp;IF(Inyección!C174=1,", "&amp;Inyección!R174&amp;IF(Inyección!R174=1," vía",IF(OR(Inyección!R174=2,Inyección!R174=3,Inyección!R174=4)," vías","")),""))</f>
        <v/>
      </c>
      <c r="F174"/>
      <c r="H174" s="471">
        <f t="shared" si="42"/>
        <v>0</v>
      </c>
      <c r="I174" s="471" t="str">
        <f t="shared" si="43"/>
        <v>0</v>
      </c>
      <c r="J174" s="471" t="str">
        <f t="shared" si="44"/>
        <v/>
      </c>
      <c r="K174" s="471" t="str">
        <f t="shared" si="44"/>
        <v/>
      </c>
      <c r="L174" s="471" t="str">
        <f t="shared" si="44"/>
        <v/>
      </c>
      <c r="M174"/>
      <c r="N174" s="471">
        <f t="shared" si="38"/>
        <v>0</v>
      </c>
      <c r="O174"/>
      <c r="P174" s="471">
        <f t="shared" si="39"/>
        <v>0</v>
      </c>
      <c r="Q174"/>
      <c r="R174" s="471">
        <f t="shared" si="40"/>
        <v>0</v>
      </c>
      <c r="T174" s="479"/>
      <c r="V174" s="479"/>
      <c r="AE174" s="472" t="e">
        <f>IF(#REF!=2,#REF!,0)</f>
        <v>#REF!</v>
      </c>
      <c r="AF174" s="472" t="e">
        <f>IF(#REF!=2,#REF!,0)</f>
        <v>#REF!</v>
      </c>
      <c r="AG174" s="472" t="e">
        <f t="shared" si="41"/>
        <v>#REF!</v>
      </c>
      <c r="AW174" s="472" t="e">
        <f>IF(#REF!=3,#REF!,0)</f>
        <v>#REF!</v>
      </c>
    </row>
    <row r="175" spans="3:49" x14ac:dyDescent="0.3">
      <c r="C175" s="471" t="str">
        <f>IF(OR(Inyección!B175="",Inyección!N175="",Inyección!P175=""),"",INDEX($C$26:$C$29,Inyección!C175)&amp;" de "&amp;TEXT(Inyección!N175,"00")&amp;""""&amp;" × "&amp;TEXT(Inyección!P175,"00")&amp;""""&amp;IF(Inyección!C175=1,", "&amp;Inyección!R175&amp;IF(Inyección!R175=1," vía",IF(OR(Inyección!R175=2,Inyección!R175=3,Inyección!R175=4)," vías","")),""))</f>
        <v/>
      </c>
      <c r="F175"/>
      <c r="H175" s="471">
        <f t="shared" si="42"/>
        <v>0</v>
      </c>
      <c r="I175" s="471" t="str">
        <f t="shared" si="43"/>
        <v>0</v>
      </c>
      <c r="J175" s="471" t="str">
        <f t="shared" si="44"/>
        <v/>
      </c>
      <c r="K175" s="471" t="str">
        <f t="shared" si="44"/>
        <v/>
      </c>
      <c r="L175" s="471" t="str">
        <f t="shared" si="44"/>
        <v/>
      </c>
      <c r="M175"/>
      <c r="N175" s="471">
        <f t="shared" si="38"/>
        <v>0</v>
      </c>
      <c r="O175"/>
      <c r="P175" s="471">
        <f t="shared" si="39"/>
        <v>0</v>
      </c>
      <c r="Q175"/>
      <c r="R175" s="471">
        <f t="shared" si="40"/>
        <v>0</v>
      </c>
      <c r="T175" s="479"/>
      <c r="V175" s="479"/>
      <c r="AE175" s="472" t="e">
        <f>IF(#REF!=2,#REF!,0)</f>
        <v>#REF!</v>
      </c>
      <c r="AF175" s="472" t="e">
        <f>IF(#REF!=2,#REF!,0)</f>
        <v>#REF!</v>
      </c>
      <c r="AG175" s="472" t="e">
        <f t="shared" si="41"/>
        <v>#REF!</v>
      </c>
      <c r="AW175" s="472" t="e">
        <f>IF(#REF!=3,#REF!,0)</f>
        <v>#REF!</v>
      </c>
    </row>
    <row r="176" spans="3:49" x14ac:dyDescent="0.3">
      <c r="C176" s="471" t="str">
        <f>IF(OR(Inyección!B176="",Inyección!N176="",Inyección!P176=""),"",INDEX($C$26:$C$29,Inyección!C176)&amp;" de "&amp;TEXT(Inyección!N176,"00")&amp;""""&amp;" × "&amp;TEXT(Inyección!P176,"00")&amp;""""&amp;IF(Inyección!C176=1,", "&amp;Inyección!R176&amp;IF(Inyección!R176=1," vía",IF(OR(Inyección!R176=2,Inyección!R176=3,Inyección!R176=4)," vías","")),""))</f>
        <v/>
      </c>
      <c r="F176"/>
      <c r="H176" s="471">
        <f t="shared" si="42"/>
        <v>0</v>
      </c>
      <c r="I176" s="471" t="str">
        <f t="shared" si="43"/>
        <v>0</v>
      </c>
      <c r="J176" s="471" t="str">
        <f t="shared" si="44"/>
        <v/>
      </c>
      <c r="K176" s="471" t="str">
        <f t="shared" si="44"/>
        <v/>
      </c>
      <c r="L176" s="471" t="str">
        <f t="shared" si="44"/>
        <v/>
      </c>
      <c r="M176"/>
      <c r="N176" s="471">
        <f t="shared" si="38"/>
        <v>0</v>
      </c>
      <c r="O176"/>
      <c r="P176" s="471">
        <f t="shared" si="39"/>
        <v>0</v>
      </c>
      <c r="Q176"/>
      <c r="R176" s="471">
        <f t="shared" si="40"/>
        <v>0</v>
      </c>
      <c r="T176" s="479"/>
      <c r="V176" s="479"/>
      <c r="AE176" s="472" t="e">
        <f>IF(#REF!=2,#REF!,0)</f>
        <v>#REF!</v>
      </c>
      <c r="AF176" s="472" t="e">
        <f>IF(#REF!=2,#REF!,0)</f>
        <v>#REF!</v>
      </c>
      <c r="AG176" s="472" t="e">
        <f t="shared" si="41"/>
        <v>#REF!</v>
      </c>
      <c r="AW176" s="472" t="e">
        <f>IF(#REF!=3,#REF!,0)</f>
        <v>#REF!</v>
      </c>
    </row>
    <row r="177" spans="3:49" x14ac:dyDescent="0.3">
      <c r="C177" s="471" t="str">
        <f>IF(OR(Inyección!B177="",Inyección!N177="",Inyección!P177=""),"",INDEX($C$26:$C$29,Inyección!C177)&amp;" de "&amp;TEXT(Inyección!N177,"00")&amp;""""&amp;" × "&amp;TEXT(Inyección!P177,"00")&amp;""""&amp;IF(Inyección!C177=1,", "&amp;Inyección!R177&amp;IF(Inyección!R177=1," vía",IF(OR(Inyección!R177=2,Inyección!R177=3,Inyección!R177=4)," vías","")),""))</f>
        <v/>
      </c>
      <c r="F177"/>
      <c r="H177" s="471">
        <f t="shared" si="42"/>
        <v>0</v>
      </c>
      <c r="I177" s="471" t="str">
        <f t="shared" si="43"/>
        <v>0</v>
      </c>
      <c r="J177" s="471" t="str">
        <f t="shared" si="44"/>
        <v/>
      </c>
      <c r="K177" s="471" t="str">
        <f t="shared" si="44"/>
        <v/>
      </c>
      <c r="L177" s="471" t="str">
        <f t="shared" si="44"/>
        <v/>
      </c>
      <c r="M177"/>
      <c r="N177" s="471">
        <f t="shared" si="38"/>
        <v>0</v>
      </c>
      <c r="O177"/>
      <c r="P177" s="471">
        <f t="shared" si="39"/>
        <v>0</v>
      </c>
      <c r="Q177"/>
      <c r="R177" s="471">
        <f t="shared" si="40"/>
        <v>0</v>
      </c>
      <c r="T177" s="479"/>
      <c r="V177" s="479"/>
      <c r="AE177" s="472" t="e">
        <f>IF(#REF!=2,#REF!,0)</f>
        <v>#REF!</v>
      </c>
      <c r="AF177" s="472" t="e">
        <f>IF(#REF!=2,#REF!,0)</f>
        <v>#REF!</v>
      </c>
      <c r="AG177" s="472" t="e">
        <f t="shared" si="41"/>
        <v>#REF!</v>
      </c>
      <c r="AW177" s="472" t="e">
        <f>IF(#REF!=3,#REF!,0)</f>
        <v>#REF!</v>
      </c>
    </row>
    <row r="178" spans="3:49" x14ac:dyDescent="0.3">
      <c r="C178" s="471" t="str">
        <f>IF(OR(Inyección!B178="",Inyección!N178="",Inyección!P178=""),"",INDEX($C$26:$C$29,Inyección!C178)&amp;" de "&amp;TEXT(Inyección!N178,"00")&amp;""""&amp;" × "&amp;TEXT(Inyección!P178,"00")&amp;""""&amp;IF(Inyección!C178=1,", "&amp;Inyección!R178&amp;IF(Inyección!R178=1," vía",IF(OR(Inyección!R178=2,Inyección!R178=3,Inyección!R178=4)," vías","")),""))</f>
        <v/>
      </c>
      <c r="F178"/>
      <c r="H178" s="471">
        <f t="shared" si="42"/>
        <v>0</v>
      </c>
      <c r="I178" s="471" t="str">
        <f t="shared" si="43"/>
        <v>0</v>
      </c>
      <c r="J178" s="471" t="str">
        <f t="shared" si="44"/>
        <v/>
      </c>
      <c r="K178" s="471" t="str">
        <f t="shared" si="44"/>
        <v/>
      </c>
      <c r="L178" s="471" t="str">
        <f t="shared" si="44"/>
        <v/>
      </c>
      <c r="M178"/>
      <c r="N178" s="471">
        <f t="shared" si="38"/>
        <v>0</v>
      </c>
      <c r="O178"/>
      <c r="P178" s="471">
        <f t="shared" si="39"/>
        <v>0</v>
      </c>
      <c r="Q178"/>
      <c r="R178" s="471">
        <f t="shared" si="40"/>
        <v>0</v>
      </c>
      <c r="T178" s="479"/>
      <c r="V178" s="479"/>
      <c r="AE178" s="472" t="e">
        <f>IF(#REF!=2,#REF!,0)</f>
        <v>#REF!</v>
      </c>
      <c r="AF178" s="472" t="e">
        <f>IF(#REF!=2,#REF!,0)</f>
        <v>#REF!</v>
      </c>
      <c r="AG178" s="472" t="e">
        <f t="shared" si="41"/>
        <v>#REF!</v>
      </c>
      <c r="AW178" s="472" t="e">
        <f>IF(#REF!=3,#REF!,0)</f>
        <v>#REF!</v>
      </c>
    </row>
    <row r="179" spans="3:49" x14ac:dyDescent="0.3">
      <c r="C179" s="471" t="str">
        <f>IF(OR(Inyección!B179="",Inyección!N179="",Inyección!P179=""),"",INDEX($C$26:$C$29,Inyección!C179)&amp;" de "&amp;TEXT(Inyección!N179,"00")&amp;""""&amp;" × "&amp;TEXT(Inyección!P179,"00")&amp;""""&amp;IF(Inyección!C179=1,", "&amp;Inyección!R179&amp;IF(Inyección!R179=1," vía",IF(OR(Inyección!R179=2,Inyección!R179=3,Inyección!R179=4)," vías","")),""))</f>
        <v/>
      </c>
      <c r="F179"/>
      <c r="H179" s="471">
        <f t="shared" si="42"/>
        <v>0</v>
      </c>
      <c r="I179" s="471" t="str">
        <f t="shared" si="43"/>
        <v>0</v>
      </c>
      <c r="J179" s="471" t="str">
        <f t="shared" si="44"/>
        <v/>
      </c>
      <c r="K179" s="471" t="str">
        <f t="shared" si="44"/>
        <v/>
      </c>
      <c r="L179" s="471" t="str">
        <f t="shared" si="44"/>
        <v/>
      </c>
      <c r="M179"/>
      <c r="N179" s="471">
        <f t="shared" si="38"/>
        <v>0</v>
      </c>
      <c r="O179"/>
      <c r="P179" s="471">
        <f t="shared" si="39"/>
        <v>0</v>
      </c>
      <c r="Q179"/>
      <c r="R179" s="471">
        <f t="shared" si="40"/>
        <v>0</v>
      </c>
      <c r="T179" s="479"/>
      <c r="V179" s="479"/>
      <c r="AE179" s="472" t="e">
        <f>IF(#REF!=2,#REF!,0)</f>
        <v>#REF!</v>
      </c>
      <c r="AF179" s="472" t="e">
        <f>IF(#REF!=2,#REF!,0)</f>
        <v>#REF!</v>
      </c>
      <c r="AG179" s="472" t="e">
        <f t="shared" si="41"/>
        <v>#REF!</v>
      </c>
      <c r="AW179" s="472" t="e">
        <f>IF(#REF!=3,#REF!,0)</f>
        <v>#REF!</v>
      </c>
    </row>
    <row r="180" spans="3:49" x14ac:dyDescent="0.3">
      <c r="C180" s="471" t="str">
        <f>IF(OR(Inyección!B180="",Inyección!N180="",Inyección!P180=""),"",INDEX($C$26:$C$29,Inyección!C180)&amp;" de "&amp;TEXT(Inyección!N180,"00")&amp;""""&amp;" × "&amp;TEXT(Inyección!P180,"00")&amp;""""&amp;IF(Inyección!C180=1,", "&amp;Inyección!R180&amp;IF(Inyección!R180=1," vía",IF(OR(Inyección!R180=2,Inyección!R180=3,Inyección!R180=4)," vías","")),""))</f>
        <v/>
      </c>
      <c r="F180"/>
      <c r="H180" s="471">
        <f t="shared" si="42"/>
        <v>0</v>
      </c>
      <c r="I180" s="471" t="str">
        <f t="shared" si="43"/>
        <v>0</v>
      </c>
      <c r="J180" s="471" t="str">
        <f t="shared" si="44"/>
        <v/>
      </c>
      <c r="K180" s="471" t="str">
        <f t="shared" si="44"/>
        <v/>
      </c>
      <c r="L180" s="471" t="str">
        <f t="shared" si="44"/>
        <v/>
      </c>
      <c r="M180"/>
      <c r="N180" s="471">
        <f t="shared" si="38"/>
        <v>0</v>
      </c>
      <c r="O180"/>
      <c r="P180" s="471">
        <f t="shared" si="39"/>
        <v>0</v>
      </c>
      <c r="Q180"/>
      <c r="R180" s="471">
        <f t="shared" si="40"/>
        <v>0</v>
      </c>
      <c r="T180" s="479"/>
      <c r="V180" s="479"/>
      <c r="AE180" s="472" t="e">
        <f>IF(#REF!=2,#REF!,0)</f>
        <v>#REF!</v>
      </c>
      <c r="AF180" s="472" t="e">
        <f>IF(#REF!=2,#REF!,0)</f>
        <v>#REF!</v>
      </c>
      <c r="AG180" s="472" t="e">
        <f t="shared" si="41"/>
        <v>#REF!</v>
      </c>
      <c r="AW180" s="472" t="e">
        <f>IF(#REF!=3,#REF!,0)</f>
        <v>#REF!</v>
      </c>
    </row>
    <row r="181" spans="3:49" x14ac:dyDescent="0.3">
      <c r="C181" s="471" t="str">
        <f>IF(OR(Inyección!B181="",Inyección!N181="",Inyección!P181=""),"",INDEX($C$26:$C$29,Inyección!C181)&amp;" de "&amp;TEXT(Inyección!N181,"00")&amp;""""&amp;" × "&amp;TEXT(Inyección!P181,"00")&amp;""""&amp;IF(Inyección!C181=1,", "&amp;Inyección!R181&amp;IF(Inyección!R181=1," vía",IF(OR(Inyección!R181=2,Inyección!R181=3,Inyección!R181=4)," vías","")),""))</f>
        <v/>
      </c>
      <c r="F181"/>
      <c r="H181" s="471">
        <f t="shared" si="42"/>
        <v>0</v>
      </c>
      <c r="I181" s="471" t="str">
        <f t="shared" si="43"/>
        <v>0</v>
      </c>
      <c r="J181" s="471" t="str">
        <f t="shared" si="44"/>
        <v/>
      </c>
      <c r="K181" s="471" t="str">
        <f t="shared" si="44"/>
        <v/>
      </c>
      <c r="L181" s="471" t="str">
        <f t="shared" si="44"/>
        <v/>
      </c>
      <c r="M181"/>
      <c r="N181" s="471">
        <f t="shared" si="38"/>
        <v>0</v>
      </c>
      <c r="O181"/>
      <c r="P181" s="471">
        <f t="shared" si="39"/>
        <v>0</v>
      </c>
      <c r="Q181"/>
      <c r="R181" s="471">
        <f t="shared" si="40"/>
        <v>0</v>
      </c>
      <c r="T181" s="479"/>
      <c r="V181" s="479"/>
      <c r="AE181" s="472" t="e">
        <f>IF(#REF!=2,#REF!,0)</f>
        <v>#REF!</v>
      </c>
      <c r="AF181" s="472" t="e">
        <f>IF(#REF!=2,#REF!,0)</f>
        <v>#REF!</v>
      </c>
      <c r="AG181" s="472" t="e">
        <f t="shared" si="41"/>
        <v>#REF!</v>
      </c>
      <c r="AW181" s="472" t="e">
        <f>IF(#REF!=3,#REF!,0)</f>
        <v>#REF!</v>
      </c>
    </row>
    <row r="182" spans="3:49" x14ac:dyDescent="0.3">
      <c r="C182" s="471" t="str">
        <f>IF(OR(Inyección!B182="",Inyección!N182="",Inyección!P182=""),"",INDEX($C$26:$C$29,Inyección!C182)&amp;" de "&amp;TEXT(Inyección!N182,"00")&amp;""""&amp;" × "&amp;TEXT(Inyección!P182,"00")&amp;""""&amp;IF(Inyección!C182=1,", "&amp;Inyección!R182&amp;IF(Inyección!R182=1," vía",IF(OR(Inyección!R182=2,Inyección!R182=3,Inyección!R182=4)," vías","")),""))</f>
        <v/>
      </c>
      <c r="F182"/>
      <c r="H182" s="471">
        <f t="shared" si="42"/>
        <v>0</v>
      </c>
      <c r="I182" s="471" t="str">
        <f t="shared" si="43"/>
        <v>0</v>
      </c>
      <c r="J182" s="471" t="str">
        <f t="shared" si="44"/>
        <v/>
      </c>
      <c r="K182" s="471" t="str">
        <f t="shared" si="44"/>
        <v/>
      </c>
      <c r="L182" s="471" t="str">
        <f t="shared" si="44"/>
        <v/>
      </c>
      <c r="M182"/>
      <c r="N182" s="471">
        <f t="shared" si="38"/>
        <v>0</v>
      </c>
      <c r="O182"/>
      <c r="P182" s="471">
        <f t="shared" si="39"/>
        <v>0</v>
      </c>
      <c r="Q182"/>
      <c r="R182" s="471">
        <f t="shared" si="40"/>
        <v>0</v>
      </c>
      <c r="T182" s="479"/>
      <c r="V182" s="479"/>
      <c r="AE182" s="472" t="e">
        <f>IF(#REF!=2,#REF!,0)</f>
        <v>#REF!</v>
      </c>
      <c r="AF182" s="472" t="e">
        <f>IF(#REF!=2,#REF!,0)</f>
        <v>#REF!</v>
      </c>
      <c r="AG182" s="472" t="e">
        <f t="shared" si="41"/>
        <v>#REF!</v>
      </c>
      <c r="AW182" s="472" t="e">
        <f>IF(#REF!=3,#REF!,0)</f>
        <v>#REF!</v>
      </c>
    </row>
    <row r="183" spans="3:49" x14ac:dyDescent="0.3">
      <c r="C183" s="471" t="str">
        <f>IF(OR(Inyección!B183="",Inyección!N183="",Inyección!P183=""),"",INDEX($C$26:$C$29,Inyección!C183)&amp;" de "&amp;TEXT(Inyección!N183,"00")&amp;""""&amp;" × "&amp;TEXT(Inyección!P183,"00")&amp;""""&amp;IF(Inyección!C183=1,", "&amp;Inyección!R183&amp;IF(Inyección!R183=1," vía",IF(OR(Inyección!R183=2,Inyección!R183=3,Inyección!R183=4)," vías","")),""))</f>
        <v/>
      </c>
      <c r="F183"/>
      <c r="H183" s="471">
        <f t="shared" si="42"/>
        <v>0</v>
      </c>
      <c r="I183" s="471" t="str">
        <f t="shared" si="43"/>
        <v>0</v>
      </c>
      <c r="J183" s="471" t="str">
        <f t="shared" si="44"/>
        <v/>
      </c>
      <c r="K183" s="471" t="str">
        <f t="shared" si="44"/>
        <v/>
      </c>
      <c r="L183" s="471" t="str">
        <f t="shared" si="44"/>
        <v/>
      </c>
      <c r="M183"/>
      <c r="N183" s="471">
        <f t="shared" si="38"/>
        <v>0</v>
      </c>
      <c r="O183"/>
      <c r="P183" s="471">
        <f t="shared" si="39"/>
        <v>0</v>
      </c>
      <c r="Q183"/>
      <c r="R183" s="471">
        <f t="shared" si="40"/>
        <v>0</v>
      </c>
      <c r="T183" s="479"/>
      <c r="V183" s="479"/>
      <c r="AE183" s="472" t="e">
        <f>IF(#REF!=2,#REF!,0)</f>
        <v>#REF!</v>
      </c>
      <c r="AF183" s="472" t="e">
        <f>IF(#REF!=2,#REF!,0)</f>
        <v>#REF!</v>
      </c>
      <c r="AG183" s="472" t="e">
        <f t="shared" si="41"/>
        <v>#REF!</v>
      </c>
      <c r="AW183" s="472" t="e">
        <f>IF(#REF!=3,#REF!,0)</f>
        <v>#REF!</v>
      </c>
    </row>
  </sheetData>
  <sheetProtection selectLockedCells="1"/>
  <sortState ref="Q34:Q183">
    <sortCondition ref="Q34"/>
  </sortState>
  <mergeCells count="37">
    <mergeCell ref="DA33:DC33"/>
    <mergeCell ref="DE33:DE34"/>
    <mergeCell ref="DF33:DF34"/>
    <mergeCell ref="AB29:AT30"/>
    <mergeCell ref="AB26:AT28"/>
    <mergeCell ref="AX26:AY27"/>
    <mergeCell ref="AX28:AY30"/>
    <mergeCell ref="CO33:CQ33"/>
    <mergeCell ref="CS33:CS34"/>
    <mergeCell ref="CT33:CT34"/>
    <mergeCell ref="CW33:CW34"/>
    <mergeCell ref="CX33:CX34"/>
    <mergeCell ref="CY33:CY34"/>
    <mergeCell ref="CC33:CE33"/>
    <mergeCell ref="CG33:CG34"/>
    <mergeCell ref="CH33:CH34"/>
    <mergeCell ref="CK33:CK34"/>
    <mergeCell ref="CL33:CL34"/>
    <mergeCell ref="CM33:CM34"/>
    <mergeCell ref="BQ33:BS33"/>
    <mergeCell ref="BU33:BU34"/>
    <mergeCell ref="BV33:BV34"/>
    <mergeCell ref="BY33:BY34"/>
    <mergeCell ref="BZ33:BZ34"/>
    <mergeCell ref="CA33:CA34"/>
    <mergeCell ref="BO33:BO34"/>
    <mergeCell ref="AB32:AB33"/>
    <mergeCell ref="AT32:AT33"/>
    <mergeCell ref="AX32:AX33"/>
    <mergeCell ref="BA33:BA34"/>
    <mergeCell ref="BB33:BB34"/>
    <mergeCell ref="BC33:BC34"/>
    <mergeCell ref="BE33:BG33"/>
    <mergeCell ref="BI33:BI34"/>
    <mergeCell ref="BJ33:BJ34"/>
    <mergeCell ref="BM33:BM34"/>
    <mergeCell ref="BN33:BN34"/>
  </mergeCells>
  <conditionalFormatting sqref="AX26:AY30">
    <cfRule type="expression" dxfId="18" priority="1">
      <formula>$AX$22</formula>
    </cfRule>
  </conditionalFormatting>
  <printOptions horizontalCentered="1"/>
  <pageMargins left="0.59055118110236227" right="0.59055118110236227" top="0.39370078740157483" bottom="0.39370078740157483" header="0.31496062992125984" footer="0.31496062992125984"/>
  <pageSetup scale="91" orientation="landscape" r:id="rId1"/>
  <colBreaks count="5" manualBreakCount="5">
    <brk id="52" min="11" max="63" man="1"/>
    <brk id="64" min="11" max="63" man="1"/>
    <brk id="76" min="11" max="63" man="1"/>
    <brk id="88" min="11" max="63" man="1"/>
    <brk id="100" min="11" max="63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D77DE-B3F1-4B96-AD4C-804BF034C830}">
  <sheetPr codeName="Hoja8"/>
  <dimension ref="A1:EJ183"/>
  <sheetViews>
    <sheetView showGridLines="0" showRowColHeaders="0" tabSelected="1" zoomScaleNormal="100" workbookViewId="0">
      <pane ySplit="33" topLeftCell="A34" activePane="bottomLeft" state="frozen"/>
      <selection pane="bottomLeft" activeCell="L34" sqref="L34:L46"/>
    </sheetView>
  </sheetViews>
  <sheetFormatPr defaultColWidth="12" defaultRowHeight="13.8" x14ac:dyDescent="0.3"/>
  <cols>
    <col min="1" max="1" width="4.125" style="3" bestFit="1" customWidth="1"/>
    <col min="2" max="2" width="13" style="3" customWidth="1"/>
    <col min="3" max="3" width="10.875" style="3" hidden="1" customWidth="1"/>
    <col min="4" max="4" width="10.875" style="3" customWidth="1"/>
    <col min="5" max="5" width="7.125" style="3" bestFit="1" customWidth="1"/>
    <col min="6" max="6" width="30.875" style="3" customWidth="1"/>
    <col min="7" max="7" width="7.875" style="3" customWidth="1"/>
    <col min="8" max="8" width="33.125" style="430" hidden="1" customWidth="1"/>
    <col min="9" max="9" width="12" style="3"/>
    <col min="10" max="10" width="12" style="3" customWidth="1"/>
    <col min="11" max="11" width="12" style="3" hidden="1" customWidth="1"/>
    <col min="12" max="12" width="12" style="3" customWidth="1"/>
    <col min="13" max="13" width="12" style="3" hidden="1" customWidth="1"/>
    <col min="14" max="14" width="4.875" style="430" customWidth="1"/>
    <col min="15" max="15" width="2.125" style="430" customWidth="1"/>
    <col min="16" max="16" width="4.875" style="430" customWidth="1"/>
    <col min="17" max="17" width="12" style="3"/>
    <col min="18" max="18" width="13.625" style="3" customWidth="1"/>
    <col min="19" max="21" width="12" style="3"/>
    <col min="22" max="25" width="12" style="3" hidden="1" customWidth="1"/>
    <col min="26" max="50" width="12" style="3" customWidth="1"/>
    <col min="51" max="51" width="1.875" style="3" customWidth="1"/>
    <col min="52" max="52" width="46.125" style="3" bestFit="1" customWidth="1"/>
    <col min="53" max="53" width="7.875" style="3" customWidth="1"/>
    <col min="54" max="54" width="1.875" style="3" customWidth="1"/>
    <col min="55" max="57" width="12" style="3" hidden="1" customWidth="1"/>
    <col min="58" max="62" width="12" style="430" hidden="1" customWidth="1"/>
    <col min="63" max="69" width="12" style="3" hidden="1" customWidth="1"/>
    <col min="70" max="70" width="22.375" style="3" customWidth="1"/>
    <col min="71" max="73" width="7.875" style="3" customWidth="1"/>
    <col min="74" max="74" width="1.875" style="3" customWidth="1"/>
    <col min="75" max="75" width="12" style="3" hidden="1" customWidth="1"/>
    <col min="76" max="76" width="22.375" style="3" bestFit="1" customWidth="1"/>
    <col min="77" max="79" width="7.875" style="3" customWidth="1"/>
    <col min="80" max="80" width="1.875" style="3" customWidth="1"/>
    <col min="81" max="82" width="7.875" style="3" customWidth="1"/>
    <col min="83" max="83" width="30.875" style="3" customWidth="1"/>
    <col min="84" max="84" width="12" style="3"/>
    <col min="85" max="85" width="4.875" style="3" customWidth="1"/>
    <col min="86" max="86" width="2.875" style="3" customWidth="1"/>
    <col min="87" max="87" width="4.875" style="3" customWidth="1"/>
    <col min="88" max="88" width="12" style="3"/>
    <col min="89" max="89" width="8" style="3" bestFit="1" customWidth="1"/>
    <col min="90" max="90" width="9.875" style="430" customWidth="1"/>
    <col min="91" max="91" width="8.875" style="430" customWidth="1"/>
    <col min="92" max="92" width="42.875" style="430" customWidth="1"/>
    <col min="93" max="94" width="7.875" style="3" customWidth="1"/>
    <col min="95" max="95" width="30.875" style="3" customWidth="1"/>
    <col min="96" max="96" width="12" style="3"/>
    <col min="97" max="97" width="4.875" style="3" customWidth="1"/>
    <col min="98" max="98" width="2.875" style="3" customWidth="1"/>
    <col min="99" max="99" width="4.875" style="3" customWidth="1"/>
    <col min="100" max="100" width="12" style="3"/>
    <col min="101" max="101" width="8" style="3" bestFit="1" customWidth="1"/>
    <col min="102" max="102" width="9.875" style="3" customWidth="1"/>
    <col min="103" max="103" width="8.875" style="3" customWidth="1"/>
    <col min="104" max="104" width="42.875" style="3" customWidth="1"/>
    <col min="105" max="106" width="7.875" style="3" customWidth="1"/>
    <col min="107" max="107" width="30.875" style="3" customWidth="1"/>
    <col min="108" max="108" width="12" style="3"/>
    <col min="109" max="109" width="4.875" style="3" customWidth="1"/>
    <col min="110" max="110" width="2.875" style="3" customWidth="1"/>
    <col min="111" max="111" width="4.875" style="3" customWidth="1"/>
    <col min="112" max="112" width="12" style="3"/>
    <col min="113" max="113" width="8" style="3" bestFit="1" customWidth="1"/>
    <col min="114" max="114" width="9.875" style="3" customWidth="1"/>
    <col min="115" max="115" width="8.875" style="3" customWidth="1"/>
    <col min="116" max="116" width="42.875" style="3" customWidth="1"/>
    <col min="117" max="118" width="7.875" style="3" customWidth="1"/>
    <col min="119" max="119" width="30.875" style="3" customWidth="1"/>
    <col min="120" max="120" width="12" style="3"/>
    <col min="121" max="121" width="4.875" style="3" customWidth="1"/>
    <col min="122" max="122" width="2.875" style="3" customWidth="1"/>
    <col min="123" max="123" width="4.875" style="3" customWidth="1"/>
    <col min="124" max="124" width="12" style="3"/>
    <col min="125" max="125" width="8" style="3" bestFit="1" customWidth="1"/>
    <col min="126" max="126" width="9.875" style="3" customWidth="1"/>
    <col min="127" max="127" width="8.875" style="3" customWidth="1"/>
    <col min="128" max="128" width="42.875" style="3" customWidth="1"/>
    <col min="129" max="130" width="7.875" style="3" customWidth="1"/>
    <col min="131" max="131" width="30.875" style="3" customWidth="1"/>
    <col min="132" max="132" width="12" style="3"/>
    <col min="133" max="133" width="4.875" style="3" customWidth="1"/>
    <col min="134" max="134" width="2.875" style="3" customWidth="1"/>
    <col min="135" max="135" width="4.875" style="3" customWidth="1"/>
    <col min="136" max="136" width="12" style="3"/>
    <col min="137" max="137" width="8" style="3" bestFit="1" customWidth="1"/>
    <col min="138" max="138" width="9.875" style="3" customWidth="1"/>
    <col min="139" max="139" width="8.875" style="3" customWidth="1"/>
    <col min="140" max="140" width="42.875" style="3" customWidth="1"/>
    <col min="141" max="16384" width="12" style="3"/>
  </cols>
  <sheetData>
    <row r="1" spans="1:92" x14ac:dyDescent="0.3">
      <c r="A1" s="616" t="s">
        <v>485</v>
      </c>
      <c r="B1" s="616"/>
      <c r="C1" s="616"/>
      <c r="D1" s="616"/>
      <c r="E1" s="616"/>
      <c r="F1" s="616"/>
      <c r="G1" s="616"/>
      <c r="H1" s="616"/>
      <c r="I1" s="616"/>
      <c r="J1" s="432"/>
      <c r="K1" s="171"/>
      <c r="L1" s="616"/>
      <c r="M1" s="616"/>
      <c r="N1" s="616"/>
      <c r="O1" s="616"/>
      <c r="P1" s="616"/>
      <c r="Q1" s="367"/>
      <c r="R1" s="616"/>
      <c r="S1" s="616"/>
    </row>
    <row r="4" spans="1:92" x14ac:dyDescent="0.3">
      <c r="G4" s="5"/>
      <c r="H4" s="3"/>
    </row>
    <row r="5" spans="1:92" x14ac:dyDescent="0.3">
      <c r="G5" s="5"/>
      <c r="H5" s="3"/>
    </row>
    <row r="6" spans="1:92" x14ac:dyDescent="0.3">
      <c r="G6" s="5"/>
      <c r="H6" s="3"/>
    </row>
    <row r="7" spans="1:92" x14ac:dyDescent="0.3">
      <c r="G7" s="5"/>
      <c r="H7" s="3"/>
    </row>
    <row r="8" spans="1:92" x14ac:dyDescent="0.3">
      <c r="G8" s="5"/>
      <c r="H8" s="3"/>
    </row>
    <row r="9" spans="1:92" x14ac:dyDescent="0.3">
      <c r="G9" s="5"/>
      <c r="H9" s="3"/>
    </row>
    <row r="10" spans="1:92" ht="13.8" hidden="1" customHeight="1" x14ac:dyDescent="0.3">
      <c r="G10" s="5"/>
      <c r="H10" s="3"/>
    </row>
    <row r="11" spans="1:92" ht="13.8" hidden="1" customHeight="1" x14ac:dyDescent="0.3">
      <c r="G11" s="5"/>
      <c r="H11" s="3"/>
    </row>
    <row r="12" spans="1:92" ht="13.8" hidden="1" customHeight="1" x14ac:dyDescent="0.3">
      <c r="G12" s="5"/>
      <c r="H12" s="3"/>
      <c r="AY12" s="224"/>
      <c r="AZ12" s="224"/>
      <c r="BA12" s="224"/>
      <c r="BB12" s="224"/>
      <c r="BC12" s="224"/>
      <c r="BD12" s="224"/>
      <c r="BE12" s="224"/>
      <c r="BF12" s="225"/>
      <c r="BG12" s="225"/>
      <c r="BH12" s="225"/>
      <c r="BI12" s="225"/>
      <c r="BJ12" s="225"/>
      <c r="BK12" s="224"/>
      <c r="BL12" s="224"/>
      <c r="BM12" s="224"/>
      <c r="BN12" s="224"/>
      <c r="BO12" s="224"/>
      <c r="BP12" s="224"/>
      <c r="BQ12" s="224"/>
      <c r="BR12" s="224"/>
      <c r="BS12" s="224"/>
      <c r="BT12" s="224"/>
      <c r="BU12" s="224"/>
      <c r="BV12" s="224"/>
      <c r="BW12" s="224"/>
      <c r="BX12" s="224"/>
      <c r="BY12" s="224"/>
      <c r="BZ12" s="224"/>
      <c r="CA12" s="224"/>
      <c r="CB12" s="224"/>
      <c r="CC12" s="224"/>
      <c r="CD12" s="224"/>
      <c r="CE12" s="224"/>
      <c r="CF12" s="224"/>
      <c r="CG12" s="224"/>
      <c r="CH12" s="224"/>
      <c r="CI12" s="224"/>
      <c r="CJ12" s="224"/>
      <c r="CK12" s="224"/>
      <c r="CL12" s="225"/>
      <c r="CM12" s="225"/>
      <c r="CN12" s="225"/>
    </row>
    <row r="13" spans="1:92" ht="13.8" hidden="1" customHeight="1" x14ac:dyDescent="0.3">
      <c r="G13" s="5"/>
      <c r="H13" s="3"/>
    </row>
    <row r="14" spans="1:92" ht="12.75" customHeight="1" x14ac:dyDescent="0.3">
      <c r="A14" s="624" t="s">
        <v>215</v>
      </c>
      <c r="B14" s="624"/>
      <c r="C14" s="624"/>
      <c r="D14" s="624"/>
      <c r="E14" s="624"/>
      <c r="F14" s="620" t="s">
        <v>232</v>
      </c>
      <c r="G14" s="620"/>
      <c r="H14" s="3"/>
      <c r="I14" s="624" t="s">
        <v>216</v>
      </c>
      <c r="J14" s="624"/>
      <c r="L14" s="629" t="s">
        <v>530</v>
      </c>
      <c r="Q14" s="624" t="s">
        <v>217</v>
      </c>
      <c r="R14" s="624"/>
    </row>
    <row r="15" spans="1:92" x14ac:dyDescent="0.3">
      <c r="A15" s="624"/>
      <c r="B15" s="624"/>
      <c r="C15" s="624"/>
      <c r="D15" s="624"/>
      <c r="E15" s="624"/>
      <c r="F15" s="620"/>
      <c r="G15" s="620"/>
      <c r="H15" s="3"/>
      <c r="I15" s="624"/>
      <c r="J15" s="624"/>
      <c r="L15" s="629"/>
      <c r="Q15" s="435" t="s">
        <v>484</v>
      </c>
      <c r="R15" s="161" t="s">
        <v>481</v>
      </c>
      <c r="CC15" s="224"/>
      <c r="CD15" s="224"/>
      <c r="CE15" s="224"/>
      <c r="CF15" s="224"/>
      <c r="CG15" s="224"/>
      <c r="CH15" s="224"/>
      <c r="CI15" s="224"/>
      <c r="CJ15" s="224"/>
      <c r="CK15" s="224"/>
      <c r="CL15" s="225"/>
      <c r="CM15" s="225"/>
      <c r="CN15" s="225"/>
    </row>
    <row r="16" spans="1:92" x14ac:dyDescent="0.3">
      <c r="A16" s="622" t="s">
        <v>483</v>
      </c>
      <c r="B16" s="623"/>
      <c r="C16" s="623"/>
      <c r="D16" s="158">
        <v>500</v>
      </c>
      <c r="E16" s="157" t="s">
        <v>175</v>
      </c>
      <c r="F16" s="620"/>
      <c r="G16" s="620"/>
      <c r="H16" s="3"/>
      <c r="I16" s="433" t="s">
        <v>222</v>
      </c>
      <c r="J16" s="161">
        <v>2</v>
      </c>
      <c r="L16" s="161">
        <v>8</v>
      </c>
      <c r="Q16" s="435"/>
      <c r="R16" s="160"/>
    </row>
    <row r="17" spans="1:92" x14ac:dyDescent="0.3">
      <c r="A17" s="622"/>
      <c r="B17" s="623"/>
      <c r="C17" s="623"/>
      <c r="D17" s="470"/>
      <c r="E17" s="157"/>
      <c r="F17" s="621" t="str">
        <f>TEXT(AR-SUM($I$34:$I$183),"#,##0.0")&amp;" PCM"</f>
        <v>0.0 PCM</v>
      </c>
      <c r="G17" s="620"/>
      <c r="H17" s="3"/>
      <c r="I17" s="433"/>
      <c r="J17" s="160"/>
      <c r="L17" s="160"/>
      <c r="Q17" s="435"/>
      <c r="R17" s="160"/>
    </row>
    <row r="18" spans="1:92" x14ac:dyDescent="0.3">
      <c r="A18" s="622"/>
      <c r="B18" s="623"/>
      <c r="C18" s="623"/>
      <c r="D18" s="470"/>
      <c r="E18" s="157"/>
      <c r="F18" s="620"/>
      <c r="G18" s="620"/>
      <c r="H18" s="3"/>
      <c r="I18" s="433"/>
      <c r="J18" s="160"/>
      <c r="L18" s="160"/>
      <c r="Q18" s="435"/>
      <c r="R18" s="160"/>
      <c r="CC18" s="224"/>
      <c r="CD18" s="224"/>
      <c r="CE18" s="224"/>
      <c r="CF18" s="224"/>
      <c r="CG18" s="224"/>
      <c r="CH18" s="224"/>
      <c r="CI18" s="224"/>
      <c r="CJ18" s="224"/>
      <c r="CK18" s="224"/>
      <c r="CL18" s="225"/>
      <c r="CM18" s="225"/>
      <c r="CN18" s="225"/>
    </row>
    <row r="19" spans="1:92" x14ac:dyDescent="0.3">
      <c r="G19" s="5"/>
      <c r="H19" s="3"/>
    </row>
    <row r="20" spans="1:92" hidden="1" x14ac:dyDescent="0.3">
      <c r="G20" s="5"/>
      <c r="H20" s="3"/>
    </row>
    <row r="21" spans="1:92" hidden="1" x14ac:dyDescent="0.3">
      <c r="G21" s="5"/>
      <c r="H21" s="3"/>
    </row>
    <row r="22" spans="1:92" hidden="1" x14ac:dyDescent="0.3">
      <c r="G22" s="5"/>
      <c r="H22" s="3"/>
    </row>
    <row r="23" spans="1:92" hidden="1" x14ac:dyDescent="0.3"/>
    <row r="24" spans="1:92" hidden="1" x14ac:dyDescent="0.3">
      <c r="A24" s="103"/>
      <c r="B24" s="103"/>
      <c r="C24" s="120"/>
      <c r="H24" s="120"/>
      <c r="K24" s="120"/>
      <c r="M24" s="120"/>
      <c r="R24" s="122"/>
    </row>
    <row r="25" spans="1:92" hidden="1" x14ac:dyDescent="0.3">
      <c r="A25" s="103"/>
      <c r="B25" s="103"/>
      <c r="C25" s="120"/>
      <c r="H25" s="123"/>
      <c r="K25" s="120"/>
      <c r="M25" s="120"/>
      <c r="R25" s="122"/>
    </row>
    <row r="26" spans="1:92" hidden="1" x14ac:dyDescent="0.3">
      <c r="A26" s="103"/>
      <c r="B26" s="103"/>
      <c r="C26" s="120"/>
      <c r="H26" s="123"/>
      <c r="K26" s="120"/>
      <c r="M26" s="120"/>
      <c r="R26" s="122"/>
    </row>
    <row r="27" spans="1:92" hidden="1" x14ac:dyDescent="0.3">
      <c r="A27" s="103"/>
      <c r="B27" s="103"/>
      <c r="C27" s="120"/>
      <c r="H27" s="123"/>
      <c r="K27" s="120"/>
      <c r="M27" s="120"/>
      <c r="R27" s="122"/>
      <c r="S27" s="3" t="str">
        <f>IFERROR(IF(C34=1,(0.000000468)*Q34^2.0001,IF(C34=2,(0.000000275)*Q34^1.993,IF(C34=3,1,"---"))),"")</f>
        <v/>
      </c>
    </row>
    <row r="28" spans="1:92" hidden="1" x14ac:dyDescent="0.3">
      <c r="A28" s="103"/>
      <c r="B28" s="103"/>
      <c r="C28" s="120"/>
      <c r="H28" s="123"/>
      <c r="K28" s="120"/>
      <c r="M28" s="120"/>
      <c r="R28" s="122"/>
    </row>
    <row r="29" spans="1:92" hidden="1" x14ac:dyDescent="0.3">
      <c r="A29" s="103"/>
      <c r="B29" s="103" t="s">
        <v>481</v>
      </c>
      <c r="C29" s="120"/>
      <c r="E29" s="3">
        <v>1</v>
      </c>
      <c r="F29" s="3">
        <v>2</v>
      </c>
      <c r="G29" s="3">
        <v>3</v>
      </c>
      <c r="H29" s="123"/>
      <c r="K29" s="120"/>
      <c r="M29" s="120"/>
      <c r="R29" s="122"/>
    </row>
    <row r="30" spans="1:92" ht="12.75" customHeight="1" x14ac:dyDescent="0.3">
      <c r="A30" s="626" t="s">
        <v>0</v>
      </c>
      <c r="B30" s="627" t="s">
        <v>185</v>
      </c>
      <c r="C30" s="434"/>
      <c r="D30" s="618" t="s">
        <v>184</v>
      </c>
      <c r="E30" s="625" t="s">
        <v>34</v>
      </c>
      <c r="F30" s="625" t="s">
        <v>3</v>
      </c>
      <c r="G30" s="617" t="s">
        <v>168</v>
      </c>
      <c r="H30" s="436"/>
      <c r="I30" s="618" t="s">
        <v>197</v>
      </c>
      <c r="J30" s="618" t="s">
        <v>172</v>
      </c>
      <c r="K30" s="618" t="s">
        <v>195</v>
      </c>
      <c r="L30" s="618" t="s">
        <v>194</v>
      </c>
      <c r="M30" s="618" t="s">
        <v>194</v>
      </c>
      <c r="N30" s="617" t="s">
        <v>173</v>
      </c>
      <c r="O30" s="617"/>
      <c r="P30" s="617"/>
      <c r="Q30" s="617" t="s">
        <v>174</v>
      </c>
      <c r="R30" s="618" t="s">
        <v>196</v>
      </c>
      <c r="S30" s="619" t="s">
        <v>180</v>
      </c>
      <c r="BF30" s="646" t="s">
        <v>210</v>
      </c>
      <c r="BG30" s="646"/>
      <c r="BH30" s="646"/>
      <c r="BI30" s="646"/>
      <c r="BJ30" s="646"/>
      <c r="BK30" s="646"/>
      <c r="BL30" s="646"/>
    </row>
    <row r="31" spans="1:92" ht="12.75" customHeight="1" x14ac:dyDescent="0.3">
      <c r="A31" s="626"/>
      <c r="B31" s="627"/>
      <c r="C31" s="434"/>
      <c r="D31" s="618"/>
      <c r="E31" s="625"/>
      <c r="F31" s="625"/>
      <c r="G31" s="617"/>
      <c r="H31" s="436"/>
      <c r="I31" s="618"/>
      <c r="J31" s="618"/>
      <c r="K31" s="618"/>
      <c r="L31" s="618"/>
      <c r="M31" s="618"/>
      <c r="N31" s="617"/>
      <c r="O31" s="617"/>
      <c r="P31" s="617"/>
      <c r="Q31" s="617"/>
      <c r="R31" s="618"/>
      <c r="S31" s="619"/>
      <c r="BI31" s="430">
        <v>550</v>
      </c>
      <c r="BJ31" s="430" t="s">
        <v>193</v>
      </c>
      <c r="BK31" s="3" t="s">
        <v>167</v>
      </c>
      <c r="BL31" s="3" t="s">
        <v>209</v>
      </c>
    </row>
    <row r="32" spans="1:92" ht="12.75" customHeight="1" x14ac:dyDescent="0.3">
      <c r="A32" s="626"/>
      <c r="B32" s="627"/>
      <c r="C32" s="434"/>
      <c r="D32" s="618"/>
      <c r="E32" s="625"/>
      <c r="F32" s="625"/>
      <c r="G32" s="617"/>
      <c r="H32" s="436"/>
      <c r="I32" s="618"/>
      <c r="J32" s="618"/>
      <c r="K32" s="618"/>
      <c r="L32" s="618"/>
      <c r="M32" s="618"/>
      <c r="N32" s="437" t="s">
        <v>198</v>
      </c>
      <c r="O32" s="167"/>
      <c r="P32" s="168" t="s">
        <v>199</v>
      </c>
      <c r="Q32" s="617"/>
      <c r="R32" s="618"/>
      <c r="S32" s="619"/>
      <c r="W32" s="430"/>
      <c r="X32" s="430"/>
      <c r="Y32" s="430"/>
      <c r="Z32" s="430"/>
      <c r="AA32" s="430"/>
      <c r="AB32" s="430"/>
      <c r="AC32" s="430"/>
      <c r="AE32" s="430"/>
      <c r="AF32" s="430"/>
      <c r="AG32" s="43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  <c r="AS32" s="430"/>
      <c r="AT32" s="430"/>
      <c r="AU32" s="430"/>
      <c r="AV32" s="430"/>
      <c r="AW32" s="430"/>
      <c r="AX32" s="430"/>
      <c r="AY32" s="186"/>
      <c r="AZ32" s="647" t="s">
        <v>221</v>
      </c>
      <c r="BA32" s="178" t="s">
        <v>208</v>
      </c>
      <c r="BB32" s="187"/>
      <c r="BD32" s="430"/>
      <c r="BE32" s="430"/>
      <c r="BK32" s="430"/>
      <c r="BL32" s="430"/>
      <c r="BM32" s="430"/>
      <c r="BO32" s="430"/>
      <c r="BP32" s="430"/>
      <c r="BQ32" s="430"/>
      <c r="BR32" s="648" t="s">
        <v>229</v>
      </c>
      <c r="BS32" s="645" t="s">
        <v>206</v>
      </c>
      <c r="BT32" s="645" t="s">
        <v>207</v>
      </c>
      <c r="BU32" s="178" t="s">
        <v>208</v>
      </c>
      <c r="BV32" s="187"/>
      <c r="BX32" s="648" t="s">
        <v>229</v>
      </c>
      <c r="BY32" s="645" t="s">
        <v>206</v>
      </c>
      <c r="BZ32" s="645" t="s">
        <v>207</v>
      </c>
      <c r="CA32" s="178" t="s">
        <v>208</v>
      </c>
      <c r="CB32" s="187"/>
    </row>
    <row r="33" spans="1:140" x14ac:dyDescent="0.3">
      <c r="A33" s="626"/>
      <c r="B33" s="627"/>
      <c r="C33" s="164" t="s">
        <v>189</v>
      </c>
      <c r="D33" s="618"/>
      <c r="E33" s="625"/>
      <c r="F33" s="625"/>
      <c r="G33" s="436" t="s">
        <v>42</v>
      </c>
      <c r="H33" s="165" t="s">
        <v>183</v>
      </c>
      <c r="I33" s="436" t="s">
        <v>42</v>
      </c>
      <c r="J33" s="618"/>
      <c r="K33" s="618"/>
      <c r="L33" s="618"/>
      <c r="M33" s="618"/>
      <c r="N33" s="437" t="s">
        <v>181</v>
      </c>
      <c r="O33" s="167" t="s">
        <v>182</v>
      </c>
      <c r="P33" s="168" t="s">
        <v>181</v>
      </c>
      <c r="Q33" s="436" t="s">
        <v>175</v>
      </c>
      <c r="R33" s="618"/>
      <c r="S33" s="437" t="s">
        <v>15</v>
      </c>
      <c r="AY33" s="187"/>
      <c r="AZ33" s="647"/>
      <c r="BA33" s="178">
        <f>SUM(BA34:BA63)</f>
        <v>0</v>
      </c>
      <c r="BB33" s="187"/>
      <c r="BC33" s="3" t="s">
        <v>198</v>
      </c>
      <c r="BD33" s="3" t="s">
        <v>199</v>
      </c>
      <c r="BF33" s="430" t="s">
        <v>198</v>
      </c>
      <c r="BG33" s="430" t="s">
        <v>199</v>
      </c>
      <c r="BH33" s="430" t="s">
        <v>200</v>
      </c>
      <c r="BI33" s="430" t="s">
        <v>205</v>
      </c>
      <c r="BK33" s="3">
        <v>605</v>
      </c>
      <c r="BL33" s="3" t="e">
        <f t="array" ref="BL33:BL115">FREQUENCY($BE$34:$BE$183,$BK$33:$BK$114)</f>
        <v>#VALUE!</v>
      </c>
      <c r="BR33" s="649"/>
      <c r="BS33" s="645"/>
      <c r="BT33" s="645"/>
      <c r="BU33" s="179">
        <f>SUM(BU34:BU63,CA34:CA48)</f>
        <v>0</v>
      </c>
      <c r="BV33" s="187"/>
      <c r="BX33" s="649"/>
      <c r="BY33" s="645"/>
      <c r="BZ33" s="645"/>
      <c r="CA33" s="179">
        <f>SUM(BU34:BU63,CA34:CA48)</f>
        <v>0</v>
      </c>
      <c r="CB33" s="187"/>
      <c r="CC33" s="650" t="s">
        <v>167</v>
      </c>
      <c r="CD33" s="650" t="s">
        <v>189</v>
      </c>
      <c r="CE33" s="652" t="s">
        <v>34</v>
      </c>
      <c r="CF33" s="441" t="s">
        <v>230</v>
      </c>
      <c r="CG33" s="650" t="s">
        <v>173</v>
      </c>
      <c r="CH33" s="650"/>
      <c r="CI33" s="650"/>
      <c r="CJ33" s="440" t="s">
        <v>174</v>
      </c>
      <c r="CK33" s="654" t="s">
        <v>231</v>
      </c>
      <c r="CL33" s="650" t="s">
        <v>196</v>
      </c>
      <c r="CM33" s="438" t="s">
        <v>180</v>
      </c>
      <c r="CN33" s="438"/>
      <c r="CO33" s="650" t="s">
        <v>167</v>
      </c>
      <c r="CP33" s="650" t="s">
        <v>189</v>
      </c>
      <c r="CQ33" s="652" t="s">
        <v>34</v>
      </c>
      <c r="CR33" s="441" t="s">
        <v>230</v>
      </c>
      <c r="CS33" s="650" t="s">
        <v>173</v>
      </c>
      <c r="CT33" s="650"/>
      <c r="CU33" s="650"/>
      <c r="CV33" s="440" t="s">
        <v>174</v>
      </c>
      <c r="CW33" s="654" t="s">
        <v>231</v>
      </c>
      <c r="CX33" s="650" t="s">
        <v>196</v>
      </c>
      <c r="CY33" s="438" t="s">
        <v>180</v>
      </c>
      <c r="CZ33" s="438"/>
      <c r="DA33" s="650" t="s">
        <v>167</v>
      </c>
      <c r="DB33" s="650" t="s">
        <v>189</v>
      </c>
      <c r="DC33" s="652" t="s">
        <v>34</v>
      </c>
      <c r="DD33" s="441" t="s">
        <v>230</v>
      </c>
      <c r="DE33" s="650" t="s">
        <v>173</v>
      </c>
      <c r="DF33" s="650"/>
      <c r="DG33" s="650"/>
      <c r="DH33" s="440" t="s">
        <v>174</v>
      </c>
      <c r="DI33" s="654" t="s">
        <v>231</v>
      </c>
      <c r="DJ33" s="650" t="s">
        <v>196</v>
      </c>
      <c r="DK33" s="438" t="s">
        <v>180</v>
      </c>
      <c r="DL33" s="438"/>
      <c r="DM33" s="650" t="s">
        <v>167</v>
      </c>
      <c r="DN33" s="650" t="s">
        <v>189</v>
      </c>
      <c r="DO33" s="652" t="s">
        <v>34</v>
      </c>
      <c r="DP33" s="441" t="s">
        <v>230</v>
      </c>
      <c r="DQ33" s="650" t="s">
        <v>173</v>
      </c>
      <c r="DR33" s="650"/>
      <c r="DS33" s="650"/>
      <c r="DT33" s="440" t="s">
        <v>174</v>
      </c>
      <c r="DU33" s="654" t="s">
        <v>231</v>
      </c>
      <c r="DV33" s="650" t="s">
        <v>196</v>
      </c>
      <c r="DW33" s="438" t="s">
        <v>180</v>
      </c>
      <c r="DX33" s="438"/>
      <c r="DY33" s="650" t="s">
        <v>167</v>
      </c>
      <c r="DZ33" s="650" t="s">
        <v>189</v>
      </c>
      <c r="EA33" s="652" t="s">
        <v>34</v>
      </c>
      <c r="EB33" s="441" t="s">
        <v>230</v>
      </c>
      <c r="EC33" s="650" t="s">
        <v>173</v>
      </c>
      <c r="ED33" s="650"/>
      <c r="EE33" s="650"/>
      <c r="EF33" s="440" t="s">
        <v>174</v>
      </c>
      <c r="EG33" s="654" t="s">
        <v>231</v>
      </c>
      <c r="EH33" s="650" t="s">
        <v>196</v>
      </c>
      <c r="EI33" s="438" t="s">
        <v>180</v>
      </c>
      <c r="EJ33" s="226"/>
    </row>
    <row r="34" spans="1:140" x14ac:dyDescent="0.3">
      <c r="A34" s="431">
        <v>1</v>
      </c>
      <c r="B34" s="260"/>
      <c r="C34" s="261">
        <f t="shared" ref="C34:C65" si="0">IF(B34="RR",1,2)</f>
        <v>2</v>
      </c>
      <c r="D34" s="371"/>
      <c r="E34" s="262"/>
      <c r="F34" s="261" t="str">
        <f t="shared" ref="F34:G53" si="1">IFERROR(VLOOKUP($E34,DMFA,F$29,FALSE),"")</f>
        <v/>
      </c>
      <c r="G34" s="263" t="str">
        <f t="shared" si="1"/>
        <v/>
      </c>
      <c r="H34" s="264" t="str">
        <f t="shared" ref="H34:H97" si="2">IF(COUNTIF($E$34:$E$183,E34)=0,"",COUNTIF($E$34:$E$183,E34))</f>
        <v/>
      </c>
      <c r="I34" s="265" t="str">
        <f t="shared" ref="I34:I98" si="3">IF(OR(G34="",H34=""),"",G34/H34)</f>
        <v/>
      </c>
      <c r="J34" s="264" t="str">
        <f t="shared" ref="J34:J97" si="4">IF(I34="","",TEXT(I34/G34,"0.0 %"))</f>
        <v/>
      </c>
      <c r="K34" s="264">
        <f t="shared" ref="K34:K97" si="5">IF(C34=1,$J$16,IF(C34=2,$J$17,IF(C34=3,$J$18,0)))</f>
        <v>0</v>
      </c>
      <c r="L34" s="266"/>
      <c r="M34" s="267">
        <f t="shared" ref="M34:M65" si="6">IF(OR(L34=0,C34=2),1,L34)</f>
        <v>1</v>
      </c>
      <c r="N34" s="465" t="str">
        <f t="shared" ref="N34:N97" si="7">IFERROR(MAX(_xlfn.CEILING.MATH(SQRT(I34/(M34*INDEX($D$16:$D$18,C34)))*12,INDEX($J$16:$J$18,C34)),INDEX($L$16:$L$18,C34)),"")</f>
        <v/>
      </c>
      <c r="O34" s="297" t="str">
        <f t="shared" ref="O34:O97" si="8">IF(I34="","","×")</f>
        <v/>
      </c>
      <c r="P34" s="467" t="str">
        <f t="shared" ref="P34:P97" si="9">IFERROR(MAX(_xlfn.CEILING.MATH(SQRT((I34*M34)/INDEX($D$16:$D$18,C34))*12,INDEX($J$16:$J$18,C34)),INDEX($L$16:$L$18,C34)),"")</f>
        <v/>
      </c>
      <c r="Q34" s="268" t="str">
        <f>IF(I34="","",IF(N34="---","---",I34/(N34/12*P34/12)))</f>
        <v/>
      </c>
      <c r="R34" s="270" t="str">
        <f t="shared" ref="R34:R65" si="10">IF(C34=1,IF(N34&gt;=P34,"FL","FS"),IF(I34="","","N/A"))</f>
        <v/>
      </c>
      <c r="S34" s="271" t="str">
        <f t="shared" ref="S34:S65" si="11">IFERROR(IF(C34=1,(0.000000275)*Q34^1.993,"---"),"")</f>
        <v>---</v>
      </c>
      <c r="V34" s="3" t="str">
        <f>IFERROR(VALUE(TEXT(C34,"00")&amp;TEXT(N34,"00")&amp;TEXT(P34,"00")&amp;IF(#REF!="Plato perforado",5,IF(OR(#REF!="N/A",#REF!=""),0,#REF!))),"")</f>
        <v/>
      </c>
      <c r="W34" s="3">
        <v>6</v>
      </c>
      <c r="X34" s="3">
        <v>6</v>
      </c>
      <c r="Y34" s="3">
        <v>1</v>
      </c>
      <c r="AY34" s="187"/>
      <c r="AZ34" s="177" t="str">
        <f>"Difusores de "&amp;W34&amp;""""&amp;" × "&amp;X34&amp;""""&amp;" de "&amp;Y34&amp;" vía:"</f>
        <v>Difusores de 6" × 6" de 1 vía:</v>
      </c>
      <c r="BA34" s="242">
        <f>COUNTIF($V$34:$V$183,VALUE(1&amp;TEXT(W34,"00")&amp;TEXT(X34,"00")&amp;IF(Y34="plato perforado:",5,IF(Y34=", número de vías por definir:",0,Y34))))</f>
        <v>0</v>
      </c>
      <c r="BB34" s="187"/>
      <c r="BC34" s="103" t="str">
        <f t="shared" ref="BC34:BC65" si="12">IF(C34=2,N34,0)</f>
        <v/>
      </c>
      <c r="BD34" s="103" t="str">
        <f t="shared" ref="BD34:BD65" si="13">IF(C34=2,P34,0)</f>
        <v/>
      </c>
      <c r="BE34" s="103" t="e">
        <f t="shared" ref="BE34:BE97" si="14">VALUE(TEXT(BC34,"00")&amp;TEXT(BD34,"00"))</f>
        <v>#VALUE!</v>
      </c>
      <c r="BF34" s="181">
        <v>6</v>
      </c>
      <c r="BG34" s="181">
        <v>6</v>
      </c>
      <c r="BH34" s="184">
        <f>(BF34/12)*(BG34/12)</f>
        <v>0.25</v>
      </c>
      <c r="BI34" s="185">
        <f t="shared" ref="BI34:BI97" si="15">BH34*$BI$31</f>
        <v>137.5</v>
      </c>
      <c r="BJ34" s="185">
        <f t="shared" ref="BJ34:BJ97" si="16">BF34/BG34</f>
        <v>1</v>
      </c>
      <c r="BK34" s="103">
        <f>VALUE(TEXT(BF34,"00")&amp;TEXT(BG34,"00"))</f>
        <v>606</v>
      </c>
      <c r="BL34" s="103" t="e">
        <v>#VALUE!</v>
      </c>
      <c r="BM34" s="103">
        <v>6</v>
      </c>
      <c r="BN34" s="103">
        <v>6</v>
      </c>
      <c r="BO34" s="103">
        <v>6</v>
      </c>
      <c r="BP34" s="103">
        <f>VALUE(TEXT(BM34,"00")&amp;TEXT(BN34,"00"))</f>
        <v>606</v>
      </c>
      <c r="BQ34" s="103">
        <f>VALUE(TEXT(BN34,"00")&amp;TEXT(BO34,"00"))</f>
        <v>606</v>
      </c>
      <c r="BR34" s="246" t="str">
        <f>"Rejillas de "&amp;BM34&amp;""""&amp;" × "&amp;BN34&amp;""""&amp;":"</f>
        <v>Rejillas de 6" × 6":</v>
      </c>
      <c r="BS34" s="247">
        <f t="shared" ref="BS34:BS63" si="17">COUNTIF($BE$34:$BE$183,BQ34)</f>
        <v>0</v>
      </c>
      <c r="BT34" s="247">
        <f t="shared" ref="BT34:BT63" si="18">COUNTIF($BE$34:$BE$183,BP34)</f>
        <v>0</v>
      </c>
      <c r="BU34" s="247">
        <f>SUM(BS34:BT34)</f>
        <v>0</v>
      </c>
      <c r="BV34" s="187"/>
      <c r="BW34" s="103">
        <f t="shared" ref="BW34:BW65" si="19">IF(C34=3,R34,0)</f>
        <v>0</v>
      </c>
      <c r="BX34" s="246" t="str">
        <f t="shared" ref="BX34:BX48" si="20">"Rejillas de "&amp;BM64&amp;""""&amp;" × "&amp;BN64&amp;""""&amp;":"</f>
        <v>Rejillas de 14" × 16":</v>
      </c>
      <c r="BY34" s="247">
        <f t="shared" ref="BY34:BY48" si="21">COUNTIF($BE$34:$BE$183,BQ64)</f>
        <v>0</v>
      </c>
      <c r="BZ34" s="247">
        <f t="shared" ref="BZ34:BZ48" si="22">COUNTIF($BE$34:$BE$183,BP64)</f>
        <v>0</v>
      </c>
      <c r="CA34" s="247">
        <f t="shared" ref="CA34:CA48" si="23">SUM(BY34:BZ34)</f>
        <v>0</v>
      </c>
      <c r="CB34" s="187"/>
      <c r="CC34" s="651"/>
      <c r="CD34" s="651"/>
      <c r="CE34" s="653"/>
      <c r="CF34" s="439" t="s">
        <v>42</v>
      </c>
      <c r="CG34" s="190" t="s">
        <v>181</v>
      </c>
      <c r="CH34" s="191"/>
      <c r="CI34" s="192" t="s">
        <v>181</v>
      </c>
      <c r="CJ34" s="439" t="s">
        <v>175</v>
      </c>
      <c r="CK34" s="655"/>
      <c r="CL34" s="651"/>
      <c r="CM34" s="439" t="s">
        <v>15</v>
      </c>
      <c r="CN34" s="439"/>
      <c r="CO34" s="651"/>
      <c r="CP34" s="651"/>
      <c r="CQ34" s="653"/>
      <c r="CR34" s="439" t="s">
        <v>42</v>
      </c>
      <c r="CS34" s="190" t="s">
        <v>181</v>
      </c>
      <c r="CT34" s="191"/>
      <c r="CU34" s="192" t="s">
        <v>181</v>
      </c>
      <c r="CV34" s="439" t="s">
        <v>175</v>
      </c>
      <c r="CW34" s="655"/>
      <c r="CX34" s="651"/>
      <c r="CY34" s="439" t="s">
        <v>15</v>
      </c>
      <c r="CZ34" s="439"/>
      <c r="DA34" s="651"/>
      <c r="DB34" s="651"/>
      <c r="DC34" s="653"/>
      <c r="DD34" s="439" t="s">
        <v>42</v>
      </c>
      <c r="DE34" s="190" t="s">
        <v>181</v>
      </c>
      <c r="DF34" s="191"/>
      <c r="DG34" s="192" t="s">
        <v>181</v>
      </c>
      <c r="DH34" s="439" t="s">
        <v>175</v>
      </c>
      <c r="DI34" s="655"/>
      <c r="DJ34" s="651"/>
      <c r="DK34" s="439" t="s">
        <v>15</v>
      </c>
      <c r="DL34" s="439"/>
      <c r="DM34" s="651"/>
      <c r="DN34" s="651"/>
      <c r="DO34" s="653"/>
      <c r="DP34" s="439" t="s">
        <v>42</v>
      </c>
      <c r="DQ34" s="190" t="s">
        <v>181</v>
      </c>
      <c r="DR34" s="191"/>
      <c r="DS34" s="192" t="s">
        <v>181</v>
      </c>
      <c r="DT34" s="439" t="s">
        <v>175</v>
      </c>
      <c r="DU34" s="655"/>
      <c r="DV34" s="651"/>
      <c r="DW34" s="439" t="s">
        <v>15</v>
      </c>
      <c r="DX34" s="439"/>
      <c r="DY34" s="651"/>
      <c r="DZ34" s="651"/>
      <c r="EA34" s="653"/>
      <c r="EB34" s="439" t="s">
        <v>42</v>
      </c>
      <c r="EC34" s="190" t="s">
        <v>181</v>
      </c>
      <c r="ED34" s="191"/>
      <c r="EE34" s="192" t="s">
        <v>181</v>
      </c>
      <c r="EF34" s="439" t="s">
        <v>175</v>
      </c>
      <c r="EG34" s="655"/>
      <c r="EH34" s="651"/>
      <c r="EI34" s="439" t="s">
        <v>15</v>
      </c>
      <c r="EJ34" s="227"/>
    </row>
    <row r="35" spans="1:140" x14ac:dyDescent="0.3">
      <c r="A35" s="431">
        <v>2</v>
      </c>
      <c r="B35" s="272"/>
      <c r="C35" s="273">
        <f t="shared" si="0"/>
        <v>2</v>
      </c>
      <c r="D35" s="372"/>
      <c r="E35" s="274"/>
      <c r="F35" s="273" t="str">
        <f t="shared" si="1"/>
        <v/>
      </c>
      <c r="G35" s="275" t="str">
        <f t="shared" si="1"/>
        <v/>
      </c>
      <c r="H35" s="276" t="str">
        <f>IF(COUNTIF($E$34:$E$183,E35)=0,"",COUNTIF($E$34:$E$183,E35))</f>
        <v/>
      </c>
      <c r="I35" s="277" t="str">
        <f t="shared" si="3"/>
        <v/>
      </c>
      <c r="J35" s="276" t="str">
        <f t="shared" si="4"/>
        <v/>
      </c>
      <c r="K35" s="276">
        <f t="shared" si="5"/>
        <v>0</v>
      </c>
      <c r="L35" s="278"/>
      <c r="M35" s="279">
        <f t="shared" si="6"/>
        <v>1</v>
      </c>
      <c r="N35" s="360" t="str">
        <f t="shared" si="7"/>
        <v/>
      </c>
      <c r="O35" s="117" t="str">
        <f t="shared" si="8"/>
        <v/>
      </c>
      <c r="P35" s="359" t="str">
        <f t="shared" si="9"/>
        <v/>
      </c>
      <c r="Q35" s="280" t="str">
        <f t="shared" ref="Q35:Q98" si="24">IF(I35="","",IF(N35="---","---",I35/(N35/12*P35/12)))</f>
        <v/>
      </c>
      <c r="R35" s="282" t="str">
        <f t="shared" si="10"/>
        <v/>
      </c>
      <c r="S35" s="283" t="str">
        <f t="shared" si="11"/>
        <v>---</v>
      </c>
      <c r="V35" s="3" t="str">
        <f>IFERROR(VALUE(TEXT(C35,"00")&amp;TEXT(N35,"00")&amp;TEXT(P35,"00")&amp;IF(#REF!="Plato perforado",5,IF(OR(#REF!="N/A",#REF!=""),0,#REF!))),"")</f>
        <v/>
      </c>
      <c r="W35" s="3">
        <v>6</v>
      </c>
      <c r="X35" s="3">
        <v>6</v>
      </c>
      <c r="Y35" s="3">
        <v>2</v>
      </c>
      <c r="AY35" s="187"/>
      <c r="AZ35" s="175" t="str">
        <f>"Difusores de "&amp;W35&amp;""""&amp;" × "&amp;X35&amp;""""&amp;" de "&amp;Y35&amp;" vías:"</f>
        <v>Difusores de 6" × 6" de 2 vías:</v>
      </c>
      <c r="BA35" s="174">
        <f t="shared" ref="BA35:BA63" si="25">COUNTIF($V$34:$V$183,VALUE(1&amp;TEXT(W35,"00")&amp;TEXT(X35,"00")&amp;IF(Y35="plato perforado:",5,IF(Y35=", número de vías por definir:",0,Y35))))</f>
        <v>0</v>
      </c>
      <c r="BB35" s="187"/>
      <c r="BC35" s="103" t="str">
        <f t="shared" si="12"/>
        <v/>
      </c>
      <c r="BD35" s="103" t="str">
        <f t="shared" si="13"/>
        <v/>
      </c>
      <c r="BE35" s="103" t="e">
        <f t="shared" si="14"/>
        <v>#VALUE!</v>
      </c>
      <c r="BF35" s="181">
        <v>6</v>
      </c>
      <c r="BG35" s="181">
        <v>8</v>
      </c>
      <c r="BH35" s="184">
        <f t="shared" ref="BH35:BH98" si="26">(BF35/12)*(BG35/12)</f>
        <v>0.33333333333333331</v>
      </c>
      <c r="BI35" s="185">
        <f t="shared" si="15"/>
        <v>183.33333333333331</v>
      </c>
      <c r="BJ35" s="185">
        <f t="shared" si="16"/>
        <v>0.75</v>
      </c>
      <c r="BK35" s="103">
        <f t="shared" ref="BK35:BK98" si="27">VALUE(TEXT(BF35,"00")&amp;TEXT(BG35,"00"))</f>
        <v>608</v>
      </c>
      <c r="BL35" s="103" t="e">
        <v>#VALUE!</v>
      </c>
      <c r="BM35" s="103">
        <v>6</v>
      </c>
      <c r="BN35" s="103">
        <v>8</v>
      </c>
      <c r="BO35" s="103">
        <v>6</v>
      </c>
      <c r="BP35" s="103">
        <f t="shared" ref="BP35:BQ78" si="28">VALUE(TEXT(BM35,"00")&amp;TEXT(BN35,"00"))</f>
        <v>608</v>
      </c>
      <c r="BQ35" s="103">
        <f t="shared" si="28"/>
        <v>806</v>
      </c>
      <c r="BR35" s="173" t="str">
        <f t="shared" ref="BR35:BR63" si="29">"Rejillas de "&amp;BM35&amp;""""&amp;" × "&amp;BN35&amp;""""&amp;":"</f>
        <v>Rejillas de 6" × 8":</v>
      </c>
      <c r="BS35" s="180">
        <f t="shared" si="17"/>
        <v>0</v>
      </c>
      <c r="BT35" s="180">
        <f t="shared" si="18"/>
        <v>0</v>
      </c>
      <c r="BU35" s="180">
        <f t="shared" ref="BU35:BU63" si="30">SUM(BS35:BT35)</f>
        <v>0</v>
      </c>
      <c r="BV35" s="187"/>
      <c r="BW35" s="103">
        <f t="shared" si="19"/>
        <v>0</v>
      </c>
      <c r="BX35" s="173" t="str">
        <f t="shared" si="20"/>
        <v>Rejillas de 14" × 18":</v>
      </c>
      <c r="BY35" s="180">
        <f t="shared" si="21"/>
        <v>0</v>
      </c>
      <c r="BZ35" s="180">
        <f t="shared" si="22"/>
        <v>0</v>
      </c>
      <c r="CA35" s="180">
        <f t="shared" si="23"/>
        <v>0</v>
      </c>
      <c r="CB35" s="187"/>
      <c r="CC35" s="221" t="str">
        <f t="shared" ref="CC35:CC64" si="31">IF(D34="","",D34)</f>
        <v/>
      </c>
      <c r="CD35" s="220" t="str">
        <f t="shared" ref="CD35:CD64" si="32">IF(B34="","",B34)</f>
        <v/>
      </c>
      <c r="CE35" s="193" t="str">
        <f t="shared" ref="CE35:CE64" si="33">F34</f>
        <v/>
      </c>
      <c r="CF35" s="132" t="str">
        <f t="shared" ref="CF35:CF64" si="34">I34</f>
        <v/>
      </c>
      <c r="CG35" s="208" t="str">
        <f t="shared" ref="CG35:CG64" si="35">N34</f>
        <v/>
      </c>
      <c r="CH35" s="209" t="str">
        <f t="shared" ref="CH35:CH64" si="36">O34</f>
        <v/>
      </c>
      <c r="CI35" s="210" t="str">
        <f t="shared" ref="CI35:CI64" si="37">P34</f>
        <v/>
      </c>
      <c r="CJ35" s="132" t="str">
        <f t="shared" ref="CJ35:CJ64" si="38">Q34</f>
        <v/>
      </c>
      <c r="CK35" s="194" t="e">
        <f>IF(#REF!="Plato perforado","PP",IF(OR(#REF!=0,#REF!=""),"",#REF!))</f>
        <v>#REF!</v>
      </c>
      <c r="CL35" s="195" t="str">
        <f t="shared" ref="CL35:CM64" si="39">R34</f>
        <v/>
      </c>
      <c r="CM35" s="196" t="str">
        <f t="shared" si="39"/>
        <v>---</v>
      </c>
      <c r="CN35" s="197"/>
      <c r="CO35" s="221" t="str">
        <f t="shared" ref="CO35:CO64" si="40">IF(D64="","",D64)</f>
        <v/>
      </c>
      <c r="CP35" s="194" t="str">
        <f t="shared" ref="CP35:CP64" si="41">IF(B64="","",B64)</f>
        <v/>
      </c>
      <c r="CQ35" s="193" t="str">
        <f t="shared" ref="CQ35:CQ64" si="42">F64</f>
        <v/>
      </c>
      <c r="CR35" s="132" t="str">
        <f t="shared" ref="CR35:CR64" si="43">I64</f>
        <v/>
      </c>
      <c r="CS35" s="208" t="str">
        <f t="shared" ref="CS35:CS64" si="44">N64</f>
        <v/>
      </c>
      <c r="CT35" s="209" t="str">
        <f t="shared" ref="CT35:CT64" si="45">O64</f>
        <v/>
      </c>
      <c r="CU35" s="210" t="str">
        <f t="shared" ref="CU35:CU64" si="46">P64</f>
        <v/>
      </c>
      <c r="CV35" s="132" t="str">
        <f t="shared" ref="CV35:CV64" si="47">Q64</f>
        <v/>
      </c>
      <c r="CW35" s="194" t="e">
        <f>IF(#REF!="Plato perforado","PP",IF(OR(#REF!=0,#REF!=""),"",#REF!))</f>
        <v>#REF!</v>
      </c>
      <c r="CX35" s="195" t="str">
        <f t="shared" ref="CX35:CY64" si="48">R64</f>
        <v/>
      </c>
      <c r="CY35" s="196" t="str">
        <f t="shared" si="48"/>
        <v>---</v>
      </c>
      <c r="CZ35" s="197"/>
      <c r="DA35" s="221" t="str">
        <f t="shared" ref="DA35:DA64" si="49">IF(D94="","",D94)</f>
        <v/>
      </c>
      <c r="DB35" s="194" t="str">
        <f t="shared" ref="DB35:DB64" si="50">IF(B94="","",B94)</f>
        <v/>
      </c>
      <c r="DC35" s="193" t="str">
        <f t="shared" ref="DC35:DC64" si="51">F94</f>
        <v/>
      </c>
      <c r="DD35" s="132" t="str">
        <f t="shared" ref="DD35:DD64" si="52">I94</f>
        <v/>
      </c>
      <c r="DE35" s="208" t="str">
        <f t="shared" ref="DE35:DE64" si="53">N94</f>
        <v/>
      </c>
      <c r="DF35" s="209" t="str">
        <f t="shared" ref="DF35:DF64" si="54">O94</f>
        <v/>
      </c>
      <c r="DG35" s="210" t="str">
        <f t="shared" ref="DG35:DG64" si="55">P94</f>
        <v/>
      </c>
      <c r="DH35" s="132" t="str">
        <f t="shared" ref="DH35:DH64" si="56">Q94</f>
        <v/>
      </c>
      <c r="DI35" s="194" t="e">
        <f>IF(#REF!="Plato perforado","PP",IF(OR(#REF!=0,#REF!=""),"",#REF!))</f>
        <v>#REF!</v>
      </c>
      <c r="DJ35" s="195" t="str">
        <f t="shared" ref="DJ35:DK64" si="57">R94</f>
        <v/>
      </c>
      <c r="DK35" s="196" t="str">
        <f t="shared" si="57"/>
        <v>---</v>
      </c>
      <c r="DL35" s="197"/>
      <c r="DM35" s="221" t="str">
        <f t="shared" ref="DM35:DM64" si="58">IF(D124="","",D124)</f>
        <v/>
      </c>
      <c r="DN35" s="194" t="str">
        <f t="shared" ref="DN35:DN64" si="59">IF(B124="","",B124)</f>
        <v/>
      </c>
      <c r="DO35" s="193" t="str">
        <f t="shared" ref="DO35:DO64" si="60">F124</f>
        <v/>
      </c>
      <c r="DP35" s="132" t="str">
        <f t="shared" ref="DP35:DP64" si="61">I124</f>
        <v/>
      </c>
      <c r="DQ35" s="208" t="str">
        <f t="shared" ref="DQ35:DQ64" si="62">N124</f>
        <v/>
      </c>
      <c r="DR35" s="209" t="str">
        <f t="shared" ref="DR35:DR64" si="63">O124</f>
        <v/>
      </c>
      <c r="DS35" s="210" t="str">
        <f t="shared" ref="DS35:DS64" si="64">P124</f>
        <v/>
      </c>
      <c r="DT35" s="132" t="str">
        <f t="shared" ref="DT35:DT64" si="65">Q124</f>
        <v/>
      </c>
      <c r="DU35" s="194" t="e">
        <f>IF(#REF!="Plato perforado","PP",IF(OR(#REF!=0,#REF!=""),"",#REF!))</f>
        <v>#REF!</v>
      </c>
      <c r="DV35" s="195" t="str">
        <f t="shared" ref="DV35:DW64" si="66">R124</f>
        <v/>
      </c>
      <c r="DW35" s="196" t="str">
        <f t="shared" si="66"/>
        <v>---</v>
      </c>
      <c r="DX35" s="197"/>
      <c r="DY35" s="221" t="str">
        <f t="shared" ref="DY35:DY64" si="67">IF(D154="","",D154)</f>
        <v/>
      </c>
      <c r="DZ35" s="194" t="str">
        <f t="shared" ref="DZ35:DZ64" si="68">IF(B154="","",B154)</f>
        <v/>
      </c>
      <c r="EA35" s="193" t="str">
        <f t="shared" ref="EA35:EA64" si="69">F154</f>
        <v/>
      </c>
      <c r="EB35" s="132" t="str">
        <f t="shared" ref="EB35:EB64" si="70">I154</f>
        <v/>
      </c>
      <c r="EC35" s="208" t="str">
        <f t="shared" ref="EC35:EC64" si="71">N154</f>
        <v/>
      </c>
      <c r="ED35" s="209" t="str">
        <f t="shared" ref="ED35:ED64" si="72">O154</f>
        <v/>
      </c>
      <c r="EE35" s="210" t="str">
        <f t="shared" ref="EE35:EE64" si="73">P154</f>
        <v/>
      </c>
      <c r="EF35" s="132" t="str">
        <f t="shared" ref="EF35:EF64" si="74">Q154</f>
        <v/>
      </c>
      <c r="EG35" s="194" t="e">
        <f>IF(#REF!="Plato perforado","PP",IF(OR(#REF!=0,#REF!=""),"",#REF!))</f>
        <v>#REF!</v>
      </c>
      <c r="EH35" s="195" t="str">
        <f t="shared" ref="EH35:EI64" si="75">R154</f>
        <v/>
      </c>
      <c r="EI35" s="196" t="str">
        <f t="shared" si="75"/>
        <v>---</v>
      </c>
      <c r="EJ35" s="228"/>
    </row>
    <row r="36" spans="1:140" x14ac:dyDescent="0.3">
      <c r="A36" s="431">
        <v>3</v>
      </c>
      <c r="B36" s="284"/>
      <c r="C36" s="285">
        <f t="shared" si="0"/>
        <v>2</v>
      </c>
      <c r="D36" s="373"/>
      <c r="E36" s="286"/>
      <c r="F36" s="285" t="str">
        <f t="shared" si="1"/>
        <v/>
      </c>
      <c r="G36" s="287" t="str">
        <f t="shared" si="1"/>
        <v/>
      </c>
      <c r="H36" s="288" t="str">
        <f t="shared" si="2"/>
        <v/>
      </c>
      <c r="I36" s="289" t="str">
        <f t="shared" si="3"/>
        <v/>
      </c>
      <c r="J36" s="288" t="str">
        <f t="shared" si="4"/>
        <v/>
      </c>
      <c r="K36" s="288">
        <f t="shared" si="5"/>
        <v>0</v>
      </c>
      <c r="L36" s="290"/>
      <c r="M36" s="291">
        <f t="shared" si="6"/>
        <v>1</v>
      </c>
      <c r="N36" s="466" t="str">
        <f t="shared" si="7"/>
        <v/>
      </c>
      <c r="O36" s="302" t="str">
        <f t="shared" si="8"/>
        <v/>
      </c>
      <c r="P36" s="468" t="str">
        <f t="shared" si="9"/>
        <v/>
      </c>
      <c r="Q36" s="292" t="str">
        <f t="shared" si="24"/>
        <v/>
      </c>
      <c r="R36" s="294" t="str">
        <f t="shared" si="10"/>
        <v/>
      </c>
      <c r="S36" s="295" t="str">
        <f t="shared" si="11"/>
        <v>---</v>
      </c>
      <c r="V36" s="3" t="str">
        <f>IFERROR(VALUE(TEXT(C36,"00")&amp;TEXT(N36,"00")&amp;TEXT(P36,"00")&amp;IF(#REF!="Plato perforado",5,IF(OR(#REF!="N/A",#REF!=""),0,#REF!))),"")</f>
        <v/>
      </c>
      <c r="W36" s="3">
        <v>6</v>
      </c>
      <c r="X36" s="3">
        <v>6</v>
      </c>
      <c r="Y36" s="3">
        <v>3</v>
      </c>
      <c r="AY36" s="187"/>
      <c r="AZ36" s="175" t="str">
        <f t="shared" ref="AZ36:AZ37" si="76">"Difusores de "&amp;W36&amp;""""&amp;" × "&amp;X36&amp;""""&amp;" de "&amp;Y36&amp;" vías:"</f>
        <v>Difusores de 6" × 6" de 3 vías:</v>
      </c>
      <c r="BA36" s="174">
        <f t="shared" si="25"/>
        <v>0</v>
      </c>
      <c r="BB36" s="187"/>
      <c r="BC36" s="103" t="str">
        <f t="shared" si="12"/>
        <v/>
      </c>
      <c r="BD36" s="103" t="str">
        <f t="shared" si="13"/>
        <v/>
      </c>
      <c r="BE36" s="103" t="e">
        <f t="shared" si="14"/>
        <v>#VALUE!</v>
      </c>
      <c r="BF36" s="181">
        <v>6</v>
      </c>
      <c r="BG36" s="181">
        <v>10</v>
      </c>
      <c r="BH36" s="184">
        <f t="shared" si="26"/>
        <v>0.41666666666666669</v>
      </c>
      <c r="BI36" s="185">
        <f t="shared" si="15"/>
        <v>229.16666666666669</v>
      </c>
      <c r="BJ36" s="185">
        <f t="shared" si="16"/>
        <v>0.6</v>
      </c>
      <c r="BK36" s="103">
        <f t="shared" si="27"/>
        <v>610</v>
      </c>
      <c r="BL36" s="103" t="e">
        <v>#VALUE!</v>
      </c>
      <c r="BM36" s="103">
        <v>6</v>
      </c>
      <c r="BN36" s="103">
        <v>10</v>
      </c>
      <c r="BO36" s="103">
        <v>6</v>
      </c>
      <c r="BP36" s="103">
        <f t="shared" si="28"/>
        <v>610</v>
      </c>
      <c r="BQ36" s="103">
        <f t="shared" si="28"/>
        <v>1006</v>
      </c>
      <c r="BR36" s="173" t="str">
        <f t="shared" si="29"/>
        <v>Rejillas de 6" × 10":</v>
      </c>
      <c r="BS36" s="180">
        <f t="shared" si="17"/>
        <v>0</v>
      </c>
      <c r="BT36" s="180">
        <f t="shared" si="18"/>
        <v>0</v>
      </c>
      <c r="BU36" s="180">
        <f t="shared" si="30"/>
        <v>0</v>
      </c>
      <c r="BV36" s="187"/>
      <c r="BW36" s="103">
        <f t="shared" si="19"/>
        <v>0</v>
      </c>
      <c r="BX36" s="173" t="str">
        <f t="shared" si="20"/>
        <v>Rejillas de 14" × 20":</v>
      </c>
      <c r="BY36" s="180">
        <f t="shared" si="21"/>
        <v>0</v>
      </c>
      <c r="BZ36" s="180">
        <f t="shared" si="22"/>
        <v>0</v>
      </c>
      <c r="CA36" s="180">
        <f t="shared" si="23"/>
        <v>0</v>
      </c>
      <c r="CB36" s="187"/>
      <c r="CC36" s="222" t="str">
        <f t="shared" si="31"/>
        <v/>
      </c>
      <c r="CD36" s="217" t="str">
        <f t="shared" si="32"/>
        <v/>
      </c>
      <c r="CE36" s="198" t="str">
        <f t="shared" si="33"/>
        <v/>
      </c>
      <c r="CF36" s="138" t="str">
        <f t="shared" si="34"/>
        <v/>
      </c>
      <c r="CG36" s="211" t="str">
        <f t="shared" si="35"/>
        <v/>
      </c>
      <c r="CH36" s="212" t="str">
        <f t="shared" si="36"/>
        <v/>
      </c>
      <c r="CI36" s="213" t="str">
        <f t="shared" si="37"/>
        <v/>
      </c>
      <c r="CJ36" s="138" t="str">
        <f t="shared" si="38"/>
        <v/>
      </c>
      <c r="CK36" s="199" t="e">
        <f>IF(#REF!="Plato perforado","PP",IF(OR(#REF!=0,#REF!=""),"",#REF!))</f>
        <v>#REF!</v>
      </c>
      <c r="CL36" s="200" t="str">
        <f t="shared" si="39"/>
        <v/>
      </c>
      <c r="CM36" s="201" t="str">
        <f t="shared" si="39"/>
        <v>---</v>
      </c>
      <c r="CN36" s="202"/>
      <c r="CO36" s="222" t="str">
        <f t="shared" si="40"/>
        <v/>
      </c>
      <c r="CP36" s="199" t="str">
        <f t="shared" si="41"/>
        <v/>
      </c>
      <c r="CQ36" s="198" t="str">
        <f t="shared" si="42"/>
        <v/>
      </c>
      <c r="CR36" s="138" t="str">
        <f t="shared" si="43"/>
        <v/>
      </c>
      <c r="CS36" s="211" t="str">
        <f t="shared" si="44"/>
        <v/>
      </c>
      <c r="CT36" s="212" t="str">
        <f t="shared" si="45"/>
        <v/>
      </c>
      <c r="CU36" s="213" t="str">
        <f t="shared" si="46"/>
        <v/>
      </c>
      <c r="CV36" s="138" t="str">
        <f t="shared" si="47"/>
        <v/>
      </c>
      <c r="CW36" s="199" t="e">
        <f>IF(#REF!="Plato perforado","PP",IF(OR(#REF!=0,#REF!=""),"",#REF!))</f>
        <v>#REF!</v>
      </c>
      <c r="CX36" s="200" t="str">
        <f t="shared" si="48"/>
        <v/>
      </c>
      <c r="CY36" s="201" t="str">
        <f t="shared" si="48"/>
        <v>---</v>
      </c>
      <c r="CZ36" s="202"/>
      <c r="DA36" s="222" t="str">
        <f t="shared" si="49"/>
        <v/>
      </c>
      <c r="DB36" s="199" t="str">
        <f t="shared" si="50"/>
        <v/>
      </c>
      <c r="DC36" s="198" t="str">
        <f t="shared" si="51"/>
        <v/>
      </c>
      <c r="DD36" s="138" t="str">
        <f t="shared" si="52"/>
        <v/>
      </c>
      <c r="DE36" s="211" t="str">
        <f t="shared" si="53"/>
        <v/>
      </c>
      <c r="DF36" s="212" t="str">
        <f t="shared" si="54"/>
        <v/>
      </c>
      <c r="DG36" s="213" t="str">
        <f t="shared" si="55"/>
        <v/>
      </c>
      <c r="DH36" s="138" t="str">
        <f t="shared" si="56"/>
        <v/>
      </c>
      <c r="DI36" s="199" t="e">
        <f>IF(#REF!="Plato perforado","PP",IF(OR(#REF!=0,#REF!=""),"",#REF!))</f>
        <v>#REF!</v>
      </c>
      <c r="DJ36" s="200" t="str">
        <f t="shared" si="57"/>
        <v/>
      </c>
      <c r="DK36" s="201" t="str">
        <f t="shared" si="57"/>
        <v>---</v>
      </c>
      <c r="DL36" s="202"/>
      <c r="DM36" s="222" t="str">
        <f t="shared" si="58"/>
        <v/>
      </c>
      <c r="DN36" s="199" t="str">
        <f t="shared" si="59"/>
        <v/>
      </c>
      <c r="DO36" s="198" t="str">
        <f t="shared" si="60"/>
        <v/>
      </c>
      <c r="DP36" s="138" t="str">
        <f t="shared" si="61"/>
        <v/>
      </c>
      <c r="DQ36" s="211" t="str">
        <f t="shared" si="62"/>
        <v/>
      </c>
      <c r="DR36" s="212" t="str">
        <f t="shared" si="63"/>
        <v/>
      </c>
      <c r="DS36" s="213" t="str">
        <f t="shared" si="64"/>
        <v/>
      </c>
      <c r="DT36" s="138" t="str">
        <f t="shared" si="65"/>
        <v/>
      </c>
      <c r="DU36" s="199" t="e">
        <f>IF(#REF!="Plato perforado","PP",IF(OR(#REF!=0,#REF!=""),"",#REF!))</f>
        <v>#REF!</v>
      </c>
      <c r="DV36" s="200" t="str">
        <f t="shared" si="66"/>
        <v/>
      </c>
      <c r="DW36" s="201" t="str">
        <f t="shared" si="66"/>
        <v>---</v>
      </c>
      <c r="DX36" s="202"/>
      <c r="DY36" s="222" t="str">
        <f t="shared" si="67"/>
        <v/>
      </c>
      <c r="DZ36" s="199" t="str">
        <f t="shared" si="68"/>
        <v/>
      </c>
      <c r="EA36" s="198" t="str">
        <f t="shared" si="69"/>
        <v/>
      </c>
      <c r="EB36" s="138" t="str">
        <f t="shared" si="70"/>
        <v/>
      </c>
      <c r="EC36" s="211" t="str">
        <f t="shared" si="71"/>
        <v/>
      </c>
      <c r="ED36" s="212" t="str">
        <f t="shared" si="72"/>
        <v/>
      </c>
      <c r="EE36" s="213" t="str">
        <f t="shared" si="73"/>
        <v/>
      </c>
      <c r="EF36" s="138" t="str">
        <f t="shared" si="74"/>
        <v/>
      </c>
      <c r="EG36" s="199" t="e">
        <f>IF(#REF!="Plato perforado","PP",IF(OR(#REF!=0,#REF!=""),"",#REF!))</f>
        <v>#REF!</v>
      </c>
      <c r="EH36" s="200" t="str">
        <f t="shared" si="75"/>
        <v/>
      </c>
      <c r="EI36" s="201" t="str">
        <f t="shared" si="75"/>
        <v>---</v>
      </c>
      <c r="EJ36" s="229"/>
    </row>
    <row r="37" spans="1:140" x14ac:dyDescent="0.3">
      <c r="A37" s="431">
        <v>4</v>
      </c>
      <c r="B37" s="260"/>
      <c r="C37" s="261">
        <f t="shared" si="0"/>
        <v>2</v>
      </c>
      <c r="D37" s="371"/>
      <c r="E37" s="262"/>
      <c r="F37" s="261" t="str">
        <f t="shared" si="1"/>
        <v/>
      </c>
      <c r="G37" s="263" t="str">
        <f t="shared" si="1"/>
        <v/>
      </c>
      <c r="H37" s="264" t="str">
        <f t="shared" si="2"/>
        <v/>
      </c>
      <c r="I37" s="265" t="str">
        <f t="shared" si="3"/>
        <v/>
      </c>
      <c r="J37" s="264" t="str">
        <f t="shared" si="4"/>
        <v/>
      </c>
      <c r="K37" s="264">
        <f t="shared" si="5"/>
        <v>0</v>
      </c>
      <c r="L37" s="266"/>
      <c r="M37" s="267">
        <f t="shared" si="6"/>
        <v>1</v>
      </c>
      <c r="N37" s="465" t="str">
        <f t="shared" si="7"/>
        <v/>
      </c>
      <c r="O37" s="297" t="str">
        <f t="shared" si="8"/>
        <v/>
      </c>
      <c r="P37" s="467" t="str">
        <f t="shared" si="9"/>
        <v/>
      </c>
      <c r="Q37" s="268" t="str">
        <f t="shared" si="24"/>
        <v/>
      </c>
      <c r="R37" s="270" t="str">
        <f t="shared" si="10"/>
        <v/>
      </c>
      <c r="S37" s="271" t="str">
        <f t="shared" si="11"/>
        <v>---</v>
      </c>
      <c r="V37" s="3" t="str">
        <f>IFERROR(VALUE(TEXT(C37,"00")&amp;TEXT(N37,"00")&amp;TEXT(P37,"00")&amp;IF(#REF!="Plato perforado",5,IF(OR(#REF!="N/A",#REF!=""),0,#REF!))),"")</f>
        <v/>
      </c>
      <c r="W37" s="3">
        <v>6</v>
      </c>
      <c r="X37" s="3">
        <v>6</v>
      </c>
      <c r="Y37" s="3">
        <v>4</v>
      </c>
      <c r="AY37" s="187"/>
      <c r="AZ37" s="175" t="str">
        <f t="shared" si="76"/>
        <v>Difusores de 6" × 6" de 4 vías:</v>
      </c>
      <c r="BA37" s="174">
        <f t="shared" si="25"/>
        <v>0</v>
      </c>
      <c r="BB37" s="187"/>
      <c r="BC37" s="103" t="str">
        <f t="shared" si="12"/>
        <v/>
      </c>
      <c r="BD37" s="103" t="str">
        <f t="shared" si="13"/>
        <v/>
      </c>
      <c r="BE37" s="103" t="e">
        <f t="shared" si="14"/>
        <v>#VALUE!</v>
      </c>
      <c r="BF37" s="181">
        <v>6</v>
      </c>
      <c r="BG37" s="181">
        <v>12</v>
      </c>
      <c r="BH37" s="184">
        <f t="shared" si="26"/>
        <v>0.5</v>
      </c>
      <c r="BI37" s="185">
        <f t="shared" si="15"/>
        <v>275</v>
      </c>
      <c r="BJ37" s="185">
        <f t="shared" si="16"/>
        <v>0.5</v>
      </c>
      <c r="BK37" s="103">
        <f t="shared" si="27"/>
        <v>612</v>
      </c>
      <c r="BL37" s="103" t="e">
        <v>#VALUE!</v>
      </c>
      <c r="BM37" s="103">
        <v>6</v>
      </c>
      <c r="BN37" s="103">
        <v>12</v>
      </c>
      <c r="BO37" s="103">
        <v>6</v>
      </c>
      <c r="BP37" s="103">
        <f t="shared" si="28"/>
        <v>612</v>
      </c>
      <c r="BQ37" s="103">
        <f t="shared" si="28"/>
        <v>1206</v>
      </c>
      <c r="BR37" s="173" t="str">
        <f t="shared" si="29"/>
        <v>Rejillas de 6" × 12":</v>
      </c>
      <c r="BS37" s="180">
        <f t="shared" si="17"/>
        <v>0</v>
      </c>
      <c r="BT37" s="180">
        <f t="shared" si="18"/>
        <v>0</v>
      </c>
      <c r="BU37" s="180">
        <f t="shared" si="30"/>
        <v>0</v>
      </c>
      <c r="BV37" s="187"/>
      <c r="BW37" s="103">
        <f t="shared" si="19"/>
        <v>0</v>
      </c>
      <c r="BX37" s="173" t="str">
        <f t="shared" si="20"/>
        <v>Rejillas de 14" × 22":</v>
      </c>
      <c r="BY37" s="180">
        <f t="shared" si="21"/>
        <v>0</v>
      </c>
      <c r="BZ37" s="180">
        <f t="shared" si="22"/>
        <v>0</v>
      </c>
      <c r="CA37" s="180">
        <f t="shared" si="23"/>
        <v>0</v>
      </c>
      <c r="CB37" s="187"/>
      <c r="CC37" s="222" t="str">
        <f t="shared" si="31"/>
        <v/>
      </c>
      <c r="CD37" s="218" t="str">
        <f t="shared" si="32"/>
        <v/>
      </c>
      <c r="CE37" s="198" t="str">
        <f t="shared" si="33"/>
        <v/>
      </c>
      <c r="CF37" s="138" t="str">
        <f t="shared" si="34"/>
        <v/>
      </c>
      <c r="CG37" s="211" t="str">
        <f t="shared" si="35"/>
        <v/>
      </c>
      <c r="CH37" s="212" t="str">
        <f t="shared" si="36"/>
        <v/>
      </c>
      <c r="CI37" s="213" t="str">
        <f t="shared" si="37"/>
        <v/>
      </c>
      <c r="CJ37" s="138" t="str">
        <f t="shared" si="38"/>
        <v/>
      </c>
      <c r="CK37" s="199" t="e">
        <f>IF(#REF!="Plato perforado","PP",IF(OR(#REF!=0,#REF!=""),"",#REF!))</f>
        <v>#REF!</v>
      </c>
      <c r="CL37" s="200" t="str">
        <f t="shared" si="39"/>
        <v/>
      </c>
      <c r="CM37" s="201" t="str">
        <f t="shared" si="39"/>
        <v>---</v>
      </c>
      <c r="CN37" s="202"/>
      <c r="CO37" s="222" t="str">
        <f t="shared" si="40"/>
        <v/>
      </c>
      <c r="CP37" s="199" t="str">
        <f t="shared" si="41"/>
        <v/>
      </c>
      <c r="CQ37" s="198" t="str">
        <f t="shared" si="42"/>
        <v/>
      </c>
      <c r="CR37" s="138" t="str">
        <f t="shared" si="43"/>
        <v/>
      </c>
      <c r="CS37" s="211" t="str">
        <f t="shared" si="44"/>
        <v/>
      </c>
      <c r="CT37" s="212" t="str">
        <f t="shared" si="45"/>
        <v/>
      </c>
      <c r="CU37" s="213" t="str">
        <f t="shared" si="46"/>
        <v/>
      </c>
      <c r="CV37" s="138" t="str">
        <f t="shared" si="47"/>
        <v/>
      </c>
      <c r="CW37" s="199" t="e">
        <f>IF(#REF!="Plato perforado","PP",IF(OR(#REF!=0,#REF!=""),"",#REF!))</f>
        <v>#REF!</v>
      </c>
      <c r="CX37" s="200" t="str">
        <f t="shared" si="48"/>
        <v/>
      </c>
      <c r="CY37" s="201" t="str">
        <f t="shared" si="48"/>
        <v>---</v>
      </c>
      <c r="CZ37" s="202"/>
      <c r="DA37" s="222" t="str">
        <f t="shared" si="49"/>
        <v/>
      </c>
      <c r="DB37" s="199" t="str">
        <f t="shared" si="50"/>
        <v/>
      </c>
      <c r="DC37" s="198" t="str">
        <f t="shared" si="51"/>
        <v/>
      </c>
      <c r="DD37" s="138" t="str">
        <f t="shared" si="52"/>
        <v/>
      </c>
      <c r="DE37" s="211" t="str">
        <f t="shared" si="53"/>
        <v/>
      </c>
      <c r="DF37" s="212" t="str">
        <f t="shared" si="54"/>
        <v/>
      </c>
      <c r="DG37" s="213" t="str">
        <f t="shared" si="55"/>
        <v/>
      </c>
      <c r="DH37" s="138" t="str">
        <f t="shared" si="56"/>
        <v/>
      </c>
      <c r="DI37" s="199" t="e">
        <f>IF(#REF!="Plato perforado","PP",IF(OR(#REF!=0,#REF!=""),"",#REF!))</f>
        <v>#REF!</v>
      </c>
      <c r="DJ37" s="200" t="str">
        <f t="shared" si="57"/>
        <v/>
      </c>
      <c r="DK37" s="201" t="str">
        <f t="shared" si="57"/>
        <v>---</v>
      </c>
      <c r="DL37" s="202"/>
      <c r="DM37" s="222" t="str">
        <f t="shared" si="58"/>
        <v/>
      </c>
      <c r="DN37" s="199" t="str">
        <f t="shared" si="59"/>
        <v/>
      </c>
      <c r="DO37" s="198" t="str">
        <f t="shared" si="60"/>
        <v/>
      </c>
      <c r="DP37" s="138" t="str">
        <f t="shared" si="61"/>
        <v/>
      </c>
      <c r="DQ37" s="211" t="str">
        <f t="shared" si="62"/>
        <v/>
      </c>
      <c r="DR37" s="212" t="str">
        <f t="shared" si="63"/>
        <v/>
      </c>
      <c r="DS37" s="213" t="str">
        <f t="shared" si="64"/>
        <v/>
      </c>
      <c r="DT37" s="138" t="str">
        <f t="shared" si="65"/>
        <v/>
      </c>
      <c r="DU37" s="199" t="e">
        <f>IF(#REF!="Plato perforado","PP",IF(OR(#REF!=0,#REF!=""),"",#REF!))</f>
        <v>#REF!</v>
      </c>
      <c r="DV37" s="200" t="str">
        <f t="shared" si="66"/>
        <v/>
      </c>
      <c r="DW37" s="201" t="str">
        <f t="shared" si="66"/>
        <v>---</v>
      </c>
      <c r="DX37" s="202"/>
      <c r="DY37" s="222" t="str">
        <f t="shared" si="67"/>
        <v/>
      </c>
      <c r="DZ37" s="199" t="str">
        <f t="shared" si="68"/>
        <v/>
      </c>
      <c r="EA37" s="198" t="str">
        <f t="shared" si="69"/>
        <v/>
      </c>
      <c r="EB37" s="138" t="str">
        <f t="shared" si="70"/>
        <v/>
      </c>
      <c r="EC37" s="211" t="str">
        <f t="shared" si="71"/>
        <v/>
      </c>
      <c r="ED37" s="212" t="str">
        <f t="shared" si="72"/>
        <v/>
      </c>
      <c r="EE37" s="213" t="str">
        <f t="shared" si="73"/>
        <v/>
      </c>
      <c r="EF37" s="138" t="str">
        <f t="shared" si="74"/>
        <v/>
      </c>
      <c r="EG37" s="199" t="e">
        <f>IF(#REF!="Plato perforado","PP",IF(OR(#REF!=0,#REF!=""),"",#REF!))</f>
        <v>#REF!</v>
      </c>
      <c r="EH37" s="200" t="str">
        <f t="shared" si="75"/>
        <v/>
      </c>
      <c r="EI37" s="201" t="str">
        <f t="shared" si="75"/>
        <v>---</v>
      </c>
      <c r="EJ37" s="229"/>
    </row>
    <row r="38" spans="1:140" x14ac:dyDescent="0.3">
      <c r="A38" s="431">
        <v>5</v>
      </c>
      <c r="B38" s="272"/>
      <c r="C38" s="273">
        <f t="shared" si="0"/>
        <v>2</v>
      </c>
      <c r="D38" s="372"/>
      <c r="E38" s="274"/>
      <c r="F38" s="273" t="str">
        <f t="shared" si="1"/>
        <v/>
      </c>
      <c r="G38" s="275" t="str">
        <f t="shared" si="1"/>
        <v/>
      </c>
      <c r="H38" s="276" t="str">
        <f t="shared" si="2"/>
        <v/>
      </c>
      <c r="I38" s="277" t="str">
        <f t="shared" si="3"/>
        <v/>
      </c>
      <c r="J38" s="276" t="str">
        <f t="shared" si="4"/>
        <v/>
      </c>
      <c r="K38" s="276">
        <f t="shared" si="5"/>
        <v>0</v>
      </c>
      <c r="L38" s="278"/>
      <c r="M38" s="279">
        <f t="shared" si="6"/>
        <v>1</v>
      </c>
      <c r="N38" s="360" t="str">
        <f t="shared" si="7"/>
        <v/>
      </c>
      <c r="O38" s="117" t="str">
        <f t="shared" si="8"/>
        <v/>
      </c>
      <c r="P38" s="359" t="str">
        <f t="shared" si="9"/>
        <v/>
      </c>
      <c r="Q38" s="280" t="str">
        <f t="shared" si="24"/>
        <v/>
      </c>
      <c r="R38" s="282" t="str">
        <f t="shared" si="10"/>
        <v/>
      </c>
      <c r="S38" s="283" t="str">
        <f t="shared" si="11"/>
        <v>---</v>
      </c>
      <c r="V38" s="3" t="str">
        <f>IFERROR(VALUE(TEXT(C38,"00")&amp;TEXT(N38,"00")&amp;TEXT(P38,"00")&amp;IF(#REF!="Plato perforado",5,IF(OR(#REF!="N/A",#REF!=""),0,#REF!))),"")</f>
        <v/>
      </c>
      <c r="W38" s="3">
        <v>6</v>
      </c>
      <c r="X38" s="3">
        <v>6</v>
      </c>
      <c r="Y38" s="3" t="s">
        <v>178</v>
      </c>
      <c r="AY38" s="187"/>
      <c r="AZ38" s="175" t="str">
        <f>"Difusores de "&amp;W38&amp;""""&amp;" × "&amp;X38&amp;""""&amp;" de "&amp;Y38</f>
        <v>Difusores de 6" × 6" de plato perforado:</v>
      </c>
      <c r="BA38" s="174">
        <f t="shared" si="25"/>
        <v>0</v>
      </c>
      <c r="BB38" s="187"/>
      <c r="BC38" s="103" t="str">
        <f t="shared" si="12"/>
        <v/>
      </c>
      <c r="BD38" s="103" t="str">
        <f t="shared" si="13"/>
        <v/>
      </c>
      <c r="BE38" s="103" t="e">
        <f t="shared" si="14"/>
        <v>#VALUE!</v>
      </c>
      <c r="BF38" s="181">
        <v>6</v>
      </c>
      <c r="BG38" s="181">
        <v>14</v>
      </c>
      <c r="BH38" s="184">
        <f t="shared" si="26"/>
        <v>0.58333333333333337</v>
      </c>
      <c r="BI38" s="185">
        <f t="shared" si="15"/>
        <v>320.83333333333337</v>
      </c>
      <c r="BJ38" s="185">
        <f t="shared" si="16"/>
        <v>0.42857142857142855</v>
      </c>
      <c r="BK38" s="103">
        <f t="shared" si="27"/>
        <v>614</v>
      </c>
      <c r="BL38" s="103" t="e">
        <v>#VALUE!</v>
      </c>
      <c r="BM38" s="103">
        <v>6</v>
      </c>
      <c r="BN38" s="103">
        <v>14</v>
      </c>
      <c r="BO38" s="103">
        <v>6</v>
      </c>
      <c r="BP38" s="103">
        <f t="shared" si="28"/>
        <v>614</v>
      </c>
      <c r="BQ38" s="103">
        <f t="shared" si="28"/>
        <v>1406</v>
      </c>
      <c r="BR38" s="173" t="str">
        <f t="shared" si="29"/>
        <v>Rejillas de 6" × 14":</v>
      </c>
      <c r="BS38" s="180">
        <f t="shared" si="17"/>
        <v>0</v>
      </c>
      <c r="BT38" s="180">
        <f t="shared" si="18"/>
        <v>0</v>
      </c>
      <c r="BU38" s="180">
        <f t="shared" si="30"/>
        <v>0</v>
      </c>
      <c r="BV38" s="187"/>
      <c r="BW38" s="103">
        <f t="shared" si="19"/>
        <v>0</v>
      </c>
      <c r="BX38" s="173" t="str">
        <f t="shared" si="20"/>
        <v>Rejillas de 14" × 24":</v>
      </c>
      <c r="BY38" s="180">
        <f t="shared" si="21"/>
        <v>0</v>
      </c>
      <c r="BZ38" s="180">
        <f t="shared" si="22"/>
        <v>0</v>
      </c>
      <c r="CA38" s="180">
        <f t="shared" si="23"/>
        <v>0</v>
      </c>
      <c r="CB38" s="187"/>
      <c r="CC38" s="222" t="str">
        <f t="shared" si="31"/>
        <v/>
      </c>
      <c r="CD38" s="218" t="str">
        <f t="shared" si="32"/>
        <v/>
      </c>
      <c r="CE38" s="198" t="str">
        <f t="shared" si="33"/>
        <v/>
      </c>
      <c r="CF38" s="138" t="str">
        <f t="shared" si="34"/>
        <v/>
      </c>
      <c r="CG38" s="211" t="str">
        <f t="shared" si="35"/>
        <v/>
      </c>
      <c r="CH38" s="212" t="str">
        <f t="shared" si="36"/>
        <v/>
      </c>
      <c r="CI38" s="213" t="str">
        <f t="shared" si="37"/>
        <v/>
      </c>
      <c r="CJ38" s="138" t="str">
        <f t="shared" si="38"/>
        <v/>
      </c>
      <c r="CK38" s="199" t="e">
        <f>IF(#REF!="Plato perforado","PP",IF(OR(#REF!=0,#REF!=""),"",#REF!))</f>
        <v>#REF!</v>
      </c>
      <c r="CL38" s="200" t="str">
        <f t="shared" si="39"/>
        <v/>
      </c>
      <c r="CM38" s="201" t="str">
        <f t="shared" si="39"/>
        <v>---</v>
      </c>
      <c r="CN38" s="202"/>
      <c r="CO38" s="222" t="str">
        <f t="shared" si="40"/>
        <v/>
      </c>
      <c r="CP38" s="199" t="str">
        <f t="shared" si="41"/>
        <v/>
      </c>
      <c r="CQ38" s="198" t="str">
        <f t="shared" si="42"/>
        <v/>
      </c>
      <c r="CR38" s="138" t="str">
        <f t="shared" si="43"/>
        <v/>
      </c>
      <c r="CS38" s="211" t="str">
        <f t="shared" si="44"/>
        <v/>
      </c>
      <c r="CT38" s="212" t="str">
        <f t="shared" si="45"/>
        <v/>
      </c>
      <c r="CU38" s="213" t="str">
        <f t="shared" si="46"/>
        <v/>
      </c>
      <c r="CV38" s="138" t="str">
        <f t="shared" si="47"/>
        <v/>
      </c>
      <c r="CW38" s="199" t="e">
        <f>IF(#REF!="Plato perforado","PP",IF(OR(#REF!=0,#REF!=""),"",#REF!))</f>
        <v>#REF!</v>
      </c>
      <c r="CX38" s="200" t="str">
        <f t="shared" si="48"/>
        <v/>
      </c>
      <c r="CY38" s="201" t="str">
        <f t="shared" si="48"/>
        <v>---</v>
      </c>
      <c r="CZ38" s="202"/>
      <c r="DA38" s="222" t="str">
        <f t="shared" si="49"/>
        <v/>
      </c>
      <c r="DB38" s="199" t="str">
        <f t="shared" si="50"/>
        <v/>
      </c>
      <c r="DC38" s="198" t="str">
        <f t="shared" si="51"/>
        <v/>
      </c>
      <c r="DD38" s="138" t="str">
        <f t="shared" si="52"/>
        <v/>
      </c>
      <c r="DE38" s="211" t="str">
        <f t="shared" si="53"/>
        <v/>
      </c>
      <c r="DF38" s="212" t="str">
        <f t="shared" si="54"/>
        <v/>
      </c>
      <c r="DG38" s="213" t="str">
        <f t="shared" si="55"/>
        <v/>
      </c>
      <c r="DH38" s="138" t="str">
        <f t="shared" si="56"/>
        <v/>
      </c>
      <c r="DI38" s="199" t="e">
        <f>IF(#REF!="Plato perforado","PP",IF(OR(#REF!=0,#REF!=""),"",#REF!))</f>
        <v>#REF!</v>
      </c>
      <c r="DJ38" s="200" t="str">
        <f t="shared" si="57"/>
        <v/>
      </c>
      <c r="DK38" s="201" t="str">
        <f t="shared" si="57"/>
        <v>---</v>
      </c>
      <c r="DL38" s="202"/>
      <c r="DM38" s="222" t="str">
        <f t="shared" si="58"/>
        <v/>
      </c>
      <c r="DN38" s="199" t="str">
        <f t="shared" si="59"/>
        <v/>
      </c>
      <c r="DO38" s="198" t="str">
        <f t="shared" si="60"/>
        <v/>
      </c>
      <c r="DP38" s="138" t="str">
        <f t="shared" si="61"/>
        <v/>
      </c>
      <c r="DQ38" s="211" t="str">
        <f t="shared" si="62"/>
        <v/>
      </c>
      <c r="DR38" s="212" t="str">
        <f t="shared" si="63"/>
        <v/>
      </c>
      <c r="DS38" s="213" t="str">
        <f t="shared" si="64"/>
        <v/>
      </c>
      <c r="DT38" s="138" t="str">
        <f t="shared" si="65"/>
        <v/>
      </c>
      <c r="DU38" s="199" t="e">
        <f>IF(#REF!="Plato perforado","PP",IF(OR(#REF!=0,#REF!=""),"",#REF!))</f>
        <v>#REF!</v>
      </c>
      <c r="DV38" s="200" t="str">
        <f t="shared" si="66"/>
        <v/>
      </c>
      <c r="DW38" s="201" t="str">
        <f t="shared" si="66"/>
        <v>---</v>
      </c>
      <c r="DX38" s="202"/>
      <c r="DY38" s="222" t="str">
        <f t="shared" si="67"/>
        <v/>
      </c>
      <c r="DZ38" s="199" t="str">
        <f t="shared" si="68"/>
        <v/>
      </c>
      <c r="EA38" s="198" t="str">
        <f t="shared" si="69"/>
        <v/>
      </c>
      <c r="EB38" s="138" t="str">
        <f t="shared" si="70"/>
        <v/>
      </c>
      <c r="EC38" s="211" t="str">
        <f t="shared" si="71"/>
        <v/>
      </c>
      <c r="ED38" s="212" t="str">
        <f t="shared" si="72"/>
        <v/>
      </c>
      <c r="EE38" s="213" t="str">
        <f t="shared" si="73"/>
        <v/>
      </c>
      <c r="EF38" s="138" t="str">
        <f t="shared" si="74"/>
        <v/>
      </c>
      <c r="EG38" s="199" t="e">
        <f>IF(#REF!="Plato perforado","PP",IF(OR(#REF!=0,#REF!=""),"",#REF!))</f>
        <v>#REF!</v>
      </c>
      <c r="EH38" s="200" t="str">
        <f t="shared" si="75"/>
        <v/>
      </c>
      <c r="EI38" s="201" t="str">
        <f t="shared" si="75"/>
        <v>---</v>
      </c>
      <c r="EJ38" s="229"/>
    </row>
    <row r="39" spans="1:140" x14ac:dyDescent="0.3">
      <c r="A39" s="431">
        <v>6</v>
      </c>
      <c r="B39" s="284"/>
      <c r="C39" s="285">
        <f t="shared" si="0"/>
        <v>2</v>
      </c>
      <c r="D39" s="373"/>
      <c r="E39" s="286"/>
      <c r="F39" s="285" t="str">
        <f t="shared" si="1"/>
        <v/>
      </c>
      <c r="G39" s="287" t="str">
        <f t="shared" si="1"/>
        <v/>
      </c>
      <c r="H39" s="288" t="str">
        <f t="shared" si="2"/>
        <v/>
      </c>
      <c r="I39" s="289" t="str">
        <f t="shared" si="3"/>
        <v/>
      </c>
      <c r="J39" s="288" t="str">
        <f t="shared" si="4"/>
        <v/>
      </c>
      <c r="K39" s="288">
        <f t="shared" si="5"/>
        <v>0</v>
      </c>
      <c r="L39" s="290"/>
      <c r="M39" s="291">
        <f t="shared" si="6"/>
        <v>1</v>
      </c>
      <c r="N39" s="466" t="str">
        <f t="shared" si="7"/>
        <v/>
      </c>
      <c r="O39" s="302" t="str">
        <f t="shared" si="8"/>
        <v/>
      </c>
      <c r="P39" s="468" t="str">
        <f t="shared" si="9"/>
        <v/>
      </c>
      <c r="Q39" s="292" t="str">
        <f t="shared" si="24"/>
        <v/>
      </c>
      <c r="R39" s="294" t="str">
        <f t="shared" si="10"/>
        <v/>
      </c>
      <c r="S39" s="295" t="str">
        <f t="shared" si="11"/>
        <v>---</v>
      </c>
      <c r="V39" s="3" t="str">
        <f>IFERROR(VALUE(TEXT(C39,"00")&amp;TEXT(N39,"00")&amp;TEXT(P39,"00")&amp;IF(#REF!="Plato perforado",5,IF(OR(#REF!="N/A",#REF!=""),0,#REF!))),"")</f>
        <v/>
      </c>
      <c r="W39" s="3">
        <v>6</v>
      </c>
      <c r="X39" s="3">
        <v>6</v>
      </c>
      <c r="Y39" s="3" t="s">
        <v>179</v>
      </c>
      <c r="AY39" s="187"/>
      <c r="AZ39" s="176" t="str">
        <f>"Difusores de "&amp;W39&amp;""""&amp;" × "&amp;X39&amp;""""&amp;Y39</f>
        <v>Difusores de 6" × 6", número de vías por definir:</v>
      </c>
      <c r="BA39" s="174">
        <f t="shared" si="25"/>
        <v>0</v>
      </c>
      <c r="BB39" s="187"/>
      <c r="BC39" s="103" t="str">
        <f t="shared" si="12"/>
        <v/>
      </c>
      <c r="BD39" s="103" t="str">
        <f t="shared" si="13"/>
        <v/>
      </c>
      <c r="BE39" s="103" t="e">
        <f t="shared" si="14"/>
        <v>#VALUE!</v>
      </c>
      <c r="BF39" s="181">
        <v>8</v>
      </c>
      <c r="BG39" s="181">
        <v>6</v>
      </c>
      <c r="BH39" s="184">
        <f t="shared" si="26"/>
        <v>0.33333333333333331</v>
      </c>
      <c r="BI39" s="185">
        <f t="shared" si="15"/>
        <v>183.33333333333331</v>
      </c>
      <c r="BJ39" s="185">
        <f t="shared" si="16"/>
        <v>1.3333333333333333</v>
      </c>
      <c r="BK39" s="103">
        <f t="shared" si="27"/>
        <v>806</v>
      </c>
      <c r="BL39" s="103" t="e">
        <v>#VALUE!</v>
      </c>
      <c r="BM39" s="103">
        <v>8</v>
      </c>
      <c r="BN39" s="103">
        <v>8</v>
      </c>
      <c r="BO39" s="103">
        <v>8</v>
      </c>
      <c r="BP39" s="103">
        <f t="shared" si="28"/>
        <v>808</v>
      </c>
      <c r="BQ39" s="103">
        <f t="shared" si="28"/>
        <v>808</v>
      </c>
      <c r="BR39" s="173" t="str">
        <f t="shared" si="29"/>
        <v>Rejillas de 8" × 8":</v>
      </c>
      <c r="BS39" s="180">
        <f t="shared" si="17"/>
        <v>0</v>
      </c>
      <c r="BT39" s="180">
        <f t="shared" si="18"/>
        <v>0</v>
      </c>
      <c r="BU39" s="180">
        <f t="shared" si="30"/>
        <v>0</v>
      </c>
      <c r="BV39" s="187"/>
      <c r="BW39" s="103">
        <f t="shared" si="19"/>
        <v>0</v>
      </c>
      <c r="BX39" s="173" t="str">
        <f t="shared" si="20"/>
        <v>Rejillas de 14" × 26":</v>
      </c>
      <c r="BY39" s="180">
        <f t="shared" si="21"/>
        <v>0</v>
      </c>
      <c r="BZ39" s="180">
        <f t="shared" si="22"/>
        <v>0</v>
      </c>
      <c r="CA39" s="180">
        <f t="shared" si="23"/>
        <v>0</v>
      </c>
      <c r="CB39" s="187"/>
      <c r="CC39" s="222" t="str">
        <f t="shared" si="31"/>
        <v/>
      </c>
      <c r="CD39" s="218" t="str">
        <f t="shared" si="32"/>
        <v/>
      </c>
      <c r="CE39" s="198" t="str">
        <f t="shared" si="33"/>
        <v/>
      </c>
      <c r="CF39" s="138" t="str">
        <f t="shared" si="34"/>
        <v/>
      </c>
      <c r="CG39" s="211" t="str">
        <f t="shared" si="35"/>
        <v/>
      </c>
      <c r="CH39" s="212" t="str">
        <f t="shared" si="36"/>
        <v/>
      </c>
      <c r="CI39" s="213" t="str">
        <f t="shared" si="37"/>
        <v/>
      </c>
      <c r="CJ39" s="138" t="str">
        <f t="shared" si="38"/>
        <v/>
      </c>
      <c r="CK39" s="199" t="e">
        <f>IF(#REF!="Plato perforado","PP",IF(OR(#REF!=0,#REF!=""),"",#REF!))</f>
        <v>#REF!</v>
      </c>
      <c r="CL39" s="200" t="str">
        <f t="shared" si="39"/>
        <v/>
      </c>
      <c r="CM39" s="201" t="str">
        <f t="shared" si="39"/>
        <v>---</v>
      </c>
      <c r="CN39" s="202"/>
      <c r="CO39" s="222" t="str">
        <f t="shared" si="40"/>
        <v/>
      </c>
      <c r="CP39" s="199" t="str">
        <f t="shared" si="41"/>
        <v/>
      </c>
      <c r="CQ39" s="198" t="str">
        <f t="shared" si="42"/>
        <v/>
      </c>
      <c r="CR39" s="138" t="str">
        <f t="shared" si="43"/>
        <v/>
      </c>
      <c r="CS39" s="211" t="str">
        <f t="shared" si="44"/>
        <v/>
      </c>
      <c r="CT39" s="212" t="str">
        <f t="shared" si="45"/>
        <v/>
      </c>
      <c r="CU39" s="213" t="str">
        <f t="shared" si="46"/>
        <v/>
      </c>
      <c r="CV39" s="138" t="str">
        <f t="shared" si="47"/>
        <v/>
      </c>
      <c r="CW39" s="199" t="e">
        <f>IF(#REF!="Plato perforado","PP",IF(OR(#REF!=0,#REF!=""),"",#REF!))</f>
        <v>#REF!</v>
      </c>
      <c r="CX39" s="200" t="str">
        <f t="shared" si="48"/>
        <v/>
      </c>
      <c r="CY39" s="201" t="str">
        <f t="shared" si="48"/>
        <v>---</v>
      </c>
      <c r="CZ39" s="202"/>
      <c r="DA39" s="222" t="str">
        <f t="shared" si="49"/>
        <v/>
      </c>
      <c r="DB39" s="199" t="str">
        <f t="shared" si="50"/>
        <v/>
      </c>
      <c r="DC39" s="198" t="str">
        <f t="shared" si="51"/>
        <v/>
      </c>
      <c r="DD39" s="138" t="str">
        <f t="shared" si="52"/>
        <v/>
      </c>
      <c r="DE39" s="211" t="str">
        <f t="shared" si="53"/>
        <v/>
      </c>
      <c r="DF39" s="212" t="str">
        <f t="shared" si="54"/>
        <v/>
      </c>
      <c r="DG39" s="213" t="str">
        <f t="shared" si="55"/>
        <v/>
      </c>
      <c r="DH39" s="138" t="str">
        <f t="shared" si="56"/>
        <v/>
      </c>
      <c r="DI39" s="199" t="e">
        <f>IF(#REF!="Plato perforado","PP",IF(OR(#REF!=0,#REF!=""),"",#REF!))</f>
        <v>#REF!</v>
      </c>
      <c r="DJ39" s="200" t="str">
        <f t="shared" si="57"/>
        <v/>
      </c>
      <c r="DK39" s="201" t="str">
        <f t="shared" si="57"/>
        <v>---</v>
      </c>
      <c r="DL39" s="202"/>
      <c r="DM39" s="222" t="str">
        <f t="shared" si="58"/>
        <v/>
      </c>
      <c r="DN39" s="199" t="str">
        <f t="shared" si="59"/>
        <v/>
      </c>
      <c r="DO39" s="198" t="str">
        <f t="shared" si="60"/>
        <v/>
      </c>
      <c r="DP39" s="138" t="str">
        <f t="shared" si="61"/>
        <v/>
      </c>
      <c r="DQ39" s="211" t="str">
        <f t="shared" si="62"/>
        <v/>
      </c>
      <c r="DR39" s="212" t="str">
        <f t="shared" si="63"/>
        <v/>
      </c>
      <c r="DS39" s="213" t="str">
        <f t="shared" si="64"/>
        <v/>
      </c>
      <c r="DT39" s="138" t="str">
        <f t="shared" si="65"/>
        <v/>
      </c>
      <c r="DU39" s="199" t="e">
        <f>IF(#REF!="Plato perforado","PP",IF(OR(#REF!=0,#REF!=""),"",#REF!))</f>
        <v>#REF!</v>
      </c>
      <c r="DV39" s="200" t="str">
        <f t="shared" si="66"/>
        <v/>
      </c>
      <c r="DW39" s="201" t="str">
        <f t="shared" si="66"/>
        <v>---</v>
      </c>
      <c r="DX39" s="202"/>
      <c r="DY39" s="222" t="str">
        <f t="shared" si="67"/>
        <v/>
      </c>
      <c r="DZ39" s="199" t="str">
        <f t="shared" si="68"/>
        <v/>
      </c>
      <c r="EA39" s="198" t="str">
        <f t="shared" si="69"/>
        <v/>
      </c>
      <c r="EB39" s="138" t="str">
        <f t="shared" si="70"/>
        <v/>
      </c>
      <c r="EC39" s="211" t="str">
        <f t="shared" si="71"/>
        <v/>
      </c>
      <c r="ED39" s="212" t="str">
        <f t="shared" si="72"/>
        <v/>
      </c>
      <c r="EE39" s="213" t="str">
        <f t="shared" si="73"/>
        <v/>
      </c>
      <c r="EF39" s="138" t="str">
        <f t="shared" si="74"/>
        <v/>
      </c>
      <c r="EG39" s="199" t="e">
        <f>IF(#REF!="Plato perforado","PP",IF(OR(#REF!=0,#REF!=""),"",#REF!))</f>
        <v>#REF!</v>
      </c>
      <c r="EH39" s="200" t="str">
        <f t="shared" si="75"/>
        <v/>
      </c>
      <c r="EI39" s="201" t="str">
        <f t="shared" si="75"/>
        <v>---</v>
      </c>
      <c r="EJ39" s="229"/>
    </row>
    <row r="40" spans="1:140" x14ac:dyDescent="0.3">
      <c r="A40" s="431">
        <v>7</v>
      </c>
      <c r="B40" s="260"/>
      <c r="C40" s="261">
        <f t="shared" si="0"/>
        <v>2</v>
      </c>
      <c r="D40" s="371"/>
      <c r="E40" s="262"/>
      <c r="F40" s="261" t="str">
        <f t="shared" si="1"/>
        <v/>
      </c>
      <c r="G40" s="263" t="str">
        <f t="shared" si="1"/>
        <v/>
      </c>
      <c r="H40" s="264" t="str">
        <f t="shared" si="2"/>
        <v/>
      </c>
      <c r="I40" s="265" t="str">
        <f t="shared" si="3"/>
        <v/>
      </c>
      <c r="J40" s="264" t="str">
        <f t="shared" si="4"/>
        <v/>
      </c>
      <c r="K40" s="264">
        <f t="shared" si="5"/>
        <v>0</v>
      </c>
      <c r="L40" s="266"/>
      <c r="M40" s="267">
        <f t="shared" si="6"/>
        <v>1</v>
      </c>
      <c r="N40" s="465" t="str">
        <f t="shared" si="7"/>
        <v/>
      </c>
      <c r="O40" s="297" t="str">
        <f t="shared" si="8"/>
        <v/>
      </c>
      <c r="P40" s="467" t="str">
        <f t="shared" si="9"/>
        <v/>
      </c>
      <c r="Q40" s="268" t="str">
        <f t="shared" si="24"/>
        <v/>
      </c>
      <c r="R40" s="270" t="str">
        <f t="shared" si="10"/>
        <v/>
      </c>
      <c r="S40" s="271" t="str">
        <f t="shared" si="11"/>
        <v>---</v>
      </c>
      <c r="V40" s="3" t="str">
        <f>IFERROR(VALUE(TEXT(C40,"00")&amp;TEXT(N40,"00")&amp;TEXT(P40,"00")&amp;IF(#REF!="Plato perforado",5,IF(OR(#REF!="N/A",#REF!=""),0,#REF!))),"")</f>
        <v/>
      </c>
      <c r="W40" s="3">
        <v>9</v>
      </c>
      <c r="X40" s="3">
        <v>9</v>
      </c>
      <c r="Y40" s="3">
        <v>1</v>
      </c>
      <c r="AY40" s="187"/>
      <c r="AZ40" s="175" t="str">
        <f>"Difusores de "&amp;W40&amp;""""&amp;" × "&amp;X40&amp;""""&amp;" de "&amp;Y40&amp;" vía:"</f>
        <v>Difusores de 9" × 9" de 1 vía:</v>
      </c>
      <c r="BA40" s="174">
        <f t="shared" si="25"/>
        <v>0</v>
      </c>
      <c r="BB40" s="187"/>
      <c r="BC40" s="103" t="str">
        <f t="shared" si="12"/>
        <v/>
      </c>
      <c r="BD40" s="103" t="str">
        <f t="shared" si="13"/>
        <v/>
      </c>
      <c r="BE40" s="103" t="e">
        <f t="shared" si="14"/>
        <v>#VALUE!</v>
      </c>
      <c r="BF40" s="181">
        <v>8</v>
      </c>
      <c r="BG40" s="181">
        <v>8</v>
      </c>
      <c r="BH40" s="184">
        <f t="shared" si="26"/>
        <v>0.44444444444444442</v>
      </c>
      <c r="BI40" s="185">
        <f t="shared" si="15"/>
        <v>244.44444444444443</v>
      </c>
      <c r="BJ40" s="185">
        <f t="shared" si="16"/>
        <v>1</v>
      </c>
      <c r="BK40" s="103">
        <f t="shared" si="27"/>
        <v>808</v>
      </c>
      <c r="BL40" s="103" t="e">
        <v>#VALUE!</v>
      </c>
      <c r="BM40" s="103">
        <v>8</v>
      </c>
      <c r="BN40" s="103">
        <v>10</v>
      </c>
      <c r="BO40" s="103">
        <v>8</v>
      </c>
      <c r="BP40" s="103">
        <f t="shared" si="28"/>
        <v>810</v>
      </c>
      <c r="BQ40" s="103">
        <f t="shared" si="28"/>
        <v>1008</v>
      </c>
      <c r="BR40" s="173" t="str">
        <f t="shared" si="29"/>
        <v>Rejillas de 8" × 10":</v>
      </c>
      <c r="BS40" s="180">
        <f t="shared" si="17"/>
        <v>0</v>
      </c>
      <c r="BT40" s="180">
        <f t="shared" si="18"/>
        <v>0</v>
      </c>
      <c r="BU40" s="180">
        <f t="shared" si="30"/>
        <v>0</v>
      </c>
      <c r="BV40" s="187"/>
      <c r="BW40" s="103">
        <f t="shared" si="19"/>
        <v>0</v>
      </c>
      <c r="BX40" s="173" t="str">
        <f t="shared" si="20"/>
        <v>Rejillas de 14" × 28":</v>
      </c>
      <c r="BY40" s="180">
        <f t="shared" si="21"/>
        <v>0</v>
      </c>
      <c r="BZ40" s="180">
        <f t="shared" si="22"/>
        <v>0</v>
      </c>
      <c r="CA40" s="180">
        <f t="shared" si="23"/>
        <v>0</v>
      </c>
      <c r="CB40" s="187"/>
      <c r="CC40" s="222" t="str">
        <f t="shared" si="31"/>
        <v/>
      </c>
      <c r="CD40" s="218" t="str">
        <f t="shared" si="32"/>
        <v/>
      </c>
      <c r="CE40" s="198" t="str">
        <f t="shared" si="33"/>
        <v/>
      </c>
      <c r="CF40" s="138" t="str">
        <f t="shared" si="34"/>
        <v/>
      </c>
      <c r="CG40" s="211" t="str">
        <f t="shared" si="35"/>
        <v/>
      </c>
      <c r="CH40" s="212" t="str">
        <f t="shared" si="36"/>
        <v/>
      </c>
      <c r="CI40" s="213" t="str">
        <f t="shared" si="37"/>
        <v/>
      </c>
      <c r="CJ40" s="138" t="str">
        <f t="shared" si="38"/>
        <v/>
      </c>
      <c r="CK40" s="199" t="e">
        <f>IF(#REF!="Plato perforado","PP",IF(OR(#REF!=0,#REF!=""),"",#REF!))</f>
        <v>#REF!</v>
      </c>
      <c r="CL40" s="200" t="str">
        <f t="shared" si="39"/>
        <v/>
      </c>
      <c r="CM40" s="201" t="str">
        <f t="shared" si="39"/>
        <v>---</v>
      </c>
      <c r="CN40" s="202"/>
      <c r="CO40" s="222" t="str">
        <f t="shared" si="40"/>
        <v/>
      </c>
      <c r="CP40" s="199" t="str">
        <f t="shared" si="41"/>
        <v/>
      </c>
      <c r="CQ40" s="198" t="str">
        <f t="shared" si="42"/>
        <v/>
      </c>
      <c r="CR40" s="138" t="str">
        <f t="shared" si="43"/>
        <v/>
      </c>
      <c r="CS40" s="211" t="str">
        <f t="shared" si="44"/>
        <v/>
      </c>
      <c r="CT40" s="212" t="str">
        <f t="shared" si="45"/>
        <v/>
      </c>
      <c r="CU40" s="213" t="str">
        <f t="shared" si="46"/>
        <v/>
      </c>
      <c r="CV40" s="138" t="str">
        <f t="shared" si="47"/>
        <v/>
      </c>
      <c r="CW40" s="199" t="e">
        <f>IF(#REF!="Plato perforado","PP",IF(OR(#REF!=0,#REF!=""),"",#REF!))</f>
        <v>#REF!</v>
      </c>
      <c r="CX40" s="200" t="str">
        <f t="shared" si="48"/>
        <v/>
      </c>
      <c r="CY40" s="201" t="str">
        <f t="shared" si="48"/>
        <v>---</v>
      </c>
      <c r="CZ40" s="202"/>
      <c r="DA40" s="222" t="str">
        <f t="shared" si="49"/>
        <v/>
      </c>
      <c r="DB40" s="199" t="str">
        <f t="shared" si="50"/>
        <v/>
      </c>
      <c r="DC40" s="198" t="str">
        <f t="shared" si="51"/>
        <v/>
      </c>
      <c r="DD40" s="138" t="str">
        <f t="shared" si="52"/>
        <v/>
      </c>
      <c r="DE40" s="211" t="str">
        <f t="shared" si="53"/>
        <v/>
      </c>
      <c r="DF40" s="212" t="str">
        <f t="shared" si="54"/>
        <v/>
      </c>
      <c r="DG40" s="213" t="str">
        <f t="shared" si="55"/>
        <v/>
      </c>
      <c r="DH40" s="138" t="str">
        <f t="shared" si="56"/>
        <v/>
      </c>
      <c r="DI40" s="199" t="e">
        <f>IF(#REF!="Plato perforado","PP",IF(OR(#REF!=0,#REF!=""),"",#REF!))</f>
        <v>#REF!</v>
      </c>
      <c r="DJ40" s="200" t="str">
        <f t="shared" si="57"/>
        <v/>
      </c>
      <c r="DK40" s="201" t="str">
        <f t="shared" si="57"/>
        <v>---</v>
      </c>
      <c r="DL40" s="202"/>
      <c r="DM40" s="222" t="str">
        <f t="shared" si="58"/>
        <v/>
      </c>
      <c r="DN40" s="199" t="str">
        <f t="shared" si="59"/>
        <v/>
      </c>
      <c r="DO40" s="198" t="str">
        <f t="shared" si="60"/>
        <v/>
      </c>
      <c r="DP40" s="138" t="str">
        <f t="shared" si="61"/>
        <v/>
      </c>
      <c r="DQ40" s="211" t="str">
        <f t="shared" si="62"/>
        <v/>
      </c>
      <c r="DR40" s="212" t="str">
        <f t="shared" si="63"/>
        <v/>
      </c>
      <c r="DS40" s="213" t="str">
        <f t="shared" si="64"/>
        <v/>
      </c>
      <c r="DT40" s="138" t="str">
        <f t="shared" si="65"/>
        <v/>
      </c>
      <c r="DU40" s="199" t="e">
        <f>IF(#REF!="Plato perforado","PP",IF(OR(#REF!=0,#REF!=""),"",#REF!))</f>
        <v>#REF!</v>
      </c>
      <c r="DV40" s="200" t="str">
        <f t="shared" si="66"/>
        <v/>
      </c>
      <c r="DW40" s="201" t="str">
        <f t="shared" si="66"/>
        <v>---</v>
      </c>
      <c r="DX40" s="202"/>
      <c r="DY40" s="222" t="str">
        <f t="shared" si="67"/>
        <v/>
      </c>
      <c r="DZ40" s="199" t="str">
        <f t="shared" si="68"/>
        <v/>
      </c>
      <c r="EA40" s="198" t="str">
        <f t="shared" si="69"/>
        <v/>
      </c>
      <c r="EB40" s="138" t="str">
        <f t="shared" si="70"/>
        <v/>
      </c>
      <c r="EC40" s="211" t="str">
        <f t="shared" si="71"/>
        <v/>
      </c>
      <c r="ED40" s="212" t="str">
        <f t="shared" si="72"/>
        <v/>
      </c>
      <c r="EE40" s="213" t="str">
        <f t="shared" si="73"/>
        <v/>
      </c>
      <c r="EF40" s="138" t="str">
        <f t="shared" si="74"/>
        <v/>
      </c>
      <c r="EG40" s="199" t="e">
        <f>IF(#REF!="Plato perforado","PP",IF(OR(#REF!=0,#REF!=""),"",#REF!))</f>
        <v>#REF!</v>
      </c>
      <c r="EH40" s="200" t="str">
        <f t="shared" si="75"/>
        <v/>
      </c>
      <c r="EI40" s="201" t="str">
        <f t="shared" si="75"/>
        <v>---</v>
      </c>
      <c r="EJ40" s="229"/>
    </row>
    <row r="41" spans="1:140" x14ac:dyDescent="0.3">
      <c r="A41" s="431">
        <v>8</v>
      </c>
      <c r="B41" s="272"/>
      <c r="C41" s="273">
        <f t="shared" si="0"/>
        <v>2</v>
      </c>
      <c r="D41" s="372"/>
      <c r="E41" s="274"/>
      <c r="F41" s="273" t="str">
        <f t="shared" si="1"/>
        <v/>
      </c>
      <c r="G41" s="275" t="str">
        <f t="shared" si="1"/>
        <v/>
      </c>
      <c r="H41" s="276" t="str">
        <f t="shared" si="2"/>
        <v/>
      </c>
      <c r="I41" s="277" t="str">
        <f t="shared" si="3"/>
        <v/>
      </c>
      <c r="J41" s="276" t="str">
        <f t="shared" si="4"/>
        <v/>
      </c>
      <c r="K41" s="276">
        <f t="shared" si="5"/>
        <v>0</v>
      </c>
      <c r="L41" s="278"/>
      <c r="M41" s="279">
        <f t="shared" si="6"/>
        <v>1</v>
      </c>
      <c r="N41" s="360" t="str">
        <f t="shared" si="7"/>
        <v/>
      </c>
      <c r="O41" s="117" t="str">
        <f t="shared" si="8"/>
        <v/>
      </c>
      <c r="P41" s="359" t="str">
        <f t="shared" si="9"/>
        <v/>
      </c>
      <c r="Q41" s="280" t="str">
        <f t="shared" si="24"/>
        <v/>
      </c>
      <c r="R41" s="282" t="str">
        <f t="shared" si="10"/>
        <v/>
      </c>
      <c r="S41" s="283" t="str">
        <f t="shared" si="11"/>
        <v>---</v>
      </c>
      <c r="V41" s="3" t="str">
        <f>IFERROR(VALUE(TEXT(C41,"00")&amp;TEXT(N41,"00")&amp;TEXT(P41,"00")&amp;IF(#REF!="Plato perforado",5,IF(OR(#REF!="N/A",#REF!=""),0,#REF!))),"")</f>
        <v/>
      </c>
      <c r="W41" s="3">
        <v>9</v>
      </c>
      <c r="X41" s="3">
        <v>9</v>
      </c>
      <c r="Y41" s="3">
        <v>2</v>
      </c>
      <c r="AY41" s="187"/>
      <c r="AZ41" s="175" t="str">
        <f>"Difusores de "&amp;W41&amp;""""&amp;" × "&amp;X41&amp;""""&amp;" de "&amp;Y41&amp;" vías:"</f>
        <v>Difusores de 9" × 9" de 2 vías:</v>
      </c>
      <c r="BA41" s="174">
        <f t="shared" si="25"/>
        <v>0</v>
      </c>
      <c r="BB41" s="187"/>
      <c r="BC41" s="103" t="str">
        <f t="shared" si="12"/>
        <v/>
      </c>
      <c r="BD41" s="103" t="str">
        <f t="shared" si="13"/>
        <v/>
      </c>
      <c r="BE41" s="103" t="e">
        <f t="shared" si="14"/>
        <v>#VALUE!</v>
      </c>
      <c r="BF41" s="181">
        <v>8</v>
      </c>
      <c r="BG41" s="181">
        <v>10</v>
      </c>
      <c r="BH41" s="184">
        <f t="shared" si="26"/>
        <v>0.55555555555555558</v>
      </c>
      <c r="BI41" s="185">
        <f t="shared" si="15"/>
        <v>305.55555555555554</v>
      </c>
      <c r="BJ41" s="185">
        <f t="shared" si="16"/>
        <v>0.8</v>
      </c>
      <c r="BK41" s="103">
        <f t="shared" si="27"/>
        <v>810</v>
      </c>
      <c r="BL41" s="103" t="e">
        <v>#VALUE!</v>
      </c>
      <c r="BM41" s="103">
        <v>8</v>
      </c>
      <c r="BN41" s="103">
        <v>12</v>
      </c>
      <c r="BO41" s="103">
        <v>8</v>
      </c>
      <c r="BP41" s="103">
        <f t="shared" si="28"/>
        <v>812</v>
      </c>
      <c r="BQ41" s="103">
        <f t="shared" si="28"/>
        <v>1208</v>
      </c>
      <c r="BR41" s="173" t="str">
        <f t="shared" si="29"/>
        <v>Rejillas de 8" × 12":</v>
      </c>
      <c r="BS41" s="180">
        <f t="shared" si="17"/>
        <v>0</v>
      </c>
      <c r="BT41" s="180">
        <f t="shared" si="18"/>
        <v>0</v>
      </c>
      <c r="BU41" s="180">
        <f t="shared" si="30"/>
        <v>0</v>
      </c>
      <c r="BV41" s="187"/>
      <c r="BW41" s="103">
        <f t="shared" si="19"/>
        <v>0</v>
      </c>
      <c r="BX41" s="173" t="str">
        <f t="shared" si="20"/>
        <v>Rejillas de 16" × 16":</v>
      </c>
      <c r="BY41" s="180">
        <f t="shared" si="21"/>
        <v>0</v>
      </c>
      <c r="BZ41" s="180">
        <f t="shared" si="22"/>
        <v>0</v>
      </c>
      <c r="CA41" s="180">
        <f t="shared" si="23"/>
        <v>0</v>
      </c>
      <c r="CB41" s="187"/>
      <c r="CC41" s="222" t="str">
        <f t="shared" si="31"/>
        <v/>
      </c>
      <c r="CD41" s="218" t="str">
        <f t="shared" si="32"/>
        <v/>
      </c>
      <c r="CE41" s="198" t="str">
        <f t="shared" si="33"/>
        <v/>
      </c>
      <c r="CF41" s="138" t="str">
        <f t="shared" si="34"/>
        <v/>
      </c>
      <c r="CG41" s="211" t="str">
        <f t="shared" si="35"/>
        <v/>
      </c>
      <c r="CH41" s="212" t="str">
        <f t="shared" si="36"/>
        <v/>
      </c>
      <c r="CI41" s="213" t="str">
        <f t="shared" si="37"/>
        <v/>
      </c>
      <c r="CJ41" s="138" t="str">
        <f t="shared" si="38"/>
        <v/>
      </c>
      <c r="CK41" s="199" t="e">
        <f>IF(#REF!="Plato perforado","PP",IF(OR(#REF!=0,#REF!=""),"",#REF!))</f>
        <v>#REF!</v>
      </c>
      <c r="CL41" s="200" t="str">
        <f t="shared" si="39"/>
        <v/>
      </c>
      <c r="CM41" s="201" t="str">
        <f t="shared" si="39"/>
        <v>---</v>
      </c>
      <c r="CN41" s="202"/>
      <c r="CO41" s="222" t="str">
        <f t="shared" si="40"/>
        <v/>
      </c>
      <c r="CP41" s="199" t="str">
        <f t="shared" si="41"/>
        <v/>
      </c>
      <c r="CQ41" s="198" t="str">
        <f t="shared" si="42"/>
        <v/>
      </c>
      <c r="CR41" s="138" t="str">
        <f t="shared" si="43"/>
        <v/>
      </c>
      <c r="CS41" s="211" t="str">
        <f t="shared" si="44"/>
        <v/>
      </c>
      <c r="CT41" s="212" t="str">
        <f t="shared" si="45"/>
        <v/>
      </c>
      <c r="CU41" s="213" t="str">
        <f t="shared" si="46"/>
        <v/>
      </c>
      <c r="CV41" s="138" t="str">
        <f t="shared" si="47"/>
        <v/>
      </c>
      <c r="CW41" s="199" t="e">
        <f>IF(#REF!="Plato perforado","PP",IF(OR(#REF!=0,#REF!=""),"",#REF!))</f>
        <v>#REF!</v>
      </c>
      <c r="CX41" s="200" t="str">
        <f t="shared" si="48"/>
        <v/>
      </c>
      <c r="CY41" s="201" t="str">
        <f t="shared" si="48"/>
        <v>---</v>
      </c>
      <c r="CZ41" s="202"/>
      <c r="DA41" s="222" t="str">
        <f t="shared" si="49"/>
        <v/>
      </c>
      <c r="DB41" s="199" t="str">
        <f t="shared" si="50"/>
        <v/>
      </c>
      <c r="DC41" s="198" t="str">
        <f t="shared" si="51"/>
        <v/>
      </c>
      <c r="DD41" s="138" t="str">
        <f t="shared" si="52"/>
        <v/>
      </c>
      <c r="DE41" s="211" t="str">
        <f t="shared" si="53"/>
        <v/>
      </c>
      <c r="DF41" s="212" t="str">
        <f t="shared" si="54"/>
        <v/>
      </c>
      <c r="DG41" s="213" t="str">
        <f t="shared" si="55"/>
        <v/>
      </c>
      <c r="DH41" s="138" t="str">
        <f t="shared" si="56"/>
        <v/>
      </c>
      <c r="DI41" s="199" t="e">
        <f>IF(#REF!="Plato perforado","PP",IF(OR(#REF!=0,#REF!=""),"",#REF!))</f>
        <v>#REF!</v>
      </c>
      <c r="DJ41" s="200" t="str">
        <f t="shared" si="57"/>
        <v/>
      </c>
      <c r="DK41" s="201" t="str">
        <f t="shared" si="57"/>
        <v>---</v>
      </c>
      <c r="DL41" s="202"/>
      <c r="DM41" s="222" t="str">
        <f t="shared" si="58"/>
        <v/>
      </c>
      <c r="DN41" s="199" t="str">
        <f t="shared" si="59"/>
        <v/>
      </c>
      <c r="DO41" s="198" t="str">
        <f t="shared" si="60"/>
        <v/>
      </c>
      <c r="DP41" s="138" t="str">
        <f t="shared" si="61"/>
        <v/>
      </c>
      <c r="DQ41" s="211" t="str">
        <f t="shared" si="62"/>
        <v/>
      </c>
      <c r="DR41" s="212" t="str">
        <f t="shared" si="63"/>
        <v/>
      </c>
      <c r="DS41" s="213" t="str">
        <f t="shared" si="64"/>
        <v/>
      </c>
      <c r="DT41" s="138" t="str">
        <f t="shared" si="65"/>
        <v/>
      </c>
      <c r="DU41" s="199" t="e">
        <f>IF(#REF!="Plato perforado","PP",IF(OR(#REF!=0,#REF!=""),"",#REF!))</f>
        <v>#REF!</v>
      </c>
      <c r="DV41" s="200" t="str">
        <f t="shared" si="66"/>
        <v/>
      </c>
      <c r="DW41" s="201" t="str">
        <f t="shared" si="66"/>
        <v>---</v>
      </c>
      <c r="DX41" s="202"/>
      <c r="DY41" s="222" t="str">
        <f t="shared" si="67"/>
        <v/>
      </c>
      <c r="DZ41" s="199" t="str">
        <f t="shared" si="68"/>
        <v/>
      </c>
      <c r="EA41" s="198" t="str">
        <f t="shared" si="69"/>
        <v/>
      </c>
      <c r="EB41" s="138" t="str">
        <f t="shared" si="70"/>
        <v/>
      </c>
      <c r="EC41" s="211" t="str">
        <f t="shared" si="71"/>
        <v/>
      </c>
      <c r="ED41" s="212" t="str">
        <f t="shared" si="72"/>
        <v/>
      </c>
      <c r="EE41" s="213" t="str">
        <f t="shared" si="73"/>
        <v/>
      </c>
      <c r="EF41" s="138" t="str">
        <f t="shared" si="74"/>
        <v/>
      </c>
      <c r="EG41" s="199" t="e">
        <f>IF(#REF!="Plato perforado","PP",IF(OR(#REF!=0,#REF!=""),"",#REF!))</f>
        <v>#REF!</v>
      </c>
      <c r="EH41" s="200" t="str">
        <f t="shared" si="75"/>
        <v/>
      </c>
      <c r="EI41" s="201" t="str">
        <f t="shared" si="75"/>
        <v>---</v>
      </c>
      <c r="EJ41" s="229"/>
    </row>
    <row r="42" spans="1:140" x14ac:dyDescent="0.3">
      <c r="A42" s="431">
        <v>9</v>
      </c>
      <c r="B42" s="284"/>
      <c r="C42" s="285">
        <f t="shared" si="0"/>
        <v>2</v>
      </c>
      <c r="D42" s="373"/>
      <c r="E42" s="286"/>
      <c r="F42" s="285" t="str">
        <f t="shared" si="1"/>
        <v/>
      </c>
      <c r="G42" s="287" t="str">
        <f t="shared" si="1"/>
        <v/>
      </c>
      <c r="H42" s="288" t="str">
        <f>IF(COUNTIF($E$34:$E$183,E42)=0,"",COUNTIF($E$34:$E$183,E42))</f>
        <v/>
      </c>
      <c r="I42" s="289" t="str">
        <f t="shared" si="3"/>
        <v/>
      </c>
      <c r="J42" s="288" t="str">
        <f t="shared" si="4"/>
        <v/>
      </c>
      <c r="K42" s="288">
        <f t="shared" si="5"/>
        <v>0</v>
      </c>
      <c r="L42" s="290"/>
      <c r="M42" s="291">
        <f t="shared" si="6"/>
        <v>1</v>
      </c>
      <c r="N42" s="466" t="str">
        <f t="shared" si="7"/>
        <v/>
      </c>
      <c r="O42" s="302" t="str">
        <f t="shared" si="8"/>
        <v/>
      </c>
      <c r="P42" s="468" t="str">
        <f t="shared" si="9"/>
        <v/>
      </c>
      <c r="Q42" s="292" t="str">
        <f t="shared" si="24"/>
        <v/>
      </c>
      <c r="R42" s="294" t="str">
        <f t="shared" si="10"/>
        <v/>
      </c>
      <c r="S42" s="295" t="str">
        <f t="shared" si="11"/>
        <v>---</v>
      </c>
      <c r="V42" s="3" t="str">
        <f>IFERROR(VALUE(TEXT(C42,"00")&amp;TEXT(N42,"00")&amp;TEXT(P42,"00")&amp;IF(#REF!="Plato perforado",5,IF(OR(#REF!="N/A",#REF!=""),0,#REF!))),"")</f>
        <v/>
      </c>
      <c r="W42" s="3">
        <v>9</v>
      </c>
      <c r="X42" s="3">
        <v>9</v>
      </c>
      <c r="Y42" s="3">
        <v>3</v>
      </c>
      <c r="AY42" s="187"/>
      <c r="AZ42" s="175" t="str">
        <f>"Difusores de "&amp;W42&amp;""""&amp;" × "&amp;X42&amp;""""&amp;" de "&amp;Y42&amp;" vías:"</f>
        <v>Difusores de 9" × 9" de 3 vías:</v>
      </c>
      <c r="BA42" s="174">
        <f t="shared" si="25"/>
        <v>0</v>
      </c>
      <c r="BB42" s="187"/>
      <c r="BC42" s="103" t="str">
        <f t="shared" si="12"/>
        <v/>
      </c>
      <c r="BD42" s="103" t="str">
        <f t="shared" si="13"/>
        <v/>
      </c>
      <c r="BE42" s="103" t="e">
        <f t="shared" si="14"/>
        <v>#VALUE!</v>
      </c>
      <c r="BF42" s="181">
        <v>8</v>
      </c>
      <c r="BG42" s="181">
        <v>12</v>
      </c>
      <c r="BH42" s="184">
        <f t="shared" si="26"/>
        <v>0.66666666666666663</v>
      </c>
      <c r="BI42" s="185">
        <f t="shared" si="15"/>
        <v>366.66666666666663</v>
      </c>
      <c r="BJ42" s="185">
        <f t="shared" si="16"/>
        <v>0.66666666666666663</v>
      </c>
      <c r="BK42" s="103">
        <f t="shared" si="27"/>
        <v>812</v>
      </c>
      <c r="BL42" s="103" t="e">
        <v>#VALUE!</v>
      </c>
      <c r="BM42" s="103">
        <v>8</v>
      </c>
      <c r="BN42" s="103">
        <v>14</v>
      </c>
      <c r="BO42" s="103">
        <v>8</v>
      </c>
      <c r="BP42" s="103">
        <f t="shared" si="28"/>
        <v>814</v>
      </c>
      <c r="BQ42" s="103">
        <f t="shared" si="28"/>
        <v>1408</v>
      </c>
      <c r="BR42" s="173" t="str">
        <f t="shared" si="29"/>
        <v>Rejillas de 8" × 14":</v>
      </c>
      <c r="BS42" s="180">
        <f t="shared" si="17"/>
        <v>0</v>
      </c>
      <c r="BT42" s="180">
        <f t="shared" si="18"/>
        <v>0</v>
      </c>
      <c r="BU42" s="180">
        <f t="shared" si="30"/>
        <v>0</v>
      </c>
      <c r="BV42" s="187"/>
      <c r="BW42" s="103">
        <f t="shared" si="19"/>
        <v>0</v>
      </c>
      <c r="BX42" s="173" t="str">
        <f t="shared" si="20"/>
        <v>Rejillas de 16" × 18":</v>
      </c>
      <c r="BY42" s="180">
        <f t="shared" si="21"/>
        <v>0</v>
      </c>
      <c r="BZ42" s="180">
        <f t="shared" si="22"/>
        <v>0</v>
      </c>
      <c r="CA42" s="180">
        <f t="shared" si="23"/>
        <v>0</v>
      </c>
      <c r="CB42" s="187"/>
      <c r="CC42" s="222" t="str">
        <f t="shared" si="31"/>
        <v/>
      </c>
      <c r="CD42" s="218" t="str">
        <f t="shared" si="32"/>
        <v/>
      </c>
      <c r="CE42" s="198" t="str">
        <f t="shared" si="33"/>
        <v/>
      </c>
      <c r="CF42" s="138" t="str">
        <f t="shared" si="34"/>
        <v/>
      </c>
      <c r="CG42" s="211" t="str">
        <f t="shared" si="35"/>
        <v/>
      </c>
      <c r="CH42" s="212" t="str">
        <f t="shared" si="36"/>
        <v/>
      </c>
      <c r="CI42" s="213" t="str">
        <f t="shared" si="37"/>
        <v/>
      </c>
      <c r="CJ42" s="138" t="str">
        <f t="shared" si="38"/>
        <v/>
      </c>
      <c r="CK42" s="199" t="e">
        <f>IF(#REF!="Plato perforado","PP",IF(OR(#REF!=0,#REF!=""),"",#REF!))</f>
        <v>#REF!</v>
      </c>
      <c r="CL42" s="200" t="str">
        <f t="shared" si="39"/>
        <v/>
      </c>
      <c r="CM42" s="201" t="str">
        <f t="shared" si="39"/>
        <v>---</v>
      </c>
      <c r="CN42" s="202"/>
      <c r="CO42" s="222" t="str">
        <f t="shared" si="40"/>
        <v/>
      </c>
      <c r="CP42" s="199" t="str">
        <f t="shared" si="41"/>
        <v/>
      </c>
      <c r="CQ42" s="198" t="str">
        <f t="shared" si="42"/>
        <v/>
      </c>
      <c r="CR42" s="138" t="str">
        <f t="shared" si="43"/>
        <v/>
      </c>
      <c r="CS42" s="211" t="str">
        <f t="shared" si="44"/>
        <v/>
      </c>
      <c r="CT42" s="212" t="str">
        <f t="shared" si="45"/>
        <v/>
      </c>
      <c r="CU42" s="213" t="str">
        <f t="shared" si="46"/>
        <v/>
      </c>
      <c r="CV42" s="138" t="str">
        <f t="shared" si="47"/>
        <v/>
      </c>
      <c r="CW42" s="199" t="e">
        <f>IF(#REF!="Plato perforado","PP",IF(OR(#REF!=0,#REF!=""),"",#REF!))</f>
        <v>#REF!</v>
      </c>
      <c r="CX42" s="200" t="str">
        <f t="shared" si="48"/>
        <v/>
      </c>
      <c r="CY42" s="201" t="str">
        <f t="shared" si="48"/>
        <v>---</v>
      </c>
      <c r="CZ42" s="202"/>
      <c r="DA42" s="222" t="str">
        <f t="shared" si="49"/>
        <v/>
      </c>
      <c r="DB42" s="199" t="str">
        <f t="shared" si="50"/>
        <v/>
      </c>
      <c r="DC42" s="198" t="str">
        <f t="shared" si="51"/>
        <v/>
      </c>
      <c r="DD42" s="138" t="str">
        <f t="shared" si="52"/>
        <v/>
      </c>
      <c r="DE42" s="211" t="str">
        <f t="shared" si="53"/>
        <v/>
      </c>
      <c r="DF42" s="212" t="str">
        <f t="shared" si="54"/>
        <v/>
      </c>
      <c r="DG42" s="213" t="str">
        <f t="shared" si="55"/>
        <v/>
      </c>
      <c r="DH42" s="138" t="str">
        <f t="shared" si="56"/>
        <v/>
      </c>
      <c r="DI42" s="199" t="e">
        <f>IF(#REF!="Plato perforado","PP",IF(OR(#REF!=0,#REF!=""),"",#REF!))</f>
        <v>#REF!</v>
      </c>
      <c r="DJ42" s="200" t="str">
        <f t="shared" si="57"/>
        <v/>
      </c>
      <c r="DK42" s="201" t="str">
        <f t="shared" si="57"/>
        <v>---</v>
      </c>
      <c r="DL42" s="202"/>
      <c r="DM42" s="222" t="str">
        <f t="shared" si="58"/>
        <v/>
      </c>
      <c r="DN42" s="199" t="str">
        <f t="shared" si="59"/>
        <v/>
      </c>
      <c r="DO42" s="198" t="str">
        <f t="shared" si="60"/>
        <v/>
      </c>
      <c r="DP42" s="138" t="str">
        <f t="shared" si="61"/>
        <v/>
      </c>
      <c r="DQ42" s="211" t="str">
        <f t="shared" si="62"/>
        <v/>
      </c>
      <c r="DR42" s="212" t="str">
        <f t="shared" si="63"/>
        <v/>
      </c>
      <c r="DS42" s="213" t="str">
        <f t="shared" si="64"/>
        <v/>
      </c>
      <c r="DT42" s="138" t="str">
        <f t="shared" si="65"/>
        <v/>
      </c>
      <c r="DU42" s="199" t="e">
        <f>IF(#REF!="Plato perforado","PP",IF(OR(#REF!=0,#REF!=""),"",#REF!))</f>
        <v>#REF!</v>
      </c>
      <c r="DV42" s="200" t="str">
        <f t="shared" si="66"/>
        <v/>
      </c>
      <c r="DW42" s="201" t="str">
        <f t="shared" si="66"/>
        <v>---</v>
      </c>
      <c r="DX42" s="202"/>
      <c r="DY42" s="222" t="str">
        <f t="shared" si="67"/>
        <v/>
      </c>
      <c r="DZ42" s="199" t="str">
        <f t="shared" si="68"/>
        <v/>
      </c>
      <c r="EA42" s="198" t="str">
        <f t="shared" si="69"/>
        <v/>
      </c>
      <c r="EB42" s="138" t="str">
        <f t="shared" si="70"/>
        <v/>
      </c>
      <c r="EC42" s="211" t="str">
        <f t="shared" si="71"/>
        <v/>
      </c>
      <c r="ED42" s="212" t="str">
        <f t="shared" si="72"/>
        <v/>
      </c>
      <c r="EE42" s="213" t="str">
        <f t="shared" si="73"/>
        <v/>
      </c>
      <c r="EF42" s="138" t="str">
        <f t="shared" si="74"/>
        <v/>
      </c>
      <c r="EG42" s="199" t="e">
        <f>IF(#REF!="Plato perforado","PP",IF(OR(#REF!=0,#REF!=""),"",#REF!))</f>
        <v>#REF!</v>
      </c>
      <c r="EH42" s="200" t="str">
        <f t="shared" si="75"/>
        <v/>
      </c>
      <c r="EI42" s="201" t="str">
        <f t="shared" si="75"/>
        <v>---</v>
      </c>
      <c r="EJ42" s="229"/>
    </row>
    <row r="43" spans="1:140" x14ac:dyDescent="0.3">
      <c r="A43" s="431">
        <v>10</v>
      </c>
      <c r="B43" s="260"/>
      <c r="C43" s="261">
        <f t="shared" si="0"/>
        <v>2</v>
      </c>
      <c r="D43" s="371"/>
      <c r="E43" s="262"/>
      <c r="F43" s="261" t="str">
        <f t="shared" si="1"/>
        <v/>
      </c>
      <c r="G43" s="263" t="str">
        <f t="shared" si="1"/>
        <v/>
      </c>
      <c r="H43" s="264" t="str">
        <f t="shared" si="2"/>
        <v/>
      </c>
      <c r="I43" s="265" t="str">
        <f t="shared" si="3"/>
        <v/>
      </c>
      <c r="J43" s="264" t="str">
        <f t="shared" si="4"/>
        <v/>
      </c>
      <c r="K43" s="264">
        <f t="shared" si="5"/>
        <v>0</v>
      </c>
      <c r="L43" s="266"/>
      <c r="M43" s="267">
        <f t="shared" si="6"/>
        <v>1</v>
      </c>
      <c r="N43" s="465" t="str">
        <f t="shared" si="7"/>
        <v/>
      </c>
      <c r="O43" s="297" t="str">
        <f t="shared" si="8"/>
        <v/>
      </c>
      <c r="P43" s="467" t="str">
        <f t="shared" si="9"/>
        <v/>
      </c>
      <c r="Q43" s="268" t="str">
        <f t="shared" si="24"/>
        <v/>
      </c>
      <c r="R43" s="270" t="str">
        <f t="shared" si="10"/>
        <v/>
      </c>
      <c r="S43" s="271" t="str">
        <f t="shared" si="11"/>
        <v>---</v>
      </c>
      <c r="V43" s="3" t="str">
        <f>IFERROR(VALUE(TEXT(C43,"00")&amp;TEXT(N43,"00")&amp;TEXT(P43,"00")&amp;IF(#REF!="Plato perforado",5,IF(OR(#REF!="N/A",#REF!=""),0,#REF!))),"")</f>
        <v/>
      </c>
      <c r="W43" s="3">
        <v>9</v>
      </c>
      <c r="X43" s="3">
        <v>9</v>
      </c>
      <c r="Y43" s="3">
        <v>4</v>
      </c>
      <c r="AY43" s="187"/>
      <c r="AZ43" s="175" t="str">
        <f>"Difusores de "&amp;W43&amp;""""&amp;" × "&amp;X43&amp;""""&amp;" de "&amp;Y43&amp;" vías:"</f>
        <v>Difusores de 9" × 9" de 4 vías:</v>
      </c>
      <c r="BA43" s="174">
        <f t="shared" si="25"/>
        <v>0</v>
      </c>
      <c r="BB43" s="187"/>
      <c r="BC43" s="103" t="str">
        <f t="shared" si="12"/>
        <v/>
      </c>
      <c r="BD43" s="103" t="str">
        <f t="shared" si="13"/>
        <v/>
      </c>
      <c r="BE43" s="103" t="e">
        <f t="shared" si="14"/>
        <v>#VALUE!</v>
      </c>
      <c r="BF43" s="181">
        <v>8</v>
      </c>
      <c r="BG43" s="181">
        <v>14</v>
      </c>
      <c r="BH43" s="184">
        <f t="shared" si="26"/>
        <v>0.77777777777777779</v>
      </c>
      <c r="BI43" s="185">
        <f t="shared" si="15"/>
        <v>427.77777777777777</v>
      </c>
      <c r="BJ43" s="185">
        <f t="shared" si="16"/>
        <v>0.5714285714285714</v>
      </c>
      <c r="BK43" s="103">
        <f t="shared" si="27"/>
        <v>814</v>
      </c>
      <c r="BL43" s="103" t="e">
        <v>#VALUE!</v>
      </c>
      <c r="BM43" s="103">
        <v>8</v>
      </c>
      <c r="BN43" s="103">
        <v>16</v>
      </c>
      <c r="BO43" s="103">
        <v>8</v>
      </c>
      <c r="BP43" s="103">
        <f t="shared" si="28"/>
        <v>816</v>
      </c>
      <c r="BQ43" s="103">
        <f t="shared" si="28"/>
        <v>1608</v>
      </c>
      <c r="BR43" s="173" t="str">
        <f t="shared" si="29"/>
        <v>Rejillas de 8" × 16":</v>
      </c>
      <c r="BS43" s="180">
        <f t="shared" si="17"/>
        <v>0</v>
      </c>
      <c r="BT43" s="180">
        <f t="shared" si="18"/>
        <v>0</v>
      </c>
      <c r="BU43" s="180">
        <f t="shared" si="30"/>
        <v>0</v>
      </c>
      <c r="BV43" s="187"/>
      <c r="BW43" s="103">
        <f t="shared" si="19"/>
        <v>0</v>
      </c>
      <c r="BX43" s="173" t="str">
        <f t="shared" si="20"/>
        <v>Rejillas de 16" × 20":</v>
      </c>
      <c r="BY43" s="180">
        <f t="shared" si="21"/>
        <v>0</v>
      </c>
      <c r="BZ43" s="180">
        <f t="shared" si="22"/>
        <v>0</v>
      </c>
      <c r="CA43" s="180">
        <f t="shared" si="23"/>
        <v>0</v>
      </c>
      <c r="CB43" s="187"/>
      <c r="CC43" s="222" t="str">
        <f t="shared" si="31"/>
        <v/>
      </c>
      <c r="CD43" s="218" t="str">
        <f t="shared" si="32"/>
        <v/>
      </c>
      <c r="CE43" s="198" t="str">
        <f t="shared" si="33"/>
        <v/>
      </c>
      <c r="CF43" s="138" t="str">
        <f t="shared" si="34"/>
        <v/>
      </c>
      <c r="CG43" s="211" t="str">
        <f t="shared" si="35"/>
        <v/>
      </c>
      <c r="CH43" s="212" t="str">
        <f t="shared" si="36"/>
        <v/>
      </c>
      <c r="CI43" s="213" t="str">
        <f t="shared" si="37"/>
        <v/>
      </c>
      <c r="CJ43" s="138" t="str">
        <f t="shared" si="38"/>
        <v/>
      </c>
      <c r="CK43" s="199" t="e">
        <f>IF(#REF!="Plato perforado","PP",IF(OR(#REF!=0,#REF!=""),"",#REF!))</f>
        <v>#REF!</v>
      </c>
      <c r="CL43" s="200" t="str">
        <f t="shared" si="39"/>
        <v/>
      </c>
      <c r="CM43" s="201" t="str">
        <f t="shared" si="39"/>
        <v>---</v>
      </c>
      <c r="CN43" s="202"/>
      <c r="CO43" s="222" t="str">
        <f t="shared" si="40"/>
        <v/>
      </c>
      <c r="CP43" s="199" t="str">
        <f t="shared" si="41"/>
        <v/>
      </c>
      <c r="CQ43" s="198" t="str">
        <f t="shared" si="42"/>
        <v/>
      </c>
      <c r="CR43" s="138" t="str">
        <f t="shared" si="43"/>
        <v/>
      </c>
      <c r="CS43" s="211" t="str">
        <f t="shared" si="44"/>
        <v/>
      </c>
      <c r="CT43" s="212" t="str">
        <f t="shared" si="45"/>
        <v/>
      </c>
      <c r="CU43" s="213" t="str">
        <f t="shared" si="46"/>
        <v/>
      </c>
      <c r="CV43" s="138" t="str">
        <f t="shared" si="47"/>
        <v/>
      </c>
      <c r="CW43" s="199" t="e">
        <f>IF(#REF!="Plato perforado","PP",IF(OR(#REF!=0,#REF!=""),"",#REF!))</f>
        <v>#REF!</v>
      </c>
      <c r="CX43" s="200" t="str">
        <f t="shared" si="48"/>
        <v/>
      </c>
      <c r="CY43" s="201" t="str">
        <f t="shared" si="48"/>
        <v>---</v>
      </c>
      <c r="CZ43" s="202"/>
      <c r="DA43" s="222" t="str">
        <f t="shared" si="49"/>
        <v/>
      </c>
      <c r="DB43" s="199" t="str">
        <f t="shared" si="50"/>
        <v/>
      </c>
      <c r="DC43" s="198" t="str">
        <f t="shared" si="51"/>
        <v/>
      </c>
      <c r="DD43" s="138" t="str">
        <f t="shared" si="52"/>
        <v/>
      </c>
      <c r="DE43" s="211" t="str">
        <f t="shared" si="53"/>
        <v/>
      </c>
      <c r="DF43" s="212" t="str">
        <f t="shared" si="54"/>
        <v/>
      </c>
      <c r="DG43" s="213" t="str">
        <f t="shared" si="55"/>
        <v/>
      </c>
      <c r="DH43" s="138" t="str">
        <f t="shared" si="56"/>
        <v/>
      </c>
      <c r="DI43" s="199" t="e">
        <f>IF(#REF!="Plato perforado","PP",IF(OR(#REF!=0,#REF!=""),"",#REF!))</f>
        <v>#REF!</v>
      </c>
      <c r="DJ43" s="200" t="str">
        <f t="shared" si="57"/>
        <v/>
      </c>
      <c r="DK43" s="201" t="str">
        <f t="shared" si="57"/>
        <v>---</v>
      </c>
      <c r="DL43" s="202"/>
      <c r="DM43" s="222" t="str">
        <f t="shared" si="58"/>
        <v/>
      </c>
      <c r="DN43" s="199" t="str">
        <f t="shared" si="59"/>
        <v/>
      </c>
      <c r="DO43" s="198" t="str">
        <f t="shared" si="60"/>
        <v/>
      </c>
      <c r="DP43" s="138" t="str">
        <f t="shared" si="61"/>
        <v/>
      </c>
      <c r="DQ43" s="211" t="str">
        <f t="shared" si="62"/>
        <v/>
      </c>
      <c r="DR43" s="212" t="str">
        <f t="shared" si="63"/>
        <v/>
      </c>
      <c r="DS43" s="213" t="str">
        <f t="shared" si="64"/>
        <v/>
      </c>
      <c r="DT43" s="138" t="str">
        <f t="shared" si="65"/>
        <v/>
      </c>
      <c r="DU43" s="199" t="e">
        <f>IF(#REF!="Plato perforado","PP",IF(OR(#REF!=0,#REF!=""),"",#REF!))</f>
        <v>#REF!</v>
      </c>
      <c r="DV43" s="200" t="str">
        <f t="shared" si="66"/>
        <v/>
      </c>
      <c r="DW43" s="201" t="str">
        <f t="shared" si="66"/>
        <v>---</v>
      </c>
      <c r="DX43" s="202"/>
      <c r="DY43" s="222" t="str">
        <f t="shared" si="67"/>
        <v/>
      </c>
      <c r="DZ43" s="199" t="str">
        <f t="shared" si="68"/>
        <v/>
      </c>
      <c r="EA43" s="198" t="str">
        <f t="shared" si="69"/>
        <v/>
      </c>
      <c r="EB43" s="138" t="str">
        <f t="shared" si="70"/>
        <v/>
      </c>
      <c r="EC43" s="211" t="str">
        <f t="shared" si="71"/>
        <v/>
      </c>
      <c r="ED43" s="212" t="str">
        <f t="shared" si="72"/>
        <v/>
      </c>
      <c r="EE43" s="213" t="str">
        <f t="shared" si="73"/>
        <v/>
      </c>
      <c r="EF43" s="138" t="str">
        <f t="shared" si="74"/>
        <v/>
      </c>
      <c r="EG43" s="199" t="e">
        <f>IF(#REF!="Plato perforado","PP",IF(OR(#REF!=0,#REF!=""),"",#REF!))</f>
        <v>#REF!</v>
      </c>
      <c r="EH43" s="200" t="str">
        <f t="shared" si="75"/>
        <v/>
      </c>
      <c r="EI43" s="201" t="str">
        <f t="shared" si="75"/>
        <v>---</v>
      </c>
      <c r="EJ43" s="229"/>
    </row>
    <row r="44" spans="1:140" x14ac:dyDescent="0.3">
      <c r="A44" s="431">
        <v>11</v>
      </c>
      <c r="B44" s="272"/>
      <c r="C44" s="273">
        <f t="shared" si="0"/>
        <v>2</v>
      </c>
      <c r="D44" s="372"/>
      <c r="E44" s="274"/>
      <c r="F44" s="273" t="str">
        <f t="shared" si="1"/>
        <v/>
      </c>
      <c r="G44" s="275" t="str">
        <f t="shared" si="1"/>
        <v/>
      </c>
      <c r="H44" s="276" t="str">
        <f t="shared" si="2"/>
        <v/>
      </c>
      <c r="I44" s="277" t="str">
        <f t="shared" si="3"/>
        <v/>
      </c>
      <c r="J44" s="276" t="str">
        <f t="shared" si="4"/>
        <v/>
      </c>
      <c r="K44" s="276">
        <f t="shared" si="5"/>
        <v>0</v>
      </c>
      <c r="L44" s="278"/>
      <c r="M44" s="279">
        <f t="shared" si="6"/>
        <v>1</v>
      </c>
      <c r="N44" s="360" t="str">
        <f t="shared" si="7"/>
        <v/>
      </c>
      <c r="O44" s="117" t="str">
        <f t="shared" si="8"/>
        <v/>
      </c>
      <c r="P44" s="359" t="str">
        <f t="shared" si="9"/>
        <v/>
      </c>
      <c r="Q44" s="280" t="str">
        <f t="shared" si="24"/>
        <v/>
      </c>
      <c r="R44" s="282" t="str">
        <f t="shared" si="10"/>
        <v/>
      </c>
      <c r="S44" s="283" t="str">
        <f t="shared" si="11"/>
        <v>---</v>
      </c>
      <c r="V44" s="3" t="str">
        <f>IFERROR(VALUE(TEXT(C44,"00")&amp;TEXT(N44,"00")&amp;TEXT(P44,"00")&amp;IF(#REF!="Plato perforado",5,IF(OR(#REF!="N/A",#REF!=""),0,#REF!))),"")</f>
        <v/>
      </c>
      <c r="W44" s="3">
        <v>9</v>
      </c>
      <c r="X44" s="3">
        <v>9</v>
      </c>
      <c r="Y44" s="3" t="s">
        <v>178</v>
      </c>
      <c r="AY44" s="187"/>
      <c r="AZ44" s="175" t="str">
        <f>"Difusores de "&amp;W44&amp;""""&amp;" × "&amp;X44&amp;""""&amp;" de "&amp;Y44</f>
        <v>Difusores de 9" × 9" de plato perforado:</v>
      </c>
      <c r="BA44" s="174">
        <f t="shared" si="25"/>
        <v>0</v>
      </c>
      <c r="BB44" s="187"/>
      <c r="BC44" s="103" t="str">
        <f t="shared" si="12"/>
        <v/>
      </c>
      <c r="BD44" s="103" t="str">
        <f t="shared" si="13"/>
        <v/>
      </c>
      <c r="BE44" s="103" t="e">
        <f t="shared" si="14"/>
        <v>#VALUE!</v>
      </c>
      <c r="BF44" s="181">
        <v>8</v>
      </c>
      <c r="BG44" s="181">
        <v>16</v>
      </c>
      <c r="BH44" s="184">
        <f t="shared" si="26"/>
        <v>0.88888888888888884</v>
      </c>
      <c r="BI44" s="185">
        <f t="shared" si="15"/>
        <v>488.88888888888886</v>
      </c>
      <c r="BJ44" s="185">
        <f t="shared" si="16"/>
        <v>0.5</v>
      </c>
      <c r="BK44" s="103">
        <f t="shared" si="27"/>
        <v>816</v>
      </c>
      <c r="BL44" s="103" t="e">
        <v>#VALUE!</v>
      </c>
      <c r="BM44" s="103">
        <v>8</v>
      </c>
      <c r="BN44" s="103">
        <v>18</v>
      </c>
      <c r="BO44" s="103">
        <v>8</v>
      </c>
      <c r="BP44" s="103">
        <f t="shared" si="28"/>
        <v>818</v>
      </c>
      <c r="BQ44" s="103">
        <f t="shared" si="28"/>
        <v>1808</v>
      </c>
      <c r="BR44" s="173" t="str">
        <f t="shared" si="29"/>
        <v>Rejillas de 8" × 18":</v>
      </c>
      <c r="BS44" s="180">
        <f t="shared" si="17"/>
        <v>0</v>
      </c>
      <c r="BT44" s="180">
        <f t="shared" si="18"/>
        <v>0</v>
      </c>
      <c r="BU44" s="180">
        <f t="shared" si="30"/>
        <v>0</v>
      </c>
      <c r="BV44" s="187"/>
      <c r="BW44" s="103">
        <f t="shared" si="19"/>
        <v>0</v>
      </c>
      <c r="BX44" s="173" t="str">
        <f t="shared" si="20"/>
        <v>Rejillas de 16" × 22":</v>
      </c>
      <c r="BY44" s="180">
        <f t="shared" si="21"/>
        <v>0</v>
      </c>
      <c r="BZ44" s="180">
        <f t="shared" si="22"/>
        <v>0</v>
      </c>
      <c r="CA44" s="180">
        <f t="shared" si="23"/>
        <v>0</v>
      </c>
      <c r="CB44" s="187"/>
      <c r="CC44" s="222" t="str">
        <f t="shared" si="31"/>
        <v/>
      </c>
      <c r="CD44" s="218" t="str">
        <f t="shared" si="32"/>
        <v/>
      </c>
      <c r="CE44" s="198" t="str">
        <f t="shared" si="33"/>
        <v/>
      </c>
      <c r="CF44" s="138" t="str">
        <f t="shared" si="34"/>
        <v/>
      </c>
      <c r="CG44" s="211" t="str">
        <f t="shared" si="35"/>
        <v/>
      </c>
      <c r="CH44" s="212" t="str">
        <f t="shared" si="36"/>
        <v/>
      </c>
      <c r="CI44" s="213" t="str">
        <f t="shared" si="37"/>
        <v/>
      </c>
      <c r="CJ44" s="138" t="str">
        <f t="shared" si="38"/>
        <v/>
      </c>
      <c r="CK44" s="199" t="e">
        <f>IF(#REF!="Plato perforado","PP",IF(OR(#REF!=0,#REF!=""),"",#REF!))</f>
        <v>#REF!</v>
      </c>
      <c r="CL44" s="200" t="str">
        <f t="shared" si="39"/>
        <v/>
      </c>
      <c r="CM44" s="201" t="str">
        <f t="shared" si="39"/>
        <v>---</v>
      </c>
      <c r="CN44" s="202"/>
      <c r="CO44" s="222" t="str">
        <f t="shared" si="40"/>
        <v/>
      </c>
      <c r="CP44" s="199" t="str">
        <f t="shared" si="41"/>
        <v/>
      </c>
      <c r="CQ44" s="198" t="str">
        <f t="shared" si="42"/>
        <v/>
      </c>
      <c r="CR44" s="138" t="str">
        <f t="shared" si="43"/>
        <v/>
      </c>
      <c r="CS44" s="211" t="str">
        <f t="shared" si="44"/>
        <v/>
      </c>
      <c r="CT44" s="212" t="str">
        <f t="shared" si="45"/>
        <v/>
      </c>
      <c r="CU44" s="213" t="str">
        <f t="shared" si="46"/>
        <v/>
      </c>
      <c r="CV44" s="138" t="str">
        <f t="shared" si="47"/>
        <v/>
      </c>
      <c r="CW44" s="199" t="e">
        <f>IF(#REF!="Plato perforado","PP",IF(OR(#REF!=0,#REF!=""),"",#REF!))</f>
        <v>#REF!</v>
      </c>
      <c r="CX44" s="200" t="str">
        <f t="shared" si="48"/>
        <v/>
      </c>
      <c r="CY44" s="201" t="str">
        <f t="shared" si="48"/>
        <v>---</v>
      </c>
      <c r="CZ44" s="202"/>
      <c r="DA44" s="222" t="str">
        <f t="shared" si="49"/>
        <v/>
      </c>
      <c r="DB44" s="199" t="str">
        <f t="shared" si="50"/>
        <v/>
      </c>
      <c r="DC44" s="198" t="str">
        <f t="shared" si="51"/>
        <v/>
      </c>
      <c r="DD44" s="138" t="str">
        <f t="shared" si="52"/>
        <v/>
      </c>
      <c r="DE44" s="211" t="str">
        <f t="shared" si="53"/>
        <v/>
      </c>
      <c r="DF44" s="212" t="str">
        <f t="shared" si="54"/>
        <v/>
      </c>
      <c r="DG44" s="213" t="str">
        <f t="shared" si="55"/>
        <v/>
      </c>
      <c r="DH44" s="138" t="str">
        <f t="shared" si="56"/>
        <v/>
      </c>
      <c r="DI44" s="199" t="e">
        <f>IF(#REF!="Plato perforado","PP",IF(OR(#REF!=0,#REF!=""),"",#REF!))</f>
        <v>#REF!</v>
      </c>
      <c r="DJ44" s="200" t="str">
        <f t="shared" si="57"/>
        <v/>
      </c>
      <c r="DK44" s="201" t="str">
        <f t="shared" si="57"/>
        <v>---</v>
      </c>
      <c r="DL44" s="202"/>
      <c r="DM44" s="222" t="str">
        <f t="shared" si="58"/>
        <v/>
      </c>
      <c r="DN44" s="199" t="str">
        <f t="shared" si="59"/>
        <v/>
      </c>
      <c r="DO44" s="198" t="str">
        <f t="shared" si="60"/>
        <v/>
      </c>
      <c r="DP44" s="138" t="str">
        <f t="shared" si="61"/>
        <v/>
      </c>
      <c r="DQ44" s="211" t="str">
        <f t="shared" si="62"/>
        <v/>
      </c>
      <c r="DR44" s="212" t="str">
        <f t="shared" si="63"/>
        <v/>
      </c>
      <c r="DS44" s="213" t="str">
        <f t="shared" si="64"/>
        <v/>
      </c>
      <c r="DT44" s="138" t="str">
        <f t="shared" si="65"/>
        <v/>
      </c>
      <c r="DU44" s="199" t="e">
        <f>IF(#REF!="Plato perforado","PP",IF(OR(#REF!=0,#REF!=""),"",#REF!))</f>
        <v>#REF!</v>
      </c>
      <c r="DV44" s="200" t="str">
        <f t="shared" si="66"/>
        <v/>
      </c>
      <c r="DW44" s="201" t="str">
        <f t="shared" si="66"/>
        <v>---</v>
      </c>
      <c r="DX44" s="202"/>
      <c r="DY44" s="222" t="str">
        <f t="shared" si="67"/>
        <v/>
      </c>
      <c r="DZ44" s="199" t="str">
        <f t="shared" si="68"/>
        <v/>
      </c>
      <c r="EA44" s="198" t="str">
        <f t="shared" si="69"/>
        <v/>
      </c>
      <c r="EB44" s="138" t="str">
        <f t="shared" si="70"/>
        <v/>
      </c>
      <c r="EC44" s="211" t="str">
        <f t="shared" si="71"/>
        <v/>
      </c>
      <c r="ED44" s="212" t="str">
        <f t="shared" si="72"/>
        <v/>
      </c>
      <c r="EE44" s="213" t="str">
        <f t="shared" si="73"/>
        <v/>
      </c>
      <c r="EF44" s="138" t="str">
        <f t="shared" si="74"/>
        <v/>
      </c>
      <c r="EG44" s="199" t="e">
        <f>IF(#REF!="Plato perforado","PP",IF(OR(#REF!=0,#REF!=""),"",#REF!))</f>
        <v>#REF!</v>
      </c>
      <c r="EH44" s="200" t="str">
        <f t="shared" si="75"/>
        <v/>
      </c>
      <c r="EI44" s="201" t="str">
        <f t="shared" si="75"/>
        <v>---</v>
      </c>
      <c r="EJ44" s="229"/>
    </row>
    <row r="45" spans="1:140" x14ac:dyDescent="0.3">
      <c r="A45" s="431">
        <v>12</v>
      </c>
      <c r="B45" s="284"/>
      <c r="C45" s="285">
        <f t="shared" si="0"/>
        <v>2</v>
      </c>
      <c r="D45" s="373"/>
      <c r="E45" s="286"/>
      <c r="F45" s="285" t="str">
        <f t="shared" si="1"/>
        <v/>
      </c>
      <c r="G45" s="287" t="str">
        <f t="shared" si="1"/>
        <v/>
      </c>
      <c r="H45" s="288" t="str">
        <f t="shared" si="2"/>
        <v/>
      </c>
      <c r="I45" s="289" t="str">
        <f t="shared" si="3"/>
        <v/>
      </c>
      <c r="J45" s="288" t="str">
        <f t="shared" si="4"/>
        <v/>
      </c>
      <c r="K45" s="288">
        <f t="shared" si="5"/>
        <v>0</v>
      </c>
      <c r="L45" s="290"/>
      <c r="M45" s="291">
        <f t="shared" si="6"/>
        <v>1</v>
      </c>
      <c r="N45" s="466" t="str">
        <f t="shared" si="7"/>
        <v/>
      </c>
      <c r="O45" s="302" t="str">
        <f t="shared" si="8"/>
        <v/>
      </c>
      <c r="P45" s="468" t="str">
        <f t="shared" si="9"/>
        <v/>
      </c>
      <c r="Q45" s="292" t="str">
        <f t="shared" si="24"/>
        <v/>
      </c>
      <c r="R45" s="294" t="str">
        <f t="shared" si="10"/>
        <v/>
      </c>
      <c r="S45" s="295" t="str">
        <f t="shared" si="11"/>
        <v>---</v>
      </c>
      <c r="V45" s="3" t="str">
        <f>IFERROR(VALUE(TEXT(C45,"00")&amp;TEXT(N45,"00")&amp;TEXT(P45,"00")&amp;IF(#REF!="Plato perforado",5,IF(OR(#REF!="N/A",#REF!=""),0,#REF!))),"")</f>
        <v/>
      </c>
      <c r="W45" s="3">
        <v>9</v>
      </c>
      <c r="X45" s="3">
        <v>9</v>
      </c>
      <c r="Y45" s="3" t="s">
        <v>179</v>
      </c>
      <c r="AY45" s="187"/>
      <c r="AZ45" s="176" t="str">
        <f>"Difusores de "&amp;W45&amp;""""&amp;" × "&amp;X45&amp;""""&amp;Y45</f>
        <v>Difusores de 9" × 9", número de vías por definir:</v>
      </c>
      <c r="BA45" s="174">
        <f t="shared" si="25"/>
        <v>0</v>
      </c>
      <c r="BB45" s="187"/>
      <c r="BC45" s="103" t="str">
        <f t="shared" si="12"/>
        <v/>
      </c>
      <c r="BD45" s="103" t="str">
        <f t="shared" si="13"/>
        <v/>
      </c>
      <c r="BE45" s="103" t="e">
        <f t="shared" si="14"/>
        <v>#VALUE!</v>
      </c>
      <c r="BF45" s="181">
        <v>8</v>
      </c>
      <c r="BG45" s="181">
        <v>18</v>
      </c>
      <c r="BH45" s="184">
        <f t="shared" si="26"/>
        <v>1</v>
      </c>
      <c r="BI45" s="185">
        <f t="shared" si="15"/>
        <v>550</v>
      </c>
      <c r="BJ45" s="185">
        <f t="shared" si="16"/>
        <v>0.44444444444444442</v>
      </c>
      <c r="BK45" s="103">
        <f t="shared" si="27"/>
        <v>818</v>
      </c>
      <c r="BL45" s="103" t="e">
        <v>#VALUE!</v>
      </c>
      <c r="BM45" s="103">
        <v>8</v>
      </c>
      <c r="BN45" s="103">
        <v>20</v>
      </c>
      <c r="BO45" s="103">
        <v>8</v>
      </c>
      <c r="BP45" s="103">
        <f t="shared" si="28"/>
        <v>820</v>
      </c>
      <c r="BQ45" s="103">
        <f t="shared" si="28"/>
        <v>2008</v>
      </c>
      <c r="BR45" s="173" t="str">
        <f t="shared" si="29"/>
        <v>Rejillas de 8" × 20":</v>
      </c>
      <c r="BS45" s="180">
        <f t="shared" si="17"/>
        <v>0</v>
      </c>
      <c r="BT45" s="180">
        <f t="shared" si="18"/>
        <v>0</v>
      </c>
      <c r="BU45" s="180">
        <f t="shared" si="30"/>
        <v>0</v>
      </c>
      <c r="BV45" s="187"/>
      <c r="BW45" s="103">
        <f t="shared" si="19"/>
        <v>0</v>
      </c>
      <c r="BX45" s="173" t="str">
        <f t="shared" si="20"/>
        <v>Rejillas de 16" × 24":</v>
      </c>
      <c r="BY45" s="180">
        <f t="shared" si="21"/>
        <v>0</v>
      </c>
      <c r="BZ45" s="180">
        <f t="shared" si="22"/>
        <v>0</v>
      </c>
      <c r="CA45" s="180">
        <f t="shared" si="23"/>
        <v>0</v>
      </c>
      <c r="CB45" s="187"/>
      <c r="CC45" s="222" t="str">
        <f t="shared" si="31"/>
        <v/>
      </c>
      <c r="CD45" s="218" t="str">
        <f t="shared" si="32"/>
        <v/>
      </c>
      <c r="CE45" s="198" t="str">
        <f t="shared" si="33"/>
        <v/>
      </c>
      <c r="CF45" s="138" t="str">
        <f t="shared" si="34"/>
        <v/>
      </c>
      <c r="CG45" s="211" t="str">
        <f t="shared" si="35"/>
        <v/>
      </c>
      <c r="CH45" s="212" t="str">
        <f t="shared" si="36"/>
        <v/>
      </c>
      <c r="CI45" s="213" t="str">
        <f t="shared" si="37"/>
        <v/>
      </c>
      <c r="CJ45" s="138" t="str">
        <f t="shared" si="38"/>
        <v/>
      </c>
      <c r="CK45" s="199" t="e">
        <f>IF(#REF!="Plato perforado","PP",IF(OR(#REF!=0,#REF!=""),"",#REF!))</f>
        <v>#REF!</v>
      </c>
      <c r="CL45" s="200" t="str">
        <f t="shared" si="39"/>
        <v/>
      </c>
      <c r="CM45" s="201" t="str">
        <f t="shared" si="39"/>
        <v>---</v>
      </c>
      <c r="CN45" s="202"/>
      <c r="CO45" s="222" t="str">
        <f t="shared" si="40"/>
        <v/>
      </c>
      <c r="CP45" s="199" t="str">
        <f t="shared" si="41"/>
        <v/>
      </c>
      <c r="CQ45" s="198" t="str">
        <f t="shared" si="42"/>
        <v/>
      </c>
      <c r="CR45" s="138" t="str">
        <f t="shared" si="43"/>
        <v/>
      </c>
      <c r="CS45" s="211" t="str">
        <f t="shared" si="44"/>
        <v/>
      </c>
      <c r="CT45" s="212" t="str">
        <f t="shared" si="45"/>
        <v/>
      </c>
      <c r="CU45" s="213" t="str">
        <f t="shared" si="46"/>
        <v/>
      </c>
      <c r="CV45" s="138" t="str">
        <f t="shared" si="47"/>
        <v/>
      </c>
      <c r="CW45" s="199" t="e">
        <f>IF(#REF!="Plato perforado","PP",IF(OR(#REF!=0,#REF!=""),"",#REF!))</f>
        <v>#REF!</v>
      </c>
      <c r="CX45" s="200" t="str">
        <f t="shared" si="48"/>
        <v/>
      </c>
      <c r="CY45" s="201" t="str">
        <f t="shared" si="48"/>
        <v>---</v>
      </c>
      <c r="CZ45" s="202"/>
      <c r="DA45" s="222" t="str">
        <f t="shared" si="49"/>
        <v/>
      </c>
      <c r="DB45" s="199" t="str">
        <f t="shared" si="50"/>
        <v/>
      </c>
      <c r="DC45" s="198" t="str">
        <f t="shared" si="51"/>
        <v/>
      </c>
      <c r="DD45" s="138" t="str">
        <f t="shared" si="52"/>
        <v/>
      </c>
      <c r="DE45" s="211" t="str">
        <f t="shared" si="53"/>
        <v/>
      </c>
      <c r="DF45" s="212" t="str">
        <f t="shared" si="54"/>
        <v/>
      </c>
      <c r="DG45" s="213" t="str">
        <f t="shared" si="55"/>
        <v/>
      </c>
      <c r="DH45" s="138" t="str">
        <f t="shared" si="56"/>
        <v/>
      </c>
      <c r="DI45" s="199" t="e">
        <f>IF(#REF!="Plato perforado","PP",IF(OR(#REF!=0,#REF!=""),"",#REF!))</f>
        <v>#REF!</v>
      </c>
      <c r="DJ45" s="200" t="str">
        <f t="shared" si="57"/>
        <v/>
      </c>
      <c r="DK45" s="201" t="str">
        <f t="shared" si="57"/>
        <v>---</v>
      </c>
      <c r="DL45" s="202"/>
      <c r="DM45" s="222" t="str">
        <f t="shared" si="58"/>
        <v/>
      </c>
      <c r="DN45" s="199" t="str">
        <f t="shared" si="59"/>
        <v/>
      </c>
      <c r="DO45" s="198" t="str">
        <f t="shared" si="60"/>
        <v/>
      </c>
      <c r="DP45" s="138" t="str">
        <f t="shared" si="61"/>
        <v/>
      </c>
      <c r="DQ45" s="211" t="str">
        <f t="shared" si="62"/>
        <v/>
      </c>
      <c r="DR45" s="212" t="str">
        <f t="shared" si="63"/>
        <v/>
      </c>
      <c r="DS45" s="213" t="str">
        <f t="shared" si="64"/>
        <v/>
      </c>
      <c r="DT45" s="138" t="str">
        <f t="shared" si="65"/>
        <v/>
      </c>
      <c r="DU45" s="199" t="e">
        <f>IF(#REF!="Plato perforado","PP",IF(OR(#REF!=0,#REF!=""),"",#REF!))</f>
        <v>#REF!</v>
      </c>
      <c r="DV45" s="200" t="str">
        <f t="shared" si="66"/>
        <v/>
      </c>
      <c r="DW45" s="201" t="str">
        <f t="shared" si="66"/>
        <v>---</v>
      </c>
      <c r="DX45" s="202"/>
      <c r="DY45" s="222" t="str">
        <f t="shared" si="67"/>
        <v/>
      </c>
      <c r="DZ45" s="199" t="str">
        <f t="shared" si="68"/>
        <v/>
      </c>
      <c r="EA45" s="198" t="str">
        <f t="shared" si="69"/>
        <v/>
      </c>
      <c r="EB45" s="138" t="str">
        <f t="shared" si="70"/>
        <v/>
      </c>
      <c r="EC45" s="211" t="str">
        <f t="shared" si="71"/>
        <v/>
      </c>
      <c r="ED45" s="212" t="str">
        <f t="shared" si="72"/>
        <v/>
      </c>
      <c r="EE45" s="213" t="str">
        <f t="shared" si="73"/>
        <v/>
      </c>
      <c r="EF45" s="138" t="str">
        <f t="shared" si="74"/>
        <v/>
      </c>
      <c r="EG45" s="199" t="e">
        <f>IF(#REF!="Plato perforado","PP",IF(OR(#REF!=0,#REF!=""),"",#REF!))</f>
        <v>#REF!</v>
      </c>
      <c r="EH45" s="200" t="str">
        <f t="shared" si="75"/>
        <v/>
      </c>
      <c r="EI45" s="201" t="str">
        <f t="shared" si="75"/>
        <v>---</v>
      </c>
      <c r="EJ45" s="229"/>
    </row>
    <row r="46" spans="1:140" x14ac:dyDescent="0.3">
      <c r="A46" s="431">
        <v>13</v>
      </c>
      <c r="B46" s="260"/>
      <c r="C46" s="261">
        <f t="shared" si="0"/>
        <v>2</v>
      </c>
      <c r="D46" s="371"/>
      <c r="E46" s="262"/>
      <c r="F46" s="261" t="str">
        <f t="shared" si="1"/>
        <v/>
      </c>
      <c r="G46" s="263" t="str">
        <f t="shared" si="1"/>
        <v/>
      </c>
      <c r="H46" s="264" t="str">
        <f t="shared" si="2"/>
        <v/>
      </c>
      <c r="I46" s="265" t="str">
        <f t="shared" si="3"/>
        <v/>
      </c>
      <c r="J46" s="264" t="str">
        <f t="shared" si="4"/>
        <v/>
      </c>
      <c r="K46" s="264">
        <f t="shared" si="5"/>
        <v>0</v>
      </c>
      <c r="L46" s="266"/>
      <c r="M46" s="267">
        <f t="shared" si="6"/>
        <v>1</v>
      </c>
      <c r="N46" s="465" t="str">
        <f t="shared" si="7"/>
        <v/>
      </c>
      <c r="O46" s="297" t="str">
        <f t="shared" si="8"/>
        <v/>
      </c>
      <c r="P46" s="467" t="str">
        <f t="shared" si="9"/>
        <v/>
      </c>
      <c r="Q46" s="268" t="str">
        <f t="shared" si="24"/>
        <v/>
      </c>
      <c r="R46" s="270" t="str">
        <f t="shared" si="10"/>
        <v/>
      </c>
      <c r="S46" s="271" t="str">
        <f t="shared" si="11"/>
        <v>---</v>
      </c>
      <c r="V46" s="3" t="str">
        <f>IFERROR(VALUE(TEXT(C46,"00")&amp;TEXT(N46,"00")&amp;TEXT(P46,"00")&amp;IF(#REF!="Plato perforado",5,IF(OR(#REF!="N/A",#REF!=""),0,#REF!))),"")</f>
        <v/>
      </c>
      <c r="W46" s="3">
        <v>12</v>
      </c>
      <c r="X46" s="3">
        <v>12</v>
      </c>
      <c r="Y46" s="3">
        <v>1</v>
      </c>
      <c r="AY46" s="187"/>
      <c r="AZ46" s="175" t="str">
        <f>"Difusores de "&amp;W46&amp;""""&amp;" × "&amp;X46&amp;""""&amp;" de "&amp;Y46&amp;" vía:"</f>
        <v>Difusores de 12" × 12" de 1 vía:</v>
      </c>
      <c r="BA46" s="174">
        <f t="shared" si="25"/>
        <v>0</v>
      </c>
      <c r="BB46" s="187"/>
      <c r="BC46" s="103" t="str">
        <f t="shared" si="12"/>
        <v/>
      </c>
      <c r="BD46" s="103" t="str">
        <f t="shared" si="13"/>
        <v/>
      </c>
      <c r="BE46" s="103" t="e">
        <f t="shared" si="14"/>
        <v>#VALUE!</v>
      </c>
      <c r="BF46" s="181">
        <v>8</v>
      </c>
      <c r="BG46" s="181">
        <v>20</v>
      </c>
      <c r="BH46" s="184">
        <f t="shared" si="26"/>
        <v>1.1111111111111112</v>
      </c>
      <c r="BI46" s="185">
        <f t="shared" si="15"/>
        <v>611.11111111111109</v>
      </c>
      <c r="BJ46" s="185">
        <f t="shared" si="16"/>
        <v>0.4</v>
      </c>
      <c r="BK46" s="103">
        <f t="shared" si="27"/>
        <v>820</v>
      </c>
      <c r="BL46" s="103" t="e">
        <v>#VALUE!</v>
      </c>
      <c r="BM46" s="103">
        <v>10</v>
      </c>
      <c r="BN46" s="103">
        <v>10</v>
      </c>
      <c r="BO46" s="103">
        <v>10</v>
      </c>
      <c r="BP46" s="103">
        <f t="shared" si="28"/>
        <v>1010</v>
      </c>
      <c r="BQ46" s="103">
        <f t="shared" si="28"/>
        <v>1010</v>
      </c>
      <c r="BR46" s="173" t="str">
        <f t="shared" si="29"/>
        <v>Rejillas de 10" × 10":</v>
      </c>
      <c r="BS46" s="180">
        <f t="shared" si="17"/>
        <v>0</v>
      </c>
      <c r="BT46" s="180">
        <f t="shared" si="18"/>
        <v>0</v>
      </c>
      <c r="BU46" s="180">
        <f t="shared" si="30"/>
        <v>0</v>
      </c>
      <c r="BV46" s="187"/>
      <c r="BW46" s="103">
        <f t="shared" si="19"/>
        <v>0</v>
      </c>
      <c r="BX46" s="173" t="str">
        <f t="shared" si="20"/>
        <v>Rejillas de 18" × 18":</v>
      </c>
      <c r="BY46" s="180">
        <f t="shared" si="21"/>
        <v>0</v>
      </c>
      <c r="BZ46" s="180">
        <f t="shared" si="22"/>
        <v>0</v>
      </c>
      <c r="CA46" s="180">
        <f t="shared" si="23"/>
        <v>0</v>
      </c>
      <c r="CB46" s="187"/>
      <c r="CC46" s="222" t="str">
        <f t="shared" si="31"/>
        <v/>
      </c>
      <c r="CD46" s="218" t="str">
        <f t="shared" si="32"/>
        <v/>
      </c>
      <c r="CE46" s="198" t="str">
        <f t="shared" si="33"/>
        <v/>
      </c>
      <c r="CF46" s="138" t="str">
        <f t="shared" si="34"/>
        <v/>
      </c>
      <c r="CG46" s="211" t="str">
        <f t="shared" si="35"/>
        <v/>
      </c>
      <c r="CH46" s="212" t="str">
        <f t="shared" si="36"/>
        <v/>
      </c>
      <c r="CI46" s="213" t="str">
        <f t="shared" si="37"/>
        <v/>
      </c>
      <c r="CJ46" s="138" t="str">
        <f t="shared" si="38"/>
        <v/>
      </c>
      <c r="CK46" s="199" t="e">
        <f>IF(#REF!="Plato perforado","PP",IF(OR(#REF!=0,#REF!=""),"",#REF!))</f>
        <v>#REF!</v>
      </c>
      <c r="CL46" s="200" t="str">
        <f t="shared" si="39"/>
        <v/>
      </c>
      <c r="CM46" s="201" t="str">
        <f t="shared" si="39"/>
        <v>---</v>
      </c>
      <c r="CN46" s="202"/>
      <c r="CO46" s="222" t="str">
        <f t="shared" si="40"/>
        <v/>
      </c>
      <c r="CP46" s="199" t="str">
        <f t="shared" si="41"/>
        <v/>
      </c>
      <c r="CQ46" s="198" t="str">
        <f t="shared" si="42"/>
        <v/>
      </c>
      <c r="CR46" s="138" t="str">
        <f t="shared" si="43"/>
        <v/>
      </c>
      <c r="CS46" s="211" t="str">
        <f t="shared" si="44"/>
        <v/>
      </c>
      <c r="CT46" s="212" t="str">
        <f t="shared" si="45"/>
        <v/>
      </c>
      <c r="CU46" s="213" t="str">
        <f t="shared" si="46"/>
        <v/>
      </c>
      <c r="CV46" s="138" t="str">
        <f t="shared" si="47"/>
        <v/>
      </c>
      <c r="CW46" s="199" t="e">
        <f>IF(#REF!="Plato perforado","PP",IF(OR(#REF!=0,#REF!=""),"",#REF!))</f>
        <v>#REF!</v>
      </c>
      <c r="CX46" s="200" t="str">
        <f t="shared" si="48"/>
        <v/>
      </c>
      <c r="CY46" s="201" t="str">
        <f t="shared" si="48"/>
        <v>---</v>
      </c>
      <c r="CZ46" s="202"/>
      <c r="DA46" s="222" t="str">
        <f t="shared" si="49"/>
        <v/>
      </c>
      <c r="DB46" s="199" t="str">
        <f t="shared" si="50"/>
        <v/>
      </c>
      <c r="DC46" s="198" t="str">
        <f t="shared" si="51"/>
        <v/>
      </c>
      <c r="DD46" s="138" t="str">
        <f t="shared" si="52"/>
        <v/>
      </c>
      <c r="DE46" s="211" t="str">
        <f t="shared" si="53"/>
        <v/>
      </c>
      <c r="DF46" s="212" t="str">
        <f t="shared" si="54"/>
        <v/>
      </c>
      <c r="DG46" s="213" t="str">
        <f t="shared" si="55"/>
        <v/>
      </c>
      <c r="DH46" s="138" t="str">
        <f t="shared" si="56"/>
        <v/>
      </c>
      <c r="DI46" s="199" t="e">
        <f>IF(#REF!="Plato perforado","PP",IF(OR(#REF!=0,#REF!=""),"",#REF!))</f>
        <v>#REF!</v>
      </c>
      <c r="DJ46" s="200" t="str">
        <f t="shared" si="57"/>
        <v/>
      </c>
      <c r="DK46" s="201" t="str">
        <f t="shared" si="57"/>
        <v>---</v>
      </c>
      <c r="DL46" s="202"/>
      <c r="DM46" s="222" t="str">
        <f t="shared" si="58"/>
        <v/>
      </c>
      <c r="DN46" s="199" t="str">
        <f t="shared" si="59"/>
        <v/>
      </c>
      <c r="DO46" s="198" t="str">
        <f t="shared" si="60"/>
        <v/>
      </c>
      <c r="DP46" s="138" t="str">
        <f t="shared" si="61"/>
        <v/>
      </c>
      <c r="DQ46" s="211" t="str">
        <f t="shared" si="62"/>
        <v/>
      </c>
      <c r="DR46" s="212" t="str">
        <f t="shared" si="63"/>
        <v/>
      </c>
      <c r="DS46" s="213" t="str">
        <f t="shared" si="64"/>
        <v/>
      </c>
      <c r="DT46" s="138" t="str">
        <f t="shared" si="65"/>
        <v/>
      </c>
      <c r="DU46" s="199" t="e">
        <f>IF(#REF!="Plato perforado","PP",IF(OR(#REF!=0,#REF!=""),"",#REF!))</f>
        <v>#REF!</v>
      </c>
      <c r="DV46" s="200" t="str">
        <f t="shared" si="66"/>
        <v/>
      </c>
      <c r="DW46" s="201" t="str">
        <f t="shared" si="66"/>
        <v>---</v>
      </c>
      <c r="DX46" s="202"/>
      <c r="DY46" s="222" t="str">
        <f t="shared" si="67"/>
        <v/>
      </c>
      <c r="DZ46" s="199" t="str">
        <f t="shared" si="68"/>
        <v/>
      </c>
      <c r="EA46" s="198" t="str">
        <f t="shared" si="69"/>
        <v/>
      </c>
      <c r="EB46" s="138" t="str">
        <f t="shared" si="70"/>
        <v/>
      </c>
      <c r="EC46" s="211" t="str">
        <f t="shared" si="71"/>
        <v/>
      </c>
      <c r="ED46" s="212" t="str">
        <f t="shared" si="72"/>
        <v/>
      </c>
      <c r="EE46" s="213" t="str">
        <f t="shared" si="73"/>
        <v/>
      </c>
      <c r="EF46" s="138" t="str">
        <f t="shared" si="74"/>
        <v/>
      </c>
      <c r="EG46" s="199" t="e">
        <f>IF(#REF!="Plato perforado","PP",IF(OR(#REF!=0,#REF!=""),"",#REF!))</f>
        <v>#REF!</v>
      </c>
      <c r="EH46" s="200" t="str">
        <f t="shared" si="75"/>
        <v/>
      </c>
      <c r="EI46" s="201" t="str">
        <f t="shared" si="75"/>
        <v>---</v>
      </c>
      <c r="EJ46" s="229"/>
    </row>
    <row r="47" spans="1:140" x14ac:dyDescent="0.3">
      <c r="A47" s="431">
        <v>14</v>
      </c>
      <c r="B47" s="272"/>
      <c r="C47" s="273">
        <f t="shared" si="0"/>
        <v>2</v>
      </c>
      <c r="D47" s="372"/>
      <c r="E47" s="274"/>
      <c r="F47" s="273" t="str">
        <f t="shared" si="1"/>
        <v/>
      </c>
      <c r="G47" s="275" t="str">
        <f t="shared" si="1"/>
        <v/>
      </c>
      <c r="H47" s="276" t="str">
        <f t="shared" si="2"/>
        <v/>
      </c>
      <c r="I47" s="277" t="str">
        <f t="shared" si="3"/>
        <v/>
      </c>
      <c r="J47" s="276" t="str">
        <f t="shared" si="4"/>
        <v/>
      </c>
      <c r="K47" s="276">
        <f t="shared" si="5"/>
        <v>0</v>
      </c>
      <c r="L47" s="278"/>
      <c r="M47" s="279">
        <f t="shared" si="6"/>
        <v>1</v>
      </c>
      <c r="N47" s="360" t="str">
        <f t="shared" si="7"/>
        <v/>
      </c>
      <c r="O47" s="117" t="str">
        <f t="shared" si="8"/>
        <v/>
      </c>
      <c r="P47" s="359" t="str">
        <f t="shared" si="9"/>
        <v/>
      </c>
      <c r="Q47" s="280" t="str">
        <f t="shared" si="24"/>
        <v/>
      </c>
      <c r="R47" s="282" t="str">
        <f t="shared" si="10"/>
        <v/>
      </c>
      <c r="S47" s="283" t="str">
        <f t="shared" si="11"/>
        <v>---</v>
      </c>
      <c r="V47" s="3" t="str">
        <f>IFERROR(VALUE(TEXT(C47,"00")&amp;TEXT(N47,"00")&amp;TEXT(P47,"00")&amp;IF(#REF!="Plato perforado",5,IF(OR(#REF!="N/A",#REF!=""),0,#REF!))),"")</f>
        <v/>
      </c>
      <c r="W47" s="3">
        <v>12</v>
      </c>
      <c r="X47" s="3">
        <v>12</v>
      </c>
      <c r="Y47" s="3">
        <v>2</v>
      </c>
      <c r="AY47" s="187"/>
      <c r="AZ47" s="175" t="str">
        <f>"Difusores de "&amp;W47&amp;""""&amp;" × "&amp;X47&amp;""""&amp;" de "&amp;Y47&amp;" vías:"</f>
        <v>Difusores de 12" × 12" de 2 vías:</v>
      </c>
      <c r="BA47" s="174">
        <f t="shared" si="25"/>
        <v>0</v>
      </c>
      <c r="BB47" s="187"/>
      <c r="BC47" s="103" t="str">
        <f t="shared" si="12"/>
        <v/>
      </c>
      <c r="BD47" s="103" t="str">
        <f t="shared" si="13"/>
        <v/>
      </c>
      <c r="BE47" s="103" t="e">
        <f t="shared" si="14"/>
        <v>#VALUE!</v>
      </c>
      <c r="BF47" s="181">
        <v>10</v>
      </c>
      <c r="BG47" s="181">
        <v>6</v>
      </c>
      <c r="BH47" s="184">
        <f t="shared" si="26"/>
        <v>0.41666666666666669</v>
      </c>
      <c r="BI47" s="185">
        <f t="shared" si="15"/>
        <v>229.16666666666669</v>
      </c>
      <c r="BJ47" s="185">
        <f t="shared" si="16"/>
        <v>1.6666666666666667</v>
      </c>
      <c r="BK47" s="103">
        <f t="shared" si="27"/>
        <v>1006</v>
      </c>
      <c r="BL47" s="103" t="e">
        <v>#VALUE!</v>
      </c>
      <c r="BM47" s="103">
        <v>10</v>
      </c>
      <c r="BN47" s="103">
        <v>12</v>
      </c>
      <c r="BO47" s="103">
        <v>10</v>
      </c>
      <c r="BP47" s="103">
        <f t="shared" si="28"/>
        <v>1012</v>
      </c>
      <c r="BQ47" s="103">
        <f t="shared" si="28"/>
        <v>1210</v>
      </c>
      <c r="BR47" s="173" t="str">
        <f t="shared" si="29"/>
        <v>Rejillas de 10" × 12":</v>
      </c>
      <c r="BS47" s="180">
        <f t="shared" si="17"/>
        <v>0</v>
      </c>
      <c r="BT47" s="180">
        <f t="shared" si="18"/>
        <v>0</v>
      </c>
      <c r="BU47" s="180">
        <f t="shared" si="30"/>
        <v>0</v>
      </c>
      <c r="BV47" s="187"/>
      <c r="BW47" s="103">
        <f t="shared" si="19"/>
        <v>0</v>
      </c>
      <c r="BX47" s="173" t="str">
        <f t="shared" si="20"/>
        <v>Rejillas de 18" × 20":</v>
      </c>
      <c r="BY47" s="180">
        <f t="shared" si="21"/>
        <v>0</v>
      </c>
      <c r="BZ47" s="180">
        <f t="shared" si="22"/>
        <v>0</v>
      </c>
      <c r="CA47" s="180">
        <f t="shared" si="23"/>
        <v>0</v>
      </c>
      <c r="CB47" s="187"/>
      <c r="CC47" s="222" t="str">
        <f t="shared" si="31"/>
        <v/>
      </c>
      <c r="CD47" s="218" t="str">
        <f t="shared" si="32"/>
        <v/>
      </c>
      <c r="CE47" s="198" t="str">
        <f t="shared" si="33"/>
        <v/>
      </c>
      <c r="CF47" s="138" t="str">
        <f t="shared" si="34"/>
        <v/>
      </c>
      <c r="CG47" s="211" t="str">
        <f t="shared" si="35"/>
        <v/>
      </c>
      <c r="CH47" s="212" t="str">
        <f t="shared" si="36"/>
        <v/>
      </c>
      <c r="CI47" s="213" t="str">
        <f t="shared" si="37"/>
        <v/>
      </c>
      <c r="CJ47" s="138" t="str">
        <f t="shared" si="38"/>
        <v/>
      </c>
      <c r="CK47" s="199" t="e">
        <f>IF(#REF!="Plato perforado","PP",IF(OR(#REF!=0,#REF!=""),"",#REF!))</f>
        <v>#REF!</v>
      </c>
      <c r="CL47" s="200" t="str">
        <f t="shared" si="39"/>
        <v/>
      </c>
      <c r="CM47" s="201" t="str">
        <f t="shared" si="39"/>
        <v>---</v>
      </c>
      <c r="CN47" s="202"/>
      <c r="CO47" s="222" t="str">
        <f t="shared" si="40"/>
        <v/>
      </c>
      <c r="CP47" s="199" t="str">
        <f t="shared" si="41"/>
        <v/>
      </c>
      <c r="CQ47" s="198" t="str">
        <f t="shared" si="42"/>
        <v/>
      </c>
      <c r="CR47" s="138" t="str">
        <f t="shared" si="43"/>
        <v/>
      </c>
      <c r="CS47" s="211" t="str">
        <f t="shared" si="44"/>
        <v/>
      </c>
      <c r="CT47" s="212" t="str">
        <f t="shared" si="45"/>
        <v/>
      </c>
      <c r="CU47" s="213" t="str">
        <f t="shared" si="46"/>
        <v/>
      </c>
      <c r="CV47" s="138" t="str">
        <f t="shared" si="47"/>
        <v/>
      </c>
      <c r="CW47" s="199" t="e">
        <f>IF(#REF!="Plato perforado","PP",IF(OR(#REF!=0,#REF!=""),"",#REF!))</f>
        <v>#REF!</v>
      </c>
      <c r="CX47" s="200" t="str">
        <f t="shared" si="48"/>
        <v/>
      </c>
      <c r="CY47" s="201" t="str">
        <f t="shared" si="48"/>
        <v>---</v>
      </c>
      <c r="CZ47" s="202"/>
      <c r="DA47" s="222" t="str">
        <f t="shared" si="49"/>
        <v/>
      </c>
      <c r="DB47" s="199" t="str">
        <f t="shared" si="50"/>
        <v/>
      </c>
      <c r="DC47" s="198" t="str">
        <f t="shared" si="51"/>
        <v/>
      </c>
      <c r="DD47" s="138" t="str">
        <f t="shared" si="52"/>
        <v/>
      </c>
      <c r="DE47" s="211" t="str">
        <f t="shared" si="53"/>
        <v/>
      </c>
      <c r="DF47" s="212" t="str">
        <f t="shared" si="54"/>
        <v/>
      </c>
      <c r="DG47" s="213" t="str">
        <f t="shared" si="55"/>
        <v/>
      </c>
      <c r="DH47" s="138" t="str">
        <f t="shared" si="56"/>
        <v/>
      </c>
      <c r="DI47" s="199" t="e">
        <f>IF(#REF!="Plato perforado","PP",IF(OR(#REF!=0,#REF!=""),"",#REF!))</f>
        <v>#REF!</v>
      </c>
      <c r="DJ47" s="200" t="str">
        <f t="shared" si="57"/>
        <v/>
      </c>
      <c r="DK47" s="201" t="str">
        <f t="shared" si="57"/>
        <v>---</v>
      </c>
      <c r="DL47" s="202"/>
      <c r="DM47" s="222" t="str">
        <f t="shared" si="58"/>
        <v/>
      </c>
      <c r="DN47" s="199" t="str">
        <f t="shared" si="59"/>
        <v/>
      </c>
      <c r="DO47" s="198" t="str">
        <f t="shared" si="60"/>
        <v/>
      </c>
      <c r="DP47" s="138" t="str">
        <f t="shared" si="61"/>
        <v/>
      </c>
      <c r="DQ47" s="211" t="str">
        <f t="shared" si="62"/>
        <v/>
      </c>
      <c r="DR47" s="212" t="str">
        <f t="shared" si="63"/>
        <v/>
      </c>
      <c r="DS47" s="213" t="str">
        <f t="shared" si="64"/>
        <v/>
      </c>
      <c r="DT47" s="138" t="str">
        <f t="shared" si="65"/>
        <v/>
      </c>
      <c r="DU47" s="199" t="e">
        <f>IF(#REF!="Plato perforado","PP",IF(OR(#REF!=0,#REF!=""),"",#REF!))</f>
        <v>#REF!</v>
      </c>
      <c r="DV47" s="200" t="str">
        <f t="shared" si="66"/>
        <v/>
      </c>
      <c r="DW47" s="201" t="str">
        <f t="shared" si="66"/>
        <v>---</v>
      </c>
      <c r="DX47" s="202"/>
      <c r="DY47" s="222" t="str">
        <f t="shared" si="67"/>
        <v/>
      </c>
      <c r="DZ47" s="199" t="str">
        <f t="shared" si="68"/>
        <v/>
      </c>
      <c r="EA47" s="198" t="str">
        <f t="shared" si="69"/>
        <v/>
      </c>
      <c r="EB47" s="138" t="str">
        <f t="shared" si="70"/>
        <v/>
      </c>
      <c r="EC47" s="211" t="str">
        <f t="shared" si="71"/>
        <v/>
      </c>
      <c r="ED47" s="212" t="str">
        <f t="shared" si="72"/>
        <v/>
      </c>
      <c r="EE47" s="213" t="str">
        <f t="shared" si="73"/>
        <v/>
      </c>
      <c r="EF47" s="138" t="str">
        <f t="shared" si="74"/>
        <v/>
      </c>
      <c r="EG47" s="199" t="e">
        <f>IF(#REF!="Plato perforado","PP",IF(OR(#REF!=0,#REF!=""),"",#REF!))</f>
        <v>#REF!</v>
      </c>
      <c r="EH47" s="200" t="str">
        <f t="shared" si="75"/>
        <v/>
      </c>
      <c r="EI47" s="201" t="str">
        <f t="shared" si="75"/>
        <v>---</v>
      </c>
      <c r="EJ47" s="229"/>
    </row>
    <row r="48" spans="1:140" x14ac:dyDescent="0.3">
      <c r="A48" s="431">
        <v>15</v>
      </c>
      <c r="B48" s="284"/>
      <c r="C48" s="285">
        <f t="shared" si="0"/>
        <v>2</v>
      </c>
      <c r="D48" s="373"/>
      <c r="E48" s="286"/>
      <c r="F48" s="285" t="str">
        <f t="shared" si="1"/>
        <v/>
      </c>
      <c r="G48" s="287" t="str">
        <f t="shared" si="1"/>
        <v/>
      </c>
      <c r="H48" s="288" t="str">
        <f t="shared" si="2"/>
        <v/>
      </c>
      <c r="I48" s="289" t="str">
        <f t="shared" si="3"/>
        <v/>
      </c>
      <c r="J48" s="288" t="str">
        <f t="shared" si="4"/>
        <v/>
      </c>
      <c r="K48" s="288">
        <f t="shared" si="5"/>
        <v>0</v>
      </c>
      <c r="L48" s="290"/>
      <c r="M48" s="291">
        <f t="shared" si="6"/>
        <v>1</v>
      </c>
      <c r="N48" s="466" t="str">
        <f t="shared" si="7"/>
        <v/>
      </c>
      <c r="O48" s="302" t="str">
        <f t="shared" si="8"/>
        <v/>
      </c>
      <c r="P48" s="468" t="str">
        <f t="shared" si="9"/>
        <v/>
      </c>
      <c r="Q48" s="292" t="str">
        <f t="shared" si="24"/>
        <v/>
      </c>
      <c r="R48" s="294" t="str">
        <f t="shared" si="10"/>
        <v/>
      </c>
      <c r="S48" s="295" t="str">
        <f t="shared" si="11"/>
        <v>---</v>
      </c>
      <c r="V48" s="3" t="str">
        <f>IFERROR(VALUE(TEXT(C48,"00")&amp;TEXT(N48,"00")&amp;TEXT(P48,"00")&amp;IF(#REF!="Plato perforado",5,IF(OR(#REF!="N/A",#REF!=""),0,#REF!))),"")</f>
        <v/>
      </c>
      <c r="W48" s="3">
        <v>12</v>
      </c>
      <c r="X48" s="3">
        <v>12</v>
      </c>
      <c r="Y48" s="3">
        <v>3</v>
      </c>
      <c r="AY48" s="187"/>
      <c r="AZ48" s="175" t="str">
        <f t="shared" ref="AZ48:AZ49" si="77">"Difusores de "&amp;W48&amp;""""&amp;" × "&amp;X48&amp;""""&amp;" de "&amp;Y48&amp;" vías:"</f>
        <v>Difusores de 12" × 12" de 3 vías:</v>
      </c>
      <c r="BA48" s="174">
        <f t="shared" si="25"/>
        <v>0</v>
      </c>
      <c r="BB48" s="187"/>
      <c r="BC48" s="103" t="str">
        <f t="shared" si="12"/>
        <v/>
      </c>
      <c r="BD48" s="103" t="str">
        <f t="shared" si="13"/>
        <v/>
      </c>
      <c r="BE48" s="103" t="e">
        <f t="shared" si="14"/>
        <v>#VALUE!</v>
      </c>
      <c r="BF48" s="181">
        <v>10</v>
      </c>
      <c r="BG48" s="181">
        <v>8</v>
      </c>
      <c r="BH48" s="184">
        <f t="shared" si="26"/>
        <v>0.55555555555555558</v>
      </c>
      <c r="BI48" s="185">
        <f t="shared" si="15"/>
        <v>305.55555555555554</v>
      </c>
      <c r="BJ48" s="185">
        <f t="shared" si="16"/>
        <v>1.25</v>
      </c>
      <c r="BK48" s="103">
        <f t="shared" si="27"/>
        <v>1008</v>
      </c>
      <c r="BL48" s="103" t="e">
        <v>#VALUE!</v>
      </c>
      <c r="BM48" s="103">
        <v>10</v>
      </c>
      <c r="BN48" s="103">
        <v>14</v>
      </c>
      <c r="BO48" s="103">
        <v>10</v>
      </c>
      <c r="BP48" s="103">
        <f t="shared" si="28"/>
        <v>1014</v>
      </c>
      <c r="BQ48" s="103">
        <f t="shared" si="28"/>
        <v>1410</v>
      </c>
      <c r="BR48" s="173" t="str">
        <f t="shared" si="29"/>
        <v>Rejillas de 10" × 14":</v>
      </c>
      <c r="BS48" s="180">
        <f t="shared" si="17"/>
        <v>0</v>
      </c>
      <c r="BT48" s="180">
        <f t="shared" si="18"/>
        <v>0</v>
      </c>
      <c r="BU48" s="180">
        <f t="shared" si="30"/>
        <v>0</v>
      </c>
      <c r="BV48" s="187"/>
      <c r="BW48" s="103">
        <f t="shared" si="19"/>
        <v>0</v>
      </c>
      <c r="BX48" s="248" t="str">
        <f t="shared" si="20"/>
        <v>Rejillas de 30" × 12":</v>
      </c>
      <c r="BY48" s="249">
        <f t="shared" si="21"/>
        <v>0</v>
      </c>
      <c r="BZ48" s="249">
        <f t="shared" si="22"/>
        <v>0</v>
      </c>
      <c r="CA48" s="249">
        <f t="shared" si="23"/>
        <v>0</v>
      </c>
      <c r="CB48" s="187"/>
      <c r="CC48" s="222" t="str">
        <f t="shared" si="31"/>
        <v/>
      </c>
      <c r="CD48" s="218" t="str">
        <f t="shared" si="32"/>
        <v/>
      </c>
      <c r="CE48" s="198" t="str">
        <f t="shared" si="33"/>
        <v/>
      </c>
      <c r="CF48" s="138" t="str">
        <f t="shared" si="34"/>
        <v/>
      </c>
      <c r="CG48" s="211" t="str">
        <f t="shared" si="35"/>
        <v/>
      </c>
      <c r="CH48" s="212" t="str">
        <f t="shared" si="36"/>
        <v/>
      </c>
      <c r="CI48" s="213" t="str">
        <f t="shared" si="37"/>
        <v/>
      </c>
      <c r="CJ48" s="138" t="str">
        <f t="shared" si="38"/>
        <v/>
      </c>
      <c r="CK48" s="199" t="e">
        <f>IF(#REF!="Plato perforado","PP",IF(OR(#REF!=0,#REF!=""),"",#REF!))</f>
        <v>#REF!</v>
      </c>
      <c r="CL48" s="200" t="str">
        <f t="shared" si="39"/>
        <v/>
      </c>
      <c r="CM48" s="201" t="str">
        <f t="shared" si="39"/>
        <v>---</v>
      </c>
      <c r="CN48" s="202"/>
      <c r="CO48" s="222" t="str">
        <f t="shared" si="40"/>
        <v/>
      </c>
      <c r="CP48" s="199" t="str">
        <f t="shared" si="41"/>
        <v/>
      </c>
      <c r="CQ48" s="198" t="str">
        <f t="shared" si="42"/>
        <v/>
      </c>
      <c r="CR48" s="138" t="str">
        <f t="shared" si="43"/>
        <v/>
      </c>
      <c r="CS48" s="211" t="str">
        <f t="shared" si="44"/>
        <v/>
      </c>
      <c r="CT48" s="212" t="str">
        <f t="shared" si="45"/>
        <v/>
      </c>
      <c r="CU48" s="213" t="str">
        <f t="shared" si="46"/>
        <v/>
      </c>
      <c r="CV48" s="138" t="str">
        <f t="shared" si="47"/>
        <v/>
      </c>
      <c r="CW48" s="199" t="e">
        <f>IF(#REF!="Plato perforado","PP",IF(OR(#REF!=0,#REF!=""),"",#REF!))</f>
        <v>#REF!</v>
      </c>
      <c r="CX48" s="200" t="str">
        <f t="shared" si="48"/>
        <v/>
      </c>
      <c r="CY48" s="201" t="str">
        <f t="shared" si="48"/>
        <v>---</v>
      </c>
      <c r="CZ48" s="202"/>
      <c r="DA48" s="222" t="str">
        <f t="shared" si="49"/>
        <v/>
      </c>
      <c r="DB48" s="199" t="str">
        <f t="shared" si="50"/>
        <v/>
      </c>
      <c r="DC48" s="198" t="str">
        <f t="shared" si="51"/>
        <v/>
      </c>
      <c r="DD48" s="138" t="str">
        <f t="shared" si="52"/>
        <v/>
      </c>
      <c r="DE48" s="211" t="str">
        <f t="shared" si="53"/>
        <v/>
      </c>
      <c r="DF48" s="212" t="str">
        <f t="shared" si="54"/>
        <v/>
      </c>
      <c r="DG48" s="213" t="str">
        <f t="shared" si="55"/>
        <v/>
      </c>
      <c r="DH48" s="138" t="str">
        <f t="shared" si="56"/>
        <v/>
      </c>
      <c r="DI48" s="199" t="e">
        <f>IF(#REF!="Plato perforado","PP",IF(OR(#REF!=0,#REF!=""),"",#REF!))</f>
        <v>#REF!</v>
      </c>
      <c r="DJ48" s="200" t="str">
        <f t="shared" si="57"/>
        <v/>
      </c>
      <c r="DK48" s="201" t="str">
        <f t="shared" si="57"/>
        <v>---</v>
      </c>
      <c r="DL48" s="202"/>
      <c r="DM48" s="222" t="str">
        <f t="shared" si="58"/>
        <v/>
      </c>
      <c r="DN48" s="199" t="str">
        <f t="shared" si="59"/>
        <v/>
      </c>
      <c r="DO48" s="198" t="str">
        <f t="shared" si="60"/>
        <v/>
      </c>
      <c r="DP48" s="138" t="str">
        <f t="shared" si="61"/>
        <v/>
      </c>
      <c r="DQ48" s="211" t="str">
        <f t="shared" si="62"/>
        <v/>
      </c>
      <c r="DR48" s="212" t="str">
        <f t="shared" si="63"/>
        <v/>
      </c>
      <c r="DS48" s="213" t="str">
        <f t="shared" si="64"/>
        <v/>
      </c>
      <c r="DT48" s="138" t="str">
        <f t="shared" si="65"/>
        <v/>
      </c>
      <c r="DU48" s="199" t="e">
        <f>IF(#REF!="Plato perforado","PP",IF(OR(#REF!=0,#REF!=""),"",#REF!))</f>
        <v>#REF!</v>
      </c>
      <c r="DV48" s="200" t="str">
        <f t="shared" si="66"/>
        <v/>
      </c>
      <c r="DW48" s="201" t="str">
        <f t="shared" si="66"/>
        <v>---</v>
      </c>
      <c r="DX48" s="202"/>
      <c r="DY48" s="222" t="str">
        <f t="shared" si="67"/>
        <v/>
      </c>
      <c r="DZ48" s="199" t="str">
        <f t="shared" si="68"/>
        <v/>
      </c>
      <c r="EA48" s="198" t="str">
        <f t="shared" si="69"/>
        <v/>
      </c>
      <c r="EB48" s="138" t="str">
        <f t="shared" si="70"/>
        <v/>
      </c>
      <c r="EC48" s="211" t="str">
        <f t="shared" si="71"/>
        <v/>
      </c>
      <c r="ED48" s="212" t="str">
        <f t="shared" si="72"/>
        <v/>
      </c>
      <c r="EE48" s="213" t="str">
        <f t="shared" si="73"/>
        <v/>
      </c>
      <c r="EF48" s="138" t="str">
        <f t="shared" si="74"/>
        <v/>
      </c>
      <c r="EG48" s="199" t="e">
        <f>IF(#REF!="Plato perforado","PP",IF(OR(#REF!=0,#REF!=""),"",#REF!))</f>
        <v>#REF!</v>
      </c>
      <c r="EH48" s="200" t="str">
        <f t="shared" si="75"/>
        <v/>
      </c>
      <c r="EI48" s="201" t="str">
        <f t="shared" si="75"/>
        <v>---</v>
      </c>
      <c r="EJ48" s="229"/>
    </row>
    <row r="49" spans="1:140" x14ac:dyDescent="0.3">
      <c r="A49" s="431">
        <v>16</v>
      </c>
      <c r="B49" s="260"/>
      <c r="C49" s="261">
        <f t="shared" si="0"/>
        <v>2</v>
      </c>
      <c r="D49" s="371"/>
      <c r="E49" s="262"/>
      <c r="F49" s="261" t="str">
        <f t="shared" si="1"/>
        <v/>
      </c>
      <c r="G49" s="263" t="str">
        <f t="shared" si="1"/>
        <v/>
      </c>
      <c r="H49" s="264" t="str">
        <f t="shared" si="2"/>
        <v/>
      </c>
      <c r="I49" s="265" t="str">
        <f t="shared" si="3"/>
        <v/>
      </c>
      <c r="J49" s="264" t="str">
        <f t="shared" si="4"/>
        <v/>
      </c>
      <c r="K49" s="264">
        <f t="shared" si="5"/>
        <v>0</v>
      </c>
      <c r="L49" s="266"/>
      <c r="M49" s="267">
        <f t="shared" si="6"/>
        <v>1</v>
      </c>
      <c r="N49" s="465" t="str">
        <f t="shared" si="7"/>
        <v/>
      </c>
      <c r="O49" s="297" t="str">
        <f t="shared" si="8"/>
        <v/>
      </c>
      <c r="P49" s="467" t="str">
        <f t="shared" si="9"/>
        <v/>
      </c>
      <c r="Q49" s="268" t="str">
        <f t="shared" si="24"/>
        <v/>
      </c>
      <c r="R49" s="270" t="str">
        <f t="shared" si="10"/>
        <v/>
      </c>
      <c r="S49" s="271" t="str">
        <f t="shared" si="11"/>
        <v>---</v>
      </c>
      <c r="V49" s="3" t="str">
        <f>IFERROR(VALUE(TEXT(C49,"00")&amp;TEXT(N49,"00")&amp;TEXT(P49,"00")&amp;IF(#REF!="Plato perforado",5,IF(OR(#REF!="N/A",#REF!=""),0,#REF!))),"")</f>
        <v/>
      </c>
      <c r="W49" s="3">
        <v>12</v>
      </c>
      <c r="X49" s="3">
        <v>12</v>
      </c>
      <c r="Y49" s="3">
        <v>4</v>
      </c>
      <c r="AY49" s="187"/>
      <c r="AZ49" s="175" t="str">
        <f t="shared" si="77"/>
        <v>Difusores de 12" × 12" de 4 vías:</v>
      </c>
      <c r="BA49" s="174">
        <f t="shared" si="25"/>
        <v>0</v>
      </c>
      <c r="BB49" s="187"/>
      <c r="BC49" s="103" t="str">
        <f t="shared" si="12"/>
        <v/>
      </c>
      <c r="BD49" s="103" t="str">
        <f t="shared" si="13"/>
        <v/>
      </c>
      <c r="BE49" s="103" t="e">
        <f t="shared" si="14"/>
        <v>#VALUE!</v>
      </c>
      <c r="BF49" s="181">
        <v>10</v>
      </c>
      <c r="BG49" s="181">
        <v>10</v>
      </c>
      <c r="BH49" s="184">
        <f t="shared" si="26"/>
        <v>0.69444444444444453</v>
      </c>
      <c r="BI49" s="185">
        <f t="shared" si="15"/>
        <v>381.94444444444451</v>
      </c>
      <c r="BJ49" s="185">
        <f t="shared" si="16"/>
        <v>1</v>
      </c>
      <c r="BK49" s="103">
        <f t="shared" si="27"/>
        <v>1010</v>
      </c>
      <c r="BL49" s="103" t="e">
        <v>#VALUE!</v>
      </c>
      <c r="BM49" s="103">
        <v>10</v>
      </c>
      <c r="BN49" s="103">
        <v>16</v>
      </c>
      <c r="BO49" s="103">
        <v>10</v>
      </c>
      <c r="BP49" s="103">
        <f t="shared" si="28"/>
        <v>1016</v>
      </c>
      <c r="BQ49" s="103">
        <f t="shared" si="28"/>
        <v>1610</v>
      </c>
      <c r="BR49" s="173" t="str">
        <f t="shared" si="29"/>
        <v>Rejillas de 10" × 16":</v>
      </c>
      <c r="BS49" s="180">
        <f t="shared" si="17"/>
        <v>0</v>
      </c>
      <c r="BT49" s="180">
        <f t="shared" si="18"/>
        <v>0</v>
      </c>
      <c r="BU49" s="180">
        <f t="shared" si="30"/>
        <v>0</v>
      </c>
      <c r="BV49" s="187"/>
      <c r="BW49" s="103">
        <f t="shared" si="19"/>
        <v>0</v>
      </c>
      <c r="BX49" s="187"/>
      <c r="BY49" s="187"/>
      <c r="BZ49" s="187"/>
      <c r="CA49" s="187"/>
      <c r="CB49" s="187"/>
      <c r="CC49" s="222" t="str">
        <f t="shared" si="31"/>
        <v/>
      </c>
      <c r="CD49" s="218" t="str">
        <f t="shared" si="32"/>
        <v/>
      </c>
      <c r="CE49" s="198" t="str">
        <f t="shared" si="33"/>
        <v/>
      </c>
      <c r="CF49" s="138" t="str">
        <f t="shared" si="34"/>
        <v/>
      </c>
      <c r="CG49" s="211" t="str">
        <f t="shared" si="35"/>
        <v/>
      </c>
      <c r="CH49" s="212" t="str">
        <f t="shared" si="36"/>
        <v/>
      </c>
      <c r="CI49" s="213" t="str">
        <f t="shared" si="37"/>
        <v/>
      </c>
      <c r="CJ49" s="138" t="str">
        <f t="shared" si="38"/>
        <v/>
      </c>
      <c r="CK49" s="199" t="e">
        <f>IF(#REF!="Plato perforado","PP",IF(OR(#REF!=0,#REF!=""),"",#REF!))</f>
        <v>#REF!</v>
      </c>
      <c r="CL49" s="200" t="str">
        <f t="shared" si="39"/>
        <v/>
      </c>
      <c r="CM49" s="201" t="str">
        <f t="shared" si="39"/>
        <v>---</v>
      </c>
      <c r="CN49" s="202"/>
      <c r="CO49" s="222" t="str">
        <f t="shared" si="40"/>
        <v/>
      </c>
      <c r="CP49" s="199" t="str">
        <f t="shared" si="41"/>
        <v/>
      </c>
      <c r="CQ49" s="198" t="str">
        <f t="shared" si="42"/>
        <v/>
      </c>
      <c r="CR49" s="138" t="str">
        <f t="shared" si="43"/>
        <v/>
      </c>
      <c r="CS49" s="211" t="str">
        <f t="shared" si="44"/>
        <v/>
      </c>
      <c r="CT49" s="212" t="str">
        <f t="shared" si="45"/>
        <v/>
      </c>
      <c r="CU49" s="213" t="str">
        <f t="shared" si="46"/>
        <v/>
      </c>
      <c r="CV49" s="138" t="str">
        <f t="shared" si="47"/>
        <v/>
      </c>
      <c r="CW49" s="199" t="e">
        <f>IF(#REF!="Plato perforado","PP",IF(OR(#REF!=0,#REF!=""),"",#REF!))</f>
        <v>#REF!</v>
      </c>
      <c r="CX49" s="200" t="str">
        <f t="shared" si="48"/>
        <v/>
      </c>
      <c r="CY49" s="201" t="str">
        <f t="shared" si="48"/>
        <v>---</v>
      </c>
      <c r="CZ49" s="202"/>
      <c r="DA49" s="222" t="str">
        <f t="shared" si="49"/>
        <v/>
      </c>
      <c r="DB49" s="199" t="str">
        <f t="shared" si="50"/>
        <v/>
      </c>
      <c r="DC49" s="198" t="str">
        <f t="shared" si="51"/>
        <v/>
      </c>
      <c r="DD49" s="138" t="str">
        <f t="shared" si="52"/>
        <v/>
      </c>
      <c r="DE49" s="211" t="str">
        <f t="shared" si="53"/>
        <v/>
      </c>
      <c r="DF49" s="212" t="str">
        <f t="shared" si="54"/>
        <v/>
      </c>
      <c r="DG49" s="213" t="str">
        <f t="shared" si="55"/>
        <v/>
      </c>
      <c r="DH49" s="138" t="str">
        <f t="shared" si="56"/>
        <v/>
      </c>
      <c r="DI49" s="199" t="e">
        <f>IF(#REF!="Plato perforado","PP",IF(OR(#REF!=0,#REF!=""),"",#REF!))</f>
        <v>#REF!</v>
      </c>
      <c r="DJ49" s="200" t="str">
        <f t="shared" si="57"/>
        <v/>
      </c>
      <c r="DK49" s="201" t="str">
        <f t="shared" si="57"/>
        <v>---</v>
      </c>
      <c r="DL49" s="202"/>
      <c r="DM49" s="222" t="str">
        <f t="shared" si="58"/>
        <v/>
      </c>
      <c r="DN49" s="199" t="str">
        <f t="shared" si="59"/>
        <v/>
      </c>
      <c r="DO49" s="198" t="str">
        <f t="shared" si="60"/>
        <v/>
      </c>
      <c r="DP49" s="138" t="str">
        <f t="shared" si="61"/>
        <v/>
      </c>
      <c r="DQ49" s="211" t="str">
        <f t="shared" si="62"/>
        <v/>
      </c>
      <c r="DR49" s="212" t="str">
        <f t="shared" si="63"/>
        <v/>
      </c>
      <c r="DS49" s="213" t="str">
        <f t="shared" si="64"/>
        <v/>
      </c>
      <c r="DT49" s="138" t="str">
        <f t="shared" si="65"/>
        <v/>
      </c>
      <c r="DU49" s="199" t="e">
        <f>IF(#REF!="Plato perforado","PP",IF(OR(#REF!=0,#REF!=""),"",#REF!))</f>
        <v>#REF!</v>
      </c>
      <c r="DV49" s="200" t="str">
        <f t="shared" si="66"/>
        <v/>
      </c>
      <c r="DW49" s="201" t="str">
        <f t="shared" si="66"/>
        <v>---</v>
      </c>
      <c r="DX49" s="202"/>
      <c r="DY49" s="222" t="str">
        <f t="shared" si="67"/>
        <v/>
      </c>
      <c r="DZ49" s="199" t="str">
        <f t="shared" si="68"/>
        <v/>
      </c>
      <c r="EA49" s="198" t="str">
        <f t="shared" si="69"/>
        <v/>
      </c>
      <c r="EB49" s="138" t="str">
        <f t="shared" si="70"/>
        <v/>
      </c>
      <c r="EC49" s="211" t="str">
        <f t="shared" si="71"/>
        <v/>
      </c>
      <c r="ED49" s="212" t="str">
        <f t="shared" si="72"/>
        <v/>
      </c>
      <c r="EE49" s="213" t="str">
        <f t="shared" si="73"/>
        <v/>
      </c>
      <c r="EF49" s="138" t="str">
        <f t="shared" si="74"/>
        <v/>
      </c>
      <c r="EG49" s="199" t="e">
        <f>IF(#REF!="Plato perforado","PP",IF(OR(#REF!=0,#REF!=""),"",#REF!))</f>
        <v>#REF!</v>
      </c>
      <c r="EH49" s="200" t="str">
        <f t="shared" si="75"/>
        <v/>
      </c>
      <c r="EI49" s="201" t="str">
        <f t="shared" si="75"/>
        <v>---</v>
      </c>
      <c r="EJ49" s="229"/>
    </row>
    <row r="50" spans="1:140" x14ac:dyDescent="0.3">
      <c r="A50" s="431">
        <v>17</v>
      </c>
      <c r="B50" s="272"/>
      <c r="C50" s="273">
        <f t="shared" si="0"/>
        <v>2</v>
      </c>
      <c r="D50" s="372"/>
      <c r="E50" s="274"/>
      <c r="F50" s="273" t="str">
        <f t="shared" si="1"/>
        <v/>
      </c>
      <c r="G50" s="275" t="str">
        <f t="shared" si="1"/>
        <v/>
      </c>
      <c r="H50" s="276" t="str">
        <f t="shared" si="2"/>
        <v/>
      </c>
      <c r="I50" s="277" t="str">
        <f t="shared" si="3"/>
        <v/>
      </c>
      <c r="J50" s="276" t="str">
        <f t="shared" si="4"/>
        <v/>
      </c>
      <c r="K50" s="276">
        <f t="shared" si="5"/>
        <v>0</v>
      </c>
      <c r="L50" s="278"/>
      <c r="M50" s="279">
        <f t="shared" si="6"/>
        <v>1</v>
      </c>
      <c r="N50" s="360" t="str">
        <f t="shared" si="7"/>
        <v/>
      </c>
      <c r="O50" s="117" t="str">
        <f t="shared" si="8"/>
        <v/>
      </c>
      <c r="P50" s="359" t="str">
        <f t="shared" si="9"/>
        <v/>
      </c>
      <c r="Q50" s="280" t="str">
        <f t="shared" si="24"/>
        <v/>
      </c>
      <c r="R50" s="282" t="str">
        <f t="shared" si="10"/>
        <v/>
      </c>
      <c r="S50" s="283" t="str">
        <f t="shared" si="11"/>
        <v>---</v>
      </c>
      <c r="V50" s="3" t="str">
        <f>IFERROR(VALUE(TEXT(C50,"00")&amp;TEXT(N50,"00")&amp;TEXT(P50,"00")&amp;IF(#REF!="Plato perforado",5,IF(OR(#REF!="N/A",#REF!=""),0,#REF!))),"")</f>
        <v/>
      </c>
      <c r="W50" s="3">
        <v>12</v>
      </c>
      <c r="X50" s="3">
        <v>12</v>
      </c>
      <c r="Y50" s="3" t="s">
        <v>178</v>
      </c>
      <c r="AY50" s="187"/>
      <c r="AZ50" s="175" t="str">
        <f>"Difusores de "&amp;W50&amp;""""&amp;" × "&amp;X50&amp;""""&amp;" de "&amp;Y50</f>
        <v>Difusores de 12" × 12" de plato perforado:</v>
      </c>
      <c r="BA50" s="174">
        <f t="shared" si="25"/>
        <v>0</v>
      </c>
      <c r="BB50" s="187"/>
      <c r="BC50" s="103" t="str">
        <f t="shared" si="12"/>
        <v/>
      </c>
      <c r="BD50" s="103" t="str">
        <f t="shared" si="13"/>
        <v/>
      </c>
      <c r="BE50" s="103" t="e">
        <f t="shared" si="14"/>
        <v>#VALUE!</v>
      </c>
      <c r="BF50" s="181">
        <v>10</v>
      </c>
      <c r="BG50" s="181">
        <v>12</v>
      </c>
      <c r="BH50" s="184">
        <f t="shared" si="26"/>
        <v>0.83333333333333337</v>
      </c>
      <c r="BI50" s="185">
        <f t="shared" si="15"/>
        <v>458.33333333333337</v>
      </c>
      <c r="BJ50" s="185">
        <f t="shared" si="16"/>
        <v>0.83333333333333337</v>
      </c>
      <c r="BK50" s="103">
        <f t="shared" si="27"/>
        <v>1012</v>
      </c>
      <c r="BL50" s="103" t="e">
        <v>#VALUE!</v>
      </c>
      <c r="BM50" s="103">
        <v>10</v>
      </c>
      <c r="BN50" s="103">
        <v>18</v>
      </c>
      <c r="BO50" s="103">
        <v>10</v>
      </c>
      <c r="BP50" s="103">
        <f t="shared" si="28"/>
        <v>1018</v>
      </c>
      <c r="BQ50" s="103">
        <f t="shared" si="28"/>
        <v>1810</v>
      </c>
      <c r="BR50" s="173" t="str">
        <f t="shared" si="29"/>
        <v>Rejillas de 10" × 18":</v>
      </c>
      <c r="BS50" s="180">
        <f t="shared" si="17"/>
        <v>0</v>
      </c>
      <c r="BT50" s="180">
        <f t="shared" si="18"/>
        <v>0</v>
      </c>
      <c r="BU50" s="180">
        <f t="shared" si="30"/>
        <v>0</v>
      </c>
      <c r="BV50" s="187"/>
      <c r="BW50" s="103">
        <f t="shared" si="19"/>
        <v>0</v>
      </c>
      <c r="BX50" s="187"/>
      <c r="BY50" s="187"/>
      <c r="BZ50" s="187"/>
      <c r="CA50" s="187"/>
      <c r="CB50" s="187"/>
      <c r="CC50" s="222" t="str">
        <f t="shared" si="31"/>
        <v/>
      </c>
      <c r="CD50" s="218" t="str">
        <f t="shared" si="32"/>
        <v/>
      </c>
      <c r="CE50" s="198" t="str">
        <f t="shared" si="33"/>
        <v/>
      </c>
      <c r="CF50" s="138" t="str">
        <f t="shared" si="34"/>
        <v/>
      </c>
      <c r="CG50" s="211" t="str">
        <f t="shared" si="35"/>
        <v/>
      </c>
      <c r="CH50" s="212" t="str">
        <f t="shared" si="36"/>
        <v/>
      </c>
      <c r="CI50" s="213" t="str">
        <f t="shared" si="37"/>
        <v/>
      </c>
      <c r="CJ50" s="138" t="str">
        <f t="shared" si="38"/>
        <v/>
      </c>
      <c r="CK50" s="199" t="e">
        <f>IF(#REF!="Plato perforado","PP",IF(OR(#REF!=0,#REF!=""),"",#REF!))</f>
        <v>#REF!</v>
      </c>
      <c r="CL50" s="200" t="str">
        <f t="shared" si="39"/>
        <v/>
      </c>
      <c r="CM50" s="201" t="str">
        <f t="shared" si="39"/>
        <v>---</v>
      </c>
      <c r="CN50" s="202"/>
      <c r="CO50" s="222" t="str">
        <f t="shared" si="40"/>
        <v/>
      </c>
      <c r="CP50" s="199" t="str">
        <f t="shared" si="41"/>
        <v/>
      </c>
      <c r="CQ50" s="198" t="str">
        <f t="shared" si="42"/>
        <v/>
      </c>
      <c r="CR50" s="138" t="str">
        <f t="shared" si="43"/>
        <v/>
      </c>
      <c r="CS50" s="211" t="str">
        <f t="shared" si="44"/>
        <v/>
      </c>
      <c r="CT50" s="212" t="str">
        <f t="shared" si="45"/>
        <v/>
      </c>
      <c r="CU50" s="213" t="str">
        <f t="shared" si="46"/>
        <v/>
      </c>
      <c r="CV50" s="138" t="str">
        <f t="shared" si="47"/>
        <v/>
      </c>
      <c r="CW50" s="199" t="e">
        <f>IF(#REF!="Plato perforado","PP",IF(OR(#REF!=0,#REF!=""),"",#REF!))</f>
        <v>#REF!</v>
      </c>
      <c r="CX50" s="200" t="str">
        <f t="shared" si="48"/>
        <v/>
      </c>
      <c r="CY50" s="201" t="str">
        <f t="shared" si="48"/>
        <v>---</v>
      </c>
      <c r="CZ50" s="202"/>
      <c r="DA50" s="222" t="str">
        <f t="shared" si="49"/>
        <v/>
      </c>
      <c r="DB50" s="199" t="str">
        <f t="shared" si="50"/>
        <v/>
      </c>
      <c r="DC50" s="198" t="str">
        <f t="shared" si="51"/>
        <v/>
      </c>
      <c r="DD50" s="138" t="str">
        <f t="shared" si="52"/>
        <v/>
      </c>
      <c r="DE50" s="211" t="str">
        <f t="shared" si="53"/>
        <v/>
      </c>
      <c r="DF50" s="212" t="str">
        <f t="shared" si="54"/>
        <v/>
      </c>
      <c r="DG50" s="213" t="str">
        <f t="shared" si="55"/>
        <v/>
      </c>
      <c r="DH50" s="138" t="str">
        <f t="shared" si="56"/>
        <v/>
      </c>
      <c r="DI50" s="199" t="e">
        <f>IF(#REF!="Plato perforado","PP",IF(OR(#REF!=0,#REF!=""),"",#REF!))</f>
        <v>#REF!</v>
      </c>
      <c r="DJ50" s="200" t="str">
        <f t="shared" si="57"/>
        <v/>
      </c>
      <c r="DK50" s="201" t="str">
        <f t="shared" si="57"/>
        <v>---</v>
      </c>
      <c r="DL50" s="202"/>
      <c r="DM50" s="222" t="str">
        <f t="shared" si="58"/>
        <v/>
      </c>
      <c r="DN50" s="199" t="str">
        <f t="shared" si="59"/>
        <v/>
      </c>
      <c r="DO50" s="198" t="str">
        <f t="shared" si="60"/>
        <v/>
      </c>
      <c r="DP50" s="138" t="str">
        <f t="shared" si="61"/>
        <v/>
      </c>
      <c r="DQ50" s="211" t="str">
        <f t="shared" si="62"/>
        <v/>
      </c>
      <c r="DR50" s="212" t="str">
        <f t="shared" si="63"/>
        <v/>
      </c>
      <c r="DS50" s="213" t="str">
        <f t="shared" si="64"/>
        <v/>
      </c>
      <c r="DT50" s="138" t="str">
        <f t="shared" si="65"/>
        <v/>
      </c>
      <c r="DU50" s="199" t="e">
        <f>IF(#REF!="Plato perforado","PP",IF(OR(#REF!=0,#REF!=""),"",#REF!))</f>
        <v>#REF!</v>
      </c>
      <c r="DV50" s="200" t="str">
        <f t="shared" si="66"/>
        <v/>
      </c>
      <c r="DW50" s="201" t="str">
        <f t="shared" si="66"/>
        <v>---</v>
      </c>
      <c r="DX50" s="202"/>
      <c r="DY50" s="222" t="str">
        <f t="shared" si="67"/>
        <v/>
      </c>
      <c r="DZ50" s="199" t="str">
        <f t="shared" si="68"/>
        <v/>
      </c>
      <c r="EA50" s="198" t="str">
        <f t="shared" si="69"/>
        <v/>
      </c>
      <c r="EB50" s="138" t="str">
        <f t="shared" si="70"/>
        <v/>
      </c>
      <c r="EC50" s="211" t="str">
        <f t="shared" si="71"/>
        <v/>
      </c>
      <c r="ED50" s="212" t="str">
        <f t="shared" si="72"/>
        <v/>
      </c>
      <c r="EE50" s="213" t="str">
        <f t="shared" si="73"/>
        <v/>
      </c>
      <c r="EF50" s="138" t="str">
        <f t="shared" si="74"/>
        <v/>
      </c>
      <c r="EG50" s="199" t="e">
        <f>IF(#REF!="Plato perforado","PP",IF(OR(#REF!=0,#REF!=""),"",#REF!))</f>
        <v>#REF!</v>
      </c>
      <c r="EH50" s="200" t="str">
        <f t="shared" si="75"/>
        <v/>
      </c>
      <c r="EI50" s="201" t="str">
        <f t="shared" si="75"/>
        <v>---</v>
      </c>
      <c r="EJ50" s="229"/>
    </row>
    <row r="51" spans="1:140" x14ac:dyDescent="0.3">
      <c r="A51" s="431">
        <v>18</v>
      </c>
      <c r="B51" s="284"/>
      <c r="C51" s="285">
        <f t="shared" si="0"/>
        <v>2</v>
      </c>
      <c r="D51" s="373"/>
      <c r="E51" s="286"/>
      <c r="F51" s="285" t="str">
        <f t="shared" si="1"/>
        <v/>
      </c>
      <c r="G51" s="287" t="str">
        <f t="shared" si="1"/>
        <v/>
      </c>
      <c r="H51" s="288" t="str">
        <f t="shared" si="2"/>
        <v/>
      </c>
      <c r="I51" s="289" t="str">
        <f t="shared" si="3"/>
        <v/>
      </c>
      <c r="J51" s="288" t="str">
        <f t="shared" si="4"/>
        <v/>
      </c>
      <c r="K51" s="288">
        <f t="shared" si="5"/>
        <v>0</v>
      </c>
      <c r="L51" s="290"/>
      <c r="M51" s="291">
        <f t="shared" si="6"/>
        <v>1</v>
      </c>
      <c r="N51" s="466" t="str">
        <f t="shared" si="7"/>
        <v/>
      </c>
      <c r="O51" s="302" t="str">
        <f t="shared" si="8"/>
        <v/>
      </c>
      <c r="P51" s="468" t="str">
        <f t="shared" si="9"/>
        <v/>
      </c>
      <c r="Q51" s="292" t="str">
        <f t="shared" si="24"/>
        <v/>
      </c>
      <c r="R51" s="294" t="str">
        <f t="shared" si="10"/>
        <v/>
      </c>
      <c r="S51" s="295" t="str">
        <f t="shared" si="11"/>
        <v>---</v>
      </c>
      <c r="V51" s="3" t="str">
        <f>IFERROR(VALUE(TEXT(C51,"00")&amp;TEXT(N51,"00")&amp;TEXT(P51,"00")&amp;IF(#REF!="Plato perforado",5,IF(OR(#REF!="N/A",#REF!=""),0,#REF!))),"")</f>
        <v/>
      </c>
      <c r="W51" s="3">
        <v>12</v>
      </c>
      <c r="X51" s="3">
        <v>12</v>
      </c>
      <c r="Y51" s="3" t="s">
        <v>179</v>
      </c>
      <c r="AY51" s="187"/>
      <c r="AZ51" s="176" t="str">
        <f>"Difusores de "&amp;W51&amp;""""&amp;" × "&amp;X51&amp;""""&amp;Y51</f>
        <v>Difusores de 12" × 12", número de vías por definir:</v>
      </c>
      <c r="BA51" s="174">
        <f t="shared" si="25"/>
        <v>0</v>
      </c>
      <c r="BB51" s="187"/>
      <c r="BC51" s="103" t="str">
        <f t="shared" si="12"/>
        <v/>
      </c>
      <c r="BD51" s="103" t="str">
        <f t="shared" si="13"/>
        <v/>
      </c>
      <c r="BE51" s="103" t="e">
        <f t="shared" si="14"/>
        <v>#VALUE!</v>
      </c>
      <c r="BF51" s="181">
        <v>10</v>
      </c>
      <c r="BG51" s="181">
        <v>14</v>
      </c>
      <c r="BH51" s="184">
        <f t="shared" si="26"/>
        <v>0.97222222222222232</v>
      </c>
      <c r="BI51" s="185">
        <f t="shared" si="15"/>
        <v>534.72222222222229</v>
      </c>
      <c r="BJ51" s="185">
        <f t="shared" si="16"/>
        <v>0.7142857142857143</v>
      </c>
      <c r="BK51" s="103">
        <f t="shared" si="27"/>
        <v>1014</v>
      </c>
      <c r="BL51" s="103" t="e">
        <v>#VALUE!</v>
      </c>
      <c r="BM51" s="103">
        <v>10</v>
      </c>
      <c r="BN51" s="103">
        <v>20</v>
      </c>
      <c r="BO51" s="103">
        <v>10</v>
      </c>
      <c r="BP51" s="103">
        <f t="shared" si="28"/>
        <v>1020</v>
      </c>
      <c r="BQ51" s="103">
        <f t="shared" si="28"/>
        <v>2010</v>
      </c>
      <c r="BR51" s="173" t="str">
        <f t="shared" si="29"/>
        <v>Rejillas de 10" × 20":</v>
      </c>
      <c r="BS51" s="180">
        <f t="shared" si="17"/>
        <v>0</v>
      </c>
      <c r="BT51" s="180">
        <f t="shared" si="18"/>
        <v>0</v>
      </c>
      <c r="BU51" s="180">
        <f t="shared" si="30"/>
        <v>0</v>
      </c>
      <c r="BV51" s="187"/>
      <c r="BW51" s="103">
        <f t="shared" si="19"/>
        <v>0</v>
      </c>
      <c r="BX51" s="187"/>
      <c r="BY51" s="187"/>
      <c r="BZ51" s="187"/>
      <c r="CA51" s="187"/>
      <c r="CB51" s="187"/>
      <c r="CC51" s="222" t="str">
        <f t="shared" si="31"/>
        <v/>
      </c>
      <c r="CD51" s="218" t="str">
        <f t="shared" si="32"/>
        <v/>
      </c>
      <c r="CE51" s="198" t="str">
        <f t="shared" si="33"/>
        <v/>
      </c>
      <c r="CF51" s="138" t="str">
        <f t="shared" si="34"/>
        <v/>
      </c>
      <c r="CG51" s="211" t="str">
        <f t="shared" si="35"/>
        <v/>
      </c>
      <c r="CH51" s="212" t="str">
        <f t="shared" si="36"/>
        <v/>
      </c>
      <c r="CI51" s="213" t="str">
        <f t="shared" si="37"/>
        <v/>
      </c>
      <c r="CJ51" s="138" t="str">
        <f t="shared" si="38"/>
        <v/>
      </c>
      <c r="CK51" s="199" t="e">
        <f>IF(#REF!="Plato perforado","PP",IF(OR(#REF!=0,#REF!=""),"",#REF!))</f>
        <v>#REF!</v>
      </c>
      <c r="CL51" s="200" t="str">
        <f t="shared" si="39"/>
        <v/>
      </c>
      <c r="CM51" s="201" t="str">
        <f t="shared" si="39"/>
        <v>---</v>
      </c>
      <c r="CN51" s="202"/>
      <c r="CO51" s="222" t="str">
        <f t="shared" si="40"/>
        <v/>
      </c>
      <c r="CP51" s="199" t="str">
        <f t="shared" si="41"/>
        <v/>
      </c>
      <c r="CQ51" s="198" t="str">
        <f t="shared" si="42"/>
        <v/>
      </c>
      <c r="CR51" s="138" t="str">
        <f t="shared" si="43"/>
        <v/>
      </c>
      <c r="CS51" s="211" t="str">
        <f t="shared" si="44"/>
        <v/>
      </c>
      <c r="CT51" s="212" t="str">
        <f t="shared" si="45"/>
        <v/>
      </c>
      <c r="CU51" s="213" t="str">
        <f t="shared" si="46"/>
        <v/>
      </c>
      <c r="CV51" s="138" t="str">
        <f t="shared" si="47"/>
        <v/>
      </c>
      <c r="CW51" s="199" t="e">
        <f>IF(#REF!="Plato perforado","PP",IF(OR(#REF!=0,#REF!=""),"",#REF!))</f>
        <v>#REF!</v>
      </c>
      <c r="CX51" s="200" t="str">
        <f t="shared" si="48"/>
        <v/>
      </c>
      <c r="CY51" s="201" t="str">
        <f t="shared" si="48"/>
        <v>---</v>
      </c>
      <c r="CZ51" s="202"/>
      <c r="DA51" s="222" t="str">
        <f t="shared" si="49"/>
        <v/>
      </c>
      <c r="DB51" s="199" t="str">
        <f t="shared" si="50"/>
        <v/>
      </c>
      <c r="DC51" s="198" t="str">
        <f t="shared" si="51"/>
        <v/>
      </c>
      <c r="DD51" s="138" t="str">
        <f t="shared" si="52"/>
        <v/>
      </c>
      <c r="DE51" s="211" t="str">
        <f t="shared" si="53"/>
        <v/>
      </c>
      <c r="DF51" s="212" t="str">
        <f t="shared" si="54"/>
        <v/>
      </c>
      <c r="DG51" s="213" t="str">
        <f t="shared" si="55"/>
        <v/>
      </c>
      <c r="DH51" s="138" t="str">
        <f t="shared" si="56"/>
        <v/>
      </c>
      <c r="DI51" s="199" t="e">
        <f>IF(#REF!="Plato perforado","PP",IF(OR(#REF!=0,#REF!=""),"",#REF!))</f>
        <v>#REF!</v>
      </c>
      <c r="DJ51" s="200" t="str">
        <f t="shared" si="57"/>
        <v/>
      </c>
      <c r="DK51" s="201" t="str">
        <f t="shared" si="57"/>
        <v>---</v>
      </c>
      <c r="DL51" s="202"/>
      <c r="DM51" s="222" t="str">
        <f t="shared" si="58"/>
        <v/>
      </c>
      <c r="DN51" s="199" t="str">
        <f t="shared" si="59"/>
        <v/>
      </c>
      <c r="DO51" s="198" t="str">
        <f t="shared" si="60"/>
        <v/>
      </c>
      <c r="DP51" s="138" t="str">
        <f t="shared" si="61"/>
        <v/>
      </c>
      <c r="DQ51" s="211" t="str">
        <f t="shared" si="62"/>
        <v/>
      </c>
      <c r="DR51" s="212" t="str">
        <f t="shared" si="63"/>
        <v/>
      </c>
      <c r="DS51" s="213" t="str">
        <f t="shared" si="64"/>
        <v/>
      </c>
      <c r="DT51" s="138" t="str">
        <f t="shared" si="65"/>
        <v/>
      </c>
      <c r="DU51" s="199" t="e">
        <f>IF(#REF!="Plato perforado","PP",IF(OR(#REF!=0,#REF!=""),"",#REF!))</f>
        <v>#REF!</v>
      </c>
      <c r="DV51" s="200" t="str">
        <f t="shared" si="66"/>
        <v/>
      </c>
      <c r="DW51" s="201" t="str">
        <f t="shared" si="66"/>
        <v>---</v>
      </c>
      <c r="DX51" s="202"/>
      <c r="DY51" s="222" t="str">
        <f t="shared" si="67"/>
        <v/>
      </c>
      <c r="DZ51" s="199" t="str">
        <f t="shared" si="68"/>
        <v/>
      </c>
      <c r="EA51" s="198" t="str">
        <f t="shared" si="69"/>
        <v/>
      </c>
      <c r="EB51" s="138" t="str">
        <f t="shared" si="70"/>
        <v/>
      </c>
      <c r="EC51" s="211" t="str">
        <f t="shared" si="71"/>
        <v/>
      </c>
      <c r="ED51" s="212" t="str">
        <f t="shared" si="72"/>
        <v/>
      </c>
      <c r="EE51" s="213" t="str">
        <f t="shared" si="73"/>
        <v/>
      </c>
      <c r="EF51" s="138" t="str">
        <f t="shared" si="74"/>
        <v/>
      </c>
      <c r="EG51" s="199" t="e">
        <f>IF(#REF!="Plato perforado","PP",IF(OR(#REF!=0,#REF!=""),"",#REF!))</f>
        <v>#REF!</v>
      </c>
      <c r="EH51" s="200" t="str">
        <f t="shared" si="75"/>
        <v/>
      </c>
      <c r="EI51" s="201" t="str">
        <f t="shared" si="75"/>
        <v>---</v>
      </c>
      <c r="EJ51" s="229"/>
    </row>
    <row r="52" spans="1:140" x14ac:dyDescent="0.3">
      <c r="A52" s="431">
        <v>19</v>
      </c>
      <c r="B52" s="260"/>
      <c r="C52" s="261">
        <f t="shared" si="0"/>
        <v>2</v>
      </c>
      <c r="D52" s="371"/>
      <c r="E52" s="262"/>
      <c r="F52" s="261" t="str">
        <f t="shared" si="1"/>
        <v/>
      </c>
      <c r="G52" s="263" t="str">
        <f t="shared" si="1"/>
        <v/>
      </c>
      <c r="H52" s="264" t="str">
        <f t="shared" si="2"/>
        <v/>
      </c>
      <c r="I52" s="265" t="str">
        <f t="shared" si="3"/>
        <v/>
      </c>
      <c r="J52" s="264" t="str">
        <f t="shared" si="4"/>
        <v/>
      </c>
      <c r="K52" s="264">
        <f t="shared" si="5"/>
        <v>0</v>
      </c>
      <c r="L52" s="266"/>
      <c r="M52" s="267">
        <f t="shared" si="6"/>
        <v>1</v>
      </c>
      <c r="N52" s="465" t="str">
        <f t="shared" si="7"/>
        <v/>
      </c>
      <c r="O52" s="297" t="str">
        <f t="shared" si="8"/>
        <v/>
      </c>
      <c r="P52" s="467" t="str">
        <f t="shared" si="9"/>
        <v/>
      </c>
      <c r="Q52" s="268" t="str">
        <f t="shared" si="24"/>
        <v/>
      </c>
      <c r="R52" s="270" t="str">
        <f t="shared" si="10"/>
        <v/>
      </c>
      <c r="S52" s="271" t="str">
        <f t="shared" si="11"/>
        <v>---</v>
      </c>
      <c r="V52" s="3" t="str">
        <f>IFERROR(VALUE(TEXT(C52,"00")&amp;TEXT(N52,"00")&amp;TEXT(P52,"00")&amp;IF(#REF!="Plato perforado",5,IF(OR(#REF!="N/A",#REF!=""),0,#REF!))),"")</f>
        <v/>
      </c>
      <c r="W52" s="3">
        <v>15</v>
      </c>
      <c r="X52" s="3">
        <v>15</v>
      </c>
      <c r="Y52" s="3">
        <v>1</v>
      </c>
      <c r="AY52" s="187"/>
      <c r="AZ52" s="175" t="str">
        <f>"Difusores de "&amp;W52&amp;""""&amp;" × "&amp;X52&amp;""""&amp;" de "&amp;Y52&amp;" vía:"</f>
        <v>Difusores de 15" × 15" de 1 vía:</v>
      </c>
      <c r="BA52" s="174">
        <f t="shared" si="25"/>
        <v>0</v>
      </c>
      <c r="BB52" s="187"/>
      <c r="BC52" s="103" t="str">
        <f t="shared" si="12"/>
        <v/>
      </c>
      <c r="BD52" s="103" t="str">
        <f t="shared" si="13"/>
        <v/>
      </c>
      <c r="BE52" s="103" t="e">
        <f t="shared" si="14"/>
        <v>#VALUE!</v>
      </c>
      <c r="BF52" s="181">
        <v>10</v>
      </c>
      <c r="BG52" s="181">
        <v>16</v>
      </c>
      <c r="BH52" s="184">
        <f t="shared" si="26"/>
        <v>1.1111111111111112</v>
      </c>
      <c r="BI52" s="185">
        <f t="shared" si="15"/>
        <v>611.11111111111109</v>
      </c>
      <c r="BJ52" s="185">
        <f t="shared" si="16"/>
        <v>0.625</v>
      </c>
      <c r="BK52" s="103">
        <f t="shared" si="27"/>
        <v>1016</v>
      </c>
      <c r="BL52" s="103" t="e">
        <v>#VALUE!</v>
      </c>
      <c r="BM52" s="103">
        <v>10</v>
      </c>
      <c r="BN52" s="103">
        <v>22</v>
      </c>
      <c r="BO52" s="103">
        <v>10</v>
      </c>
      <c r="BP52" s="103">
        <f t="shared" si="28"/>
        <v>1022</v>
      </c>
      <c r="BQ52" s="103">
        <f t="shared" si="28"/>
        <v>2210</v>
      </c>
      <c r="BR52" s="173" t="str">
        <f t="shared" si="29"/>
        <v>Rejillas de 10" × 22":</v>
      </c>
      <c r="BS52" s="180">
        <f t="shared" si="17"/>
        <v>0</v>
      </c>
      <c r="BT52" s="180">
        <f t="shared" si="18"/>
        <v>0</v>
      </c>
      <c r="BU52" s="180">
        <f t="shared" si="30"/>
        <v>0</v>
      </c>
      <c r="BV52" s="187"/>
      <c r="BW52" s="103">
        <f t="shared" si="19"/>
        <v>0</v>
      </c>
      <c r="BX52" s="187"/>
      <c r="BY52" s="187"/>
      <c r="BZ52" s="187"/>
      <c r="CA52" s="187"/>
      <c r="CB52" s="187"/>
      <c r="CC52" s="222" t="str">
        <f t="shared" si="31"/>
        <v/>
      </c>
      <c r="CD52" s="218" t="str">
        <f t="shared" si="32"/>
        <v/>
      </c>
      <c r="CE52" s="198" t="str">
        <f t="shared" si="33"/>
        <v/>
      </c>
      <c r="CF52" s="138" t="str">
        <f t="shared" si="34"/>
        <v/>
      </c>
      <c r="CG52" s="211" t="str">
        <f t="shared" si="35"/>
        <v/>
      </c>
      <c r="CH52" s="212" t="str">
        <f t="shared" si="36"/>
        <v/>
      </c>
      <c r="CI52" s="213" t="str">
        <f t="shared" si="37"/>
        <v/>
      </c>
      <c r="CJ52" s="138" t="str">
        <f t="shared" si="38"/>
        <v/>
      </c>
      <c r="CK52" s="199" t="e">
        <f>IF(#REF!="Plato perforado","PP",IF(OR(#REF!=0,#REF!=""),"",#REF!))</f>
        <v>#REF!</v>
      </c>
      <c r="CL52" s="200" t="str">
        <f t="shared" si="39"/>
        <v/>
      </c>
      <c r="CM52" s="201" t="str">
        <f t="shared" si="39"/>
        <v>---</v>
      </c>
      <c r="CN52" s="202"/>
      <c r="CO52" s="222" t="str">
        <f t="shared" si="40"/>
        <v/>
      </c>
      <c r="CP52" s="199" t="str">
        <f t="shared" si="41"/>
        <v/>
      </c>
      <c r="CQ52" s="198" t="str">
        <f t="shared" si="42"/>
        <v/>
      </c>
      <c r="CR52" s="138" t="str">
        <f t="shared" si="43"/>
        <v/>
      </c>
      <c r="CS52" s="211" t="str">
        <f t="shared" si="44"/>
        <v/>
      </c>
      <c r="CT52" s="212" t="str">
        <f t="shared" si="45"/>
        <v/>
      </c>
      <c r="CU52" s="213" t="str">
        <f t="shared" si="46"/>
        <v/>
      </c>
      <c r="CV52" s="138" t="str">
        <f t="shared" si="47"/>
        <v/>
      </c>
      <c r="CW52" s="199" t="e">
        <f>IF(#REF!="Plato perforado","PP",IF(OR(#REF!=0,#REF!=""),"",#REF!))</f>
        <v>#REF!</v>
      </c>
      <c r="CX52" s="200" t="str">
        <f t="shared" si="48"/>
        <v/>
      </c>
      <c r="CY52" s="201" t="str">
        <f t="shared" si="48"/>
        <v>---</v>
      </c>
      <c r="CZ52" s="202"/>
      <c r="DA52" s="222" t="str">
        <f t="shared" si="49"/>
        <v/>
      </c>
      <c r="DB52" s="199" t="str">
        <f t="shared" si="50"/>
        <v/>
      </c>
      <c r="DC52" s="198" t="str">
        <f t="shared" si="51"/>
        <v/>
      </c>
      <c r="DD52" s="138" t="str">
        <f t="shared" si="52"/>
        <v/>
      </c>
      <c r="DE52" s="211" t="str">
        <f t="shared" si="53"/>
        <v/>
      </c>
      <c r="DF52" s="212" t="str">
        <f t="shared" si="54"/>
        <v/>
      </c>
      <c r="DG52" s="213" t="str">
        <f t="shared" si="55"/>
        <v/>
      </c>
      <c r="DH52" s="138" t="str">
        <f t="shared" si="56"/>
        <v/>
      </c>
      <c r="DI52" s="199" t="e">
        <f>IF(#REF!="Plato perforado","PP",IF(OR(#REF!=0,#REF!=""),"",#REF!))</f>
        <v>#REF!</v>
      </c>
      <c r="DJ52" s="200" t="str">
        <f t="shared" si="57"/>
        <v/>
      </c>
      <c r="DK52" s="201" t="str">
        <f t="shared" si="57"/>
        <v>---</v>
      </c>
      <c r="DL52" s="202"/>
      <c r="DM52" s="222" t="str">
        <f t="shared" si="58"/>
        <v/>
      </c>
      <c r="DN52" s="199" t="str">
        <f t="shared" si="59"/>
        <v/>
      </c>
      <c r="DO52" s="198" t="str">
        <f t="shared" si="60"/>
        <v/>
      </c>
      <c r="DP52" s="138" t="str">
        <f t="shared" si="61"/>
        <v/>
      </c>
      <c r="DQ52" s="211" t="str">
        <f t="shared" si="62"/>
        <v/>
      </c>
      <c r="DR52" s="212" t="str">
        <f t="shared" si="63"/>
        <v/>
      </c>
      <c r="DS52" s="213" t="str">
        <f t="shared" si="64"/>
        <v/>
      </c>
      <c r="DT52" s="138" t="str">
        <f t="shared" si="65"/>
        <v/>
      </c>
      <c r="DU52" s="199" t="e">
        <f>IF(#REF!="Plato perforado","PP",IF(OR(#REF!=0,#REF!=""),"",#REF!))</f>
        <v>#REF!</v>
      </c>
      <c r="DV52" s="200" t="str">
        <f t="shared" si="66"/>
        <v/>
      </c>
      <c r="DW52" s="201" t="str">
        <f t="shared" si="66"/>
        <v>---</v>
      </c>
      <c r="DX52" s="202"/>
      <c r="DY52" s="222" t="str">
        <f t="shared" si="67"/>
        <v/>
      </c>
      <c r="DZ52" s="199" t="str">
        <f t="shared" si="68"/>
        <v/>
      </c>
      <c r="EA52" s="198" t="str">
        <f t="shared" si="69"/>
        <v/>
      </c>
      <c r="EB52" s="138" t="str">
        <f t="shared" si="70"/>
        <v/>
      </c>
      <c r="EC52" s="211" t="str">
        <f t="shared" si="71"/>
        <v/>
      </c>
      <c r="ED52" s="212" t="str">
        <f t="shared" si="72"/>
        <v/>
      </c>
      <c r="EE52" s="213" t="str">
        <f t="shared" si="73"/>
        <v/>
      </c>
      <c r="EF52" s="138" t="str">
        <f t="shared" si="74"/>
        <v/>
      </c>
      <c r="EG52" s="199" t="e">
        <f>IF(#REF!="Plato perforado","PP",IF(OR(#REF!=0,#REF!=""),"",#REF!))</f>
        <v>#REF!</v>
      </c>
      <c r="EH52" s="200" t="str">
        <f t="shared" si="75"/>
        <v/>
      </c>
      <c r="EI52" s="201" t="str">
        <f t="shared" si="75"/>
        <v>---</v>
      </c>
      <c r="EJ52" s="229"/>
    </row>
    <row r="53" spans="1:140" x14ac:dyDescent="0.3">
      <c r="A53" s="431">
        <v>20</v>
      </c>
      <c r="B53" s="272"/>
      <c r="C53" s="273">
        <f t="shared" si="0"/>
        <v>2</v>
      </c>
      <c r="D53" s="372"/>
      <c r="E53" s="274"/>
      <c r="F53" s="273" t="str">
        <f t="shared" si="1"/>
        <v/>
      </c>
      <c r="G53" s="275" t="str">
        <f t="shared" si="1"/>
        <v/>
      </c>
      <c r="H53" s="276" t="str">
        <f t="shared" si="2"/>
        <v/>
      </c>
      <c r="I53" s="277" t="str">
        <f t="shared" si="3"/>
        <v/>
      </c>
      <c r="J53" s="276" t="str">
        <f t="shared" si="4"/>
        <v/>
      </c>
      <c r="K53" s="276">
        <f t="shared" si="5"/>
        <v>0</v>
      </c>
      <c r="L53" s="278"/>
      <c r="M53" s="279">
        <f t="shared" si="6"/>
        <v>1</v>
      </c>
      <c r="N53" s="360" t="str">
        <f t="shared" si="7"/>
        <v/>
      </c>
      <c r="O53" s="117" t="str">
        <f t="shared" si="8"/>
        <v/>
      </c>
      <c r="P53" s="359" t="str">
        <f t="shared" si="9"/>
        <v/>
      </c>
      <c r="Q53" s="280" t="str">
        <f t="shared" si="24"/>
        <v/>
      </c>
      <c r="R53" s="282" t="str">
        <f t="shared" si="10"/>
        <v/>
      </c>
      <c r="S53" s="283" t="str">
        <f t="shared" si="11"/>
        <v>---</v>
      </c>
      <c r="V53" s="3" t="str">
        <f>IFERROR(VALUE(TEXT(C53,"00")&amp;TEXT(N53,"00")&amp;TEXT(P53,"00")&amp;IF(#REF!="Plato perforado",5,IF(OR(#REF!="N/A",#REF!=""),0,#REF!))),"")</f>
        <v/>
      </c>
      <c r="W53" s="3">
        <v>15</v>
      </c>
      <c r="X53" s="3">
        <v>15</v>
      </c>
      <c r="Y53" s="3">
        <v>2</v>
      </c>
      <c r="AY53" s="187"/>
      <c r="AZ53" s="175" t="str">
        <f>"Difusores de "&amp;W53&amp;""""&amp;" × "&amp;X53&amp;""""&amp;" de "&amp;Y53&amp;" vías:"</f>
        <v>Difusores de 15" × 15" de 2 vías:</v>
      </c>
      <c r="BA53" s="174">
        <f t="shared" si="25"/>
        <v>0</v>
      </c>
      <c r="BB53" s="187"/>
      <c r="BC53" s="103" t="str">
        <f t="shared" si="12"/>
        <v/>
      </c>
      <c r="BD53" s="103" t="str">
        <f t="shared" si="13"/>
        <v/>
      </c>
      <c r="BE53" s="103" t="e">
        <f t="shared" si="14"/>
        <v>#VALUE!</v>
      </c>
      <c r="BF53" s="181">
        <v>10</v>
      </c>
      <c r="BG53" s="181">
        <v>18</v>
      </c>
      <c r="BH53" s="184">
        <f t="shared" si="26"/>
        <v>1.25</v>
      </c>
      <c r="BI53" s="185">
        <f t="shared" si="15"/>
        <v>687.5</v>
      </c>
      <c r="BJ53" s="185">
        <f t="shared" si="16"/>
        <v>0.55555555555555558</v>
      </c>
      <c r="BK53" s="103">
        <f t="shared" si="27"/>
        <v>1018</v>
      </c>
      <c r="BL53" s="103" t="e">
        <v>#VALUE!</v>
      </c>
      <c r="BM53" s="103">
        <v>10</v>
      </c>
      <c r="BN53" s="103">
        <v>24</v>
      </c>
      <c r="BO53" s="103">
        <v>10</v>
      </c>
      <c r="BP53" s="103">
        <f t="shared" si="28"/>
        <v>1024</v>
      </c>
      <c r="BQ53" s="103">
        <f t="shared" si="28"/>
        <v>2410</v>
      </c>
      <c r="BR53" s="173" t="str">
        <f t="shared" si="29"/>
        <v>Rejillas de 10" × 24":</v>
      </c>
      <c r="BS53" s="180">
        <f t="shared" si="17"/>
        <v>0</v>
      </c>
      <c r="BT53" s="180">
        <f t="shared" si="18"/>
        <v>0</v>
      </c>
      <c r="BU53" s="180">
        <f t="shared" si="30"/>
        <v>0</v>
      </c>
      <c r="BV53" s="187"/>
      <c r="BW53" s="103">
        <f t="shared" si="19"/>
        <v>0</v>
      </c>
      <c r="BX53" s="187"/>
      <c r="BY53" s="187"/>
      <c r="BZ53" s="187"/>
      <c r="CA53" s="187"/>
      <c r="CB53" s="187"/>
      <c r="CC53" s="222" t="str">
        <f t="shared" si="31"/>
        <v/>
      </c>
      <c r="CD53" s="218" t="str">
        <f t="shared" si="32"/>
        <v/>
      </c>
      <c r="CE53" s="198" t="str">
        <f t="shared" si="33"/>
        <v/>
      </c>
      <c r="CF53" s="138" t="str">
        <f t="shared" si="34"/>
        <v/>
      </c>
      <c r="CG53" s="211" t="str">
        <f t="shared" si="35"/>
        <v/>
      </c>
      <c r="CH53" s="212" t="str">
        <f t="shared" si="36"/>
        <v/>
      </c>
      <c r="CI53" s="213" t="str">
        <f t="shared" si="37"/>
        <v/>
      </c>
      <c r="CJ53" s="138" t="str">
        <f t="shared" si="38"/>
        <v/>
      </c>
      <c r="CK53" s="199" t="e">
        <f>IF(#REF!="Plato perforado","PP",IF(OR(#REF!=0,#REF!=""),"",#REF!))</f>
        <v>#REF!</v>
      </c>
      <c r="CL53" s="200" t="str">
        <f t="shared" si="39"/>
        <v/>
      </c>
      <c r="CM53" s="201" t="str">
        <f t="shared" si="39"/>
        <v>---</v>
      </c>
      <c r="CN53" s="202"/>
      <c r="CO53" s="222" t="str">
        <f t="shared" si="40"/>
        <v/>
      </c>
      <c r="CP53" s="199" t="str">
        <f t="shared" si="41"/>
        <v/>
      </c>
      <c r="CQ53" s="198" t="str">
        <f t="shared" si="42"/>
        <v/>
      </c>
      <c r="CR53" s="138" t="str">
        <f t="shared" si="43"/>
        <v/>
      </c>
      <c r="CS53" s="211" t="str">
        <f t="shared" si="44"/>
        <v/>
      </c>
      <c r="CT53" s="212" t="str">
        <f t="shared" si="45"/>
        <v/>
      </c>
      <c r="CU53" s="213" t="str">
        <f t="shared" si="46"/>
        <v/>
      </c>
      <c r="CV53" s="138" t="str">
        <f t="shared" si="47"/>
        <v/>
      </c>
      <c r="CW53" s="199" t="e">
        <f>IF(#REF!="Plato perforado","PP",IF(OR(#REF!=0,#REF!=""),"",#REF!))</f>
        <v>#REF!</v>
      </c>
      <c r="CX53" s="200" t="str">
        <f t="shared" si="48"/>
        <v/>
      </c>
      <c r="CY53" s="201" t="str">
        <f t="shared" si="48"/>
        <v>---</v>
      </c>
      <c r="CZ53" s="202"/>
      <c r="DA53" s="222" t="str">
        <f t="shared" si="49"/>
        <v/>
      </c>
      <c r="DB53" s="199" t="str">
        <f t="shared" si="50"/>
        <v/>
      </c>
      <c r="DC53" s="198" t="str">
        <f t="shared" si="51"/>
        <v/>
      </c>
      <c r="DD53" s="138" t="str">
        <f t="shared" si="52"/>
        <v/>
      </c>
      <c r="DE53" s="211" t="str">
        <f t="shared" si="53"/>
        <v/>
      </c>
      <c r="DF53" s="212" t="str">
        <f t="shared" si="54"/>
        <v/>
      </c>
      <c r="DG53" s="213" t="str">
        <f t="shared" si="55"/>
        <v/>
      </c>
      <c r="DH53" s="138" t="str">
        <f t="shared" si="56"/>
        <v/>
      </c>
      <c r="DI53" s="199" t="e">
        <f>IF(#REF!="Plato perforado","PP",IF(OR(#REF!=0,#REF!=""),"",#REF!))</f>
        <v>#REF!</v>
      </c>
      <c r="DJ53" s="200" t="str">
        <f t="shared" si="57"/>
        <v/>
      </c>
      <c r="DK53" s="201" t="str">
        <f t="shared" si="57"/>
        <v>---</v>
      </c>
      <c r="DL53" s="202"/>
      <c r="DM53" s="222" t="str">
        <f t="shared" si="58"/>
        <v/>
      </c>
      <c r="DN53" s="199" t="str">
        <f t="shared" si="59"/>
        <v/>
      </c>
      <c r="DO53" s="198" t="str">
        <f t="shared" si="60"/>
        <v/>
      </c>
      <c r="DP53" s="138" t="str">
        <f t="shared" si="61"/>
        <v/>
      </c>
      <c r="DQ53" s="211" t="str">
        <f t="shared" si="62"/>
        <v/>
      </c>
      <c r="DR53" s="212" t="str">
        <f t="shared" si="63"/>
        <v/>
      </c>
      <c r="DS53" s="213" t="str">
        <f t="shared" si="64"/>
        <v/>
      </c>
      <c r="DT53" s="138" t="str">
        <f t="shared" si="65"/>
        <v/>
      </c>
      <c r="DU53" s="199" t="e">
        <f>IF(#REF!="Plato perforado","PP",IF(OR(#REF!=0,#REF!=""),"",#REF!))</f>
        <v>#REF!</v>
      </c>
      <c r="DV53" s="200" t="str">
        <f t="shared" si="66"/>
        <v/>
      </c>
      <c r="DW53" s="201" t="str">
        <f t="shared" si="66"/>
        <v>---</v>
      </c>
      <c r="DX53" s="202"/>
      <c r="DY53" s="222" t="str">
        <f t="shared" si="67"/>
        <v/>
      </c>
      <c r="DZ53" s="199" t="str">
        <f t="shared" si="68"/>
        <v/>
      </c>
      <c r="EA53" s="198" t="str">
        <f t="shared" si="69"/>
        <v/>
      </c>
      <c r="EB53" s="138" t="str">
        <f t="shared" si="70"/>
        <v/>
      </c>
      <c r="EC53" s="211" t="str">
        <f t="shared" si="71"/>
        <v/>
      </c>
      <c r="ED53" s="212" t="str">
        <f t="shared" si="72"/>
        <v/>
      </c>
      <c r="EE53" s="213" t="str">
        <f t="shared" si="73"/>
        <v/>
      </c>
      <c r="EF53" s="138" t="str">
        <f t="shared" si="74"/>
        <v/>
      </c>
      <c r="EG53" s="199" t="e">
        <f>IF(#REF!="Plato perforado","PP",IF(OR(#REF!=0,#REF!=""),"",#REF!))</f>
        <v>#REF!</v>
      </c>
      <c r="EH53" s="200" t="str">
        <f t="shared" si="75"/>
        <v/>
      </c>
      <c r="EI53" s="201" t="str">
        <f t="shared" si="75"/>
        <v>---</v>
      </c>
      <c r="EJ53" s="229"/>
    </row>
    <row r="54" spans="1:140" x14ac:dyDescent="0.3">
      <c r="A54" s="431">
        <v>21</v>
      </c>
      <c r="B54" s="284"/>
      <c r="C54" s="285">
        <f t="shared" si="0"/>
        <v>2</v>
      </c>
      <c r="D54" s="373"/>
      <c r="E54" s="286"/>
      <c r="F54" s="285" t="str">
        <f t="shared" ref="F54:G73" si="78">IFERROR(VLOOKUP($E54,DMFA,F$29,FALSE),"")</f>
        <v/>
      </c>
      <c r="G54" s="287" t="str">
        <f t="shared" si="78"/>
        <v/>
      </c>
      <c r="H54" s="288" t="str">
        <f t="shared" si="2"/>
        <v/>
      </c>
      <c r="I54" s="289" t="str">
        <f t="shared" si="3"/>
        <v/>
      </c>
      <c r="J54" s="288" t="str">
        <f t="shared" si="4"/>
        <v/>
      </c>
      <c r="K54" s="288">
        <f t="shared" si="5"/>
        <v>0</v>
      </c>
      <c r="L54" s="290"/>
      <c r="M54" s="291">
        <f t="shared" si="6"/>
        <v>1</v>
      </c>
      <c r="N54" s="466" t="str">
        <f t="shared" si="7"/>
        <v/>
      </c>
      <c r="O54" s="302" t="str">
        <f t="shared" si="8"/>
        <v/>
      </c>
      <c r="P54" s="468" t="str">
        <f t="shared" si="9"/>
        <v/>
      </c>
      <c r="Q54" s="292" t="str">
        <f t="shared" si="24"/>
        <v/>
      </c>
      <c r="R54" s="294" t="str">
        <f t="shared" si="10"/>
        <v/>
      </c>
      <c r="S54" s="295" t="str">
        <f t="shared" si="11"/>
        <v>---</v>
      </c>
      <c r="V54" s="3" t="str">
        <f>IFERROR(VALUE(TEXT(C54,"00")&amp;TEXT(N54,"00")&amp;TEXT(P54,"00")&amp;IF(#REF!="Plato perforado",5,IF(OR(#REF!="N/A",#REF!=""),0,#REF!))),"")</f>
        <v/>
      </c>
      <c r="W54" s="3">
        <v>15</v>
      </c>
      <c r="X54" s="3">
        <v>15</v>
      </c>
      <c r="Y54" s="3">
        <v>3</v>
      </c>
      <c r="AY54" s="187"/>
      <c r="AZ54" s="175" t="str">
        <f t="shared" ref="AZ54:AZ55" si="79">"Difusores de "&amp;W54&amp;""""&amp;" × "&amp;X54&amp;""""&amp;" de "&amp;Y54&amp;" vías:"</f>
        <v>Difusores de 15" × 15" de 3 vías:</v>
      </c>
      <c r="BA54" s="174">
        <f t="shared" si="25"/>
        <v>0</v>
      </c>
      <c r="BB54" s="187"/>
      <c r="BC54" s="103" t="str">
        <f t="shared" si="12"/>
        <v/>
      </c>
      <c r="BD54" s="103" t="str">
        <f t="shared" si="13"/>
        <v/>
      </c>
      <c r="BE54" s="103" t="e">
        <f t="shared" si="14"/>
        <v>#VALUE!</v>
      </c>
      <c r="BF54" s="181">
        <v>10</v>
      </c>
      <c r="BG54" s="181">
        <v>20</v>
      </c>
      <c r="BH54" s="184">
        <f t="shared" si="26"/>
        <v>1.3888888888888891</v>
      </c>
      <c r="BI54" s="185">
        <f t="shared" si="15"/>
        <v>763.88888888888903</v>
      </c>
      <c r="BJ54" s="185">
        <f t="shared" si="16"/>
        <v>0.5</v>
      </c>
      <c r="BK54" s="103">
        <f t="shared" si="27"/>
        <v>1020</v>
      </c>
      <c r="BL54" s="103" t="e">
        <v>#VALUE!</v>
      </c>
      <c r="BM54" s="103">
        <v>12</v>
      </c>
      <c r="BN54" s="103">
        <v>12</v>
      </c>
      <c r="BO54" s="103">
        <v>12</v>
      </c>
      <c r="BP54" s="103">
        <f t="shared" si="28"/>
        <v>1212</v>
      </c>
      <c r="BQ54" s="103">
        <f t="shared" si="28"/>
        <v>1212</v>
      </c>
      <c r="BR54" s="173" t="str">
        <f t="shared" si="29"/>
        <v>Rejillas de 12" × 12":</v>
      </c>
      <c r="BS54" s="180">
        <f t="shared" si="17"/>
        <v>0</v>
      </c>
      <c r="BT54" s="180">
        <f t="shared" si="18"/>
        <v>0</v>
      </c>
      <c r="BU54" s="180">
        <f t="shared" si="30"/>
        <v>0</v>
      </c>
      <c r="BV54" s="187"/>
      <c r="BW54" s="103">
        <f t="shared" si="19"/>
        <v>0</v>
      </c>
      <c r="BX54" s="187"/>
      <c r="BY54" s="187"/>
      <c r="BZ54" s="187"/>
      <c r="CA54" s="187"/>
      <c r="CB54" s="187"/>
      <c r="CC54" s="222" t="str">
        <f t="shared" si="31"/>
        <v/>
      </c>
      <c r="CD54" s="218" t="str">
        <f t="shared" si="32"/>
        <v/>
      </c>
      <c r="CE54" s="198" t="str">
        <f t="shared" si="33"/>
        <v/>
      </c>
      <c r="CF54" s="138" t="str">
        <f t="shared" si="34"/>
        <v/>
      </c>
      <c r="CG54" s="211" t="str">
        <f t="shared" si="35"/>
        <v/>
      </c>
      <c r="CH54" s="212" t="str">
        <f t="shared" si="36"/>
        <v/>
      </c>
      <c r="CI54" s="213" t="str">
        <f t="shared" si="37"/>
        <v/>
      </c>
      <c r="CJ54" s="138" t="str">
        <f t="shared" si="38"/>
        <v/>
      </c>
      <c r="CK54" s="199" t="e">
        <f>IF(#REF!="Plato perforado","PP",IF(OR(#REF!=0,#REF!=""),"",#REF!))</f>
        <v>#REF!</v>
      </c>
      <c r="CL54" s="200" t="str">
        <f t="shared" si="39"/>
        <v/>
      </c>
      <c r="CM54" s="201" t="str">
        <f t="shared" si="39"/>
        <v>---</v>
      </c>
      <c r="CN54" s="202"/>
      <c r="CO54" s="222" t="str">
        <f t="shared" si="40"/>
        <v/>
      </c>
      <c r="CP54" s="199" t="str">
        <f t="shared" si="41"/>
        <v/>
      </c>
      <c r="CQ54" s="198" t="str">
        <f t="shared" si="42"/>
        <v/>
      </c>
      <c r="CR54" s="138" t="str">
        <f t="shared" si="43"/>
        <v/>
      </c>
      <c r="CS54" s="211" t="str">
        <f t="shared" si="44"/>
        <v/>
      </c>
      <c r="CT54" s="212" t="str">
        <f t="shared" si="45"/>
        <v/>
      </c>
      <c r="CU54" s="213" t="str">
        <f t="shared" si="46"/>
        <v/>
      </c>
      <c r="CV54" s="138" t="str">
        <f t="shared" si="47"/>
        <v/>
      </c>
      <c r="CW54" s="199" t="e">
        <f>IF(#REF!="Plato perforado","PP",IF(OR(#REF!=0,#REF!=""),"",#REF!))</f>
        <v>#REF!</v>
      </c>
      <c r="CX54" s="200" t="str">
        <f t="shared" si="48"/>
        <v/>
      </c>
      <c r="CY54" s="201" t="str">
        <f t="shared" si="48"/>
        <v>---</v>
      </c>
      <c r="CZ54" s="202"/>
      <c r="DA54" s="222" t="str">
        <f t="shared" si="49"/>
        <v/>
      </c>
      <c r="DB54" s="199" t="str">
        <f t="shared" si="50"/>
        <v/>
      </c>
      <c r="DC54" s="198" t="str">
        <f t="shared" si="51"/>
        <v/>
      </c>
      <c r="DD54" s="138" t="str">
        <f t="shared" si="52"/>
        <v/>
      </c>
      <c r="DE54" s="211" t="str">
        <f t="shared" si="53"/>
        <v/>
      </c>
      <c r="DF54" s="212" t="str">
        <f t="shared" si="54"/>
        <v/>
      </c>
      <c r="DG54" s="213" t="str">
        <f t="shared" si="55"/>
        <v/>
      </c>
      <c r="DH54" s="138" t="str">
        <f t="shared" si="56"/>
        <v/>
      </c>
      <c r="DI54" s="199" t="e">
        <f>IF(#REF!="Plato perforado","PP",IF(OR(#REF!=0,#REF!=""),"",#REF!))</f>
        <v>#REF!</v>
      </c>
      <c r="DJ54" s="200" t="str">
        <f t="shared" si="57"/>
        <v/>
      </c>
      <c r="DK54" s="201" t="str">
        <f t="shared" si="57"/>
        <v>---</v>
      </c>
      <c r="DL54" s="202"/>
      <c r="DM54" s="222" t="str">
        <f t="shared" si="58"/>
        <v/>
      </c>
      <c r="DN54" s="199" t="str">
        <f t="shared" si="59"/>
        <v/>
      </c>
      <c r="DO54" s="198" t="str">
        <f t="shared" si="60"/>
        <v/>
      </c>
      <c r="DP54" s="138" t="str">
        <f t="shared" si="61"/>
        <v/>
      </c>
      <c r="DQ54" s="211" t="str">
        <f t="shared" si="62"/>
        <v/>
      </c>
      <c r="DR54" s="212" t="str">
        <f t="shared" si="63"/>
        <v/>
      </c>
      <c r="DS54" s="213" t="str">
        <f t="shared" si="64"/>
        <v/>
      </c>
      <c r="DT54" s="138" t="str">
        <f t="shared" si="65"/>
        <v/>
      </c>
      <c r="DU54" s="199" t="e">
        <f>IF(#REF!="Plato perforado","PP",IF(OR(#REF!=0,#REF!=""),"",#REF!))</f>
        <v>#REF!</v>
      </c>
      <c r="DV54" s="200" t="str">
        <f t="shared" si="66"/>
        <v/>
      </c>
      <c r="DW54" s="201" t="str">
        <f t="shared" si="66"/>
        <v>---</v>
      </c>
      <c r="DX54" s="202"/>
      <c r="DY54" s="222" t="str">
        <f t="shared" si="67"/>
        <v/>
      </c>
      <c r="DZ54" s="199" t="str">
        <f t="shared" si="68"/>
        <v/>
      </c>
      <c r="EA54" s="198" t="str">
        <f t="shared" si="69"/>
        <v/>
      </c>
      <c r="EB54" s="138" t="str">
        <f t="shared" si="70"/>
        <v/>
      </c>
      <c r="EC54" s="211" t="str">
        <f t="shared" si="71"/>
        <v/>
      </c>
      <c r="ED54" s="212" t="str">
        <f t="shared" si="72"/>
        <v/>
      </c>
      <c r="EE54" s="213" t="str">
        <f t="shared" si="73"/>
        <v/>
      </c>
      <c r="EF54" s="138" t="str">
        <f t="shared" si="74"/>
        <v/>
      </c>
      <c r="EG54" s="199" t="e">
        <f>IF(#REF!="Plato perforado","PP",IF(OR(#REF!=0,#REF!=""),"",#REF!))</f>
        <v>#REF!</v>
      </c>
      <c r="EH54" s="200" t="str">
        <f t="shared" si="75"/>
        <v/>
      </c>
      <c r="EI54" s="201" t="str">
        <f t="shared" si="75"/>
        <v>---</v>
      </c>
      <c r="EJ54" s="229"/>
    </row>
    <row r="55" spans="1:140" x14ac:dyDescent="0.3">
      <c r="A55" s="431">
        <v>22</v>
      </c>
      <c r="B55" s="260"/>
      <c r="C55" s="261">
        <f t="shared" si="0"/>
        <v>2</v>
      </c>
      <c r="D55" s="371"/>
      <c r="E55" s="262"/>
      <c r="F55" s="261" t="str">
        <f t="shared" si="78"/>
        <v/>
      </c>
      <c r="G55" s="263" t="str">
        <f t="shared" si="78"/>
        <v/>
      </c>
      <c r="H55" s="264" t="str">
        <f t="shared" si="2"/>
        <v/>
      </c>
      <c r="I55" s="265" t="str">
        <f t="shared" si="3"/>
        <v/>
      </c>
      <c r="J55" s="264" t="str">
        <f t="shared" si="4"/>
        <v/>
      </c>
      <c r="K55" s="264">
        <f t="shared" si="5"/>
        <v>0</v>
      </c>
      <c r="L55" s="266"/>
      <c r="M55" s="267">
        <f t="shared" si="6"/>
        <v>1</v>
      </c>
      <c r="N55" s="465" t="str">
        <f t="shared" si="7"/>
        <v/>
      </c>
      <c r="O55" s="297" t="str">
        <f t="shared" si="8"/>
        <v/>
      </c>
      <c r="P55" s="467" t="str">
        <f t="shared" si="9"/>
        <v/>
      </c>
      <c r="Q55" s="268" t="str">
        <f t="shared" si="24"/>
        <v/>
      </c>
      <c r="R55" s="270" t="str">
        <f t="shared" si="10"/>
        <v/>
      </c>
      <c r="S55" s="271" t="str">
        <f t="shared" si="11"/>
        <v>---</v>
      </c>
      <c r="V55" s="3" t="str">
        <f>IFERROR(VALUE(TEXT(C55,"00")&amp;TEXT(N55,"00")&amp;TEXT(P55,"00")&amp;IF(#REF!="Plato perforado",5,IF(OR(#REF!="N/A",#REF!=""),0,#REF!))),"")</f>
        <v/>
      </c>
      <c r="W55" s="3">
        <v>15</v>
      </c>
      <c r="X55" s="3">
        <v>15</v>
      </c>
      <c r="Y55" s="3">
        <v>4</v>
      </c>
      <c r="AY55" s="187"/>
      <c r="AZ55" s="175" t="str">
        <f t="shared" si="79"/>
        <v>Difusores de 15" × 15" de 4 vías:</v>
      </c>
      <c r="BA55" s="174">
        <f t="shared" si="25"/>
        <v>0</v>
      </c>
      <c r="BB55" s="187"/>
      <c r="BC55" s="103" t="str">
        <f t="shared" si="12"/>
        <v/>
      </c>
      <c r="BD55" s="103" t="str">
        <f t="shared" si="13"/>
        <v/>
      </c>
      <c r="BE55" s="103" t="e">
        <f t="shared" si="14"/>
        <v>#VALUE!</v>
      </c>
      <c r="BF55" s="181">
        <v>10</v>
      </c>
      <c r="BG55" s="181">
        <v>22</v>
      </c>
      <c r="BH55" s="184">
        <f t="shared" si="26"/>
        <v>1.5277777777777777</v>
      </c>
      <c r="BI55" s="185">
        <f t="shared" si="15"/>
        <v>840.27777777777771</v>
      </c>
      <c r="BJ55" s="185">
        <f t="shared" si="16"/>
        <v>0.45454545454545453</v>
      </c>
      <c r="BK55" s="103">
        <f t="shared" si="27"/>
        <v>1022</v>
      </c>
      <c r="BL55" s="103" t="e">
        <v>#VALUE!</v>
      </c>
      <c r="BM55" s="103">
        <v>12</v>
      </c>
      <c r="BN55" s="103">
        <v>14</v>
      </c>
      <c r="BO55" s="103">
        <v>12</v>
      </c>
      <c r="BP55" s="103">
        <f t="shared" si="28"/>
        <v>1214</v>
      </c>
      <c r="BQ55" s="103">
        <f t="shared" si="28"/>
        <v>1412</v>
      </c>
      <c r="BR55" s="173" t="str">
        <f t="shared" si="29"/>
        <v>Rejillas de 12" × 14":</v>
      </c>
      <c r="BS55" s="180">
        <f t="shared" si="17"/>
        <v>0</v>
      </c>
      <c r="BT55" s="180">
        <f t="shared" si="18"/>
        <v>0</v>
      </c>
      <c r="BU55" s="180">
        <f t="shared" si="30"/>
        <v>0</v>
      </c>
      <c r="BV55" s="187"/>
      <c r="BW55" s="103">
        <f t="shared" si="19"/>
        <v>0</v>
      </c>
      <c r="BX55" s="187"/>
      <c r="BY55" s="187"/>
      <c r="BZ55" s="187"/>
      <c r="CA55" s="187"/>
      <c r="CB55" s="187"/>
      <c r="CC55" s="222" t="str">
        <f t="shared" si="31"/>
        <v/>
      </c>
      <c r="CD55" s="218" t="str">
        <f t="shared" si="32"/>
        <v/>
      </c>
      <c r="CE55" s="198" t="str">
        <f t="shared" si="33"/>
        <v/>
      </c>
      <c r="CF55" s="138" t="str">
        <f t="shared" si="34"/>
        <v/>
      </c>
      <c r="CG55" s="211" t="str">
        <f t="shared" si="35"/>
        <v/>
      </c>
      <c r="CH55" s="212" t="str">
        <f t="shared" si="36"/>
        <v/>
      </c>
      <c r="CI55" s="213" t="str">
        <f t="shared" si="37"/>
        <v/>
      </c>
      <c r="CJ55" s="138" t="str">
        <f t="shared" si="38"/>
        <v/>
      </c>
      <c r="CK55" s="199" t="e">
        <f>IF(#REF!="Plato perforado","PP",IF(OR(#REF!=0,#REF!=""),"",#REF!))</f>
        <v>#REF!</v>
      </c>
      <c r="CL55" s="200" t="str">
        <f t="shared" si="39"/>
        <v/>
      </c>
      <c r="CM55" s="201" t="str">
        <f t="shared" si="39"/>
        <v>---</v>
      </c>
      <c r="CN55" s="202"/>
      <c r="CO55" s="222" t="str">
        <f t="shared" si="40"/>
        <v/>
      </c>
      <c r="CP55" s="199" t="str">
        <f t="shared" si="41"/>
        <v/>
      </c>
      <c r="CQ55" s="198" t="str">
        <f t="shared" si="42"/>
        <v/>
      </c>
      <c r="CR55" s="138" t="str">
        <f t="shared" si="43"/>
        <v/>
      </c>
      <c r="CS55" s="211" t="str">
        <f t="shared" si="44"/>
        <v/>
      </c>
      <c r="CT55" s="212" t="str">
        <f t="shared" si="45"/>
        <v/>
      </c>
      <c r="CU55" s="213" t="str">
        <f t="shared" si="46"/>
        <v/>
      </c>
      <c r="CV55" s="138" t="str">
        <f t="shared" si="47"/>
        <v/>
      </c>
      <c r="CW55" s="199" t="e">
        <f>IF(#REF!="Plato perforado","PP",IF(OR(#REF!=0,#REF!=""),"",#REF!))</f>
        <v>#REF!</v>
      </c>
      <c r="CX55" s="200" t="str">
        <f t="shared" si="48"/>
        <v/>
      </c>
      <c r="CY55" s="201" t="str">
        <f t="shared" si="48"/>
        <v>---</v>
      </c>
      <c r="CZ55" s="202"/>
      <c r="DA55" s="222" t="str">
        <f t="shared" si="49"/>
        <v/>
      </c>
      <c r="DB55" s="199" t="str">
        <f t="shared" si="50"/>
        <v/>
      </c>
      <c r="DC55" s="198" t="str">
        <f t="shared" si="51"/>
        <v/>
      </c>
      <c r="DD55" s="138" t="str">
        <f t="shared" si="52"/>
        <v/>
      </c>
      <c r="DE55" s="211" t="str">
        <f t="shared" si="53"/>
        <v/>
      </c>
      <c r="DF55" s="212" t="str">
        <f t="shared" si="54"/>
        <v/>
      </c>
      <c r="DG55" s="213" t="str">
        <f t="shared" si="55"/>
        <v/>
      </c>
      <c r="DH55" s="138" t="str">
        <f t="shared" si="56"/>
        <v/>
      </c>
      <c r="DI55" s="199" t="e">
        <f>IF(#REF!="Plato perforado","PP",IF(OR(#REF!=0,#REF!=""),"",#REF!))</f>
        <v>#REF!</v>
      </c>
      <c r="DJ55" s="200" t="str">
        <f t="shared" si="57"/>
        <v/>
      </c>
      <c r="DK55" s="201" t="str">
        <f t="shared" si="57"/>
        <v>---</v>
      </c>
      <c r="DL55" s="202"/>
      <c r="DM55" s="222" t="str">
        <f t="shared" si="58"/>
        <v/>
      </c>
      <c r="DN55" s="199" t="str">
        <f t="shared" si="59"/>
        <v/>
      </c>
      <c r="DO55" s="198" t="str">
        <f t="shared" si="60"/>
        <v/>
      </c>
      <c r="DP55" s="138" t="str">
        <f t="shared" si="61"/>
        <v/>
      </c>
      <c r="DQ55" s="211" t="str">
        <f t="shared" si="62"/>
        <v/>
      </c>
      <c r="DR55" s="212" t="str">
        <f t="shared" si="63"/>
        <v/>
      </c>
      <c r="DS55" s="213" t="str">
        <f t="shared" si="64"/>
        <v/>
      </c>
      <c r="DT55" s="138" t="str">
        <f t="shared" si="65"/>
        <v/>
      </c>
      <c r="DU55" s="199" t="e">
        <f>IF(#REF!="Plato perforado","PP",IF(OR(#REF!=0,#REF!=""),"",#REF!))</f>
        <v>#REF!</v>
      </c>
      <c r="DV55" s="200" t="str">
        <f t="shared" si="66"/>
        <v/>
      </c>
      <c r="DW55" s="201" t="str">
        <f t="shared" si="66"/>
        <v>---</v>
      </c>
      <c r="DX55" s="202"/>
      <c r="DY55" s="222" t="str">
        <f t="shared" si="67"/>
        <v/>
      </c>
      <c r="DZ55" s="199" t="str">
        <f t="shared" si="68"/>
        <v/>
      </c>
      <c r="EA55" s="198" t="str">
        <f t="shared" si="69"/>
        <v/>
      </c>
      <c r="EB55" s="138" t="str">
        <f t="shared" si="70"/>
        <v/>
      </c>
      <c r="EC55" s="211" t="str">
        <f t="shared" si="71"/>
        <v/>
      </c>
      <c r="ED55" s="212" t="str">
        <f t="shared" si="72"/>
        <v/>
      </c>
      <c r="EE55" s="213" t="str">
        <f t="shared" si="73"/>
        <v/>
      </c>
      <c r="EF55" s="138" t="str">
        <f t="shared" si="74"/>
        <v/>
      </c>
      <c r="EG55" s="199" t="e">
        <f>IF(#REF!="Plato perforado","PP",IF(OR(#REF!=0,#REF!=""),"",#REF!))</f>
        <v>#REF!</v>
      </c>
      <c r="EH55" s="200" t="str">
        <f t="shared" si="75"/>
        <v/>
      </c>
      <c r="EI55" s="201" t="str">
        <f t="shared" si="75"/>
        <v>---</v>
      </c>
      <c r="EJ55" s="229"/>
    </row>
    <row r="56" spans="1:140" x14ac:dyDescent="0.3">
      <c r="A56" s="431">
        <v>23</v>
      </c>
      <c r="B56" s="272"/>
      <c r="C56" s="273">
        <f t="shared" si="0"/>
        <v>2</v>
      </c>
      <c r="D56" s="372"/>
      <c r="E56" s="274"/>
      <c r="F56" s="273" t="str">
        <f t="shared" si="78"/>
        <v/>
      </c>
      <c r="G56" s="275" t="str">
        <f t="shared" si="78"/>
        <v/>
      </c>
      <c r="H56" s="276" t="str">
        <f t="shared" si="2"/>
        <v/>
      </c>
      <c r="I56" s="277" t="str">
        <f t="shared" si="3"/>
        <v/>
      </c>
      <c r="J56" s="276" t="str">
        <f t="shared" si="4"/>
        <v/>
      </c>
      <c r="K56" s="276">
        <f t="shared" si="5"/>
        <v>0</v>
      </c>
      <c r="L56" s="278"/>
      <c r="M56" s="279">
        <f t="shared" si="6"/>
        <v>1</v>
      </c>
      <c r="N56" s="360" t="str">
        <f t="shared" si="7"/>
        <v/>
      </c>
      <c r="O56" s="117" t="str">
        <f t="shared" si="8"/>
        <v/>
      </c>
      <c r="P56" s="359" t="str">
        <f t="shared" si="9"/>
        <v/>
      </c>
      <c r="Q56" s="280" t="str">
        <f t="shared" si="24"/>
        <v/>
      </c>
      <c r="R56" s="282" t="str">
        <f t="shared" si="10"/>
        <v/>
      </c>
      <c r="S56" s="283" t="str">
        <f t="shared" si="11"/>
        <v>---</v>
      </c>
      <c r="V56" s="3" t="str">
        <f>IFERROR(VALUE(TEXT(C56,"00")&amp;TEXT(N56,"00")&amp;TEXT(P56,"00")&amp;IF(#REF!="Plato perforado",5,IF(OR(#REF!="N/A",#REF!=""),0,#REF!))),"")</f>
        <v/>
      </c>
      <c r="W56" s="3">
        <v>15</v>
      </c>
      <c r="X56" s="3">
        <v>15</v>
      </c>
      <c r="Y56" s="3" t="s">
        <v>178</v>
      </c>
      <c r="AY56" s="187"/>
      <c r="AZ56" s="175" t="str">
        <f>"Difusores de "&amp;W56&amp;""""&amp;" × "&amp;X56&amp;""""&amp;" de "&amp;Y56</f>
        <v>Difusores de 15" × 15" de plato perforado:</v>
      </c>
      <c r="BA56" s="174">
        <f t="shared" si="25"/>
        <v>0</v>
      </c>
      <c r="BB56" s="187"/>
      <c r="BC56" s="103" t="str">
        <f t="shared" si="12"/>
        <v/>
      </c>
      <c r="BD56" s="103" t="str">
        <f t="shared" si="13"/>
        <v/>
      </c>
      <c r="BE56" s="103" t="e">
        <f t="shared" si="14"/>
        <v>#VALUE!</v>
      </c>
      <c r="BF56" s="181">
        <v>10</v>
      </c>
      <c r="BG56" s="181">
        <v>24</v>
      </c>
      <c r="BH56" s="184">
        <f t="shared" si="26"/>
        <v>1.6666666666666667</v>
      </c>
      <c r="BI56" s="185">
        <f t="shared" si="15"/>
        <v>916.66666666666674</v>
      </c>
      <c r="BJ56" s="185">
        <f t="shared" si="16"/>
        <v>0.41666666666666669</v>
      </c>
      <c r="BK56" s="103">
        <f t="shared" si="27"/>
        <v>1024</v>
      </c>
      <c r="BL56" s="103" t="e">
        <v>#VALUE!</v>
      </c>
      <c r="BM56" s="103">
        <v>12</v>
      </c>
      <c r="BN56" s="103">
        <v>16</v>
      </c>
      <c r="BO56" s="103">
        <v>12</v>
      </c>
      <c r="BP56" s="103">
        <f t="shared" si="28"/>
        <v>1216</v>
      </c>
      <c r="BQ56" s="103">
        <f t="shared" si="28"/>
        <v>1612</v>
      </c>
      <c r="BR56" s="173" t="str">
        <f t="shared" si="29"/>
        <v>Rejillas de 12" × 16":</v>
      </c>
      <c r="BS56" s="180">
        <f t="shared" si="17"/>
        <v>0</v>
      </c>
      <c r="BT56" s="180">
        <f t="shared" si="18"/>
        <v>0</v>
      </c>
      <c r="BU56" s="180">
        <f t="shared" si="30"/>
        <v>0</v>
      </c>
      <c r="BV56" s="187"/>
      <c r="BW56" s="3">
        <f t="shared" si="19"/>
        <v>0</v>
      </c>
      <c r="BX56" s="647" t="s">
        <v>228</v>
      </c>
      <c r="BY56" s="647"/>
      <c r="BZ56" s="647"/>
      <c r="CA56" s="182" t="s">
        <v>208</v>
      </c>
      <c r="CB56" s="187"/>
      <c r="CC56" s="222" t="str">
        <f t="shared" si="31"/>
        <v/>
      </c>
      <c r="CD56" s="218" t="str">
        <f t="shared" si="32"/>
        <v/>
      </c>
      <c r="CE56" s="198" t="str">
        <f t="shared" si="33"/>
        <v/>
      </c>
      <c r="CF56" s="138" t="str">
        <f t="shared" si="34"/>
        <v/>
      </c>
      <c r="CG56" s="211" t="str">
        <f t="shared" si="35"/>
        <v/>
      </c>
      <c r="CH56" s="212" t="str">
        <f t="shared" si="36"/>
        <v/>
      </c>
      <c r="CI56" s="213" t="str">
        <f t="shared" si="37"/>
        <v/>
      </c>
      <c r="CJ56" s="138" t="str">
        <f t="shared" si="38"/>
        <v/>
      </c>
      <c r="CK56" s="199" t="e">
        <f>IF(#REF!="Plato perforado","PP",IF(OR(#REF!=0,#REF!=""),"",#REF!))</f>
        <v>#REF!</v>
      </c>
      <c r="CL56" s="200" t="str">
        <f t="shared" si="39"/>
        <v/>
      </c>
      <c r="CM56" s="201" t="str">
        <f t="shared" si="39"/>
        <v>---</v>
      </c>
      <c r="CN56" s="202"/>
      <c r="CO56" s="222" t="str">
        <f t="shared" si="40"/>
        <v/>
      </c>
      <c r="CP56" s="199" t="str">
        <f t="shared" si="41"/>
        <v/>
      </c>
      <c r="CQ56" s="198" t="str">
        <f t="shared" si="42"/>
        <v/>
      </c>
      <c r="CR56" s="138" t="str">
        <f t="shared" si="43"/>
        <v/>
      </c>
      <c r="CS56" s="211" t="str">
        <f t="shared" si="44"/>
        <v/>
      </c>
      <c r="CT56" s="212" t="str">
        <f t="shared" si="45"/>
        <v/>
      </c>
      <c r="CU56" s="213" t="str">
        <f t="shared" si="46"/>
        <v/>
      </c>
      <c r="CV56" s="138" t="str">
        <f t="shared" si="47"/>
        <v/>
      </c>
      <c r="CW56" s="199" t="e">
        <f>IF(#REF!="Plato perforado","PP",IF(OR(#REF!=0,#REF!=""),"",#REF!))</f>
        <v>#REF!</v>
      </c>
      <c r="CX56" s="200" t="str">
        <f t="shared" si="48"/>
        <v/>
      </c>
      <c r="CY56" s="201" t="str">
        <f t="shared" si="48"/>
        <v>---</v>
      </c>
      <c r="CZ56" s="202"/>
      <c r="DA56" s="222" t="str">
        <f t="shared" si="49"/>
        <v/>
      </c>
      <c r="DB56" s="199" t="str">
        <f t="shared" si="50"/>
        <v/>
      </c>
      <c r="DC56" s="198" t="str">
        <f t="shared" si="51"/>
        <v/>
      </c>
      <c r="DD56" s="138" t="str">
        <f t="shared" si="52"/>
        <v/>
      </c>
      <c r="DE56" s="211" t="str">
        <f t="shared" si="53"/>
        <v/>
      </c>
      <c r="DF56" s="212" t="str">
        <f t="shared" si="54"/>
        <v/>
      </c>
      <c r="DG56" s="213" t="str">
        <f t="shared" si="55"/>
        <v/>
      </c>
      <c r="DH56" s="138" t="str">
        <f t="shared" si="56"/>
        <v/>
      </c>
      <c r="DI56" s="199" t="e">
        <f>IF(#REF!="Plato perforado","PP",IF(OR(#REF!=0,#REF!=""),"",#REF!))</f>
        <v>#REF!</v>
      </c>
      <c r="DJ56" s="200" t="str">
        <f t="shared" si="57"/>
        <v/>
      </c>
      <c r="DK56" s="201" t="str">
        <f t="shared" si="57"/>
        <v>---</v>
      </c>
      <c r="DL56" s="202"/>
      <c r="DM56" s="222" t="str">
        <f t="shared" si="58"/>
        <v/>
      </c>
      <c r="DN56" s="199" t="str">
        <f t="shared" si="59"/>
        <v/>
      </c>
      <c r="DO56" s="198" t="str">
        <f t="shared" si="60"/>
        <v/>
      </c>
      <c r="DP56" s="138" t="str">
        <f t="shared" si="61"/>
        <v/>
      </c>
      <c r="DQ56" s="211" t="str">
        <f t="shared" si="62"/>
        <v/>
      </c>
      <c r="DR56" s="212" t="str">
        <f t="shared" si="63"/>
        <v/>
      </c>
      <c r="DS56" s="213" t="str">
        <f t="shared" si="64"/>
        <v/>
      </c>
      <c r="DT56" s="138" t="str">
        <f t="shared" si="65"/>
        <v/>
      </c>
      <c r="DU56" s="199" t="e">
        <f>IF(#REF!="Plato perforado","PP",IF(OR(#REF!=0,#REF!=""),"",#REF!))</f>
        <v>#REF!</v>
      </c>
      <c r="DV56" s="200" t="str">
        <f t="shared" si="66"/>
        <v/>
      </c>
      <c r="DW56" s="201" t="str">
        <f t="shared" si="66"/>
        <v>---</v>
      </c>
      <c r="DX56" s="202"/>
      <c r="DY56" s="222" t="str">
        <f t="shared" si="67"/>
        <v/>
      </c>
      <c r="DZ56" s="199" t="str">
        <f t="shared" si="68"/>
        <v/>
      </c>
      <c r="EA56" s="198" t="str">
        <f t="shared" si="69"/>
        <v/>
      </c>
      <c r="EB56" s="138" t="str">
        <f t="shared" si="70"/>
        <v/>
      </c>
      <c r="EC56" s="211" t="str">
        <f t="shared" si="71"/>
        <v/>
      </c>
      <c r="ED56" s="212" t="str">
        <f t="shared" si="72"/>
        <v/>
      </c>
      <c r="EE56" s="213" t="str">
        <f t="shared" si="73"/>
        <v/>
      </c>
      <c r="EF56" s="138" t="str">
        <f t="shared" si="74"/>
        <v/>
      </c>
      <c r="EG56" s="199" t="e">
        <f>IF(#REF!="Plato perforado","PP",IF(OR(#REF!=0,#REF!=""),"",#REF!))</f>
        <v>#REF!</v>
      </c>
      <c r="EH56" s="200" t="str">
        <f t="shared" si="75"/>
        <v/>
      </c>
      <c r="EI56" s="201" t="str">
        <f t="shared" si="75"/>
        <v>---</v>
      </c>
      <c r="EJ56" s="229"/>
    </row>
    <row r="57" spans="1:140" x14ac:dyDescent="0.3">
      <c r="A57" s="431">
        <v>24</v>
      </c>
      <c r="B57" s="284"/>
      <c r="C57" s="285">
        <f t="shared" si="0"/>
        <v>2</v>
      </c>
      <c r="D57" s="373"/>
      <c r="E57" s="286"/>
      <c r="F57" s="285" t="str">
        <f t="shared" si="78"/>
        <v/>
      </c>
      <c r="G57" s="287" t="str">
        <f t="shared" si="78"/>
        <v/>
      </c>
      <c r="H57" s="288" t="str">
        <f t="shared" si="2"/>
        <v/>
      </c>
      <c r="I57" s="289" t="str">
        <f t="shared" si="3"/>
        <v/>
      </c>
      <c r="J57" s="288" t="str">
        <f t="shared" si="4"/>
        <v/>
      </c>
      <c r="K57" s="288">
        <f t="shared" si="5"/>
        <v>0</v>
      </c>
      <c r="L57" s="290"/>
      <c r="M57" s="291">
        <f t="shared" si="6"/>
        <v>1</v>
      </c>
      <c r="N57" s="466" t="str">
        <f t="shared" si="7"/>
        <v/>
      </c>
      <c r="O57" s="302" t="str">
        <f t="shared" si="8"/>
        <v/>
      </c>
      <c r="P57" s="468" t="str">
        <f t="shared" si="9"/>
        <v/>
      </c>
      <c r="Q57" s="292" t="str">
        <f t="shared" si="24"/>
        <v/>
      </c>
      <c r="R57" s="294" t="str">
        <f t="shared" si="10"/>
        <v/>
      </c>
      <c r="S57" s="295" t="str">
        <f t="shared" si="11"/>
        <v>---</v>
      </c>
      <c r="V57" s="3" t="str">
        <f>IFERROR(VALUE(TEXT(C57,"00")&amp;TEXT(N57,"00")&amp;TEXT(P57,"00")&amp;IF(#REF!="Plato perforado",5,IF(OR(#REF!="N/A",#REF!=""),0,#REF!))),"")</f>
        <v/>
      </c>
      <c r="W57" s="3">
        <v>15</v>
      </c>
      <c r="X57" s="3">
        <v>15</v>
      </c>
      <c r="Y57" s="3" t="s">
        <v>179</v>
      </c>
      <c r="AY57" s="187"/>
      <c r="AZ57" s="176" t="str">
        <f>"Difusores de "&amp;W57&amp;""""&amp;" × "&amp;X57&amp;""""&amp;Y57</f>
        <v>Difusores de 15" × 15", número de vías por definir:</v>
      </c>
      <c r="BA57" s="174">
        <f t="shared" si="25"/>
        <v>0</v>
      </c>
      <c r="BB57" s="187"/>
      <c r="BC57" s="103" t="str">
        <f t="shared" si="12"/>
        <v/>
      </c>
      <c r="BD57" s="103" t="str">
        <f t="shared" si="13"/>
        <v/>
      </c>
      <c r="BE57" s="103" t="e">
        <f t="shared" si="14"/>
        <v>#VALUE!</v>
      </c>
      <c r="BF57" s="181">
        <v>12</v>
      </c>
      <c r="BG57" s="181">
        <v>6</v>
      </c>
      <c r="BH57" s="184">
        <f t="shared" si="26"/>
        <v>0.5</v>
      </c>
      <c r="BI57" s="185">
        <f t="shared" si="15"/>
        <v>275</v>
      </c>
      <c r="BJ57" s="185">
        <f t="shared" si="16"/>
        <v>2</v>
      </c>
      <c r="BK57" s="103">
        <f t="shared" si="27"/>
        <v>1206</v>
      </c>
      <c r="BL57" s="103" t="e">
        <v>#VALUE!</v>
      </c>
      <c r="BM57" s="103">
        <v>12</v>
      </c>
      <c r="BN57" s="103">
        <v>18</v>
      </c>
      <c r="BO57" s="103">
        <v>12</v>
      </c>
      <c r="BP57" s="103">
        <f t="shared" si="28"/>
        <v>1218</v>
      </c>
      <c r="BQ57" s="103">
        <f t="shared" si="28"/>
        <v>1812</v>
      </c>
      <c r="BR57" s="173" t="str">
        <f t="shared" si="29"/>
        <v>Rejillas de 12" × 18":</v>
      </c>
      <c r="BS57" s="180">
        <f t="shared" si="17"/>
        <v>0</v>
      </c>
      <c r="BT57" s="180">
        <f t="shared" si="18"/>
        <v>0</v>
      </c>
      <c r="BU57" s="180">
        <f t="shared" si="30"/>
        <v>0</v>
      </c>
      <c r="BV57" s="187"/>
      <c r="BW57" s="3">
        <f t="shared" si="19"/>
        <v>0</v>
      </c>
      <c r="BX57" s="647"/>
      <c r="BY57" s="647"/>
      <c r="BZ57" s="647"/>
      <c r="CA57" s="182">
        <f>SUM(CA58:CA60)</f>
        <v>450</v>
      </c>
      <c r="CB57" s="187"/>
      <c r="CC57" s="222" t="str">
        <f t="shared" si="31"/>
        <v/>
      </c>
      <c r="CD57" s="218" t="str">
        <f t="shared" si="32"/>
        <v/>
      </c>
      <c r="CE57" s="198" t="str">
        <f t="shared" si="33"/>
        <v/>
      </c>
      <c r="CF57" s="138" t="str">
        <f t="shared" si="34"/>
        <v/>
      </c>
      <c r="CG57" s="211" t="str">
        <f t="shared" si="35"/>
        <v/>
      </c>
      <c r="CH57" s="212" t="str">
        <f t="shared" si="36"/>
        <v/>
      </c>
      <c r="CI57" s="213" t="str">
        <f t="shared" si="37"/>
        <v/>
      </c>
      <c r="CJ57" s="138" t="str">
        <f t="shared" si="38"/>
        <v/>
      </c>
      <c r="CK57" s="199" t="e">
        <f>IF(#REF!="Plato perforado","PP",IF(OR(#REF!=0,#REF!=""),"",#REF!))</f>
        <v>#REF!</v>
      </c>
      <c r="CL57" s="200" t="str">
        <f t="shared" si="39"/>
        <v/>
      </c>
      <c r="CM57" s="201" t="str">
        <f t="shared" si="39"/>
        <v>---</v>
      </c>
      <c r="CN57" s="202"/>
      <c r="CO57" s="222" t="str">
        <f t="shared" si="40"/>
        <v/>
      </c>
      <c r="CP57" s="199" t="str">
        <f t="shared" si="41"/>
        <v/>
      </c>
      <c r="CQ57" s="198" t="str">
        <f t="shared" si="42"/>
        <v/>
      </c>
      <c r="CR57" s="138" t="str">
        <f t="shared" si="43"/>
        <v/>
      </c>
      <c r="CS57" s="211" t="str">
        <f t="shared" si="44"/>
        <v/>
      </c>
      <c r="CT57" s="212" t="str">
        <f t="shared" si="45"/>
        <v/>
      </c>
      <c r="CU57" s="213" t="str">
        <f t="shared" si="46"/>
        <v/>
      </c>
      <c r="CV57" s="138" t="str">
        <f t="shared" si="47"/>
        <v/>
      </c>
      <c r="CW57" s="199" t="e">
        <f>IF(#REF!="Plato perforado","PP",IF(OR(#REF!=0,#REF!=""),"",#REF!))</f>
        <v>#REF!</v>
      </c>
      <c r="CX57" s="200" t="str">
        <f t="shared" si="48"/>
        <v/>
      </c>
      <c r="CY57" s="201" t="str">
        <f t="shared" si="48"/>
        <v>---</v>
      </c>
      <c r="CZ57" s="202"/>
      <c r="DA57" s="222" t="str">
        <f t="shared" si="49"/>
        <v/>
      </c>
      <c r="DB57" s="199" t="str">
        <f t="shared" si="50"/>
        <v/>
      </c>
      <c r="DC57" s="198" t="str">
        <f t="shared" si="51"/>
        <v/>
      </c>
      <c r="DD57" s="138" t="str">
        <f t="shared" si="52"/>
        <v/>
      </c>
      <c r="DE57" s="211" t="str">
        <f t="shared" si="53"/>
        <v/>
      </c>
      <c r="DF57" s="212" t="str">
        <f t="shared" si="54"/>
        <v/>
      </c>
      <c r="DG57" s="213" t="str">
        <f t="shared" si="55"/>
        <v/>
      </c>
      <c r="DH57" s="138" t="str">
        <f t="shared" si="56"/>
        <v/>
      </c>
      <c r="DI57" s="199" t="e">
        <f>IF(#REF!="Plato perforado","PP",IF(OR(#REF!=0,#REF!=""),"",#REF!))</f>
        <v>#REF!</v>
      </c>
      <c r="DJ57" s="200" t="str">
        <f t="shared" si="57"/>
        <v/>
      </c>
      <c r="DK57" s="201" t="str">
        <f t="shared" si="57"/>
        <v>---</v>
      </c>
      <c r="DL57" s="202"/>
      <c r="DM57" s="222" t="str">
        <f t="shared" si="58"/>
        <v/>
      </c>
      <c r="DN57" s="199" t="str">
        <f t="shared" si="59"/>
        <v/>
      </c>
      <c r="DO57" s="198" t="str">
        <f t="shared" si="60"/>
        <v/>
      </c>
      <c r="DP57" s="138" t="str">
        <f t="shared" si="61"/>
        <v/>
      </c>
      <c r="DQ57" s="211" t="str">
        <f t="shared" si="62"/>
        <v/>
      </c>
      <c r="DR57" s="212" t="str">
        <f t="shared" si="63"/>
        <v/>
      </c>
      <c r="DS57" s="213" t="str">
        <f t="shared" si="64"/>
        <v/>
      </c>
      <c r="DT57" s="138" t="str">
        <f t="shared" si="65"/>
        <v/>
      </c>
      <c r="DU57" s="199" t="e">
        <f>IF(#REF!="Plato perforado","PP",IF(OR(#REF!=0,#REF!=""),"",#REF!))</f>
        <v>#REF!</v>
      </c>
      <c r="DV57" s="200" t="str">
        <f t="shared" si="66"/>
        <v/>
      </c>
      <c r="DW57" s="201" t="str">
        <f t="shared" si="66"/>
        <v>---</v>
      </c>
      <c r="DX57" s="202"/>
      <c r="DY57" s="222" t="str">
        <f t="shared" si="67"/>
        <v/>
      </c>
      <c r="DZ57" s="199" t="str">
        <f t="shared" si="68"/>
        <v/>
      </c>
      <c r="EA57" s="198" t="str">
        <f t="shared" si="69"/>
        <v/>
      </c>
      <c r="EB57" s="138" t="str">
        <f t="shared" si="70"/>
        <v/>
      </c>
      <c r="EC57" s="211" t="str">
        <f t="shared" si="71"/>
        <v/>
      </c>
      <c r="ED57" s="212" t="str">
        <f t="shared" si="72"/>
        <v/>
      </c>
      <c r="EE57" s="213" t="str">
        <f t="shared" si="73"/>
        <v/>
      </c>
      <c r="EF57" s="138" t="str">
        <f t="shared" si="74"/>
        <v/>
      </c>
      <c r="EG57" s="199" t="e">
        <f>IF(#REF!="Plato perforado","PP",IF(OR(#REF!=0,#REF!=""),"",#REF!))</f>
        <v>#REF!</v>
      </c>
      <c r="EH57" s="200" t="str">
        <f t="shared" si="75"/>
        <v/>
      </c>
      <c r="EI57" s="201" t="str">
        <f t="shared" si="75"/>
        <v>---</v>
      </c>
      <c r="EJ57" s="229"/>
    </row>
    <row r="58" spans="1:140" x14ac:dyDescent="0.3">
      <c r="A58" s="431">
        <v>25</v>
      </c>
      <c r="B58" s="260"/>
      <c r="C58" s="261">
        <f t="shared" si="0"/>
        <v>2</v>
      </c>
      <c r="D58" s="371"/>
      <c r="E58" s="262"/>
      <c r="F58" s="261" t="str">
        <f t="shared" si="78"/>
        <v/>
      </c>
      <c r="G58" s="263" t="str">
        <f t="shared" si="78"/>
        <v/>
      </c>
      <c r="H58" s="264" t="str">
        <f t="shared" si="2"/>
        <v/>
      </c>
      <c r="I58" s="265" t="str">
        <f t="shared" si="3"/>
        <v/>
      </c>
      <c r="J58" s="264" t="str">
        <f t="shared" si="4"/>
        <v/>
      </c>
      <c r="K58" s="264">
        <f t="shared" si="5"/>
        <v>0</v>
      </c>
      <c r="L58" s="266"/>
      <c r="M58" s="267">
        <f t="shared" si="6"/>
        <v>1</v>
      </c>
      <c r="N58" s="465" t="str">
        <f t="shared" si="7"/>
        <v/>
      </c>
      <c r="O58" s="297" t="str">
        <f t="shared" si="8"/>
        <v/>
      </c>
      <c r="P58" s="467" t="str">
        <f t="shared" si="9"/>
        <v/>
      </c>
      <c r="Q58" s="268" t="str">
        <f t="shared" si="24"/>
        <v/>
      </c>
      <c r="R58" s="270" t="str">
        <f t="shared" si="10"/>
        <v/>
      </c>
      <c r="S58" s="271" t="str">
        <f t="shared" si="11"/>
        <v>---</v>
      </c>
      <c r="V58" s="3" t="str">
        <f>IFERROR(VALUE(TEXT(C58,"00")&amp;TEXT(N58,"00")&amp;TEXT(P58,"00")&amp;IF(#REF!="Plato perforado",5,IF(OR(#REF!="N/A",#REF!=""),0,#REF!))),"")</f>
        <v/>
      </c>
      <c r="W58" s="3">
        <v>18</v>
      </c>
      <c r="X58" s="3">
        <v>18</v>
      </c>
      <c r="Y58" s="3">
        <v>1</v>
      </c>
      <c r="AY58" s="187"/>
      <c r="AZ58" s="175" t="str">
        <f>"Difusores de "&amp;W58&amp;""""&amp;" × "&amp;X58&amp;""""&amp;" de "&amp;Y58&amp;" vía:"</f>
        <v>Difusores de 18" × 18" de 1 vía:</v>
      </c>
      <c r="BA58" s="174">
        <f t="shared" si="25"/>
        <v>0</v>
      </c>
      <c r="BB58" s="187"/>
      <c r="BC58" s="103" t="str">
        <f t="shared" si="12"/>
        <v/>
      </c>
      <c r="BD58" s="103" t="str">
        <f t="shared" si="13"/>
        <v/>
      </c>
      <c r="BE58" s="103" t="e">
        <f t="shared" si="14"/>
        <v>#VALUE!</v>
      </c>
      <c r="BF58" s="181">
        <v>12</v>
      </c>
      <c r="BG58" s="181">
        <v>8</v>
      </c>
      <c r="BH58" s="184">
        <f t="shared" si="26"/>
        <v>0.66666666666666663</v>
      </c>
      <c r="BI58" s="185">
        <f t="shared" si="15"/>
        <v>366.66666666666663</v>
      </c>
      <c r="BJ58" s="185">
        <f t="shared" si="16"/>
        <v>1.5</v>
      </c>
      <c r="BK58" s="103">
        <f t="shared" si="27"/>
        <v>1208</v>
      </c>
      <c r="BL58" s="103" t="e">
        <v>#VALUE!</v>
      </c>
      <c r="BM58" s="103">
        <v>12</v>
      </c>
      <c r="BN58" s="103">
        <v>20</v>
      </c>
      <c r="BO58" s="103">
        <v>12</v>
      </c>
      <c r="BP58" s="103">
        <f t="shared" si="28"/>
        <v>1220</v>
      </c>
      <c r="BQ58" s="103">
        <f t="shared" si="28"/>
        <v>2012</v>
      </c>
      <c r="BR58" s="173" t="str">
        <f t="shared" si="29"/>
        <v>Rejillas de 12" × 20":</v>
      </c>
      <c r="BS58" s="180">
        <f t="shared" si="17"/>
        <v>0</v>
      </c>
      <c r="BT58" s="180">
        <f t="shared" si="18"/>
        <v>0</v>
      </c>
      <c r="BU58" s="180">
        <f t="shared" si="30"/>
        <v>0</v>
      </c>
      <c r="BV58" s="187"/>
      <c r="BW58" s="183">
        <f t="shared" si="19"/>
        <v>0</v>
      </c>
      <c r="BX58" s="240" t="e">
        <f>"Filtros HEPA de "&amp;#REF!&amp;":"</f>
        <v>#REF!</v>
      </c>
      <c r="BY58" s="241"/>
      <c r="BZ58" s="241"/>
      <c r="CA58" s="242">
        <f>COUNTIF($BW$34:$BW$183,R16)</f>
        <v>150</v>
      </c>
      <c r="CB58" s="187"/>
      <c r="CC58" s="222" t="str">
        <f t="shared" si="31"/>
        <v/>
      </c>
      <c r="CD58" s="218" t="str">
        <f t="shared" si="32"/>
        <v/>
      </c>
      <c r="CE58" s="198" t="str">
        <f t="shared" si="33"/>
        <v/>
      </c>
      <c r="CF58" s="138" t="str">
        <f t="shared" si="34"/>
        <v/>
      </c>
      <c r="CG58" s="211" t="str">
        <f t="shared" si="35"/>
        <v/>
      </c>
      <c r="CH58" s="212" t="str">
        <f t="shared" si="36"/>
        <v/>
      </c>
      <c r="CI58" s="213" t="str">
        <f t="shared" si="37"/>
        <v/>
      </c>
      <c r="CJ58" s="138" t="str">
        <f t="shared" si="38"/>
        <v/>
      </c>
      <c r="CK58" s="199" t="e">
        <f>IF(#REF!="Plato perforado","PP",IF(OR(#REF!=0,#REF!=""),"",#REF!))</f>
        <v>#REF!</v>
      </c>
      <c r="CL58" s="200" t="str">
        <f t="shared" si="39"/>
        <v/>
      </c>
      <c r="CM58" s="201" t="str">
        <f t="shared" si="39"/>
        <v>---</v>
      </c>
      <c r="CN58" s="202"/>
      <c r="CO58" s="222" t="str">
        <f t="shared" si="40"/>
        <v/>
      </c>
      <c r="CP58" s="199" t="str">
        <f t="shared" si="41"/>
        <v/>
      </c>
      <c r="CQ58" s="198" t="str">
        <f t="shared" si="42"/>
        <v/>
      </c>
      <c r="CR58" s="138" t="str">
        <f t="shared" si="43"/>
        <v/>
      </c>
      <c r="CS58" s="211" t="str">
        <f t="shared" si="44"/>
        <v/>
      </c>
      <c r="CT58" s="212" t="str">
        <f t="shared" si="45"/>
        <v/>
      </c>
      <c r="CU58" s="213" t="str">
        <f t="shared" si="46"/>
        <v/>
      </c>
      <c r="CV58" s="138" t="str">
        <f t="shared" si="47"/>
        <v/>
      </c>
      <c r="CW58" s="199" t="e">
        <f>IF(#REF!="Plato perforado","PP",IF(OR(#REF!=0,#REF!=""),"",#REF!))</f>
        <v>#REF!</v>
      </c>
      <c r="CX58" s="200" t="str">
        <f t="shared" si="48"/>
        <v/>
      </c>
      <c r="CY58" s="201" t="str">
        <f t="shared" si="48"/>
        <v>---</v>
      </c>
      <c r="CZ58" s="202"/>
      <c r="DA58" s="222" t="str">
        <f t="shared" si="49"/>
        <v/>
      </c>
      <c r="DB58" s="199" t="str">
        <f t="shared" si="50"/>
        <v/>
      </c>
      <c r="DC58" s="198" t="str">
        <f t="shared" si="51"/>
        <v/>
      </c>
      <c r="DD58" s="138" t="str">
        <f t="shared" si="52"/>
        <v/>
      </c>
      <c r="DE58" s="211" t="str">
        <f t="shared" si="53"/>
        <v/>
      </c>
      <c r="DF58" s="212" t="str">
        <f t="shared" si="54"/>
        <v/>
      </c>
      <c r="DG58" s="213" t="str">
        <f t="shared" si="55"/>
        <v/>
      </c>
      <c r="DH58" s="138" t="str">
        <f t="shared" si="56"/>
        <v/>
      </c>
      <c r="DI58" s="199" t="e">
        <f>IF(#REF!="Plato perforado","PP",IF(OR(#REF!=0,#REF!=""),"",#REF!))</f>
        <v>#REF!</v>
      </c>
      <c r="DJ58" s="200" t="str">
        <f t="shared" si="57"/>
        <v/>
      </c>
      <c r="DK58" s="201" t="str">
        <f t="shared" si="57"/>
        <v>---</v>
      </c>
      <c r="DL58" s="202"/>
      <c r="DM58" s="222" t="str">
        <f t="shared" si="58"/>
        <v/>
      </c>
      <c r="DN58" s="199" t="str">
        <f t="shared" si="59"/>
        <v/>
      </c>
      <c r="DO58" s="198" t="str">
        <f t="shared" si="60"/>
        <v/>
      </c>
      <c r="DP58" s="138" t="str">
        <f t="shared" si="61"/>
        <v/>
      </c>
      <c r="DQ58" s="211" t="str">
        <f t="shared" si="62"/>
        <v/>
      </c>
      <c r="DR58" s="212" t="str">
        <f t="shared" si="63"/>
        <v/>
      </c>
      <c r="DS58" s="213" t="str">
        <f t="shared" si="64"/>
        <v/>
      </c>
      <c r="DT58" s="138" t="str">
        <f t="shared" si="65"/>
        <v/>
      </c>
      <c r="DU58" s="199" t="e">
        <f>IF(#REF!="Plato perforado","PP",IF(OR(#REF!=0,#REF!=""),"",#REF!))</f>
        <v>#REF!</v>
      </c>
      <c r="DV58" s="200" t="str">
        <f t="shared" si="66"/>
        <v/>
      </c>
      <c r="DW58" s="201" t="str">
        <f t="shared" si="66"/>
        <v>---</v>
      </c>
      <c r="DX58" s="202"/>
      <c r="DY58" s="222" t="str">
        <f t="shared" si="67"/>
        <v/>
      </c>
      <c r="DZ58" s="199" t="str">
        <f t="shared" si="68"/>
        <v/>
      </c>
      <c r="EA58" s="198" t="str">
        <f t="shared" si="69"/>
        <v/>
      </c>
      <c r="EB58" s="138" t="str">
        <f t="shared" si="70"/>
        <v/>
      </c>
      <c r="EC58" s="211" t="str">
        <f t="shared" si="71"/>
        <v/>
      </c>
      <c r="ED58" s="212" t="str">
        <f t="shared" si="72"/>
        <v/>
      </c>
      <c r="EE58" s="213" t="str">
        <f t="shared" si="73"/>
        <v/>
      </c>
      <c r="EF58" s="138" t="str">
        <f t="shared" si="74"/>
        <v/>
      </c>
      <c r="EG58" s="199" t="e">
        <f>IF(#REF!="Plato perforado","PP",IF(OR(#REF!=0,#REF!=""),"",#REF!))</f>
        <v>#REF!</v>
      </c>
      <c r="EH58" s="200" t="str">
        <f t="shared" si="75"/>
        <v/>
      </c>
      <c r="EI58" s="201" t="str">
        <f t="shared" si="75"/>
        <v>---</v>
      </c>
      <c r="EJ58" s="229"/>
    </row>
    <row r="59" spans="1:140" x14ac:dyDescent="0.3">
      <c r="A59" s="431">
        <v>26</v>
      </c>
      <c r="B59" s="272"/>
      <c r="C59" s="273">
        <f t="shared" si="0"/>
        <v>2</v>
      </c>
      <c r="D59" s="372"/>
      <c r="E59" s="274"/>
      <c r="F59" s="273" t="str">
        <f t="shared" si="78"/>
        <v/>
      </c>
      <c r="G59" s="275" t="str">
        <f t="shared" si="78"/>
        <v/>
      </c>
      <c r="H59" s="276" t="str">
        <f t="shared" si="2"/>
        <v/>
      </c>
      <c r="I59" s="277" t="str">
        <f t="shared" si="3"/>
        <v/>
      </c>
      <c r="J59" s="276" t="str">
        <f t="shared" si="4"/>
        <v/>
      </c>
      <c r="K59" s="276">
        <f t="shared" si="5"/>
        <v>0</v>
      </c>
      <c r="L59" s="278"/>
      <c r="M59" s="279">
        <f t="shared" si="6"/>
        <v>1</v>
      </c>
      <c r="N59" s="360" t="str">
        <f t="shared" si="7"/>
        <v/>
      </c>
      <c r="O59" s="117" t="str">
        <f t="shared" si="8"/>
        <v/>
      </c>
      <c r="P59" s="359" t="str">
        <f t="shared" si="9"/>
        <v/>
      </c>
      <c r="Q59" s="280" t="str">
        <f t="shared" si="24"/>
        <v/>
      </c>
      <c r="R59" s="282" t="str">
        <f t="shared" si="10"/>
        <v/>
      </c>
      <c r="S59" s="283" t="str">
        <f t="shared" si="11"/>
        <v>---</v>
      </c>
      <c r="V59" s="3" t="str">
        <f>IFERROR(VALUE(TEXT(C59,"00")&amp;TEXT(N59,"00")&amp;TEXT(P59,"00")&amp;IF(#REF!="Plato perforado",5,IF(OR(#REF!="N/A",#REF!=""),0,#REF!))),"")</f>
        <v/>
      </c>
      <c r="W59" s="3">
        <v>18</v>
      </c>
      <c r="X59" s="3">
        <v>18</v>
      </c>
      <c r="Y59" s="3">
        <v>2</v>
      </c>
      <c r="AY59" s="187"/>
      <c r="AZ59" s="175" t="str">
        <f>"Difusores de "&amp;W59&amp;""""&amp;" × "&amp;X59&amp;""""&amp;" de "&amp;Y59&amp;" vías:"</f>
        <v>Difusores de 18" × 18" de 2 vías:</v>
      </c>
      <c r="BA59" s="174">
        <f t="shared" si="25"/>
        <v>0</v>
      </c>
      <c r="BB59" s="187"/>
      <c r="BC59" s="103" t="str">
        <f t="shared" si="12"/>
        <v/>
      </c>
      <c r="BD59" s="103" t="str">
        <f t="shared" si="13"/>
        <v/>
      </c>
      <c r="BE59" s="103" t="e">
        <f t="shared" si="14"/>
        <v>#VALUE!</v>
      </c>
      <c r="BF59" s="181">
        <v>12</v>
      </c>
      <c r="BG59" s="181">
        <v>10</v>
      </c>
      <c r="BH59" s="184">
        <f t="shared" si="26"/>
        <v>0.83333333333333337</v>
      </c>
      <c r="BI59" s="185">
        <f t="shared" si="15"/>
        <v>458.33333333333337</v>
      </c>
      <c r="BJ59" s="185">
        <f t="shared" si="16"/>
        <v>1.2</v>
      </c>
      <c r="BK59" s="103">
        <f t="shared" si="27"/>
        <v>1210</v>
      </c>
      <c r="BL59" s="103" t="e">
        <v>#VALUE!</v>
      </c>
      <c r="BM59" s="103">
        <v>12</v>
      </c>
      <c r="BN59" s="103">
        <v>22</v>
      </c>
      <c r="BO59" s="103">
        <v>12</v>
      </c>
      <c r="BP59" s="103">
        <f t="shared" si="28"/>
        <v>1222</v>
      </c>
      <c r="BQ59" s="103">
        <f t="shared" si="28"/>
        <v>2212</v>
      </c>
      <c r="BR59" s="173" t="str">
        <f t="shared" si="29"/>
        <v>Rejillas de 12" × 22":</v>
      </c>
      <c r="BS59" s="180">
        <f t="shared" si="17"/>
        <v>0</v>
      </c>
      <c r="BT59" s="180">
        <f t="shared" si="18"/>
        <v>0</v>
      </c>
      <c r="BU59" s="180">
        <f t="shared" si="30"/>
        <v>0</v>
      </c>
      <c r="BV59" s="187"/>
      <c r="BW59" s="183">
        <f t="shared" si="19"/>
        <v>0</v>
      </c>
      <c r="BX59" s="172" t="e">
        <f>"Filtros HEPA de "&amp;#REF!&amp;":"</f>
        <v>#REF!</v>
      </c>
      <c r="BY59" s="239"/>
      <c r="BZ59" s="239"/>
      <c r="CA59" s="174">
        <f>COUNTIF($BW$34:$BW$183,R17)</f>
        <v>150</v>
      </c>
      <c r="CB59" s="187"/>
      <c r="CC59" s="222" t="str">
        <f t="shared" si="31"/>
        <v/>
      </c>
      <c r="CD59" s="218" t="str">
        <f t="shared" si="32"/>
        <v/>
      </c>
      <c r="CE59" s="198" t="str">
        <f t="shared" si="33"/>
        <v/>
      </c>
      <c r="CF59" s="138" t="str">
        <f t="shared" si="34"/>
        <v/>
      </c>
      <c r="CG59" s="211" t="str">
        <f t="shared" si="35"/>
        <v/>
      </c>
      <c r="CH59" s="212" t="str">
        <f t="shared" si="36"/>
        <v/>
      </c>
      <c r="CI59" s="213" t="str">
        <f t="shared" si="37"/>
        <v/>
      </c>
      <c r="CJ59" s="138" t="str">
        <f t="shared" si="38"/>
        <v/>
      </c>
      <c r="CK59" s="199" t="e">
        <f>IF(#REF!="Plato perforado","PP",IF(OR(#REF!=0,#REF!=""),"",#REF!))</f>
        <v>#REF!</v>
      </c>
      <c r="CL59" s="200" t="str">
        <f t="shared" si="39"/>
        <v/>
      </c>
      <c r="CM59" s="201" t="str">
        <f t="shared" si="39"/>
        <v>---</v>
      </c>
      <c r="CN59" s="202"/>
      <c r="CO59" s="222" t="str">
        <f t="shared" si="40"/>
        <v/>
      </c>
      <c r="CP59" s="199" t="str">
        <f t="shared" si="41"/>
        <v/>
      </c>
      <c r="CQ59" s="198" t="str">
        <f t="shared" si="42"/>
        <v/>
      </c>
      <c r="CR59" s="138" t="str">
        <f t="shared" si="43"/>
        <v/>
      </c>
      <c r="CS59" s="211" t="str">
        <f t="shared" si="44"/>
        <v/>
      </c>
      <c r="CT59" s="212" t="str">
        <f t="shared" si="45"/>
        <v/>
      </c>
      <c r="CU59" s="213" t="str">
        <f t="shared" si="46"/>
        <v/>
      </c>
      <c r="CV59" s="138" t="str">
        <f t="shared" si="47"/>
        <v/>
      </c>
      <c r="CW59" s="199" t="e">
        <f>IF(#REF!="Plato perforado","PP",IF(OR(#REF!=0,#REF!=""),"",#REF!))</f>
        <v>#REF!</v>
      </c>
      <c r="CX59" s="200" t="str">
        <f t="shared" si="48"/>
        <v/>
      </c>
      <c r="CY59" s="201" t="str">
        <f t="shared" si="48"/>
        <v>---</v>
      </c>
      <c r="CZ59" s="202"/>
      <c r="DA59" s="222" t="str">
        <f t="shared" si="49"/>
        <v/>
      </c>
      <c r="DB59" s="199" t="str">
        <f t="shared" si="50"/>
        <v/>
      </c>
      <c r="DC59" s="198" t="str">
        <f t="shared" si="51"/>
        <v/>
      </c>
      <c r="DD59" s="138" t="str">
        <f t="shared" si="52"/>
        <v/>
      </c>
      <c r="DE59" s="211" t="str">
        <f t="shared" si="53"/>
        <v/>
      </c>
      <c r="DF59" s="212" t="str">
        <f t="shared" si="54"/>
        <v/>
      </c>
      <c r="DG59" s="213" t="str">
        <f t="shared" si="55"/>
        <v/>
      </c>
      <c r="DH59" s="138" t="str">
        <f t="shared" si="56"/>
        <v/>
      </c>
      <c r="DI59" s="199" t="e">
        <f>IF(#REF!="Plato perforado","PP",IF(OR(#REF!=0,#REF!=""),"",#REF!))</f>
        <v>#REF!</v>
      </c>
      <c r="DJ59" s="200" t="str">
        <f t="shared" si="57"/>
        <v/>
      </c>
      <c r="DK59" s="201" t="str">
        <f t="shared" si="57"/>
        <v>---</v>
      </c>
      <c r="DL59" s="202"/>
      <c r="DM59" s="222" t="str">
        <f t="shared" si="58"/>
        <v/>
      </c>
      <c r="DN59" s="199" t="str">
        <f t="shared" si="59"/>
        <v/>
      </c>
      <c r="DO59" s="198" t="str">
        <f t="shared" si="60"/>
        <v/>
      </c>
      <c r="DP59" s="138" t="str">
        <f t="shared" si="61"/>
        <v/>
      </c>
      <c r="DQ59" s="211" t="str">
        <f t="shared" si="62"/>
        <v/>
      </c>
      <c r="DR59" s="212" t="str">
        <f t="shared" si="63"/>
        <v/>
      </c>
      <c r="DS59" s="213" t="str">
        <f t="shared" si="64"/>
        <v/>
      </c>
      <c r="DT59" s="138" t="str">
        <f t="shared" si="65"/>
        <v/>
      </c>
      <c r="DU59" s="199" t="e">
        <f>IF(#REF!="Plato perforado","PP",IF(OR(#REF!=0,#REF!=""),"",#REF!))</f>
        <v>#REF!</v>
      </c>
      <c r="DV59" s="200" t="str">
        <f t="shared" si="66"/>
        <v/>
      </c>
      <c r="DW59" s="201" t="str">
        <f t="shared" si="66"/>
        <v>---</v>
      </c>
      <c r="DX59" s="202"/>
      <c r="DY59" s="222" t="str">
        <f t="shared" si="67"/>
        <v/>
      </c>
      <c r="DZ59" s="199" t="str">
        <f t="shared" si="68"/>
        <v/>
      </c>
      <c r="EA59" s="198" t="str">
        <f t="shared" si="69"/>
        <v/>
      </c>
      <c r="EB59" s="138" t="str">
        <f t="shared" si="70"/>
        <v/>
      </c>
      <c r="EC59" s="211" t="str">
        <f t="shared" si="71"/>
        <v/>
      </c>
      <c r="ED59" s="212" t="str">
        <f t="shared" si="72"/>
        <v/>
      </c>
      <c r="EE59" s="213" t="str">
        <f t="shared" si="73"/>
        <v/>
      </c>
      <c r="EF59" s="138" t="str">
        <f t="shared" si="74"/>
        <v/>
      </c>
      <c r="EG59" s="199" t="e">
        <f>IF(#REF!="Plato perforado","PP",IF(OR(#REF!=0,#REF!=""),"",#REF!))</f>
        <v>#REF!</v>
      </c>
      <c r="EH59" s="200" t="str">
        <f t="shared" si="75"/>
        <v/>
      </c>
      <c r="EI59" s="201" t="str">
        <f t="shared" si="75"/>
        <v>---</v>
      </c>
      <c r="EJ59" s="229"/>
    </row>
    <row r="60" spans="1:140" x14ac:dyDescent="0.3">
      <c r="A60" s="431">
        <v>27</v>
      </c>
      <c r="B60" s="284"/>
      <c r="C60" s="285">
        <f t="shared" si="0"/>
        <v>2</v>
      </c>
      <c r="D60" s="373"/>
      <c r="E60" s="286"/>
      <c r="F60" s="285" t="str">
        <f t="shared" si="78"/>
        <v/>
      </c>
      <c r="G60" s="287" t="str">
        <f t="shared" si="78"/>
        <v/>
      </c>
      <c r="H60" s="288" t="str">
        <f t="shared" si="2"/>
        <v/>
      </c>
      <c r="I60" s="289" t="str">
        <f t="shared" si="3"/>
        <v/>
      </c>
      <c r="J60" s="288" t="str">
        <f t="shared" si="4"/>
        <v/>
      </c>
      <c r="K60" s="288">
        <f t="shared" si="5"/>
        <v>0</v>
      </c>
      <c r="L60" s="290"/>
      <c r="M60" s="291">
        <f t="shared" si="6"/>
        <v>1</v>
      </c>
      <c r="N60" s="466" t="str">
        <f t="shared" si="7"/>
        <v/>
      </c>
      <c r="O60" s="302" t="str">
        <f t="shared" si="8"/>
        <v/>
      </c>
      <c r="P60" s="468" t="str">
        <f t="shared" si="9"/>
        <v/>
      </c>
      <c r="Q60" s="292" t="str">
        <f t="shared" si="24"/>
        <v/>
      </c>
      <c r="R60" s="294" t="str">
        <f t="shared" si="10"/>
        <v/>
      </c>
      <c r="S60" s="295" t="str">
        <f t="shared" si="11"/>
        <v>---</v>
      </c>
      <c r="V60" s="3" t="str">
        <f>IFERROR(VALUE(TEXT(C60,"00")&amp;TEXT(N60,"00")&amp;TEXT(P60,"00")&amp;IF(#REF!="Plato perforado",5,IF(OR(#REF!="N/A",#REF!=""),0,#REF!))),"")</f>
        <v/>
      </c>
      <c r="W60" s="3">
        <v>18</v>
      </c>
      <c r="X60" s="3">
        <v>18</v>
      </c>
      <c r="Y60" s="3">
        <v>3</v>
      </c>
      <c r="AY60" s="187"/>
      <c r="AZ60" s="175" t="str">
        <f t="shared" ref="AZ60:AZ61" si="80">"Difusores de "&amp;W60&amp;""""&amp;" × "&amp;X60&amp;""""&amp;" de "&amp;Y60&amp;" vías:"</f>
        <v>Difusores de 18" × 18" de 3 vías:</v>
      </c>
      <c r="BA60" s="174">
        <f t="shared" si="25"/>
        <v>0</v>
      </c>
      <c r="BB60" s="187"/>
      <c r="BC60" s="103" t="str">
        <f t="shared" si="12"/>
        <v/>
      </c>
      <c r="BD60" s="103" t="str">
        <f t="shared" si="13"/>
        <v/>
      </c>
      <c r="BE60" s="103" t="e">
        <f t="shared" si="14"/>
        <v>#VALUE!</v>
      </c>
      <c r="BF60" s="181">
        <v>12</v>
      </c>
      <c r="BG60" s="181">
        <v>12</v>
      </c>
      <c r="BH60" s="184">
        <f t="shared" si="26"/>
        <v>1</v>
      </c>
      <c r="BI60" s="185">
        <f t="shared" si="15"/>
        <v>550</v>
      </c>
      <c r="BJ60" s="185">
        <f t="shared" si="16"/>
        <v>1</v>
      </c>
      <c r="BK60" s="103">
        <f t="shared" si="27"/>
        <v>1212</v>
      </c>
      <c r="BL60" s="103" t="e">
        <v>#VALUE!</v>
      </c>
      <c r="BM60" s="103">
        <v>12</v>
      </c>
      <c r="BN60" s="103">
        <v>24</v>
      </c>
      <c r="BO60" s="103">
        <v>12</v>
      </c>
      <c r="BP60" s="103">
        <f t="shared" si="28"/>
        <v>1224</v>
      </c>
      <c r="BQ60" s="103">
        <f t="shared" si="28"/>
        <v>2412</v>
      </c>
      <c r="BR60" s="173" t="str">
        <f t="shared" si="29"/>
        <v>Rejillas de 12" × 24":</v>
      </c>
      <c r="BS60" s="180">
        <f t="shared" si="17"/>
        <v>0</v>
      </c>
      <c r="BT60" s="180">
        <f t="shared" si="18"/>
        <v>0</v>
      </c>
      <c r="BU60" s="180">
        <f t="shared" si="30"/>
        <v>0</v>
      </c>
      <c r="BV60" s="187"/>
      <c r="BW60" s="183">
        <f t="shared" si="19"/>
        <v>0</v>
      </c>
      <c r="BX60" s="243" t="e">
        <f>"Filtros HEPA de "&amp;#REF!&amp;":"</f>
        <v>#REF!</v>
      </c>
      <c r="BY60" s="244"/>
      <c r="BZ60" s="244"/>
      <c r="CA60" s="245">
        <f>COUNTIF($BW$34:$BW$183,R18)</f>
        <v>150</v>
      </c>
      <c r="CB60" s="187"/>
      <c r="CC60" s="222" t="str">
        <f t="shared" si="31"/>
        <v/>
      </c>
      <c r="CD60" s="218" t="str">
        <f t="shared" si="32"/>
        <v/>
      </c>
      <c r="CE60" s="198" t="str">
        <f t="shared" si="33"/>
        <v/>
      </c>
      <c r="CF60" s="138" t="str">
        <f t="shared" si="34"/>
        <v/>
      </c>
      <c r="CG60" s="211" t="str">
        <f t="shared" si="35"/>
        <v/>
      </c>
      <c r="CH60" s="212" t="str">
        <f t="shared" si="36"/>
        <v/>
      </c>
      <c r="CI60" s="213" t="str">
        <f t="shared" si="37"/>
        <v/>
      </c>
      <c r="CJ60" s="138" t="str">
        <f t="shared" si="38"/>
        <v/>
      </c>
      <c r="CK60" s="199" t="e">
        <f>IF(#REF!="Plato perforado","PP",IF(OR(#REF!=0,#REF!=""),"",#REF!))</f>
        <v>#REF!</v>
      </c>
      <c r="CL60" s="200" t="str">
        <f t="shared" si="39"/>
        <v/>
      </c>
      <c r="CM60" s="201" t="str">
        <f t="shared" si="39"/>
        <v>---</v>
      </c>
      <c r="CN60" s="202"/>
      <c r="CO60" s="222" t="str">
        <f t="shared" si="40"/>
        <v/>
      </c>
      <c r="CP60" s="199" t="str">
        <f t="shared" si="41"/>
        <v/>
      </c>
      <c r="CQ60" s="198" t="str">
        <f t="shared" si="42"/>
        <v/>
      </c>
      <c r="CR60" s="138" t="str">
        <f t="shared" si="43"/>
        <v/>
      </c>
      <c r="CS60" s="211" t="str">
        <f t="shared" si="44"/>
        <v/>
      </c>
      <c r="CT60" s="212" t="str">
        <f t="shared" si="45"/>
        <v/>
      </c>
      <c r="CU60" s="213" t="str">
        <f t="shared" si="46"/>
        <v/>
      </c>
      <c r="CV60" s="138" t="str">
        <f t="shared" si="47"/>
        <v/>
      </c>
      <c r="CW60" s="199" t="e">
        <f>IF(#REF!="Plato perforado","PP",IF(OR(#REF!=0,#REF!=""),"",#REF!))</f>
        <v>#REF!</v>
      </c>
      <c r="CX60" s="200" t="str">
        <f t="shared" si="48"/>
        <v/>
      </c>
      <c r="CY60" s="201" t="str">
        <f t="shared" si="48"/>
        <v>---</v>
      </c>
      <c r="CZ60" s="202"/>
      <c r="DA60" s="222" t="str">
        <f t="shared" si="49"/>
        <v/>
      </c>
      <c r="DB60" s="199" t="str">
        <f t="shared" si="50"/>
        <v/>
      </c>
      <c r="DC60" s="198" t="str">
        <f t="shared" si="51"/>
        <v/>
      </c>
      <c r="DD60" s="138" t="str">
        <f t="shared" si="52"/>
        <v/>
      </c>
      <c r="DE60" s="211" t="str">
        <f t="shared" si="53"/>
        <v/>
      </c>
      <c r="DF60" s="212" t="str">
        <f t="shared" si="54"/>
        <v/>
      </c>
      <c r="DG60" s="213" t="str">
        <f t="shared" si="55"/>
        <v/>
      </c>
      <c r="DH60" s="138" t="str">
        <f t="shared" si="56"/>
        <v/>
      </c>
      <c r="DI60" s="199" t="e">
        <f>IF(#REF!="Plato perforado","PP",IF(OR(#REF!=0,#REF!=""),"",#REF!))</f>
        <v>#REF!</v>
      </c>
      <c r="DJ60" s="200" t="str">
        <f t="shared" si="57"/>
        <v/>
      </c>
      <c r="DK60" s="201" t="str">
        <f t="shared" si="57"/>
        <v>---</v>
      </c>
      <c r="DL60" s="202"/>
      <c r="DM60" s="222" t="str">
        <f t="shared" si="58"/>
        <v/>
      </c>
      <c r="DN60" s="199" t="str">
        <f t="shared" si="59"/>
        <v/>
      </c>
      <c r="DO60" s="198" t="str">
        <f t="shared" si="60"/>
        <v/>
      </c>
      <c r="DP60" s="138" t="str">
        <f t="shared" si="61"/>
        <v/>
      </c>
      <c r="DQ60" s="211" t="str">
        <f t="shared" si="62"/>
        <v/>
      </c>
      <c r="DR60" s="212" t="str">
        <f t="shared" si="63"/>
        <v/>
      </c>
      <c r="DS60" s="213" t="str">
        <f t="shared" si="64"/>
        <v/>
      </c>
      <c r="DT60" s="138" t="str">
        <f t="shared" si="65"/>
        <v/>
      </c>
      <c r="DU60" s="199" t="e">
        <f>IF(#REF!="Plato perforado","PP",IF(OR(#REF!=0,#REF!=""),"",#REF!))</f>
        <v>#REF!</v>
      </c>
      <c r="DV60" s="200" t="str">
        <f t="shared" si="66"/>
        <v/>
      </c>
      <c r="DW60" s="201" t="str">
        <f t="shared" si="66"/>
        <v>---</v>
      </c>
      <c r="DX60" s="202"/>
      <c r="DY60" s="222" t="str">
        <f t="shared" si="67"/>
        <v/>
      </c>
      <c r="DZ60" s="199" t="str">
        <f t="shared" si="68"/>
        <v/>
      </c>
      <c r="EA60" s="198" t="str">
        <f t="shared" si="69"/>
        <v/>
      </c>
      <c r="EB60" s="138" t="str">
        <f t="shared" si="70"/>
        <v/>
      </c>
      <c r="EC60" s="211" t="str">
        <f t="shared" si="71"/>
        <v/>
      </c>
      <c r="ED60" s="212" t="str">
        <f t="shared" si="72"/>
        <v/>
      </c>
      <c r="EE60" s="213" t="str">
        <f t="shared" si="73"/>
        <v/>
      </c>
      <c r="EF60" s="138" t="str">
        <f t="shared" si="74"/>
        <v/>
      </c>
      <c r="EG60" s="199" t="e">
        <f>IF(#REF!="Plato perforado","PP",IF(OR(#REF!=0,#REF!=""),"",#REF!))</f>
        <v>#REF!</v>
      </c>
      <c r="EH60" s="200" t="str">
        <f t="shared" si="75"/>
        <v/>
      </c>
      <c r="EI60" s="201" t="str">
        <f t="shared" si="75"/>
        <v>---</v>
      </c>
      <c r="EJ60" s="229"/>
    </row>
    <row r="61" spans="1:140" x14ac:dyDescent="0.3">
      <c r="A61" s="431">
        <v>28</v>
      </c>
      <c r="B61" s="260"/>
      <c r="C61" s="261">
        <f t="shared" si="0"/>
        <v>2</v>
      </c>
      <c r="D61" s="371"/>
      <c r="E61" s="262"/>
      <c r="F61" s="261" t="str">
        <f t="shared" si="78"/>
        <v/>
      </c>
      <c r="G61" s="263" t="str">
        <f t="shared" si="78"/>
        <v/>
      </c>
      <c r="H61" s="264" t="str">
        <f t="shared" si="2"/>
        <v/>
      </c>
      <c r="I61" s="265" t="str">
        <f t="shared" si="3"/>
        <v/>
      </c>
      <c r="J61" s="264" t="str">
        <f t="shared" si="4"/>
        <v/>
      </c>
      <c r="K61" s="264">
        <f t="shared" si="5"/>
        <v>0</v>
      </c>
      <c r="L61" s="266"/>
      <c r="M61" s="267">
        <f t="shared" si="6"/>
        <v>1</v>
      </c>
      <c r="N61" s="465" t="str">
        <f t="shared" si="7"/>
        <v/>
      </c>
      <c r="O61" s="297" t="str">
        <f t="shared" si="8"/>
        <v/>
      </c>
      <c r="P61" s="467" t="str">
        <f t="shared" si="9"/>
        <v/>
      </c>
      <c r="Q61" s="268" t="str">
        <f t="shared" si="24"/>
        <v/>
      </c>
      <c r="R61" s="270" t="str">
        <f t="shared" si="10"/>
        <v/>
      </c>
      <c r="S61" s="271" t="str">
        <f t="shared" si="11"/>
        <v>---</v>
      </c>
      <c r="V61" s="3" t="str">
        <f>IFERROR(VALUE(TEXT(C61,"00")&amp;TEXT(N61,"00")&amp;TEXT(P61,"00")&amp;IF(#REF!="Plato perforado",5,IF(OR(#REF!="N/A",#REF!=""),0,#REF!))),"")</f>
        <v/>
      </c>
      <c r="W61" s="3">
        <v>18</v>
      </c>
      <c r="X61" s="3">
        <v>18</v>
      </c>
      <c r="Y61" s="3">
        <v>4</v>
      </c>
      <c r="AY61" s="187"/>
      <c r="AZ61" s="175" t="str">
        <f t="shared" si="80"/>
        <v>Difusores de 18" × 18" de 4 vías:</v>
      </c>
      <c r="BA61" s="174">
        <f t="shared" si="25"/>
        <v>0</v>
      </c>
      <c r="BB61" s="187"/>
      <c r="BC61" s="103" t="str">
        <f t="shared" si="12"/>
        <v/>
      </c>
      <c r="BD61" s="103" t="str">
        <f t="shared" si="13"/>
        <v/>
      </c>
      <c r="BE61" s="103" t="e">
        <f t="shared" si="14"/>
        <v>#VALUE!</v>
      </c>
      <c r="BF61" s="181">
        <v>12</v>
      </c>
      <c r="BG61" s="181">
        <v>14</v>
      </c>
      <c r="BH61" s="184">
        <f t="shared" si="26"/>
        <v>1.1666666666666667</v>
      </c>
      <c r="BI61" s="185">
        <f t="shared" si="15"/>
        <v>641.66666666666674</v>
      </c>
      <c r="BJ61" s="185">
        <f t="shared" si="16"/>
        <v>0.8571428571428571</v>
      </c>
      <c r="BK61" s="103">
        <f t="shared" si="27"/>
        <v>1214</v>
      </c>
      <c r="BL61" s="103" t="e">
        <v>#VALUE!</v>
      </c>
      <c r="BM61" s="103">
        <v>12</v>
      </c>
      <c r="BN61" s="103">
        <v>26</v>
      </c>
      <c r="BO61" s="103">
        <v>12</v>
      </c>
      <c r="BP61" s="103">
        <f t="shared" si="28"/>
        <v>1226</v>
      </c>
      <c r="BQ61" s="103">
        <f t="shared" si="28"/>
        <v>2612</v>
      </c>
      <c r="BR61" s="173" t="str">
        <f t="shared" si="29"/>
        <v>Rejillas de 12" × 26":</v>
      </c>
      <c r="BS61" s="180">
        <f t="shared" si="17"/>
        <v>0</v>
      </c>
      <c r="BT61" s="180">
        <f t="shared" si="18"/>
        <v>0</v>
      </c>
      <c r="BU61" s="180">
        <f t="shared" si="30"/>
        <v>0</v>
      </c>
      <c r="BV61" s="187"/>
      <c r="BW61" s="183">
        <f t="shared" si="19"/>
        <v>0</v>
      </c>
      <c r="BX61" s="187"/>
      <c r="BY61" s="187"/>
      <c r="BZ61" s="187"/>
      <c r="CA61" s="187"/>
      <c r="CB61" s="187"/>
      <c r="CC61" s="222" t="str">
        <f t="shared" si="31"/>
        <v/>
      </c>
      <c r="CD61" s="218" t="str">
        <f t="shared" si="32"/>
        <v/>
      </c>
      <c r="CE61" s="198" t="str">
        <f t="shared" si="33"/>
        <v/>
      </c>
      <c r="CF61" s="138" t="str">
        <f t="shared" si="34"/>
        <v/>
      </c>
      <c r="CG61" s="211" t="str">
        <f t="shared" si="35"/>
        <v/>
      </c>
      <c r="CH61" s="212" t="str">
        <f t="shared" si="36"/>
        <v/>
      </c>
      <c r="CI61" s="213" t="str">
        <f t="shared" si="37"/>
        <v/>
      </c>
      <c r="CJ61" s="138" t="str">
        <f t="shared" si="38"/>
        <v/>
      </c>
      <c r="CK61" s="199" t="e">
        <f>IF(#REF!="Plato perforado","PP",IF(OR(#REF!=0,#REF!=""),"",#REF!))</f>
        <v>#REF!</v>
      </c>
      <c r="CL61" s="200" t="str">
        <f t="shared" si="39"/>
        <v/>
      </c>
      <c r="CM61" s="201" t="str">
        <f t="shared" si="39"/>
        <v>---</v>
      </c>
      <c r="CN61" s="202"/>
      <c r="CO61" s="222" t="str">
        <f t="shared" si="40"/>
        <v/>
      </c>
      <c r="CP61" s="199" t="str">
        <f t="shared" si="41"/>
        <v/>
      </c>
      <c r="CQ61" s="198" t="str">
        <f t="shared" si="42"/>
        <v/>
      </c>
      <c r="CR61" s="138" t="str">
        <f t="shared" si="43"/>
        <v/>
      </c>
      <c r="CS61" s="211" t="str">
        <f t="shared" si="44"/>
        <v/>
      </c>
      <c r="CT61" s="212" t="str">
        <f t="shared" si="45"/>
        <v/>
      </c>
      <c r="CU61" s="213" t="str">
        <f t="shared" si="46"/>
        <v/>
      </c>
      <c r="CV61" s="138" t="str">
        <f t="shared" si="47"/>
        <v/>
      </c>
      <c r="CW61" s="199" t="e">
        <f>IF(#REF!="Plato perforado","PP",IF(OR(#REF!=0,#REF!=""),"",#REF!))</f>
        <v>#REF!</v>
      </c>
      <c r="CX61" s="200" t="str">
        <f t="shared" si="48"/>
        <v/>
      </c>
      <c r="CY61" s="201" t="str">
        <f t="shared" si="48"/>
        <v>---</v>
      </c>
      <c r="CZ61" s="202"/>
      <c r="DA61" s="222" t="str">
        <f t="shared" si="49"/>
        <v/>
      </c>
      <c r="DB61" s="199" t="str">
        <f t="shared" si="50"/>
        <v/>
      </c>
      <c r="DC61" s="198" t="str">
        <f t="shared" si="51"/>
        <v/>
      </c>
      <c r="DD61" s="138" t="str">
        <f t="shared" si="52"/>
        <v/>
      </c>
      <c r="DE61" s="211" t="str">
        <f t="shared" si="53"/>
        <v/>
      </c>
      <c r="DF61" s="212" t="str">
        <f t="shared" si="54"/>
        <v/>
      </c>
      <c r="DG61" s="213" t="str">
        <f t="shared" si="55"/>
        <v/>
      </c>
      <c r="DH61" s="138" t="str">
        <f t="shared" si="56"/>
        <v/>
      </c>
      <c r="DI61" s="199" t="e">
        <f>IF(#REF!="Plato perforado","PP",IF(OR(#REF!=0,#REF!=""),"",#REF!))</f>
        <v>#REF!</v>
      </c>
      <c r="DJ61" s="200" t="str">
        <f t="shared" si="57"/>
        <v/>
      </c>
      <c r="DK61" s="201" t="str">
        <f t="shared" si="57"/>
        <v>---</v>
      </c>
      <c r="DL61" s="202"/>
      <c r="DM61" s="222" t="str">
        <f t="shared" si="58"/>
        <v/>
      </c>
      <c r="DN61" s="199" t="str">
        <f t="shared" si="59"/>
        <v/>
      </c>
      <c r="DO61" s="198" t="str">
        <f t="shared" si="60"/>
        <v/>
      </c>
      <c r="DP61" s="138" t="str">
        <f t="shared" si="61"/>
        <v/>
      </c>
      <c r="DQ61" s="211" t="str">
        <f t="shared" si="62"/>
        <v/>
      </c>
      <c r="DR61" s="212" t="str">
        <f t="shared" si="63"/>
        <v/>
      </c>
      <c r="DS61" s="213" t="str">
        <f t="shared" si="64"/>
        <v/>
      </c>
      <c r="DT61" s="138" t="str">
        <f t="shared" si="65"/>
        <v/>
      </c>
      <c r="DU61" s="199" t="e">
        <f>IF(#REF!="Plato perforado","PP",IF(OR(#REF!=0,#REF!=""),"",#REF!))</f>
        <v>#REF!</v>
      </c>
      <c r="DV61" s="200" t="str">
        <f t="shared" si="66"/>
        <v/>
      </c>
      <c r="DW61" s="201" t="str">
        <f t="shared" si="66"/>
        <v>---</v>
      </c>
      <c r="DX61" s="202"/>
      <c r="DY61" s="222" t="str">
        <f t="shared" si="67"/>
        <v/>
      </c>
      <c r="DZ61" s="199" t="str">
        <f t="shared" si="68"/>
        <v/>
      </c>
      <c r="EA61" s="198" t="str">
        <f t="shared" si="69"/>
        <v/>
      </c>
      <c r="EB61" s="138" t="str">
        <f t="shared" si="70"/>
        <v/>
      </c>
      <c r="EC61" s="211" t="str">
        <f t="shared" si="71"/>
        <v/>
      </c>
      <c r="ED61" s="212" t="str">
        <f t="shared" si="72"/>
        <v/>
      </c>
      <c r="EE61" s="213" t="str">
        <f t="shared" si="73"/>
        <v/>
      </c>
      <c r="EF61" s="138" t="str">
        <f t="shared" si="74"/>
        <v/>
      </c>
      <c r="EG61" s="199" t="e">
        <f>IF(#REF!="Plato perforado","PP",IF(OR(#REF!=0,#REF!=""),"",#REF!))</f>
        <v>#REF!</v>
      </c>
      <c r="EH61" s="200" t="str">
        <f t="shared" si="75"/>
        <v/>
      </c>
      <c r="EI61" s="201" t="str">
        <f t="shared" si="75"/>
        <v>---</v>
      </c>
      <c r="EJ61" s="229"/>
    </row>
    <row r="62" spans="1:140" x14ac:dyDescent="0.3">
      <c r="A62" s="431">
        <v>29</v>
      </c>
      <c r="B62" s="272"/>
      <c r="C62" s="273">
        <f t="shared" si="0"/>
        <v>2</v>
      </c>
      <c r="D62" s="372"/>
      <c r="E62" s="274"/>
      <c r="F62" s="273" t="str">
        <f t="shared" si="78"/>
        <v/>
      </c>
      <c r="G62" s="275" t="str">
        <f t="shared" si="78"/>
        <v/>
      </c>
      <c r="H62" s="276" t="str">
        <f t="shared" si="2"/>
        <v/>
      </c>
      <c r="I62" s="277" t="str">
        <f t="shared" si="3"/>
        <v/>
      </c>
      <c r="J62" s="276" t="str">
        <f t="shared" si="4"/>
        <v/>
      </c>
      <c r="K62" s="276">
        <f t="shared" si="5"/>
        <v>0</v>
      </c>
      <c r="L62" s="278"/>
      <c r="M62" s="279">
        <f t="shared" si="6"/>
        <v>1</v>
      </c>
      <c r="N62" s="360" t="str">
        <f t="shared" si="7"/>
        <v/>
      </c>
      <c r="O62" s="117" t="str">
        <f t="shared" si="8"/>
        <v/>
      </c>
      <c r="P62" s="359" t="str">
        <f t="shared" si="9"/>
        <v/>
      </c>
      <c r="Q62" s="280" t="str">
        <f t="shared" si="24"/>
        <v/>
      </c>
      <c r="R62" s="282" t="str">
        <f t="shared" si="10"/>
        <v/>
      </c>
      <c r="S62" s="283" t="str">
        <f t="shared" si="11"/>
        <v>---</v>
      </c>
      <c r="V62" s="3" t="str">
        <f>IFERROR(VALUE(TEXT(C62,"00")&amp;TEXT(N62,"00")&amp;TEXT(P62,"00")&amp;IF(#REF!="Plato perforado",5,IF(OR(#REF!="N/A",#REF!=""),0,#REF!))),"")</f>
        <v/>
      </c>
      <c r="W62" s="3">
        <v>18</v>
      </c>
      <c r="X62" s="3">
        <v>18</v>
      </c>
      <c r="Y62" s="3" t="s">
        <v>178</v>
      </c>
      <c r="AY62" s="187"/>
      <c r="AZ62" s="175" t="str">
        <f>"Difusores de "&amp;W62&amp;""""&amp;" × "&amp;X62&amp;""""&amp;" de "&amp;Y62</f>
        <v>Difusores de 18" × 18" de plato perforado:</v>
      </c>
      <c r="BA62" s="174">
        <f t="shared" si="25"/>
        <v>0</v>
      </c>
      <c r="BB62" s="187"/>
      <c r="BC62" s="103" t="str">
        <f t="shared" si="12"/>
        <v/>
      </c>
      <c r="BD62" s="103" t="str">
        <f t="shared" si="13"/>
        <v/>
      </c>
      <c r="BE62" s="103" t="e">
        <f t="shared" si="14"/>
        <v>#VALUE!</v>
      </c>
      <c r="BF62" s="181">
        <v>12</v>
      </c>
      <c r="BG62" s="181">
        <v>16</v>
      </c>
      <c r="BH62" s="184">
        <f t="shared" si="26"/>
        <v>1.3333333333333333</v>
      </c>
      <c r="BI62" s="185">
        <f t="shared" si="15"/>
        <v>733.33333333333326</v>
      </c>
      <c r="BJ62" s="185">
        <f t="shared" si="16"/>
        <v>0.75</v>
      </c>
      <c r="BK62" s="103">
        <f t="shared" si="27"/>
        <v>1216</v>
      </c>
      <c r="BL62" s="103" t="e">
        <v>#VALUE!</v>
      </c>
      <c r="BM62" s="103">
        <v>12</v>
      </c>
      <c r="BN62" s="103">
        <v>28</v>
      </c>
      <c r="BO62" s="103">
        <v>12</v>
      </c>
      <c r="BP62" s="103">
        <f t="shared" si="28"/>
        <v>1228</v>
      </c>
      <c r="BQ62" s="103">
        <f t="shared" si="28"/>
        <v>2812</v>
      </c>
      <c r="BR62" s="173" t="str">
        <f t="shared" si="29"/>
        <v>Rejillas de 12" × 28":</v>
      </c>
      <c r="BS62" s="180">
        <f t="shared" si="17"/>
        <v>0</v>
      </c>
      <c r="BT62" s="180">
        <f t="shared" si="18"/>
        <v>0</v>
      </c>
      <c r="BU62" s="180">
        <f t="shared" si="30"/>
        <v>0</v>
      </c>
      <c r="BV62" s="187"/>
      <c r="BW62" s="183">
        <f t="shared" si="19"/>
        <v>0</v>
      </c>
      <c r="BX62" s="187"/>
      <c r="BY62" s="187"/>
      <c r="BZ62" s="187"/>
      <c r="CA62" s="187"/>
      <c r="CB62" s="187"/>
      <c r="CC62" s="222" t="str">
        <f t="shared" si="31"/>
        <v/>
      </c>
      <c r="CD62" s="218" t="str">
        <f t="shared" si="32"/>
        <v/>
      </c>
      <c r="CE62" s="198" t="str">
        <f t="shared" si="33"/>
        <v/>
      </c>
      <c r="CF62" s="138" t="str">
        <f t="shared" si="34"/>
        <v/>
      </c>
      <c r="CG62" s="211" t="str">
        <f t="shared" si="35"/>
        <v/>
      </c>
      <c r="CH62" s="212" t="str">
        <f t="shared" si="36"/>
        <v/>
      </c>
      <c r="CI62" s="213" t="str">
        <f t="shared" si="37"/>
        <v/>
      </c>
      <c r="CJ62" s="138" t="str">
        <f t="shared" si="38"/>
        <v/>
      </c>
      <c r="CK62" s="199" t="e">
        <f>IF(#REF!="Plato perforado","PP",IF(OR(#REF!=0,#REF!=""),"",#REF!))</f>
        <v>#REF!</v>
      </c>
      <c r="CL62" s="200" t="str">
        <f t="shared" si="39"/>
        <v/>
      </c>
      <c r="CM62" s="201" t="str">
        <f t="shared" si="39"/>
        <v>---</v>
      </c>
      <c r="CN62" s="202"/>
      <c r="CO62" s="222" t="str">
        <f t="shared" si="40"/>
        <v/>
      </c>
      <c r="CP62" s="199" t="str">
        <f t="shared" si="41"/>
        <v/>
      </c>
      <c r="CQ62" s="198" t="str">
        <f t="shared" si="42"/>
        <v/>
      </c>
      <c r="CR62" s="138" t="str">
        <f t="shared" si="43"/>
        <v/>
      </c>
      <c r="CS62" s="211" t="str">
        <f t="shared" si="44"/>
        <v/>
      </c>
      <c r="CT62" s="212" t="str">
        <f t="shared" si="45"/>
        <v/>
      </c>
      <c r="CU62" s="213" t="str">
        <f t="shared" si="46"/>
        <v/>
      </c>
      <c r="CV62" s="138" t="str">
        <f t="shared" si="47"/>
        <v/>
      </c>
      <c r="CW62" s="199" t="e">
        <f>IF(#REF!="Plato perforado","PP",IF(OR(#REF!=0,#REF!=""),"",#REF!))</f>
        <v>#REF!</v>
      </c>
      <c r="CX62" s="200" t="str">
        <f t="shared" si="48"/>
        <v/>
      </c>
      <c r="CY62" s="201" t="str">
        <f t="shared" si="48"/>
        <v>---</v>
      </c>
      <c r="CZ62" s="202"/>
      <c r="DA62" s="222" t="str">
        <f t="shared" si="49"/>
        <v/>
      </c>
      <c r="DB62" s="199" t="str">
        <f t="shared" si="50"/>
        <v/>
      </c>
      <c r="DC62" s="198" t="str">
        <f t="shared" si="51"/>
        <v/>
      </c>
      <c r="DD62" s="138" t="str">
        <f t="shared" si="52"/>
        <v/>
      </c>
      <c r="DE62" s="211" t="str">
        <f t="shared" si="53"/>
        <v/>
      </c>
      <c r="DF62" s="212" t="str">
        <f t="shared" si="54"/>
        <v/>
      </c>
      <c r="DG62" s="213" t="str">
        <f t="shared" si="55"/>
        <v/>
      </c>
      <c r="DH62" s="138" t="str">
        <f t="shared" si="56"/>
        <v/>
      </c>
      <c r="DI62" s="199" t="e">
        <f>IF(#REF!="Plato perforado","PP",IF(OR(#REF!=0,#REF!=""),"",#REF!))</f>
        <v>#REF!</v>
      </c>
      <c r="DJ62" s="200" t="str">
        <f t="shared" si="57"/>
        <v/>
      </c>
      <c r="DK62" s="201" t="str">
        <f t="shared" si="57"/>
        <v>---</v>
      </c>
      <c r="DL62" s="202"/>
      <c r="DM62" s="222" t="str">
        <f t="shared" si="58"/>
        <v/>
      </c>
      <c r="DN62" s="199" t="str">
        <f t="shared" si="59"/>
        <v/>
      </c>
      <c r="DO62" s="198" t="str">
        <f t="shared" si="60"/>
        <v/>
      </c>
      <c r="DP62" s="138" t="str">
        <f t="shared" si="61"/>
        <v/>
      </c>
      <c r="DQ62" s="211" t="str">
        <f t="shared" si="62"/>
        <v/>
      </c>
      <c r="DR62" s="212" t="str">
        <f t="shared" si="63"/>
        <v/>
      </c>
      <c r="DS62" s="213" t="str">
        <f t="shared" si="64"/>
        <v/>
      </c>
      <c r="DT62" s="138" t="str">
        <f t="shared" si="65"/>
        <v/>
      </c>
      <c r="DU62" s="199" t="e">
        <f>IF(#REF!="Plato perforado","PP",IF(OR(#REF!=0,#REF!=""),"",#REF!))</f>
        <v>#REF!</v>
      </c>
      <c r="DV62" s="200" t="str">
        <f t="shared" si="66"/>
        <v/>
      </c>
      <c r="DW62" s="201" t="str">
        <f t="shared" si="66"/>
        <v>---</v>
      </c>
      <c r="DX62" s="202"/>
      <c r="DY62" s="222" t="str">
        <f t="shared" si="67"/>
        <v/>
      </c>
      <c r="DZ62" s="199" t="str">
        <f t="shared" si="68"/>
        <v/>
      </c>
      <c r="EA62" s="198" t="str">
        <f t="shared" si="69"/>
        <v/>
      </c>
      <c r="EB62" s="138" t="str">
        <f t="shared" si="70"/>
        <v/>
      </c>
      <c r="EC62" s="211" t="str">
        <f t="shared" si="71"/>
        <v/>
      </c>
      <c r="ED62" s="212" t="str">
        <f t="shared" si="72"/>
        <v/>
      </c>
      <c r="EE62" s="213" t="str">
        <f t="shared" si="73"/>
        <v/>
      </c>
      <c r="EF62" s="138" t="str">
        <f t="shared" si="74"/>
        <v/>
      </c>
      <c r="EG62" s="199" t="e">
        <f>IF(#REF!="Plato perforado","PP",IF(OR(#REF!=0,#REF!=""),"",#REF!))</f>
        <v>#REF!</v>
      </c>
      <c r="EH62" s="200" t="str">
        <f t="shared" si="75"/>
        <v/>
      </c>
      <c r="EI62" s="201" t="str">
        <f t="shared" si="75"/>
        <v>---</v>
      </c>
      <c r="EJ62" s="229"/>
    </row>
    <row r="63" spans="1:140" x14ac:dyDescent="0.3">
      <c r="A63" s="431">
        <v>30</v>
      </c>
      <c r="B63" s="284"/>
      <c r="C63" s="285">
        <f t="shared" si="0"/>
        <v>2</v>
      </c>
      <c r="D63" s="373"/>
      <c r="E63" s="286"/>
      <c r="F63" s="285" t="str">
        <f t="shared" si="78"/>
        <v/>
      </c>
      <c r="G63" s="287" t="str">
        <f t="shared" si="78"/>
        <v/>
      </c>
      <c r="H63" s="288" t="str">
        <f t="shared" si="2"/>
        <v/>
      </c>
      <c r="I63" s="289" t="str">
        <f t="shared" si="3"/>
        <v/>
      </c>
      <c r="J63" s="288" t="str">
        <f t="shared" si="4"/>
        <v/>
      </c>
      <c r="K63" s="288">
        <f t="shared" si="5"/>
        <v>0</v>
      </c>
      <c r="L63" s="290"/>
      <c r="M63" s="291">
        <f t="shared" si="6"/>
        <v>1</v>
      </c>
      <c r="N63" s="466" t="str">
        <f t="shared" si="7"/>
        <v/>
      </c>
      <c r="O63" s="302" t="str">
        <f t="shared" si="8"/>
        <v/>
      </c>
      <c r="P63" s="468" t="str">
        <f t="shared" si="9"/>
        <v/>
      </c>
      <c r="Q63" s="292" t="str">
        <f t="shared" si="24"/>
        <v/>
      </c>
      <c r="R63" s="294" t="str">
        <f t="shared" si="10"/>
        <v/>
      </c>
      <c r="S63" s="295" t="str">
        <f t="shared" si="11"/>
        <v>---</v>
      </c>
      <c r="V63" s="3" t="str">
        <f>IFERROR(VALUE(TEXT(C63,"00")&amp;TEXT(N63,"00")&amp;TEXT(P63,"00")&amp;IF(#REF!="Plato perforado",5,IF(OR(#REF!="N/A",#REF!=""),0,#REF!))),"")</f>
        <v/>
      </c>
      <c r="W63" s="3">
        <v>18</v>
      </c>
      <c r="X63" s="3">
        <v>18</v>
      </c>
      <c r="Y63" s="3" t="s">
        <v>179</v>
      </c>
      <c r="AY63" s="187"/>
      <c r="AZ63" s="250" t="str">
        <f>"Difusores de "&amp;W63&amp;""""&amp;" × "&amp;X63&amp;""""&amp;Y63</f>
        <v>Difusores de 18" × 18", número de vías por definir:</v>
      </c>
      <c r="BA63" s="245">
        <f t="shared" si="25"/>
        <v>0</v>
      </c>
      <c r="BB63" s="187"/>
      <c r="BC63" s="103" t="str">
        <f t="shared" si="12"/>
        <v/>
      </c>
      <c r="BD63" s="103" t="str">
        <f t="shared" si="13"/>
        <v/>
      </c>
      <c r="BE63" s="103" t="e">
        <f t="shared" si="14"/>
        <v>#VALUE!</v>
      </c>
      <c r="BF63" s="181">
        <v>12</v>
      </c>
      <c r="BG63" s="181">
        <v>18</v>
      </c>
      <c r="BH63" s="184">
        <f t="shared" si="26"/>
        <v>1.5</v>
      </c>
      <c r="BI63" s="185">
        <f t="shared" si="15"/>
        <v>825</v>
      </c>
      <c r="BJ63" s="185">
        <f t="shared" si="16"/>
        <v>0.66666666666666663</v>
      </c>
      <c r="BK63" s="103">
        <f t="shared" si="27"/>
        <v>1218</v>
      </c>
      <c r="BL63" s="103" t="e">
        <v>#VALUE!</v>
      </c>
      <c r="BM63" s="103">
        <v>14</v>
      </c>
      <c r="BN63" s="103">
        <v>14</v>
      </c>
      <c r="BO63" s="103">
        <v>14</v>
      </c>
      <c r="BP63" s="103">
        <f t="shared" si="28"/>
        <v>1414</v>
      </c>
      <c r="BQ63" s="103">
        <f t="shared" si="28"/>
        <v>1414</v>
      </c>
      <c r="BR63" s="248" t="str">
        <f t="shared" si="29"/>
        <v>Rejillas de 14" × 14":</v>
      </c>
      <c r="BS63" s="249">
        <f t="shared" si="17"/>
        <v>0</v>
      </c>
      <c r="BT63" s="249">
        <f t="shared" si="18"/>
        <v>0</v>
      </c>
      <c r="BU63" s="249">
        <f t="shared" si="30"/>
        <v>0</v>
      </c>
      <c r="BV63" s="187"/>
      <c r="BW63" s="183">
        <f t="shared" si="19"/>
        <v>0</v>
      </c>
      <c r="BX63" s="187"/>
      <c r="BY63" s="187"/>
      <c r="BZ63" s="187"/>
      <c r="CA63" s="187"/>
      <c r="CB63" s="187"/>
      <c r="CC63" s="222" t="str">
        <f t="shared" si="31"/>
        <v/>
      </c>
      <c r="CD63" s="218" t="str">
        <f t="shared" si="32"/>
        <v/>
      </c>
      <c r="CE63" s="198" t="str">
        <f t="shared" si="33"/>
        <v/>
      </c>
      <c r="CF63" s="138" t="str">
        <f t="shared" si="34"/>
        <v/>
      </c>
      <c r="CG63" s="211" t="str">
        <f t="shared" si="35"/>
        <v/>
      </c>
      <c r="CH63" s="212" t="str">
        <f t="shared" si="36"/>
        <v/>
      </c>
      <c r="CI63" s="213" t="str">
        <f t="shared" si="37"/>
        <v/>
      </c>
      <c r="CJ63" s="138" t="str">
        <f t="shared" si="38"/>
        <v/>
      </c>
      <c r="CK63" s="199" t="e">
        <f>IF(#REF!="Plato perforado","PP",IF(OR(#REF!=0,#REF!=""),"",#REF!))</f>
        <v>#REF!</v>
      </c>
      <c r="CL63" s="200" t="str">
        <f t="shared" si="39"/>
        <v/>
      </c>
      <c r="CM63" s="201" t="str">
        <f t="shared" si="39"/>
        <v>---</v>
      </c>
      <c r="CN63" s="202"/>
      <c r="CO63" s="222" t="str">
        <f t="shared" si="40"/>
        <v/>
      </c>
      <c r="CP63" s="199" t="str">
        <f t="shared" si="41"/>
        <v/>
      </c>
      <c r="CQ63" s="198" t="str">
        <f t="shared" si="42"/>
        <v/>
      </c>
      <c r="CR63" s="138" t="str">
        <f t="shared" si="43"/>
        <v/>
      </c>
      <c r="CS63" s="211" t="str">
        <f t="shared" si="44"/>
        <v/>
      </c>
      <c r="CT63" s="212" t="str">
        <f t="shared" si="45"/>
        <v/>
      </c>
      <c r="CU63" s="213" t="str">
        <f t="shared" si="46"/>
        <v/>
      </c>
      <c r="CV63" s="138" t="str">
        <f t="shared" si="47"/>
        <v/>
      </c>
      <c r="CW63" s="199" t="e">
        <f>IF(#REF!="Plato perforado","PP",IF(OR(#REF!=0,#REF!=""),"",#REF!))</f>
        <v>#REF!</v>
      </c>
      <c r="CX63" s="200" t="str">
        <f t="shared" si="48"/>
        <v/>
      </c>
      <c r="CY63" s="201" t="str">
        <f t="shared" si="48"/>
        <v>---</v>
      </c>
      <c r="CZ63" s="202"/>
      <c r="DA63" s="222" t="str">
        <f t="shared" si="49"/>
        <v/>
      </c>
      <c r="DB63" s="199" t="str">
        <f t="shared" si="50"/>
        <v/>
      </c>
      <c r="DC63" s="198" t="str">
        <f t="shared" si="51"/>
        <v/>
      </c>
      <c r="DD63" s="138" t="str">
        <f t="shared" si="52"/>
        <v/>
      </c>
      <c r="DE63" s="211" t="str">
        <f t="shared" si="53"/>
        <v/>
      </c>
      <c r="DF63" s="212" t="str">
        <f t="shared" si="54"/>
        <v/>
      </c>
      <c r="DG63" s="213" t="str">
        <f t="shared" si="55"/>
        <v/>
      </c>
      <c r="DH63" s="138" t="str">
        <f t="shared" si="56"/>
        <v/>
      </c>
      <c r="DI63" s="199" t="e">
        <f>IF(#REF!="Plato perforado","PP",IF(OR(#REF!=0,#REF!=""),"",#REF!))</f>
        <v>#REF!</v>
      </c>
      <c r="DJ63" s="200" t="str">
        <f t="shared" si="57"/>
        <v/>
      </c>
      <c r="DK63" s="201" t="str">
        <f t="shared" si="57"/>
        <v>---</v>
      </c>
      <c r="DL63" s="202"/>
      <c r="DM63" s="222" t="str">
        <f t="shared" si="58"/>
        <v/>
      </c>
      <c r="DN63" s="199" t="str">
        <f t="shared" si="59"/>
        <v/>
      </c>
      <c r="DO63" s="198" t="str">
        <f t="shared" si="60"/>
        <v/>
      </c>
      <c r="DP63" s="138" t="str">
        <f t="shared" si="61"/>
        <v/>
      </c>
      <c r="DQ63" s="211" t="str">
        <f t="shared" si="62"/>
        <v/>
      </c>
      <c r="DR63" s="212" t="str">
        <f t="shared" si="63"/>
        <v/>
      </c>
      <c r="DS63" s="213" t="str">
        <f t="shared" si="64"/>
        <v/>
      </c>
      <c r="DT63" s="138" t="str">
        <f t="shared" si="65"/>
        <v/>
      </c>
      <c r="DU63" s="199" t="e">
        <f>IF(#REF!="Plato perforado","PP",IF(OR(#REF!=0,#REF!=""),"",#REF!))</f>
        <v>#REF!</v>
      </c>
      <c r="DV63" s="200" t="str">
        <f t="shared" si="66"/>
        <v/>
      </c>
      <c r="DW63" s="201" t="str">
        <f t="shared" si="66"/>
        <v>---</v>
      </c>
      <c r="DX63" s="202"/>
      <c r="DY63" s="222" t="str">
        <f t="shared" si="67"/>
        <v/>
      </c>
      <c r="DZ63" s="199" t="str">
        <f t="shared" si="68"/>
        <v/>
      </c>
      <c r="EA63" s="198" t="str">
        <f t="shared" si="69"/>
        <v/>
      </c>
      <c r="EB63" s="138" t="str">
        <f t="shared" si="70"/>
        <v/>
      </c>
      <c r="EC63" s="211" t="str">
        <f t="shared" si="71"/>
        <v/>
      </c>
      <c r="ED63" s="212" t="str">
        <f t="shared" si="72"/>
        <v/>
      </c>
      <c r="EE63" s="213" t="str">
        <f t="shared" si="73"/>
        <v/>
      </c>
      <c r="EF63" s="138" t="str">
        <f t="shared" si="74"/>
        <v/>
      </c>
      <c r="EG63" s="199" t="e">
        <f>IF(#REF!="Plato perforado","PP",IF(OR(#REF!=0,#REF!=""),"",#REF!))</f>
        <v>#REF!</v>
      </c>
      <c r="EH63" s="200" t="str">
        <f t="shared" si="75"/>
        <v/>
      </c>
      <c r="EI63" s="201" t="str">
        <f t="shared" si="75"/>
        <v>---</v>
      </c>
      <c r="EJ63" s="229"/>
    </row>
    <row r="64" spans="1:140" x14ac:dyDescent="0.3">
      <c r="A64" s="431">
        <v>31</v>
      </c>
      <c r="B64" s="260"/>
      <c r="C64" s="261">
        <f t="shared" si="0"/>
        <v>2</v>
      </c>
      <c r="D64" s="371"/>
      <c r="E64" s="262"/>
      <c r="F64" s="261" t="str">
        <f t="shared" si="78"/>
        <v/>
      </c>
      <c r="G64" s="263" t="str">
        <f t="shared" si="78"/>
        <v/>
      </c>
      <c r="H64" s="264" t="str">
        <f t="shared" si="2"/>
        <v/>
      </c>
      <c r="I64" s="265" t="str">
        <f t="shared" si="3"/>
        <v/>
      </c>
      <c r="J64" s="264" t="str">
        <f t="shared" si="4"/>
        <v/>
      </c>
      <c r="K64" s="264">
        <f t="shared" si="5"/>
        <v>0</v>
      </c>
      <c r="L64" s="266"/>
      <c r="M64" s="267">
        <f t="shared" si="6"/>
        <v>1</v>
      </c>
      <c r="N64" s="465" t="str">
        <f t="shared" si="7"/>
        <v/>
      </c>
      <c r="O64" s="297" t="str">
        <f t="shared" si="8"/>
        <v/>
      </c>
      <c r="P64" s="467" t="str">
        <f t="shared" si="9"/>
        <v/>
      </c>
      <c r="Q64" s="268" t="str">
        <f t="shared" si="24"/>
        <v/>
      </c>
      <c r="R64" s="270" t="str">
        <f t="shared" si="10"/>
        <v/>
      </c>
      <c r="S64" s="271" t="str">
        <f t="shared" si="11"/>
        <v>---</v>
      </c>
      <c r="V64" s="3" t="str">
        <f>IFERROR(VALUE(TEXT(C64,"00")&amp;TEXT(N64,"00")&amp;TEXT(P64,"00")&amp;IF(#REF!="Plato perforado",5,IF(OR(#REF!="N/A",#REF!=""),0,#REF!))),"")</f>
        <v/>
      </c>
      <c r="AY64" s="187"/>
      <c r="AZ64" s="187"/>
      <c r="BA64" s="187"/>
      <c r="BB64" s="187"/>
      <c r="BC64" s="187" t="str">
        <f t="shared" si="12"/>
        <v/>
      </c>
      <c r="BD64" s="187" t="str">
        <f t="shared" si="13"/>
        <v/>
      </c>
      <c r="BE64" s="187" t="e">
        <f t="shared" si="14"/>
        <v>#VALUE!</v>
      </c>
      <c r="BF64" s="186">
        <v>12</v>
      </c>
      <c r="BG64" s="186">
        <v>20</v>
      </c>
      <c r="BH64" s="188">
        <f t="shared" si="26"/>
        <v>1.6666666666666667</v>
      </c>
      <c r="BI64" s="189">
        <f t="shared" si="15"/>
        <v>916.66666666666674</v>
      </c>
      <c r="BJ64" s="189">
        <f t="shared" si="16"/>
        <v>0.6</v>
      </c>
      <c r="BK64" s="187">
        <f t="shared" si="27"/>
        <v>1220</v>
      </c>
      <c r="BL64" s="187" t="e">
        <v>#VALUE!</v>
      </c>
      <c r="BM64" s="187">
        <v>14</v>
      </c>
      <c r="BN64" s="187">
        <v>16</v>
      </c>
      <c r="BO64" s="187">
        <v>14</v>
      </c>
      <c r="BP64" s="187">
        <f t="shared" si="28"/>
        <v>1416</v>
      </c>
      <c r="BQ64" s="187">
        <f t="shared" si="28"/>
        <v>1614</v>
      </c>
      <c r="BR64" s="187"/>
      <c r="BS64" s="187"/>
      <c r="BT64" s="187"/>
      <c r="BU64" s="187"/>
      <c r="BV64" s="187"/>
      <c r="BW64" s="187">
        <f t="shared" si="19"/>
        <v>0</v>
      </c>
      <c r="BX64" s="187"/>
      <c r="BY64" s="187"/>
      <c r="BZ64" s="187"/>
      <c r="CA64" s="187"/>
      <c r="CB64" s="187"/>
      <c r="CC64" s="223" t="str">
        <f t="shared" si="31"/>
        <v/>
      </c>
      <c r="CD64" s="219" t="str">
        <f t="shared" si="32"/>
        <v/>
      </c>
      <c r="CE64" s="203" t="str">
        <f t="shared" si="33"/>
        <v/>
      </c>
      <c r="CF64" s="144" t="str">
        <f t="shared" si="34"/>
        <v/>
      </c>
      <c r="CG64" s="214" t="str">
        <f t="shared" si="35"/>
        <v/>
      </c>
      <c r="CH64" s="215" t="str">
        <f t="shared" si="36"/>
        <v/>
      </c>
      <c r="CI64" s="216" t="str">
        <f t="shared" si="37"/>
        <v/>
      </c>
      <c r="CJ64" s="144" t="str">
        <f t="shared" si="38"/>
        <v/>
      </c>
      <c r="CK64" s="204" t="e">
        <f>IF(#REF!="Plato perforado","PP",IF(OR(#REF!=0,#REF!=""),"",#REF!))</f>
        <v>#REF!</v>
      </c>
      <c r="CL64" s="205" t="str">
        <f t="shared" si="39"/>
        <v/>
      </c>
      <c r="CM64" s="206" t="str">
        <f t="shared" si="39"/>
        <v>---</v>
      </c>
      <c r="CN64" s="207"/>
      <c r="CO64" s="223" t="str">
        <f t="shared" si="40"/>
        <v/>
      </c>
      <c r="CP64" s="204" t="str">
        <f t="shared" si="41"/>
        <v/>
      </c>
      <c r="CQ64" s="203" t="str">
        <f t="shared" si="42"/>
        <v/>
      </c>
      <c r="CR64" s="144" t="str">
        <f t="shared" si="43"/>
        <v/>
      </c>
      <c r="CS64" s="214" t="str">
        <f t="shared" si="44"/>
        <v/>
      </c>
      <c r="CT64" s="215" t="str">
        <f t="shared" si="45"/>
        <v/>
      </c>
      <c r="CU64" s="216" t="str">
        <f t="shared" si="46"/>
        <v/>
      </c>
      <c r="CV64" s="144" t="str">
        <f t="shared" si="47"/>
        <v/>
      </c>
      <c r="CW64" s="204" t="e">
        <f>IF(#REF!="Plato perforado","PP",IF(OR(#REF!=0,#REF!=""),"",#REF!))</f>
        <v>#REF!</v>
      </c>
      <c r="CX64" s="205" t="str">
        <f t="shared" si="48"/>
        <v/>
      </c>
      <c r="CY64" s="206" t="str">
        <f t="shared" si="48"/>
        <v>---</v>
      </c>
      <c r="CZ64" s="207"/>
      <c r="DA64" s="223" t="str">
        <f t="shared" si="49"/>
        <v/>
      </c>
      <c r="DB64" s="204" t="str">
        <f t="shared" si="50"/>
        <v/>
      </c>
      <c r="DC64" s="203" t="str">
        <f t="shared" si="51"/>
        <v/>
      </c>
      <c r="DD64" s="144" t="str">
        <f t="shared" si="52"/>
        <v/>
      </c>
      <c r="DE64" s="214" t="str">
        <f t="shared" si="53"/>
        <v/>
      </c>
      <c r="DF64" s="215" t="str">
        <f t="shared" si="54"/>
        <v/>
      </c>
      <c r="DG64" s="216" t="str">
        <f t="shared" si="55"/>
        <v/>
      </c>
      <c r="DH64" s="144" t="str">
        <f t="shared" si="56"/>
        <v/>
      </c>
      <c r="DI64" s="204" t="e">
        <f>IF(#REF!="Plato perforado","PP",IF(OR(#REF!=0,#REF!=""),"",#REF!))</f>
        <v>#REF!</v>
      </c>
      <c r="DJ64" s="205" t="str">
        <f t="shared" si="57"/>
        <v/>
      </c>
      <c r="DK64" s="206" t="str">
        <f t="shared" si="57"/>
        <v>---</v>
      </c>
      <c r="DL64" s="207"/>
      <c r="DM64" s="223" t="str">
        <f t="shared" si="58"/>
        <v/>
      </c>
      <c r="DN64" s="204" t="str">
        <f t="shared" si="59"/>
        <v/>
      </c>
      <c r="DO64" s="203" t="str">
        <f t="shared" si="60"/>
        <v/>
      </c>
      <c r="DP64" s="144" t="str">
        <f t="shared" si="61"/>
        <v/>
      </c>
      <c r="DQ64" s="214" t="str">
        <f t="shared" si="62"/>
        <v/>
      </c>
      <c r="DR64" s="215" t="str">
        <f t="shared" si="63"/>
        <v/>
      </c>
      <c r="DS64" s="216" t="str">
        <f t="shared" si="64"/>
        <v/>
      </c>
      <c r="DT64" s="144" t="str">
        <f t="shared" si="65"/>
        <v/>
      </c>
      <c r="DU64" s="204" t="e">
        <f>IF(#REF!="Plato perforado","PP",IF(OR(#REF!=0,#REF!=""),"",#REF!))</f>
        <v>#REF!</v>
      </c>
      <c r="DV64" s="205" t="str">
        <f t="shared" si="66"/>
        <v/>
      </c>
      <c r="DW64" s="206" t="str">
        <f t="shared" si="66"/>
        <v>---</v>
      </c>
      <c r="DX64" s="207"/>
      <c r="DY64" s="223" t="str">
        <f t="shared" si="67"/>
        <v/>
      </c>
      <c r="DZ64" s="204" t="str">
        <f t="shared" si="68"/>
        <v/>
      </c>
      <c r="EA64" s="203" t="str">
        <f t="shared" si="69"/>
        <v/>
      </c>
      <c r="EB64" s="144" t="str">
        <f t="shared" si="70"/>
        <v/>
      </c>
      <c r="EC64" s="214" t="str">
        <f t="shared" si="71"/>
        <v/>
      </c>
      <c r="ED64" s="215" t="str">
        <f t="shared" si="72"/>
        <v/>
      </c>
      <c r="EE64" s="216" t="str">
        <f t="shared" si="73"/>
        <v/>
      </c>
      <c r="EF64" s="144" t="str">
        <f t="shared" si="74"/>
        <v/>
      </c>
      <c r="EG64" s="204" t="e">
        <f>IF(#REF!="Plato perforado","PP",IF(OR(#REF!=0,#REF!=""),"",#REF!))</f>
        <v>#REF!</v>
      </c>
      <c r="EH64" s="205" t="str">
        <f t="shared" si="75"/>
        <v/>
      </c>
      <c r="EI64" s="206" t="str">
        <f t="shared" si="75"/>
        <v>---</v>
      </c>
      <c r="EJ64" s="230"/>
    </row>
    <row r="65" spans="1:80" x14ac:dyDescent="0.3">
      <c r="A65" s="431">
        <v>32</v>
      </c>
      <c r="B65" s="272"/>
      <c r="C65" s="273">
        <f t="shared" si="0"/>
        <v>2</v>
      </c>
      <c r="D65" s="372"/>
      <c r="E65" s="274"/>
      <c r="F65" s="273" t="str">
        <f t="shared" si="78"/>
        <v/>
      </c>
      <c r="G65" s="275" t="str">
        <f t="shared" si="78"/>
        <v/>
      </c>
      <c r="H65" s="276" t="str">
        <f t="shared" si="2"/>
        <v/>
      </c>
      <c r="I65" s="277" t="str">
        <f t="shared" si="3"/>
        <v/>
      </c>
      <c r="J65" s="276" t="str">
        <f t="shared" si="4"/>
        <v/>
      </c>
      <c r="K65" s="276">
        <f t="shared" si="5"/>
        <v>0</v>
      </c>
      <c r="L65" s="278"/>
      <c r="M65" s="279">
        <f t="shared" si="6"/>
        <v>1</v>
      </c>
      <c r="N65" s="360" t="str">
        <f t="shared" si="7"/>
        <v/>
      </c>
      <c r="O65" s="117" t="str">
        <f t="shared" si="8"/>
        <v/>
      </c>
      <c r="P65" s="359" t="str">
        <f t="shared" si="9"/>
        <v/>
      </c>
      <c r="Q65" s="280" t="str">
        <f t="shared" si="24"/>
        <v/>
      </c>
      <c r="R65" s="282" t="str">
        <f t="shared" si="10"/>
        <v/>
      </c>
      <c r="S65" s="283" t="str">
        <f t="shared" si="11"/>
        <v>---</v>
      </c>
      <c r="V65" s="3" t="str">
        <f>IFERROR(VALUE(TEXT(C65,"00")&amp;TEXT(N65,"00")&amp;TEXT(P65,"00")&amp;IF(#REF!="Plato perforado",5,IF(OR(#REF!="N/A",#REF!=""),0,#REF!))),"")</f>
        <v/>
      </c>
      <c r="AZ65" s="103"/>
      <c r="BA65" s="103"/>
      <c r="BB65" s="103"/>
      <c r="BC65" s="103" t="str">
        <f t="shared" si="12"/>
        <v/>
      </c>
      <c r="BD65" s="103" t="str">
        <f t="shared" si="13"/>
        <v/>
      </c>
      <c r="BE65" s="103" t="e">
        <f t="shared" si="14"/>
        <v>#VALUE!</v>
      </c>
      <c r="BF65" s="181">
        <v>12</v>
      </c>
      <c r="BG65" s="181">
        <v>22</v>
      </c>
      <c r="BH65" s="184">
        <f t="shared" si="26"/>
        <v>1.8333333333333333</v>
      </c>
      <c r="BI65" s="185">
        <f t="shared" si="15"/>
        <v>1008.3333333333333</v>
      </c>
      <c r="BJ65" s="185">
        <f t="shared" si="16"/>
        <v>0.54545454545454541</v>
      </c>
      <c r="BK65" s="103">
        <f t="shared" si="27"/>
        <v>1222</v>
      </c>
      <c r="BL65" s="103" t="e">
        <v>#VALUE!</v>
      </c>
      <c r="BM65" s="103">
        <v>14</v>
      </c>
      <c r="BN65" s="103">
        <v>18</v>
      </c>
      <c r="BO65" s="103">
        <v>14</v>
      </c>
      <c r="BP65" s="103">
        <f t="shared" si="28"/>
        <v>1418</v>
      </c>
      <c r="BQ65" s="103">
        <f t="shared" si="28"/>
        <v>1814</v>
      </c>
      <c r="BR65" s="103"/>
      <c r="BS65" s="103"/>
      <c r="BT65" s="103"/>
      <c r="BU65" s="103"/>
      <c r="BV65" s="103"/>
      <c r="BW65" s="183">
        <f t="shared" si="19"/>
        <v>0</v>
      </c>
      <c r="BX65" s="103"/>
      <c r="BY65" s="103"/>
      <c r="BZ65" s="103"/>
      <c r="CA65" s="103"/>
      <c r="CB65" s="103"/>
    </row>
    <row r="66" spans="1:80" x14ac:dyDescent="0.3">
      <c r="A66" s="431">
        <v>33</v>
      </c>
      <c r="B66" s="284"/>
      <c r="C66" s="285">
        <f t="shared" ref="C66:C97" si="81">IF(B66="RR",1,2)</f>
        <v>2</v>
      </c>
      <c r="D66" s="373"/>
      <c r="E66" s="286"/>
      <c r="F66" s="285" t="str">
        <f t="shared" si="78"/>
        <v/>
      </c>
      <c r="G66" s="287" t="str">
        <f t="shared" si="78"/>
        <v/>
      </c>
      <c r="H66" s="288" t="str">
        <f t="shared" si="2"/>
        <v/>
      </c>
      <c r="I66" s="289" t="str">
        <f t="shared" si="3"/>
        <v/>
      </c>
      <c r="J66" s="288" t="str">
        <f t="shared" si="4"/>
        <v/>
      </c>
      <c r="K66" s="288">
        <f t="shared" si="5"/>
        <v>0</v>
      </c>
      <c r="L66" s="290"/>
      <c r="M66" s="291">
        <f t="shared" ref="M66:M97" si="82">IF(OR(L66=0,C66=2),1,L66)</f>
        <v>1</v>
      </c>
      <c r="N66" s="466" t="str">
        <f t="shared" si="7"/>
        <v/>
      </c>
      <c r="O66" s="302" t="str">
        <f t="shared" si="8"/>
        <v/>
      </c>
      <c r="P66" s="468" t="str">
        <f t="shared" si="9"/>
        <v/>
      </c>
      <c r="Q66" s="292" t="str">
        <f t="shared" si="24"/>
        <v/>
      </c>
      <c r="R66" s="294" t="str">
        <f t="shared" ref="R66:R97" si="83">IF(C66=1,IF(N66&gt;=P66,"FL","FS"),IF(I66="","","N/A"))</f>
        <v/>
      </c>
      <c r="S66" s="295" t="str">
        <f t="shared" ref="S66:S97" si="84">IFERROR(IF(C66=1,(0.000000275)*Q66^1.993,"---"),"")</f>
        <v>---</v>
      </c>
      <c r="V66" s="3" t="str">
        <f>IFERROR(VALUE(TEXT(C66,"00")&amp;TEXT(N66,"00")&amp;TEXT(P66,"00")&amp;IF(#REF!="Plato perforado",5,IF(OR(#REF!="N/A",#REF!=""),0,#REF!))),"")</f>
        <v/>
      </c>
      <c r="AZ66" s="103"/>
      <c r="BA66" s="103"/>
      <c r="BB66" s="103"/>
      <c r="BC66" s="103" t="str">
        <f t="shared" ref="BC66:BC97" si="85">IF(C66=2,N66,0)</f>
        <v/>
      </c>
      <c r="BD66" s="103" t="str">
        <f t="shared" ref="BD66:BD97" si="86">IF(C66=2,P66,0)</f>
        <v/>
      </c>
      <c r="BE66" s="103" t="e">
        <f t="shared" si="14"/>
        <v>#VALUE!</v>
      </c>
      <c r="BF66" s="181">
        <v>12</v>
      </c>
      <c r="BG66" s="181">
        <v>24</v>
      </c>
      <c r="BH66" s="184">
        <f t="shared" si="26"/>
        <v>2</v>
      </c>
      <c r="BI66" s="185">
        <f t="shared" si="15"/>
        <v>1100</v>
      </c>
      <c r="BJ66" s="185">
        <f t="shared" si="16"/>
        <v>0.5</v>
      </c>
      <c r="BK66" s="103">
        <f t="shared" si="27"/>
        <v>1224</v>
      </c>
      <c r="BL66" s="103" t="e">
        <v>#VALUE!</v>
      </c>
      <c r="BM66" s="103">
        <v>14</v>
      </c>
      <c r="BN66" s="103">
        <v>20</v>
      </c>
      <c r="BO66" s="103">
        <v>14</v>
      </c>
      <c r="BP66" s="103">
        <f t="shared" si="28"/>
        <v>1420</v>
      </c>
      <c r="BQ66" s="103">
        <f t="shared" si="28"/>
        <v>2014</v>
      </c>
      <c r="BR66" s="103"/>
      <c r="BS66" s="103"/>
      <c r="BT66" s="103"/>
      <c r="BU66" s="103"/>
      <c r="BV66" s="103"/>
      <c r="BW66" s="183">
        <f t="shared" ref="BW66:BW97" si="87">IF(C66=3,R66,0)</f>
        <v>0</v>
      </c>
      <c r="BX66" s="103"/>
      <c r="BY66" s="103"/>
      <c r="BZ66" s="103"/>
      <c r="CA66" s="103"/>
      <c r="CB66" s="103"/>
    </row>
    <row r="67" spans="1:80" x14ac:dyDescent="0.3">
      <c r="A67" s="431">
        <v>34</v>
      </c>
      <c r="B67" s="260"/>
      <c r="C67" s="261">
        <f t="shared" si="81"/>
        <v>2</v>
      </c>
      <c r="D67" s="371"/>
      <c r="E67" s="262"/>
      <c r="F67" s="261" t="str">
        <f t="shared" si="78"/>
        <v/>
      </c>
      <c r="G67" s="263" t="str">
        <f t="shared" si="78"/>
        <v/>
      </c>
      <c r="H67" s="264" t="str">
        <f t="shared" si="2"/>
        <v/>
      </c>
      <c r="I67" s="265" t="str">
        <f t="shared" si="3"/>
        <v/>
      </c>
      <c r="J67" s="264" t="str">
        <f t="shared" si="4"/>
        <v/>
      </c>
      <c r="K67" s="264">
        <f t="shared" si="5"/>
        <v>0</v>
      </c>
      <c r="L67" s="266"/>
      <c r="M67" s="267">
        <f t="shared" si="82"/>
        <v>1</v>
      </c>
      <c r="N67" s="465" t="str">
        <f t="shared" si="7"/>
        <v/>
      </c>
      <c r="O67" s="297" t="str">
        <f t="shared" si="8"/>
        <v/>
      </c>
      <c r="P67" s="467" t="str">
        <f t="shared" si="9"/>
        <v/>
      </c>
      <c r="Q67" s="268" t="str">
        <f t="shared" si="24"/>
        <v/>
      </c>
      <c r="R67" s="270" t="str">
        <f t="shared" si="83"/>
        <v/>
      </c>
      <c r="S67" s="271" t="str">
        <f t="shared" si="84"/>
        <v>---</v>
      </c>
      <c r="V67" s="3" t="str">
        <f>IFERROR(VALUE(TEXT(C67,"00")&amp;TEXT(N67,"00")&amp;TEXT(P67,"00")&amp;IF(#REF!="Plato perforado",5,IF(OR(#REF!="N/A",#REF!=""),0,#REF!))),"")</f>
        <v/>
      </c>
      <c r="AZ67" s="103"/>
      <c r="BA67" s="103"/>
      <c r="BB67" s="103"/>
      <c r="BC67" s="103" t="str">
        <f t="shared" si="85"/>
        <v/>
      </c>
      <c r="BD67" s="103" t="str">
        <f t="shared" si="86"/>
        <v/>
      </c>
      <c r="BE67" s="103" t="e">
        <f t="shared" si="14"/>
        <v>#VALUE!</v>
      </c>
      <c r="BF67" s="181">
        <v>12</v>
      </c>
      <c r="BG67" s="181">
        <v>26</v>
      </c>
      <c r="BH67" s="184">
        <f t="shared" si="26"/>
        <v>2.1666666666666665</v>
      </c>
      <c r="BI67" s="185">
        <f t="shared" si="15"/>
        <v>1191.6666666666665</v>
      </c>
      <c r="BJ67" s="185">
        <f t="shared" si="16"/>
        <v>0.46153846153846156</v>
      </c>
      <c r="BK67" s="103">
        <f t="shared" si="27"/>
        <v>1226</v>
      </c>
      <c r="BL67" s="103" t="e">
        <v>#VALUE!</v>
      </c>
      <c r="BM67" s="103">
        <v>14</v>
      </c>
      <c r="BN67" s="103">
        <v>22</v>
      </c>
      <c r="BO67" s="103">
        <v>14</v>
      </c>
      <c r="BP67" s="103">
        <f t="shared" si="28"/>
        <v>1422</v>
      </c>
      <c r="BQ67" s="103">
        <f t="shared" si="28"/>
        <v>2214</v>
      </c>
      <c r="BR67" s="103"/>
      <c r="BS67" s="103"/>
      <c r="BT67" s="103"/>
      <c r="BU67" s="103"/>
      <c r="BV67" s="103"/>
      <c r="BW67" s="183">
        <f t="shared" si="87"/>
        <v>0</v>
      </c>
      <c r="BX67" s="103"/>
      <c r="BY67" s="103"/>
      <c r="BZ67" s="103"/>
      <c r="CA67" s="103"/>
      <c r="CB67" s="103"/>
    </row>
    <row r="68" spans="1:80" x14ac:dyDescent="0.3">
      <c r="A68" s="431">
        <v>35</v>
      </c>
      <c r="B68" s="272"/>
      <c r="C68" s="273">
        <f t="shared" si="81"/>
        <v>2</v>
      </c>
      <c r="D68" s="372"/>
      <c r="E68" s="274"/>
      <c r="F68" s="273" t="str">
        <f t="shared" si="78"/>
        <v/>
      </c>
      <c r="G68" s="275" t="str">
        <f t="shared" si="78"/>
        <v/>
      </c>
      <c r="H68" s="276" t="str">
        <f t="shared" si="2"/>
        <v/>
      </c>
      <c r="I68" s="277" t="str">
        <f t="shared" si="3"/>
        <v/>
      </c>
      <c r="J68" s="276" t="str">
        <f t="shared" si="4"/>
        <v/>
      </c>
      <c r="K68" s="276">
        <f t="shared" si="5"/>
        <v>0</v>
      </c>
      <c r="L68" s="278"/>
      <c r="M68" s="279">
        <f t="shared" si="82"/>
        <v>1</v>
      </c>
      <c r="N68" s="360" t="str">
        <f t="shared" si="7"/>
        <v/>
      </c>
      <c r="O68" s="117" t="str">
        <f t="shared" si="8"/>
        <v/>
      </c>
      <c r="P68" s="359" t="str">
        <f t="shared" si="9"/>
        <v/>
      </c>
      <c r="Q68" s="280" t="str">
        <f t="shared" si="24"/>
        <v/>
      </c>
      <c r="R68" s="282" t="str">
        <f t="shared" si="83"/>
        <v/>
      </c>
      <c r="S68" s="283" t="str">
        <f t="shared" si="84"/>
        <v>---</v>
      </c>
      <c r="V68" s="3" t="str">
        <f>IFERROR(VALUE(TEXT(C68,"00")&amp;TEXT(N68,"00")&amp;TEXT(P68,"00")&amp;IF(#REF!="Plato perforado",5,IF(OR(#REF!="N/A",#REF!=""),0,#REF!))),"")</f>
        <v/>
      </c>
      <c r="BC68" s="3" t="str">
        <f t="shared" si="85"/>
        <v/>
      </c>
      <c r="BD68" s="3" t="str">
        <f t="shared" si="86"/>
        <v/>
      </c>
      <c r="BE68" s="3" t="e">
        <f t="shared" si="14"/>
        <v>#VALUE!</v>
      </c>
      <c r="BF68" s="430">
        <v>12</v>
      </c>
      <c r="BG68" s="430">
        <v>28</v>
      </c>
      <c r="BH68" s="121">
        <f t="shared" si="26"/>
        <v>2.3333333333333335</v>
      </c>
      <c r="BI68" s="8">
        <f t="shared" si="15"/>
        <v>1283.3333333333335</v>
      </c>
      <c r="BJ68" s="8">
        <f t="shared" si="16"/>
        <v>0.42857142857142855</v>
      </c>
      <c r="BK68" s="3">
        <f t="shared" si="27"/>
        <v>1228</v>
      </c>
      <c r="BL68" s="3" t="e">
        <v>#VALUE!</v>
      </c>
      <c r="BM68" s="3">
        <v>14</v>
      </c>
      <c r="BN68" s="3">
        <v>24</v>
      </c>
      <c r="BO68" s="3">
        <v>14</v>
      </c>
      <c r="BP68" s="3">
        <f t="shared" si="28"/>
        <v>1424</v>
      </c>
      <c r="BQ68" s="3">
        <f t="shared" si="28"/>
        <v>2414</v>
      </c>
      <c r="BV68" s="103"/>
      <c r="BW68" s="3">
        <f t="shared" si="87"/>
        <v>0</v>
      </c>
      <c r="BX68" s="103"/>
      <c r="BY68" s="103"/>
      <c r="BZ68" s="103"/>
      <c r="CA68" s="103"/>
      <c r="CB68" s="103"/>
    </row>
    <row r="69" spans="1:80" x14ac:dyDescent="0.3">
      <c r="A69" s="431">
        <v>36</v>
      </c>
      <c r="B69" s="284"/>
      <c r="C69" s="285">
        <f t="shared" si="81"/>
        <v>2</v>
      </c>
      <c r="D69" s="373"/>
      <c r="E69" s="286"/>
      <c r="F69" s="285" t="str">
        <f t="shared" si="78"/>
        <v/>
      </c>
      <c r="G69" s="287" t="str">
        <f t="shared" si="78"/>
        <v/>
      </c>
      <c r="H69" s="288" t="str">
        <f t="shared" si="2"/>
        <v/>
      </c>
      <c r="I69" s="289" t="str">
        <f t="shared" si="3"/>
        <v/>
      </c>
      <c r="J69" s="288" t="str">
        <f t="shared" si="4"/>
        <v/>
      </c>
      <c r="K69" s="288">
        <f t="shared" si="5"/>
        <v>0</v>
      </c>
      <c r="L69" s="290"/>
      <c r="M69" s="291">
        <f t="shared" si="82"/>
        <v>1</v>
      </c>
      <c r="N69" s="466" t="str">
        <f t="shared" si="7"/>
        <v/>
      </c>
      <c r="O69" s="302" t="str">
        <f t="shared" si="8"/>
        <v/>
      </c>
      <c r="P69" s="468" t="str">
        <f t="shared" si="9"/>
        <v/>
      </c>
      <c r="Q69" s="292" t="str">
        <f t="shared" si="24"/>
        <v/>
      </c>
      <c r="R69" s="294" t="str">
        <f t="shared" si="83"/>
        <v/>
      </c>
      <c r="S69" s="295" t="str">
        <f t="shared" si="84"/>
        <v>---</v>
      </c>
      <c r="V69" s="3" t="str">
        <f>IFERROR(VALUE(TEXT(C69,"00")&amp;TEXT(N69,"00")&amp;TEXT(P69,"00")&amp;IF(#REF!="Plato perforado",5,IF(OR(#REF!="N/A",#REF!=""),0,#REF!))),"")</f>
        <v/>
      </c>
      <c r="BC69" s="3" t="str">
        <f t="shared" si="85"/>
        <v/>
      </c>
      <c r="BD69" s="3" t="str">
        <f t="shared" si="86"/>
        <v/>
      </c>
      <c r="BE69" s="3" t="e">
        <f t="shared" si="14"/>
        <v>#VALUE!</v>
      </c>
      <c r="BF69" s="430">
        <v>14</v>
      </c>
      <c r="BG69" s="430">
        <v>6</v>
      </c>
      <c r="BH69" s="121">
        <f t="shared" si="26"/>
        <v>0.58333333333333337</v>
      </c>
      <c r="BI69" s="8">
        <f t="shared" si="15"/>
        <v>320.83333333333337</v>
      </c>
      <c r="BJ69" s="8">
        <f t="shared" si="16"/>
        <v>2.3333333333333335</v>
      </c>
      <c r="BK69" s="3">
        <f t="shared" si="27"/>
        <v>1406</v>
      </c>
      <c r="BL69" s="3" t="e">
        <v>#VALUE!</v>
      </c>
      <c r="BM69" s="3">
        <v>14</v>
      </c>
      <c r="BN69" s="3">
        <v>26</v>
      </c>
      <c r="BO69" s="3">
        <v>14</v>
      </c>
      <c r="BP69" s="3">
        <f t="shared" si="28"/>
        <v>1426</v>
      </c>
      <c r="BQ69" s="3">
        <f t="shared" si="28"/>
        <v>2614</v>
      </c>
      <c r="BV69" s="103"/>
      <c r="BW69" s="3">
        <f t="shared" si="87"/>
        <v>0</v>
      </c>
    </row>
    <row r="70" spans="1:80" x14ac:dyDescent="0.3">
      <c r="A70" s="431">
        <v>37</v>
      </c>
      <c r="B70" s="260"/>
      <c r="C70" s="261">
        <f t="shared" si="81"/>
        <v>2</v>
      </c>
      <c r="D70" s="371"/>
      <c r="E70" s="262"/>
      <c r="F70" s="261" t="str">
        <f t="shared" si="78"/>
        <v/>
      </c>
      <c r="G70" s="263" t="str">
        <f t="shared" si="78"/>
        <v/>
      </c>
      <c r="H70" s="264" t="str">
        <f t="shared" si="2"/>
        <v/>
      </c>
      <c r="I70" s="265" t="str">
        <f t="shared" si="3"/>
        <v/>
      </c>
      <c r="J70" s="264" t="str">
        <f t="shared" si="4"/>
        <v/>
      </c>
      <c r="K70" s="264">
        <f t="shared" si="5"/>
        <v>0</v>
      </c>
      <c r="L70" s="266"/>
      <c r="M70" s="267">
        <f t="shared" si="82"/>
        <v>1</v>
      </c>
      <c r="N70" s="465" t="str">
        <f t="shared" si="7"/>
        <v/>
      </c>
      <c r="O70" s="297" t="str">
        <f t="shared" si="8"/>
        <v/>
      </c>
      <c r="P70" s="467" t="str">
        <f t="shared" si="9"/>
        <v/>
      </c>
      <c r="Q70" s="268" t="str">
        <f t="shared" si="24"/>
        <v/>
      </c>
      <c r="R70" s="270" t="str">
        <f t="shared" si="83"/>
        <v/>
      </c>
      <c r="S70" s="271" t="str">
        <f t="shared" si="84"/>
        <v>---</v>
      </c>
      <c r="V70" s="3" t="str">
        <f>IFERROR(VALUE(TEXT(C70,"00")&amp;TEXT(N70,"00")&amp;TEXT(P70,"00")&amp;IF(#REF!="Plato perforado",5,IF(OR(#REF!="N/A",#REF!=""),0,#REF!))),"")</f>
        <v/>
      </c>
      <c r="BC70" s="3" t="str">
        <f t="shared" si="85"/>
        <v/>
      </c>
      <c r="BD70" s="3" t="str">
        <f t="shared" si="86"/>
        <v/>
      </c>
      <c r="BE70" s="3" t="e">
        <f t="shared" si="14"/>
        <v>#VALUE!</v>
      </c>
      <c r="BF70" s="430">
        <v>14</v>
      </c>
      <c r="BG70" s="430">
        <v>8</v>
      </c>
      <c r="BH70" s="121">
        <f t="shared" si="26"/>
        <v>0.77777777777777779</v>
      </c>
      <c r="BI70" s="8">
        <f t="shared" si="15"/>
        <v>427.77777777777777</v>
      </c>
      <c r="BJ70" s="8">
        <f t="shared" si="16"/>
        <v>1.75</v>
      </c>
      <c r="BK70" s="3">
        <f t="shared" si="27"/>
        <v>1408</v>
      </c>
      <c r="BL70" s="3" t="e">
        <v>#VALUE!</v>
      </c>
      <c r="BM70" s="3">
        <v>14</v>
      </c>
      <c r="BN70" s="3">
        <v>28</v>
      </c>
      <c r="BO70" s="3">
        <v>14</v>
      </c>
      <c r="BP70" s="3">
        <f t="shared" si="28"/>
        <v>1428</v>
      </c>
      <c r="BQ70" s="3">
        <f t="shared" si="28"/>
        <v>2814</v>
      </c>
      <c r="BW70" s="3">
        <f t="shared" si="87"/>
        <v>0</v>
      </c>
    </row>
    <row r="71" spans="1:80" x14ac:dyDescent="0.3">
      <c r="A71" s="431">
        <v>38</v>
      </c>
      <c r="B71" s="272"/>
      <c r="C71" s="273">
        <f t="shared" si="81"/>
        <v>2</v>
      </c>
      <c r="D71" s="372"/>
      <c r="E71" s="274"/>
      <c r="F71" s="273" t="str">
        <f t="shared" si="78"/>
        <v/>
      </c>
      <c r="G71" s="275" t="str">
        <f t="shared" si="78"/>
        <v/>
      </c>
      <c r="H71" s="276" t="str">
        <f t="shared" si="2"/>
        <v/>
      </c>
      <c r="I71" s="277" t="str">
        <f t="shared" si="3"/>
        <v/>
      </c>
      <c r="J71" s="276" t="str">
        <f t="shared" si="4"/>
        <v/>
      </c>
      <c r="K71" s="276">
        <f t="shared" si="5"/>
        <v>0</v>
      </c>
      <c r="L71" s="278"/>
      <c r="M71" s="279">
        <f t="shared" si="82"/>
        <v>1</v>
      </c>
      <c r="N71" s="360" t="str">
        <f t="shared" si="7"/>
        <v/>
      </c>
      <c r="O71" s="117" t="str">
        <f t="shared" si="8"/>
        <v/>
      </c>
      <c r="P71" s="359" t="str">
        <f t="shared" si="9"/>
        <v/>
      </c>
      <c r="Q71" s="280" t="str">
        <f t="shared" si="24"/>
        <v/>
      </c>
      <c r="R71" s="282" t="str">
        <f t="shared" si="83"/>
        <v/>
      </c>
      <c r="S71" s="283" t="str">
        <f t="shared" si="84"/>
        <v>---</v>
      </c>
      <c r="V71" s="3" t="str">
        <f>IFERROR(VALUE(TEXT(C71,"00")&amp;TEXT(N71,"00")&amp;TEXT(P71,"00")&amp;IF(#REF!="Plato perforado",5,IF(OR(#REF!="N/A",#REF!=""),0,#REF!))),"")</f>
        <v/>
      </c>
      <c r="BC71" s="3" t="str">
        <f t="shared" si="85"/>
        <v/>
      </c>
      <c r="BD71" s="3" t="str">
        <f t="shared" si="86"/>
        <v/>
      </c>
      <c r="BE71" s="3" t="e">
        <f t="shared" si="14"/>
        <v>#VALUE!</v>
      </c>
      <c r="BF71" s="430">
        <v>14</v>
      </c>
      <c r="BG71" s="430">
        <v>10</v>
      </c>
      <c r="BH71" s="121">
        <f t="shared" si="26"/>
        <v>0.97222222222222232</v>
      </c>
      <c r="BI71" s="8">
        <f t="shared" si="15"/>
        <v>534.72222222222229</v>
      </c>
      <c r="BJ71" s="8">
        <f t="shared" si="16"/>
        <v>1.4</v>
      </c>
      <c r="BK71" s="3">
        <f t="shared" si="27"/>
        <v>1410</v>
      </c>
      <c r="BL71" s="3" t="e">
        <v>#VALUE!</v>
      </c>
      <c r="BM71" s="3">
        <v>16</v>
      </c>
      <c r="BN71" s="3">
        <v>16</v>
      </c>
      <c r="BO71" s="3">
        <v>16</v>
      </c>
      <c r="BP71" s="3">
        <f t="shared" si="28"/>
        <v>1616</v>
      </c>
      <c r="BQ71" s="3">
        <f t="shared" si="28"/>
        <v>1616</v>
      </c>
      <c r="BW71" s="3">
        <f t="shared" si="87"/>
        <v>0</v>
      </c>
    </row>
    <row r="72" spans="1:80" x14ac:dyDescent="0.3">
      <c r="A72" s="431">
        <v>39</v>
      </c>
      <c r="B72" s="284"/>
      <c r="C72" s="285">
        <f t="shared" si="81"/>
        <v>2</v>
      </c>
      <c r="D72" s="373"/>
      <c r="E72" s="286"/>
      <c r="F72" s="285" t="str">
        <f t="shared" si="78"/>
        <v/>
      </c>
      <c r="G72" s="287" t="str">
        <f t="shared" si="78"/>
        <v/>
      </c>
      <c r="H72" s="288" t="str">
        <f t="shared" si="2"/>
        <v/>
      </c>
      <c r="I72" s="289" t="str">
        <f t="shared" si="3"/>
        <v/>
      </c>
      <c r="J72" s="288" t="str">
        <f t="shared" si="4"/>
        <v/>
      </c>
      <c r="K72" s="288">
        <f t="shared" si="5"/>
        <v>0</v>
      </c>
      <c r="L72" s="290"/>
      <c r="M72" s="291">
        <f t="shared" si="82"/>
        <v>1</v>
      </c>
      <c r="N72" s="466" t="str">
        <f t="shared" si="7"/>
        <v/>
      </c>
      <c r="O72" s="302" t="str">
        <f t="shared" si="8"/>
        <v/>
      </c>
      <c r="P72" s="468" t="str">
        <f t="shared" si="9"/>
        <v/>
      </c>
      <c r="Q72" s="292" t="str">
        <f t="shared" si="24"/>
        <v/>
      </c>
      <c r="R72" s="294" t="str">
        <f t="shared" si="83"/>
        <v/>
      </c>
      <c r="S72" s="295" t="str">
        <f t="shared" si="84"/>
        <v>---</v>
      </c>
      <c r="V72" s="3" t="str">
        <f>IFERROR(VALUE(TEXT(C72,"00")&amp;TEXT(N72,"00")&amp;TEXT(P72,"00")&amp;IF(#REF!="Plato perforado",5,IF(OR(#REF!="N/A",#REF!=""),0,#REF!))),"")</f>
        <v/>
      </c>
      <c r="BC72" s="3" t="str">
        <f t="shared" si="85"/>
        <v/>
      </c>
      <c r="BD72" s="3" t="str">
        <f t="shared" si="86"/>
        <v/>
      </c>
      <c r="BE72" s="3" t="e">
        <f t="shared" si="14"/>
        <v>#VALUE!</v>
      </c>
      <c r="BF72" s="430">
        <v>14</v>
      </c>
      <c r="BG72" s="430">
        <v>12</v>
      </c>
      <c r="BH72" s="121">
        <f t="shared" si="26"/>
        <v>1.1666666666666667</v>
      </c>
      <c r="BI72" s="8">
        <f t="shared" si="15"/>
        <v>641.66666666666674</v>
      </c>
      <c r="BJ72" s="8">
        <f t="shared" si="16"/>
        <v>1.1666666666666667</v>
      </c>
      <c r="BK72" s="3">
        <f t="shared" si="27"/>
        <v>1412</v>
      </c>
      <c r="BL72" s="3" t="e">
        <v>#VALUE!</v>
      </c>
      <c r="BM72" s="3">
        <v>16</v>
      </c>
      <c r="BN72" s="3">
        <v>18</v>
      </c>
      <c r="BO72" s="3">
        <v>16</v>
      </c>
      <c r="BP72" s="3">
        <f t="shared" si="28"/>
        <v>1618</v>
      </c>
      <c r="BQ72" s="3">
        <f t="shared" si="28"/>
        <v>1816</v>
      </c>
      <c r="BW72" s="3">
        <f t="shared" si="87"/>
        <v>0</v>
      </c>
    </row>
    <row r="73" spans="1:80" x14ac:dyDescent="0.3">
      <c r="A73" s="431">
        <v>40</v>
      </c>
      <c r="B73" s="260"/>
      <c r="C73" s="261">
        <f t="shared" si="81"/>
        <v>2</v>
      </c>
      <c r="D73" s="371"/>
      <c r="E73" s="262"/>
      <c r="F73" s="261" t="str">
        <f t="shared" si="78"/>
        <v/>
      </c>
      <c r="G73" s="263" t="str">
        <f t="shared" si="78"/>
        <v/>
      </c>
      <c r="H73" s="264" t="str">
        <f t="shared" si="2"/>
        <v/>
      </c>
      <c r="I73" s="265" t="str">
        <f t="shared" si="3"/>
        <v/>
      </c>
      <c r="J73" s="264" t="str">
        <f t="shared" si="4"/>
        <v/>
      </c>
      <c r="K73" s="264">
        <f t="shared" si="5"/>
        <v>0</v>
      </c>
      <c r="L73" s="266"/>
      <c r="M73" s="267">
        <f t="shared" si="82"/>
        <v>1</v>
      </c>
      <c r="N73" s="465" t="str">
        <f t="shared" si="7"/>
        <v/>
      </c>
      <c r="O73" s="297" t="str">
        <f t="shared" si="8"/>
        <v/>
      </c>
      <c r="P73" s="467" t="str">
        <f t="shared" si="9"/>
        <v/>
      </c>
      <c r="Q73" s="268" t="str">
        <f t="shared" si="24"/>
        <v/>
      </c>
      <c r="R73" s="270" t="str">
        <f t="shared" si="83"/>
        <v/>
      </c>
      <c r="S73" s="271" t="str">
        <f t="shared" si="84"/>
        <v>---</v>
      </c>
      <c r="V73" s="3" t="str">
        <f>IFERROR(VALUE(TEXT(C73,"00")&amp;TEXT(N73,"00")&amp;TEXT(P73,"00")&amp;IF(#REF!="Plato perforado",5,IF(OR(#REF!="N/A",#REF!=""),0,#REF!))),"")</f>
        <v/>
      </c>
      <c r="BC73" s="3" t="str">
        <f t="shared" si="85"/>
        <v/>
      </c>
      <c r="BD73" s="3" t="str">
        <f t="shared" si="86"/>
        <v/>
      </c>
      <c r="BE73" s="3" t="e">
        <f t="shared" si="14"/>
        <v>#VALUE!</v>
      </c>
      <c r="BF73" s="430">
        <v>14</v>
      </c>
      <c r="BG73" s="430">
        <v>14</v>
      </c>
      <c r="BH73" s="121">
        <f t="shared" si="26"/>
        <v>1.3611111111111114</v>
      </c>
      <c r="BI73" s="8">
        <f t="shared" si="15"/>
        <v>748.61111111111131</v>
      </c>
      <c r="BJ73" s="8">
        <f t="shared" si="16"/>
        <v>1</v>
      </c>
      <c r="BK73" s="3">
        <f t="shared" si="27"/>
        <v>1414</v>
      </c>
      <c r="BL73" s="3" t="e">
        <v>#VALUE!</v>
      </c>
      <c r="BM73" s="3">
        <v>16</v>
      </c>
      <c r="BN73" s="3">
        <v>20</v>
      </c>
      <c r="BO73" s="3">
        <v>16</v>
      </c>
      <c r="BP73" s="3">
        <f t="shared" si="28"/>
        <v>1620</v>
      </c>
      <c r="BQ73" s="3">
        <f t="shared" si="28"/>
        <v>2016</v>
      </c>
      <c r="BW73" s="3">
        <f t="shared" si="87"/>
        <v>0</v>
      </c>
    </row>
    <row r="74" spans="1:80" x14ac:dyDescent="0.3">
      <c r="A74" s="431">
        <v>41</v>
      </c>
      <c r="B74" s="272"/>
      <c r="C74" s="273">
        <f t="shared" si="81"/>
        <v>2</v>
      </c>
      <c r="D74" s="372"/>
      <c r="E74" s="274"/>
      <c r="F74" s="273" t="str">
        <f t="shared" ref="F74:G93" si="88">IFERROR(VLOOKUP($E74,DMFA,F$29,FALSE),"")</f>
        <v/>
      </c>
      <c r="G74" s="275" t="str">
        <f t="shared" si="88"/>
        <v/>
      </c>
      <c r="H74" s="276" t="str">
        <f t="shared" si="2"/>
        <v/>
      </c>
      <c r="I74" s="277" t="str">
        <f t="shared" si="3"/>
        <v/>
      </c>
      <c r="J74" s="276" t="str">
        <f t="shared" si="4"/>
        <v/>
      </c>
      <c r="K74" s="276">
        <f t="shared" si="5"/>
        <v>0</v>
      </c>
      <c r="L74" s="278"/>
      <c r="M74" s="279">
        <f t="shared" si="82"/>
        <v>1</v>
      </c>
      <c r="N74" s="360" t="str">
        <f t="shared" si="7"/>
        <v/>
      </c>
      <c r="O74" s="117" t="str">
        <f t="shared" si="8"/>
        <v/>
      </c>
      <c r="P74" s="359" t="str">
        <f t="shared" si="9"/>
        <v/>
      </c>
      <c r="Q74" s="280" t="str">
        <f t="shared" si="24"/>
        <v/>
      </c>
      <c r="R74" s="282" t="str">
        <f t="shared" si="83"/>
        <v/>
      </c>
      <c r="S74" s="283" t="str">
        <f t="shared" si="84"/>
        <v>---</v>
      </c>
      <c r="V74" s="3" t="str">
        <f>IFERROR(VALUE(TEXT(C74,"00")&amp;TEXT(N74,"00")&amp;TEXT(P74,"00")&amp;IF(#REF!="Plato perforado",5,IF(OR(#REF!="N/A",#REF!=""),0,#REF!))),"")</f>
        <v/>
      </c>
      <c r="BC74" s="3" t="str">
        <f t="shared" si="85"/>
        <v/>
      </c>
      <c r="BD74" s="3" t="str">
        <f t="shared" si="86"/>
        <v/>
      </c>
      <c r="BE74" s="3" t="e">
        <f t="shared" si="14"/>
        <v>#VALUE!</v>
      </c>
      <c r="BF74" s="430">
        <v>14</v>
      </c>
      <c r="BG74" s="430">
        <v>16</v>
      </c>
      <c r="BH74" s="121">
        <f t="shared" si="26"/>
        <v>1.5555555555555556</v>
      </c>
      <c r="BI74" s="8">
        <f t="shared" si="15"/>
        <v>855.55555555555554</v>
      </c>
      <c r="BJ74" s="8">
        <f t="shared" si="16"/>
        <v>0.875</v>
      </c>
      <c r="BK74" s="3">
        <f t="shared" si="27"/>
        <v>1416</v>
      </c>
      <c r="BL74" s="3" t="e">
        <v>#VALUE!</v>
      </c>
      <c r="BM74" s="3">
        <v>16</v>
      </c>
      <c r="BN74" s="3">
        <v>22</v>
      </c>
      <c r="BO74" s="3">
        <v>16</v>
      </c>
      <c r="BP74" s="3">
        <f t="shared" si="28"/>
        <v>1622</v>
      </c>
      <c r="BQ74" s="3">
        <f t="shared" si="28"/>
        <v>2216</v>
      </c>
      <c r="BW74" s="3">
        <f t="shared" si="87"/>
        <v>0</v>
      </c>
    </row>
    <row r="75" spans="1:80" x14ac:dyDescent="0.3">
      <c r="A75" s="431">
        <v>42</v>
      </c>
      <c r="B75" s="284"/>
      <c r="C75" s="285">
        <f t="shared" si="81"/>
        <v>2</v>
      </c>
      <c r="D75" s="373"/>
      <c r="E75" s="286"/>
      <c r="F75" s="285" t="str">
        <f t="shared" si="88"/>
        <v/>
      </c>
      <c r="G75" s="287" t="str">
        <f t="shared" si="88"/>
        <v/>
      </c>
      <c r="H75" s="288" t="str">
        <f t="shared" si="2"/>
        <v/>
      </c>
      <c r="I75" s="289" t="str">
        <f t="shared" si="3"/>
        <v/>
      </c>
      <c r="J75" s="288" t="str">
        <f t="shared" si="4"/>
        <v/>
      </c>
      <c r="K75" s="288">
        <f t="shared" si="5"/>
        <v>0</v>
      </c>
      <c r="L75" s="290"/>
      <c r="M75" s="291">
        <f t="shared" si="82"/>
        <v>1</v>
      </c>
      <c r="N75" s="466" t="str">
        <f t="shared" si="7"/>
        <v/>
      </c>
      <c r="O75" s="302" t="str">
        <f t="shared" si="8"/>
        <v/>
      </c>
      <c r="P75" s="468" t="str">
        <f t="shared" si="9"/>
        <v/>
      </c>
      <c r="Q75" s="292" t="str">
        <f t="shared" si="24"/>
        <v/>
      </c>
      <c r="R75" s="294" t="str">
        <f t="shared" si="83"/>
        <v/>
      </c>
      <c r="S75" s="295" t="str">
        <f t="shared" si="84"/>
        <v>---</v>
      </c>
      <c r="V75" s="3" t="str">
        <f>IFERROR(VALUE(TEXT(C75,"00")&amp;TEXT(N75,"00")&amp;TEXT(P75,"00")&amp;IF(#REF!="Plato perforado",5,IF(OR(#REF!="N/A",#REF!=""),0,#REF!))),"")</f>
        <v/>
      </c>
      <c r="BC75" s="3" t="str">
        <f t="shared" si="85"/>
        <v/>
      </c>
      <c r="BD75" s="3" t="str">
        <f t="shared" si="86"/>
        <v/>
      </c>
      <c r="BE75" s="3" t="e">
        <f t="shared" si="14"/>
        <v>#VALUE!</v>
      </c>
      <c r="BF75" s="430">
        <v>14</v>
      </c>
      <c r="BG75" s="430">
        <v>18</v>
      </c>
      <c r="BH75" s="121">
        <f t="shared" si="26"/>
        <v>1.75</v>
      </c>
      <c r="BI75" s="8">
        <f t="shared" si="15"/>
        <v>962.5</v>
      </c>
      <c r="BJ75" s="8">
        <f t="shared" si="16"/>
        <v>0.77777777777777779</v>
      </c>
      <c r="BK75" s="3">
        <f t="shared" si="27"/>
        <v>1418</v>
      </c>
      <c r="BL75" s="3" t="e">
        <v>#VALUE!</v>
      </c>
      <c r="BM75" s="3">
        <v>16</v>
      </c>
      <c r="BN75" s="3">
        <v>24</v>
      </c>
      <c r="BO75" s="3">
        <v>16</v>
      </c>
      <c r="BP75" s="3">
        <f t="shared" si="28"/>
        <v>1624</v>
      </c>
      <c r="BQ75" s="3">
        <f t="shared" si="28"/>
        <v>2416</v>
      </c>
      <c r="BW75" s="3">
        <f t="shared" si="87"/>
        <v>0</v>
      </c>
    </row>
    <row r="76" spans="1:80" x14ac:dyDescent="0.3">
      <c r="A76" s="431">
        <v>43</v>
      </c>
      <c r="B76" s="260"/>
      <c r="C76" s="261">
        <f t="shared" si="81"/>
        <v>2</v>
      </c>
      <c r="D76" s="371"/>
      <c r="E76" s="262"/>
      <c r="F76" s="261" t="str">
        <f t="shared" si="88"/>
        <v/>
      </c>
      <c r="G76" s="263" t="str">
        <f t="shared" si="88"/>
        <v/>
      </c>
      <c r="H76" s="264" t="str">
        <f t="shared" si="2"/>
        <v/>
      </c>
      <c r="I76" s="265" t="str">
        <f t="shared" si="3"/>
        <v/>
      </c>
      <c r="J76" s="264" t="str">
        <f t="shared" si="4"/>
        <v/>
      </c>
      <c r="K76" s="264">
        <f t="shared" si="5"/>
        <v>0</v>
      </c>
      <c r="L76" s="266"/>
      <c r="M76" s="267">
        <f t="shared" si="82"/>
        <v>1</v>
      </c>
      <c r="N76" s="465" t="str">
        <f t="shared" si="7"/>
        <v/>
      </c>
      <c r="O76" s="297" t="str">
        <f t="shared" si="8"/>
        <v/>
      </c>
      <c r="P76" s="467" t="str">
        <f t="shared" si="9"/>
        <v/>
      </c>
      <c r="Q76" s="268" t="str">
        <f t="shared" si="24"/>
        <v/>
      </c>
      <c r="R76" s="270" t="str">
        <f t="shared" si="83"/>
        <v/>
      </c>
      <c r="S76" s="271" t="str">
        <f t="shared" si="84"/>
        <v>---</v>
      </c>
      <c r="V76" s="3" t="str">
        <f>IFERROR(VALUE(TEXT(C76,"00")&amp;TEXT(N76,"00")&amp;TEXT(P76,"00")&amp;IF(#REF!="Plato perforado",5,IF(OR(#REF!="N/A",#REF!=""),0,#REF!))),"")</f>
        <v/>
      </c>
      <c r="BC76" s="3" t="str">
        <f t="shared" si="85"/>
        <v/>
      </c>
      <c r="BD76" s="3" t="str">
        <f t="shared" si="86"/>
        <v/>
      </c>
      <c r="BE76" s="3" t="e">
        <f t="shared" si="14"/>
        <v>#VALUE!</v>
      </c>
      <c r="BF76" s="430">
        <v>14</v>
      </c>
      <c r="BG76" s="430">
        <v>20</v>
      </c>
      <c r="BH76" s="121">
        <f t="shared" si="26"/>
        <v>1.9444444444444446</v>
      </c>
      <c r="BI76" s="8">
        <f t="shared" si="15"/>
        <v>1069.4444444444446</v>
      </c>
      <c r="BJ76" s="8">
        <f t="shared" si="16"/>
        <v>0.7</v>
      </c>
      <c r="BK76" s="3">
        <f t="shared" si="27"/>
        <v>1420</v>
      </c>
      <c r="BL76" s="3" t="e">
        <v>#VALUE!</v>
      </c>
      <c r="BM76" s="3">
        <v>18</v>
      </c>
      <c r="BN76" s="3">
        <v>18</v>
      </c>
      <c r="BO76" s="3">
        <v>18</v>
      </c>
      <c r="BP76" s="3">
        <f t="shared" si="28"/>
        <v>1818</v>
      </c>
      <c r="BQ76" s="3">
        <f t="shared" si="28"/>
        <v>1818</v>
      </c>
      <c r="BW76" s="3">
        <f t="shared" si="87"/>
        <v>0</v>
      </c>
    </row>
    <row r="77" spans="1:80" x14ac:dyDescent="0.3">
      <c r="A77" s="431">
        <v>44</v>
      </c>
      <c r="B77" s="272"/>
      <c r="C77" s="273">
        <f t="shared" si="81"/>
        <v>2</v>
      </c>
      <c r="D77" s="372"/>
      <c r="E77" s="274"/>
      <c r="F77" s="273" t="str">
        <f t="shared" si="88"/>
        <v/>
      </c>
      <c r="G77" s="275" t="str">
        <f t="shared" si="88"/>
        <v/>
      </c>
      <c r="H77" s="276" t="str">
        <f t="shared" si="2"/>
        <v/>
      </c>
      <c r="I77" s="277" t="str">
        <f t="shared" si="3"/>
        <v/>
      </c>
      <c r="J77" s="276" t="str">
        <f t="shared" si="4"/>
        <v/>
      </c>
      <c r="K77" s="276">
        <f t="shared" si="5"/>
        <v>0</v>
      </c>
      <c r="L77" s="278"/>
      <c r="M77" s="279">
        <f t="shared" si="82"/>
        <v>1</v>
      </c>
      <c r="N77" s="360" t="str">
        <f t="shared" si="7"/>
        <v/>
      </c>
      <c r="O77" s="117" t="str">
        <f t="shared" si="8"/>
        <v/>
      </c>
      <c r="P77" s="359" t="str">
        <f t="shared" si="9"/>
        <v/>
      </c>
      <c r="Q77" s="280" t="str">
        <f t="shared" si="24"/>
        <v/>
      </c>
      <c r="R77" s="282" t="str">
        <f t="shared" si="83"/>
        <v/>
      </c>
      <c r="S77" s="283" t="str">
        <f t="shared" si="84"/>
        <v>---</v>
      </c>
      <c r="V77" s="3" t="str">
        <f>IFERROR(VALUE(TEXT(C77,"00")&amp;TEXT(N77,"00")&amp;TEXT(P77,"00")&amp;IF(#REF!="Plato perforado",5,IF(OR(#REF!="N/A",#REF!=""),0,#REF!))),"")</f>
        <v/>
      </c>
      <c r="BC77" s="3" t="str">
        <f t="shared" si="85"/>
        <v/>
      </c>
      <c r="BD77" s="3" t="str">
        <f t="shared" si="86"/>
        <v/>
      </c>
      <c r="BE77" s="3" t="e">
        <f t="shared" si="14"/>
        <v>#VALUE!</v>
      </c>
      <c r="BF77" s="430">
        <v>14</v>
      </c>
      <c r="BG77" s="430">
        <v>22</v>
      </c>
      <c r="BH77" s="121">
        <f t="shared" si="26"/>
        <v>2.1388888888888888</v>
      </c>
      <c r="BI77" s="8">
        <f t="shared" si="15"/>
        <v>1176.3888888888889</v>
      </c>
      <c r="BJ77" s="8">
        <f t="shared" si="16"/>
        <v>0.63636363636363635</v>
      </c>
      <c r="BK77" s="3">
        <f t="shared" si="27"/>
        <v>1422</v>
      </c>
      <c r="BL77" s="3" t="e">
        <v>#VALUE!</v>
      </c>
      <c r="BM77" s="3">
        <v>18</v>
      </c>
      <c r="BN77" s="3">
        <v>20</v>
      </c>
      <c r="BO77" s="3">
        <v>18</v>
      </c>
      <c r="BP77" s="3">
        <f t="shared" si="28"/>
        <v>1820</v>
      </c>
      <c r="BQ77" s="3">
        <f t="shared" si="28"/>
        <v>2018</v>
      </c>
      <c r="BW77" s="3">
        <f t="shared" si="87"/>
        <v>0</v>
      </c>
    </row>
    <row r="78" spans="1:80" x14ac:dyDescent="0.3">
      <c r="A78" s="431">
        <v>45</v>
      </c>
      <c r="B78" s="284"/>
      <c r="C78" s="285">
        <f t="shared" si="81"/>
        <v>2</v>
      </c>
      <c r="D78" s="373"/>
      <c r="E78" s="286"/>
      <c r="F78" s="285" t="str">
        <f t="shared" si="88"/>
        <v/>
      </c>
      <c r="G78" s="287" t="str">
        <f t="shared" si="88"/>
        <v/>
      </c>
      <c r="H78" s="288" t="str">
        <f t="shared" si="2"/>
        <v/>
      </c>
      <c r="I78" s="289" t="str">
        <f t="shared" si="3"/>
        <v/>
      </c>
      <c r="J78" s="288" t="str">
        <f t="shared" si="4"/>
        <v/>
      </c>
      <c r="K78" s="288">
        <f t="shared" si="5"/>
        <v>0</v>
      </c>
      <c r="L78" s="290"/>
      <c r="M78" s="291">
        <f t="shared" si="82"/>
        <v>1</v>
      </c>
      <c r="N78" s="466" t="str">
        <f t="shared" si="7"/>
        <v/>
      </c>
      <c r="O78" s="302" t="str">
        <f t="shared" si="8"/>
        <v/>
      </c>
      <c r="P78" s="468" t="str">
        <f t="shared" si="9"/>
        <v/>
      </c>
      <c r="Q78" s="292" t="str">
        <f t="shared" si="24"/>
        <v/>
      </c>
      <c r="R78" s="294" t="str">
        <f t="shared" si="83"/>
        <v/>
      </c>
      <c r="S78" s="295" t="str">
        <f t="shared" si="84"/>
        <v>---</v>
      </c>
      <c r="V78" s="3" t="str">
        <f>IFERROR(VALUE(TEXT(C78,"00")&amp;TEXT(N78,"00")&amp;TEXT(P78,"00")&amp;IF(#REF!="Plato perforado",5,IF(OR(#REF!="N/A",#REF!=""),0,#REF!))),"")</f>
        <v/>
      </c>
      <c r="BC78" s="3" t="str">
        <f t="shared" si="85"/>
        <v/>
      </c>
      <c r="BD78" s="3" t="str">
        <f t="shared" si="86"/>
        <v/>
      </c>
      <c r="BE78" s="3" t="e">
        <f t="shared" si="14"/>
        <v>#VALUE!</v>
      </c>
      <c r="BF78" s="430">
        <v>14</v>
      </c>
      <c r="BG78" s="430">
        <v>24</v>
      </c>
      <c r="BH78" s="121">
        <f t="shared" si="26"/>
        <v>2.3333333333333335</v>
      </c>
      <c r="BI78" s="8">
        <f t="shared" si="15"/>
        <v>1283.3333333333335</v>
      </c>
      <c r="BJ78" s="8">
        <f t="shared" si="16"/>
        <v>0.58333333333333337</v>
      </c>
      <c r="BK78" s="3">
        <f t="shared" si="27"/>
        <v>1424</v>
      </c>
      <c r="BL78" s="3" t="e">
        <v>#VALUE!</v>
      </c>
      <c r="BM78" s="3">
        <v>30</v>
      </c>
      <c r="BN78" s="3">
        <v>12</v>
      </c>
      <c r="BO78" s="3">
        <v>30</v>
      </c>
      <c r="BP78" s="3">
        <f t="shared" si="28"/>
        <v>3012</v>
      </c>
      <c r="BQ78" s="3">
        <f t="shared" si="28"/>
        <v>1230</v>
      </c>
      <c r="BW78" s="3">
        <f t="shared" si="87"/>
        <v>0</v>
      </c>
    </row>
    <row r="79" spans="1:80" x14ac:dyDescent="0.3">
      <c r="A79" s="431">
        <v>46</v>
      </c>
      <c r="B79" s="260"/>
      <c r="C79" s="261">
        <f t="shared" si="81"/>
        <v>2</v>
      </c>
      <c r="D79" s="371"/>
      <c r="E79" s="262"/>
      <c r="F79" s="261" t="str">
        <f t="shared" si="88"/>
        <v/>
      </c>
      <c r="G79" s="263" t="str">
        <f t="shared" si="88"/>
        <v/>
      </c>
      <c r="H79" s="264" t="str">
        <f t="shared" si="2"/>
        <v/>
      </c>
      <c r="I79" s="265" t="str">
        <f t="shared" si="3"/>
        <v/>
      </c>
      <c r="J79" s="264" t="str">
        <f t="shared" si="4"/>
        <v/>
      </c>
      <c r="K79" s="264">
        <f t="shared" si="5"/>
        <v>0</v>
      </c>
      <c r="L79" s="266"/>
      <c r="M79" s="267">
        <f t="shared" si="82"/>
        <v>1</v>
      </c>
      <c r="N79" s="465" t="str">
        <f t="shared" si="7"/>
        <v/>
      </c>
      <c r="O79" s="297" t="str">
        <f t="shared" si="8"/>
        <v/>
      </c>
      <c r="P79" s="467" t="str">
        <f t="shared" si="9"/>
        <v/>
      </c>
      <c r="Q79" s="268" t="str">
        <f t="shared" si="24"/>
        <v/>
      </c>
      <c r="R79" s="270" t="str">
        <f t="shared" si="83"/>
        <v/>
      </c>
      <c r="S79" s="271" t="str">
        <f t="shared" si="84"/>
        <v>---</v>
      </c>
      <c r="V79" s="3" t="str">
        <f>IFERROR(VALUE(TEXT(C79,"00")&amp;TEXT(N79,"00")&amp;TEXT(P79,"00")&amp;IF(#REF!="Plato perforado",5,IF(OR(#REF!="N/A",#REF!=""),0,#REF!))),"")</f>
        <v/>
      </c>
      <c r="BC79" s="3" t="str">
        <f t="shared" si="85"/>
        <v/>
      </c>
      <c r="BD79" s="3" t="str">
        <f t="shared" si="86"/>
        <v/>
      </c>
      <c r="BE79" s="3" t="e">
        <f t="shared" si="14"/>
        <v>#VALUE!</v>
      </c>
      <c r="BF79" s="430">
        <v>14</v>
      </c>
      <c r="BG79" s="430">
        <v>26</v>
      </c>
      <c r="BH79" s="121">
        <f t="shared" si="26"/>
        <v>2.5277777777777777</v>
      </c>
      <c r="BI79" s="8">
        <f t="shared" si="15"/>
        <v>1390.2777777777778</v>
      </c>
      <c r="BJ79" s="8">
        <f t="shared" si="16"/>
        <v>0.53846153846153844</v>
      </c>
      <c r="BK79" s="3">
        <f t="shared" si="27"/>
        <v>1426</v>
      </c>
      <c r="BL79" s="3" t="e">
        <v>#VALUE!</v>
      </c>
      <c r="BW79" s="3">
        <f t="shared" si="87"/>
        <v>0</v>
      </c>
    </row>
    <row r="80" spans="1:80" x14ac:dyDescent="0.3">
      <c r="A80" s="431">
        <v>47</v>
      </c>
      <c r="B80" s="272"/>
      <c r="C80" s="273">
        <f t="shared" si="81"/>
        <v>2</v>
      </c>
      <c r="D80" s="372"/>
      <c r="E80" s="274"/>
      <c r="F80" s="273" t="str">
        <f t="shared" si="88"/>
        <v/>
      </c>
      <c r="G80" s="275" t="str">
        <f t="shared" si="88"/>
        <v/>
      </c>
      <c r="H80" s="276" t="str">
        <f t="shared" si="2"/>
        <v/>
      </c>
      <c r="I80" s="277" t="str">
        <f t="shared" si="3"/>
        <v/>
      </c>
      <c r="J80" s="276" t="str">
        <f t="shared" si="4"/>
        <v/>
      </c>
      <c r="K80" s="276">
        <f t="shared" si="5"/>
        <v>0</v>
      </c>
      <c r="L80" s="278"/>
      <c r="M80" s="279">
        <f t="shared" si="82"/>
        <v>1</v>
      </c>
      <c r="N80" s="360" t="str">
        <f t="shared" si="7"/>
        <v/>
      </c>
      <c r="O80" s="117" t="str">
        <f t="shared" si="8"/>
        <v/>
      </c>
      <c r="P80" s="359" t="str">
        <f t="shared" si="9"/>
        <v/>
      </c>
      <c r="Q80" s="280" t="str">
        <f t="shared" si="24"/>
        <v/>
      </c>
      <c r="R80" s="282" t="str">
        <f t="shared" si="83"/>
        <v/>
      </c>
      <c r="S80" s="283" t="str">
        <f t="shared" si="84"/>
        <v>---</v>
      </c>
      <c r="V80" s="3" t="str">
        <f>IFERROR(VALUE(TEXT(C80,"00")&amp;TEXT(N80,"00")&amp;TEXT(P80,"00")&amp;IF(#REF!="Plato perforado",5,IF(OR(#REF!="N/A",#REF!=""),0,#REF!))),"")</f>
        <v/>
      </c>
      <c r="BC80" s="3" t="str">
        <f t="shared" si="85"/>
        <v/>
      </c>
      <c r="BD80" s="3" t="str">
        <f t="shared" si="86"/>
        <v/>
      </c>
      <c r="BE80" s="3" t="e">
        <f t="shared" si="14"/>
        <v>#VALUE!</v>
      </c>
      <c r="BF80" s="430">
        <v>14</v>
      </c>
      <c r="BG80" s="430">
        <v>28</v>
      </c>
      <c r="BH80" s="121">
        <f t="shared" si="26"/>
        <v>2.7222222222222228</v>
      </c>
      <c r="BI80" s="8">
        <f t="shared" si="15"/>
        <v>1497.2222222222226</v>
      </c>
      <c r="BJ80" s="8">
        <f t="shared" si="16"/>
        <v>0.5</v>
      </c>
      <c r="BK80" s="3">
        <f t="shared" si="27"/>
        <v>1428</v>
      </c>
      <c r="BL80" s="3" t="e">
        <v>#VALUE!</v>
      </c>
      <c r="BW80" s="3">
        <f t="shared" si="87"/>
        <v>0</v>
      </c>
    </row>
    <row r="81" spans="1:75" x14ac:dyDescent="0.3">
      <c r="A81" s="431">
        <v>48</v>
      </c>
      <c r="B81" s="284"/>
      <c r="C81" s="285">
        <f t="shared" si="81"/>
        <v>2</v>
      </c>
      <c r="D81" s="373"/>
      <c r="E81" s="286"/>
      <c r="F81" s="285" t="str">
        <f t="shared" si="88"/>
        <v/>
      </c>
      <c r="G81" s="287" t="str">
        <f t="shared" si="88"/>
        <v/>
      </c>
      <c r="H81" s="288" t="str">
        <f t="shared" si="2"/>
        <v/>
      </c>
      <c r="I81" s="289" t="str">
        <f t="shared" si="3"/>
        <v/>
      </c>
      <c r="J81" s="288" t="str">
        <f t="shared" si="4"/>
        <v/>
      </c>
      <c r="K81" s="288">
        <f t="shared" si="5"/>
        <v>0</v>
      </c>
      <c r="L81" s="290"/>
      <c r="M81" s="291">
        <f t="shared" si="82"/>
        <v>1</v>
      </c>
      <c r="N81" s="466" t="str">
        <f t="shared" si="7"/>
        <v/>
      </c>
      <c r="O81" s="302" t="str">
        <f t="shared" si="8"/>
        <v/>
      </c>
      <c r="P81" s="468" t="str">
        <f t="shared" si="9"/>
        <v/>
      </c>
      <c r="Q81" s="292" t="str">
        <f t="shared" si="24"/>
        <v/>
      </c>
      <c r="R81" s="294" t="str">
        <f t="shared" si="83"/>
        <v/>
      </c>
      <c r="S81" s="295" t="str">
        <f t="shared" si="84"/>
        <v>---</v>
      </c>
      <c r="V81" s="3" t="str">
        <f>IFERROR(VALUE(TEXT(C81,"00")&amp;TEXT(N81,"00")&amp;TEXT(P81,"00")&amp;IF(#REF!="Plato perforado",5,IF(OR(#REF!="N/A",#REF!=""),0,#REF!))),"")</f>
        <v/>
      </c>
      <c r="BC81" s="3" t="str">
        <f t="shared" si="85"/>
        <v/>
      </c>
      <c r="BD81" s="3" t="str">
        <f t="shared" si="86"/>
        <v/>
      </c>
      <c r="BE81" s="3" t="e">
        <f t="shared" si="14"/>
        <v>#VALUE!</v>
      </c>
      <c r="BF81" s="430">
        <v>16</v>
      </c>
      <c r="BG81" s="430">
        <v>8</v>
      </c>
      <c r="BH81" s="121">
        <f t="shared" si="26"/>
        <v>0.88888888888888884</v>
      </c>
      <c r="BI81" s="8">
        <f t="shared" si="15"/>
        <v>488.88888888888886</v>
      </c>
      <c r="BJ81" s="8">
        <f t="shared" si="16"/>
        <v>2</v>
      </c>
      <c r="BK81" s="3">
        <f t="shared" si="27"/>
        <v>1608</v>
      </c>
      <c r="BL81" s="3" t="e">
        <v>#VALUE!</v>
      </c>
      <c r="BW81" s="3">
        <f t="shared" si="87"/>
        <v>0</v>
      </c>
    </row>
    <row r="82" spans="1:75" x14ac:dyDescent="0.3">
      <c r="A82" s="431">
        <v>49</v>
      </c>
      <c r="B82" s="260"/>
      <c r="C82" s="261">
        <f t="shared" si="81"/>
        <v>2</v>
      </c>
      <c r="D82" s="371"/>
      <c r="E82" s="262"/>
      <c r="F82" s="261" t="str">
        <f t="shared" si="88"/>
        <v/>
      </c>
      <c r="G82" s="263" t="str">
        <f t="shared" si="88"/>
        <v/>
      </c>
      <c r="H82" s="264" t="str">
        <f t="shared" si="2"/>
        <v/>
      </c>
      <c r="I82" s="265" t="str">
        <f t="shared" si="3"/>
        <v/>
      </c>
      <c r="J82" s="264" t="str">
        <f t="shared" si="4"/>
        <v/>
      </c>
      <c r="K82" s="264">
        <f t="shared" si="5"/>
        <v>0</v>
      </c>
      <c r="L82" s="266"/>
      <c r="M82" s="267">
        <f t="shared" si="82"/>
        <v>1</v>
      </c>
      <c r="N82" s="465" t="str">
        <f t="shared" si="7"/>
        <v/>
      </c>
      <c r="O82" s="297" t="str">
        <f t="shared" si="8"/>
        <v/>
      </c>
      <c r="P82" s="467" t="str">
        <f t="shared" si="9"/>
        <v/>
      </c>
      <c r="Q82" s="268" t="str">
        <f t="shared" si="24"/>
        <v/>
      </c>
      <c r="R82" s="270" t="str">
        <f t="shared" si="83"/>
        <v/>
      </c>
      <c r="S82" s="271" t="str">
        <f t="shared" si="84"/>
        <v>---</v>
      </c>
      <c r="V82" s="3" t="str">
        <f>IFERROR(VALUE(TEXT(C82,"00")&amp;TEXT(N82,"00")&amp;TEXT(P82,"00")&amp;IF(#REF!="Plato perforado",5,IF(OR(#REF!="N/A",#REF!=""),0,#REF!))),"")</f>
        <v/>
      </c>
      <c r="BC82" s="3" t="str">
        <f t="shared" si="85"/>
        <v/>
      </c>
      <c r="BD82" s="3" t="str">
        <f t="shared" si="86"/>
        <v/>
      </c>
      <c r="BE82" s="3" t="e">
        <f t="shared" si="14"/>
        <v>#VALUE!</v>
      </c>
      <c r="BF82" s="430">
        <v>16</v>
      </c>
      <c r="BG82" s="430">
        <v>10</v>
      </c>
      <c r="BH82" s="121">
        <f t="shared" si="26"/>
        <v>1.1111111111111112</v>
      </c>
      <c r="BI82" s="8">
        <f t="shared" si="15"/>
        <v>611.11111111111109</v>
      </c>
      <c r="BJ82" s="8">
        <f t="shared" si="16"/>
        <v>1.6</v>
      </c>
      <c r="BK82" s="3">
        <f t="shared" si="27"/>
        <v>1610</v>
      </c>
      <c r="BL82" s="3" t="e">
        <v>#VALUE!</v>
      </c>
      <c r="BW82" s="3">
        <f t="shared" si="87"/>
        <v>0</v>
      </c>
    </row>
    <row r="83" spans="1:75" x14ac:dyDescent="0.3">
      <c r="A83" s="431">
        <v>50</v>
      </c>
      <c r="B83" s="272"/>
      <c r="C83" s="273">
        <f t="shared" si="81"/>
        <v>2</v>
      </c>
      <c r="D83" s="372"/>
      <c r="E83" s="274"/>
      <c r="F83" s="273" t="str">
        <f t="shared" si="88"/>
        <v/>
      </c>
      <c r="G83" s="275" t="str">
        <f t="shared" si="88"/>
        <v/>
      </c>
      <c r="H83" s="276" t="str">
        <f t="shared" si="2"/>
        <v/>
      </c>
      <c r="I83" s="277" t="str">
        <f t="shared" si="3"/>
        <v/>
      </c>
      <c r="J83" s="276" t="str">
        <f t="shared" si="4"/>
        <v/>
      </c>
      <c r="K83" s="276">
        <f t="shared" si="5"/>
        <v>0</v>
      </c>
      <c r="L83" s="278"/>
      <c r="M83" s="279">
        <f t="shared" si="82"/>
        <v>1</v>
      </c>
      <c r="N83" s="360" t="str">
        <f t="shared" si="7"/>
        <v/>
      </c>
      <c r="O83" s="117" t="str">
        <f t="shared" si="8"/>
        <v/>
      </c>
      <c r="P83" s="359" t="str">
        <f t="shared" si="9"/>
        <v/>
      </c>
      <c r="Q83" s="280" t="str">
        <f t="shared" si="24"/>
        <v/>
      </c>
      <c r="R83" s="282" t="str">
        <f t="shared" si="83"/>
        <v/>
      </c>
      <c r="S83" s="283" t="str">
        <f t="shared" si="84"/>
        <v>---</v>
      </c>
      <c r="V83" s="3" t="str">
        <f>IFERROR(VALUE(TEXT(C83,"00")&amp;TEXT(N83,"00")&amp;TEXT(P83,"00")&amp;IF(#REF!="Plato perforado",5,IF(OR(#REF!="N/A",#REF!=""),0,#REF!))),"")</f>
        <v/>
      </c>
      <c r="BC83" s="3" t="str">
        <f t="shared" si="85"/>
        <v/>
      </c>
      <c r="BD83" s="3" t="str">
        <f t="shared" si="86"/>
        <v/>
      </c>
      <c r="BE83" s="3" t="e">
        <f t="shared" si="14"/>
        <v>#VALUE!</v>
      </c>
      <c r="BF83" s="430">
        <v>16</v>
      </c>
      <c r="BG83" s="430">
        <v>12</v>
      </c>
      <c r="BH83" s="121">
        <f t="shared" si="26"/>
        <v>1.3333333333333333</v>
      </c>
      <c r="BI83" s="8">
        <f t="shared" si="15"/>
        <v>733.33333333333326</v>
      </c>
      <c r="BJ83" s="8">
        <f t="shared" si="16"/>
        <v>1.3333333333333333</v>
      </c>
      <c r="BK83" s="3">
        <f t="shared" si="27"/>
        <v>1612</v>
      </c>
      <c r="BL83" s="3" t="e">
        <v>#VALUE!</v>
      </c>
      <c r="BW83" s="3">
        <f t="shared" si="87"/>
        <v>0</v>
      </c>
    </row>
    <row r="84" spans="1:75" x14ac:dyDescent="0.3">
      <c r="A84" s="431">
        <v>51</v>
      </c>
      <c r="B84" s="284"/>
      <c r="C84" s="285">
        <f t="shared" si="81"/>
        <v>2</v>
      </c>
      <c r="D84" s="373"/>
      <c r="E84" s="286"/>
      <c r="F84" s="285" t="str">
        <f t="shared" si="88"/>
        <v/>
      </c>
      <c r="G84" s="287" t="str">
        <f t="shared" si="88"/>
        <v/>
      </c>
      <c r="H84" s="288" t="str">
        <f t="shared" si="2"/>
        <v/>
      </c>
      <c r="I84" s="289" t="str">
        <f t="shared" si="3"/>
        <v/>
      </c>
      <c r="J84" s="288" t="str">
        <f t="shared" si="4"/>
        <v/>
      </c>
      <c r="K84" s="288">
        <f t="shared" si="5"/>
        <v>0</v>
      </c>
      <c r="L84" s="290"/>
      <c r="M84" s="291">
        <f t="shared" si="82"/>
        <v>1</v>
      </c>
      <c r="N84" s="466" t="str">
        <f t="shared" si="7"/>
        <v/>
      </c>
      <c r="O84" s="302" t="str">
        <f t="shared" si="8"/>
        <v/>
      </c>
      <c r="P84" s="468" t="str">
        <f t="shared" si="9"/>
        <v/>
      </c>
      <c r="Q84" s="292" t="str">
        <f t="shared" si="24"/>
        <v/>
      </c>
      <c r="R84" s="294" t="str">
        <f t="shared" si="83"/>
        <v/>
      </c>
      <c r="S84" s="295" t="str">
        <f t="shared" si="84"/>
        <v>---</v>
      </c>
      <c r="V84" s="3" t="str">
        <f>IFERROR(VALUE(TEXT(C84,"00")&amp;TEXT(N84,"00")&amp;TEXT(P84,"00")&amp;IF(#REF!="Plato perforado",5,IF(OR(#REF!="N/A",#REF!=""),0,#REF!))),"")</f>
        <v/>
      </c>
      <c r="BC84" s="3" t="str">
        <f t="shared" si="85"/>
        <v/>
      </c>
      <c r="BD84" s="3" t="str">
        <f t="shared" si="86"/>
        <v/>
      </c>
      <c r="BE84" s="3" t="e">
        <f t="shared" si="14"/>
        <v>#VALUE!</v>
      </c>
      <c r="BF84" s="430">
        <v>16</v>
      </c>
      <c r="BG84" s="430">
        <v>14</v>
      </c>
      <c r="BH84" s="121">
        <f t="shared" si="26"/>
        <v>1.5555555555555556</v>
      </c>
      <c r="BI84" s="8">
        <f t="shared" si="15"/>
        <v>855.55555555555554</v>
      </c>
      <c r="BJ84" s="8">
        <f t="shared" si="16"/>
        <v>1.1428571428571428</v>
      </c>
      <c r="BK84" s="3">
        <f t="shared" si="27"/>
        <v>1614</v>
      </c>
      <c r="BL84" s="3" t="e">
        <v>#VALUE!</v>
      </c>
      <c r="BW84" s="3">
        <f t="shared" si="87"/>
        <v>0</v>
      </c>
    </row>
    <row r="85" spans="1:75" x14ac:dyDescent="0.3">
      <c r="A85" s="431">
        <v>52</v>
      </c>
      <c r="B85" s="260"/>
      <c r="C85" s="261">
        <f t="shared" si="81"/>
        <v>2</v>
      </c>
      <c r="D85" s="371"/>
      <c r="E85" s="262"/>
      <c r="F85" s="261" t="str">
        <f t="shared" si="88"/>
        <v/>
      </c>
      <c r="G85" s="263" t="str">
        <f t="shared" si="88"/>
        <v/>
      </c>
      <c r="H85" s="264" t="str">
        <f t="shared" si="2"/>
        <v/>
      </c>
      <c r="I85" s="265" t="str">
        <f t="shared" si="3"/>
        <v/>
      </c>
      <c r="J85" s="264" t="str">
        <f t="shared" si="4"/>
        <v/>
      </c>
      <c r="K85" s="264">
        <f t="shared" si="5"/>
        <v>0</v>
      </c>
      <c r="L85" s="266"/>
      <c r="M85" s="267">
        <f t="shared" si="82"/>
        <v>1</v>
      </c>
      <c r="N85" s="465" t="str">
        <f t="shared" si="7"/>
        <v/>
      </c>
      <c r="O85" s="297" t="str">
        <f t="shared" si="8"/>
        <v/>
      </c>
      <c r="P85" s="467" t="str">
        <f t="shared" si="9"/>
        <v/>
      </c>
      <c r="Q85" s="268" t="str">
        <f t="shared" si="24"/>
        <v/>
      </c>
      <c r="R85" s="270" t="str">
        <f t="shared" si="83"/>
        <v/>
      </c>
      <c r="S85" s="271" t="str">
        <f t="shared" si="84"/>
        <v>---</v>
      </c>
      <c r="V85" s="3" t="str">
        <f>IFERROR(VALUE(TEXT(C85,"00")&amp;TEXT(N85,"00")&amp;TEXT(P85,"00")&amp;IF(#REF!="Plato perforado",5,IF(OR(#REF!="N/A",#REF!=""),0,#REF!))),"")</f>
        <v/>
      </c>
      <c r="BC85" s="3" t="str">
        <f t="shared" si="85"/>
        <v/>
      </c>
      <c r="BD85" s="3" t="str">
        <f t="shared" si="86"/>
        <v/>
      </c>
      <c r="BE85" s="3" t="e">
        <f t="shared" si="14"/>
        <v>#VALUE!</v>
      </c>
      <c r="BF85" s="430">
        <v>16</v>
      </c>
      <c r="BG85" s="430">
        <v>16</v>
      </c>
      <c r="BH85" s="121">
        <f t="shared" si="26"/>
        <v>1.7777777777777777</v>
      </c>
      <c r="BI85" s="8">
        <f t="shared" si="15"/>
        <v>977.77777777777771</v>
      </c>
      <c r="BJ85" s="8">
        <f t="shared" si="16"/>
        <v>1</v>
      </c>
      <c r="BK85" s="3">
        <f t="shared" si="27"/>
        <v>1616</v>
      </c>
      <c r="BL85" s="3" t="e">
        <v>#VALUE!</v>
      </c>
      <c r="BW85" s="3">
        <f t="shared" si="87"/>
        <v>0</v>
      </c>
    </row>
    <row r="86" spans="1:75" x14ac:dyDescent="0.3">
      <c r="A86" s="431">
        <v>53</v>
      </c>
      <c r="B86" s="272"/>
      <c r="C86" s="273">
        <f t="shared" si="81"/>
        <v>2</v>
      </c>
      <c r="D86" s="372"/>
      <c r="E86" s="274"/>
      <c r="F86" s="273" t="str">
        <f t="shared" si="88"/>
        <v/>
      </c>
      <c r="G86" s="275" t="str">
        <f t="shared" si="88"/>
        <v/>
      </c>
      <c r="H86" s="276" t="str">
        <f t="shared" si="2"/>
        <v/>
      </c>
      <c r="I86" s="277" t="str">
        <f t="shared" si="3"/>
        <v/>
      </c>
      <c r="J86" s="276" t="str">
        <f t="shared" si="4"/>
        <v/>
      </c>
      <c r="K86" s="276">
        <f t="shared" si="5"/>
        <v>0</v>
      </c>
      <c r="L86" s="278"/>
      <c r="M86" s="279">
        <f t="shared" si="82"/>
        <v>1</v>
      </c>
      <c r="N86" s="360" t="str">
        <f t="shared" si="7"/>
        <v/>
      </c>
      <c r="O86" s="117" t="str">
        <f t="shared" si="8"/>
        <v/>
      </c>
      <c r="P86" s="359" t="str">
        <f t="shared" si="9"/>
        <v/>
      </c>
      <c r="Q86" s="280" t="str">
        <f t="shared" si="24"/>
        <v/>
      </c>
      <c r="R86" s="282" t="str">
        <f t="shared" si="83"/>
        <v/>
      </c>
      <c r="S86" s="283" t="str">
        <f t="shared" si="84"/>
        <v>---</v>
      </c>
      <c r="V86" s="3" t="str">
        <f>IFERROR(VALUE(TEXT(C86,"00")&amp;TEXT(N86,"00")&amp;TEXT(P86,"00")&amp;IF(#REF!="Plato perforado",5,IF(OR(#REF!="N/A",#REF!=""),0,#REF!))),"")</f>
        <v/>
      </c>
      <c r="BC86" s="3" t="str">
        <f t="shared" si="85"/>
        <v/>
      </c>
      <c r="BD86" s="3" t="str">
        <f t="shared" si="86"/>
        <v/>
      </c>
      <c r="BE86" s="3" t="e">
        <f t="shared" si="14"/>
        <v>#VALUE!</v>
      </c>
      <c r="BF86" s="430">
        <v>16</v>
      </c>
      <c r="BG86" s="430">
        <v>18</v>
      </c>
      <c r="BH86" s="121">
        <f t="shared" si="26"/>
        <v>2</v>
      </c>
      <c r="BI86" s="8">
        <f t="shared" si="15"/>
        <v>1100</v>
      </c>
      <c r="BJ86" s="8">
        <f t="shared" si="16"/>
        <v>0.88888888888888884</v>
      </c>
      <c r="BK86" s="3">
        <f t="shared" si="27"/>
        <v>1618</v>
      </c>
      <c r="BL86" s="3" t="e">
        <v>#VALUE!</v>
      </c>
      <c r="BW86" s="3">
        <f t="shared" si="87"/>
        <v>0</v>
      </c>
    </row>
    <row r="87" spans="1:75" x14ac:dyDescent="0.3">
      <c r="A87" s="431">
        <v>54</v>
      </c>
      <c r="B87" s="284"/>
      <c r="C87" s="285">
        <f t="shared" si="81"/>
        <v>2</v>
      </c>
      <c r="D87" s="373"/>
      <c r="E87" s="286"/>
      <c r="F87" s="285" t="str">
        <f t="shared" si="88"/>
        <v/>
      </c>
      <c r="G87" s="287" t="str">
        <f t="shared" si="88"/>
        <v/>
      </c>
      <c r="H87" s="288" t="str">
        <f t="shared" si="2"/>
        <v/>
      </c>
      <c r="I87" s="289" t="str">
        <f t="shared" si="3"/>
        <v/>
      </c>
      <c r="J87" s="288" t="str">
        <f t="shared" si="4"/>
        <v/>
      </c>
      <c r="K87" s="288">
        <f t="shared" si="5"/>
        <v>0</v>
      </c>
      <c r="L87" s="290"/>
      <c r="M87" s="291">
        <f t="shared" si="82"/>
        <v>1</v>
      </c>
      <c r="N87" s="466" t="str">
        <f t="shared" si="7"/>
        <v/>
      </c>
      <c r="O87" s="302" t="str">
        <f t="shared" si="8"/>
        <v/>
      </c>
      <c r="P87" s="468" t="str">
        <f t="shared" si="9"/>
        <v/>
      </c>
      <c r="Q87" s="292" t="str">
        <f t="shared" si="24"/>
        <v/>
      </c>
      <c r="R87" s="294" t="str">
        <f t="shared" si="83"/>
        <v/>
      </c>
      <c r="S87" s="295" t="str">
        <f t="shared" si="84"/>
        <v>---</v>
      </c>
      <c r="V87" s="3" t="str">
        <f>IFERROR(VALUE(TEXT(C87,"00")&amp;TEXT(N87,"00")&amp;TEXT(P87,"00")&amp;IF(#REF!="Plato perforado",5,IF(OR(#REF!="N/A",#REF!=""),0,#REF!))),"")</f>
        <v/>
      </c>
      <c r="BC87" s="3" t="str">
        <f t="shared" si="85"/>
        <v/>
      </c>
      <c r="BD87" s="3" t="str">
        <f t="shared" si="86"/>
        <v/>
      </c>
      <c r="BE87" s="3" t="e">
        <f t="shared" si="14"/>
        <v>#VALUE!</v>
      </c>
      <c r="BF87" s="430">
        <v>16</v>
      </c>
      <c r="BG87" s="430">
        <v>20</v>
      </c>
      <c r="BH87" s="121">
        <f t="shared" si="26"/>
        <v>2.2222222222222223</v>
      </c>
      <c r="BI87" s="8">
        <f t="shared" si="15"/>
        <v>1222.2222222222222</v>
      </c>
      <c r="BJ87" s="8">
        <f t="shared" si="16"/>
        <v>0.8</v>
      </c>
      <c r="BK87" s="3">
        <f t="shared" si="27"/>
        <v>1620</v>
      </c>
      <c r="BL87" s="3" t="e">
        <v>#VALUE!</v>
      </c>
      <c r="BW87" s="3">
        <f t="shared" si="87"/>
        <v>0</v>
      </c>
    </row>
    <row r="88" spans="1:75" x14ac:dyDescent="0.3">
      <c r="A88" s="431">
        <v>55</v>
      </c>
      <c r="B88" s="260"/>
      <c r="C88" s="261">
        <f t="shared" si="81"/>
        <v>2</v>
      </c>
      <c r="D88" s="371"/>
      <c r="E88" s="262"/>
      <c r="F88" s="261" t="str">
        <f t="shared" si="88"/>
        <v/>
      </c>
      <c r="G88" s="263" t="str">
        <f t="shared" si="88"/>
        <v/>
      </c>
      <c r="H88" s="264" t="str">
        <f t="shared" si="2"/>
        <v/>
      </c>
      <c r="I88" s="265" t="str">
        <f t="shared" si="3"/>
        <v/>
      </c>
      <c r="J88" s="264" t="str">
        <f t="shared" si="4"/>
        <v/>
      </c>
      <c r="K88" s="264">
        <f t="shared" si="5"/>
        <v>0</v>
      </c>
      <c r="L88" s="266"/>
      <c r="M88" s="267">
        <f t="shared" si="82"/>
        <v>1</v>
      </c>
      <c r="N88" s="465" t="str">
        <f t="shared" si="7"/>
        <v/>
      </c>
      <c r="O88" s="297" t="str">
        <f t="shared" si="8"/>
        <v/>
      </c>
      <c r="P88" s="467" t="str">
        <f t="shared" si="9"/>
        <v/>
      </c>
      <c r="Q88" s="268" t="str">
        <f t="shared" si="24"/>
        <v/>
      </c>
      <c r="R88" s="270" t="str">
        <f t="shared" si="83"/>
        <v/>
      </c>
      <c r="S88" s="271" t="str">
        <f t="shared" si="84"/>
        <v>---</v>
      </c>
      <c r="V88" s="3" t="str">
        <f>IFERROR(VALUE(TEXT(C88,"00")&amp;TEXT(N88,"00")&amp;TEXT(P88,"00")&amp;IF(#REF!="Plato perforado",5,IF(OR(#REF!="N/A",#REF!=""),0,#REF!))),"")</f>
        <v/>
      </c>
      <c r="BC88" s="3" t="str">
        <f t="shared" si="85"/>
        <v/>
      </c>
      <c r="BD88" s="3" t="str">
        <f t="shared" si="86"/>
        <v/>
      </c>
      <c r="BE88" s="3" t="e">
        <f t="shared" si="14"/>
        <v>#VALUE!</v>
      </c>
      <c r="BF88" s="430">
        <v>16</v>
      </c>
      <c r="BG88" s="430">
        <v>22</v>
      </c>
      <c r="BH88" s="121">
        <f t="shared" si="26"/>
        <v>2.4444444444444442</v>
      </c>
      <c r="BI88" s="8">
        <f t="shared" si="15"/>
        <v>1344.4444444444443</v>
      </c>
      <c r="BJ88" s="8">
        <f t="shared" si="16"/>
        <v>0.72727272727272729</v>
      </c>
      <c r="BK88" s="3">
        <f t="shared" si="27"/>
        <v>1622</v>
      </c>
      <c r="BL88" s="3" t="e">
        <v>#VALUE!</v>
      </c>
      <c r="BW88" s="3">
        <f t="shared" si="87"/>
        <v>0</v>
      </c>
    </row>
    <row r="89" spans="1:75" x14ac:dyDescent="0.3">
      <c r="A89" s="431">
        <v>56</v>
      </c>
      <c r="B89" s="272"/>
      <c r="C89" s="273">
        <f t="shared" si="81"/>
        <v>2</v>
      </c>
      <c r="D89" s="372"/>
      <c r="E89" s="274"/>
      <c r="F89" s="273" t="str">
        <f t="shared" si="88"/>
        <v/>
      </c>
      <c r="G89" s="275" t="str">
        <f t="shared" si="88"/>
        <v/>
      </c>
      <c r="H89" s="276" t="str">
        <f t="shared" si="2"/>
        <v/>
      </c>
      <c r="I89" s="277" t="str">
        <f t="shared" si="3"/>
        <v/>
      </c>
      <c r="J89" s="276" t="str">
        <f t="shared" si="4"/>
        <v/>
      </c>
      <c r="K89" s="276">
        <f t="shared" si="5"/>
        <v>0</v>
      </c>
      <c r="L89" s="278"/>
      <c r="M89" s="279">
        <f t="shared" si="82"/>
        <v>1</v>
      </c>
      <c r="N89" s="360" t="str">
        <f t="shared" si="7"/>
        <v/>
      </c>
      <c r="O89" s="117" t="str">
        <f t="shared" si="8"/>
        <v/>
      </c>
      <c r="P89" s="359" t="str">
        <f t="shared" si="9"/>
        <v/>
      </c>
      <c r="Q89" s="280" t="str">
        <f t="shared" si="24"/>
        <v/>
      </c>
      <c r="R89" s="282" t="str">
        <f t="shared" si="83"/>
        <v/>
      </c>
      <c r="S89" s="283" t="str">
        <f t="shared" si="84"/>
        <v>---</v>
      </c>
      <c r="V89" s="3" t="str">
        <f>IFERROR(VALUE(TEXT(C89,"00")&amp;TEXT(N89,"00")&amp;TEXT(P89,"00")&amp;IF(#REF!="Plato perforado",5,IF(OR(#REF!="N/A",#REF!=""),0,#REF!))),"")</f>
        <v/>
      </c>
      <c r="BC89" s="3" t="str">
        <f t="shared" si="85"/>
        <v/>
      </c>
      <c r="BD89" s="3" t="str">
        <f t="shared" si="86"/>
        <v/>
      </c>
      <c r="BE89" s="3" t="e">
        <f t="shared" si="14"/>
        <v>#VALUE!</v>
      </c>
      <c r="BF89" s="430">
        <v>16</v>
      </c>
      <c r="BG89" s="430">
        <v>24</v>
      </c>
      <c r="BH89" s="121">
        <f t="shared" si="26"/>
        <v>2.6666666666666665</v>
      </c>
      <c r="BI89" s="8">
        <f t="shared" si="15"/>
        <v>1466.6666666666665</v>
      </c>
      <c r="BJ89" s="8">
        <f t="shared" si="16"/>
        <v>0.66666666666666663</v>
      </c>
      <c r="BK89" s="3">
        <f t="shared" si="27"/>
        <v>1624</v>
      </c>
      <c r="BL89" s="3" t="e">
        <v>#VALUE!</v>
      </c>
      <c r="BW89" s="3">
        <f t="shared" si="87"/>
        <v>0</v>
      </c>
    </row>
    <row r="90" spans="1:75" x14ac:dyDescent="0.3">
      <c r="A90" s="431">
        <v>57</v>
      </c>
      <c r="B90" s="284"/>
      <c r="C90" s="285">
        <f t="shared" si="81"/>
        <v>2</v>
      </c>
      <c r="D90" s="373"/>
      <c r="E90" s="286"/>
      <c r="F90" s="285" t="str">
        <f t="shared" si="88"/>
        <v/>
      </c>
      <c r="G90" s="287" t="str">
        <f t="shared" si="88"/>
        <v/>
      </c>
      <c r="H90" s="288" t="str">
        <f t="shared" si="2"/>
        <v/>
      </c>
      <c r="I90" s="289" t="str">
        <f t="shared" si="3"/>
        <v/>
      </c>
      <c r="J90" s="288" t="str">
        <f t="shared" si="4"/>
        <v/>
      </c>
      <c r="K90" s="288">
        <f t="shared" si="5"/>
        <v>0</v>
      </c>
      <c r="L90" s="290"/>
      <c r="M90" s="291">
        <f t="shared" si="82"/>
        <v>1</v>
      </c>
      <c r="N90" s="466" t="str">
        <f t="shared" si="7"/>
        <v/>
      </c>
      <c r="O90" s="302" t="str">
        <f t="shared" si="8"/>
        <v/>
      </c>
      <c r="P90" s="468" t="str">
        <f t="shared" si="9"/>
        <v/>
      </c>
      <c r="Q90" s="292" t="str">
        <f t="shared" si="24"/>
        <v/>
      </c>
      <c r="R90" s="294" t="str">
        <f t="shared" si="83"/>
        <v/>
      </c>
      <c r="S90" s="295" t="str">
        <f t="shared" si="84"/>
        <v>---</v>
      </c>
      <c r="V90" s="3" t="str">
        <f>IFERROR(VALUE(TEXT(C90,"00")&amp;TEXT(N90,"00")&amp;TEXT(P90,"00")&amp;IF(#REF!="Plato perforado",5,IF(OR(#REF!="N/A",#REF!=""),0,#REF!))),"")</f>
        <v/>
      </c>
      <c r="BC90" s="3" t="str">
        <f t="shared" si="85"/>
        <v/>
      </c>
      <c r="BD90" s="3" t="str">
        <f t="shared" si="86"/>
        <v/>
      </c>
      <c r="BE90" s="3" t="e">
        <f t="shared" si="14"/>
        <v>#VALUE!</v>
      </c>
      <c r="BF90" s="430">
        <v>18</v>
      </c>
      <c r="BG90" s="430">
        <v>8</v>
      </c>
      <c r="BH90" s="121">
        <f t="shared" si="26"/>
        <v>1</v>
      </c>
      <c r="BI90" s="8">
        <f t="shared" si="15"/>
        <v>550</v>
      </c>
      <c r="BJ90" s="8">
        <f t="shared" si="16"/>
        <v>2.25</v>
      </c>
      <c r="BK90" s="3">
        <f t="shared" si="27"/>
        <v>1808</v>
      </c>
      <c r="BL90" s="3" t="e">
        <v>#VALUE!</v>
      </c>
      <c r="BW90" s="3">
        <f t="shared" si="87"/>
        <v>0</v>
      </c>
    </row>
    <row r="91" spans="1:75" x14ac:dyDescent="0.3">
      <c r="A91" s="431">
        <v>58</v>
      </c>
      <c r="B91" s="260"/>
      <c r="C91" s="261">
        <f t="shared" si="81"/>
        <v>2</v>
      </c>
      <c r="D91" s="371"/>
      <c r="E91" s="262"/>
      <c r="F91" s="261" t="str">
        <f t="shared" si="88"/>
        <v/>
      </c>
      <c r="G91" s="263" t="str">
        <f t="shared" si="88"/>
        <v/>
      </c>
      <c r="H91" s="264" t="str">
        <f t="shared" si="2"/>
        <v/>
      </c>
      <c r="I91" s="265" t="str">
        <f t="shared" si="3"/>
        <v/>
      </c>
      <c r="J91" s="264" t="str">
        <f t="shared" si="4"/>
        <v/>
      </c>
      <c r="K91" s="264">
        <f t="shared" si="5"/>
        <v>0</v>
      </c>
      <c r="L91" s="266"/>
      <c r="M91" s="267">
        <f t="shared" si="82"/>
        <v>1</v>
      </c>
      <c r="N91" s="465" t="str">
        <f t="shared" si="7"/>
        <v/>
      </c>
      <c r="O91" s="297" t="str">
        <f t="shared" si="8"/>
        <v/>
      </c>
      <c r="P91" s="467" t="str">
        <f t="shared" si="9"/>
        <v/>
      </c>
      <c r="Q91" s="268" t="str">
        <f t="shared" si="24"/>
        <v/>
      </c>
      <c r="R91" s="270" t="str">
        <f t="shared" si="83"/>
        <v/>
      </c>
      <c r="S91" s="271" t="str">
        <f t="shared" si="84"/>
        <v>---</v>
      </c>
      <c r="V91" s="3" t="str">
        <f>IFERROR(VALUE(TEXT(C91,"00")&amp;TEXT(N91,"00")&amp;TEXT(P91,"00")&amp;IF(#REF!="Plato perforado",5,IF(OR(#REF!="N/A",#REF!=""),0,#REF!))),"")</f>
        <v/>
      </c>
      <c r="BC91" s="3" t="str">
        <f t="shared" si="85"/>
        <v/>
      </c>
      <c r="BD91" s="3" t="str">
        <f t="shared" si="86"/>
        <v/>
      </c>
      <c r="BE91" s="3" t="e">
        <f t="shared" si="14"/>
        <v>#VALUE!</v>
      </c>
      <c r="BF91" s="430">
        <v>18</v>
      </c>
      <c r="BG91" s="430">
        <v>10</v>
      </c>
      <c r="BH91" s="121">
        <f t="shared" si="26"/>
        <v>1.25</v>
      </c>
      <c r="BI91" s="8">
        <f t="shared" si="15"/>
        <v>687.5</v>
      </c>
      <c r="BJ91" s="8">
        <f t="shared" si="16"/>
        <v>1.8</v>
      </c>
      <c r="BK91" s="3">
        <f t="shared" si="27"/>
        <v>1810</v>
      </c>
      <c r="BL91" s="3" t="e">
        <v>#VALUE!</v>
      </c>
      <c r="BW91" s="3">
        <f t="shared" si="87"/>
        <v>0</v>
      </c>
    </row>
    <row r="92" spans="1:75" x14ac:dyDescent="0.3">
      <c r="A92" s="431">
        <v>59</v>
      </c>
      <c r="B92" s="272"/>
      <c r="C92" s="273">
        <f t="shared" si="81"/>
        <v>2</v>
      </c>
      <c r="D92" s="372"/>
      <c r="E92" s="274"/>
      <c r="F92" s="273" t="str">
        <f t="shared" si="88"/>
        <v/>
      </c>
      <c r="G92" s="275" t="str">
        <f t="shared" si="88"/>
        <v/>
      </c>
      <c r="H92" s="276" t="str">
        <f t="shared" si="2"/>
        <v/>
      </c>
      <c r="I92" s="277" t="str">
        <f t="shared" si="3"/>
        <v/>
      </c>
      <c r="J92" s="276" t="str">
        <f t="shared" si="4"/>
        <v/>
      </c>
      <c r="K92" s="276">
        <f t="shared" si="5"/>
        <v>0</v>
      </c>
      <c r="L92" s="278"/>
      <c r="M92" s="279">
        <f t="shared" si="82"/>
        <v>1</v>
      </c>
      <c r="N92" s="360" t="str">
        <f t="shared" si="7"/>
        <v/>
      </c>
      <c r="O92" s="117" t="str">
        <f t="shared" si="8"/>
        <v/>
      </c>
      <c r="P92" s="359" t="str">
        <f t="shared" si="9"/>
        <v/>
      </c>
      <c r="Q92" s="280" t="str">
        <f t="shared" si="24"/>
        <v/>
      </c>
      <c r="R92" s="282" t="str">
        <f t="shared" si="83"/>
        <v/>
      </c>
      <c r="S92" s="283" t="str">
        <f t="shared" si="84"/>
        <v>---</v>
      </c>
      <c r="V92" s="3" t="str">
        <f>IFERROR(VALUE(TEXT(C92,"00")&amp;TEXT(N92,"00")&amp;TEXT(P92,"00")&amp;IF(#REF!="Plato perforado",5,IF(OR(#REF!="N/A",#REF!=""),0,#REF!))),"")</f>
        <v/>
      </c>
      <c r="BC92" s="3" t="str">
        <f t="shared" si="85"/>
        <v/>
      </c>
      <c r="BD92" s="3" t="str">
        <f t="shared" si="86"/>
        <v/>
      </c>
      <c r="BE92" s="3" t="e">
        <f t="shared" si="14"/>
        <v>#VALUE!</v>
      </c>
      <c r="BF92" s="430">
        <v>18</v>
      </c>
      <c r="BG92" s="430">
        <v>12</v>
      </c>
      <c r="BH92" s="121">
        <f t="shared" si="26"/>
        <v>1.5</v>
      </c>
      <c r="BI92" s="8">
        <f t="shared" si="15"/>
        <v>825</v>
      </c>
      <c r="BJ92" s="8">
        <f t="shared" si="16"/>
        <v>1.5</v>
      </c>
      <c r="BK92" s="3">
        <f t="shared" si="27"/>
        <v>1812</v>
      </c>
      <c r="BL92" s="3" t="e">
        <v>#VALUE!</v>
      </c>
      <c r="BW92" s="3">
        <f t="shared" si="87"/>
        <v>0</v>
      </c>
    </row>
    <row r="93" spans="1:75" x14ac:dyDescent="0.3">
      <c r="A93" s="431">
        <v>60</v>
      </c>
      <c r="B93" s="284"/>
      <c r="C93" s="285">
        <f t="shared" si="81"/>
        <v>2</v>
      </c>
      <c r="D93" s="373"/>
      <c r="E93" s="286"/>
      <c r="F93" s="285" t="str">
        <f t="shared" si="88"/>
        <v/>
      </c>
      <c r="G93" s="287" t="str">
        <f t="shared" si="88"/>
        <v/>
      </c>
      <c r="H93" s="288" t="str">
        <f t="shared" si="2"/>
        <v/>
      </c>
      <c r="I93" s="289" t="str">
        <f t="shared" si="3"/>
        <v/>
      </c>
      <c r="J93" s="288" t="str">
        <f t="shared" si="4"/>
        <v/>
      </c>
      <c r="K93" s="288">
        <f t="shared" si="5"/>
        <v>0</v>
      </c>
      <c r="L93" s="290"/>
      <c r="M93" s="291">
        <f t="shared" si="82"/>
        <v>1</v>
      </c>
      <c r="N93" s="466" t="str">
        <f t="shared" si="7"/>
        <v/>
      </c>
      <c r="O93" s="302" t="str">
        <f t="shared" si="8"/>
        <v/>
      </c>
      <c r="P93" s="468" t="str">
        <f t="shared" si="9"/>
        <v/>
      </c>
      <c r="Q93" s="292" t="str">
        <f t="shared" si="24"/>
        <v/>
      </c>
      <c r="R93" s="294" t="str">
        <f t="shared" si="83"/>
        <v/>
      </c>
      <c r="S93" s="295" t="str">
        <f t="shared" si="84"/>
        <v>---</v>
      </c>
      <c r="V93" s="3" t="str">
        <f>IFERROR(VALUE(TEXT(C93,"00")&amp;TEXT(N93,"00")&amp;TEXT(P93,"00")&amp;IF(#REF!="Plato perforado",5,IF(OR(#REF!="N/A",#REF!=""),0,#REF!))),"")</f>
        <v/>
      </c>
      <c r="BC93" s="3" t="str">
        <f t="shared" si="85"/>
        <v/>
      </c>
      <c r="BD93" s="3" t="str">
        <f t="shared" si="86"/>
        <v/>
      </c>
      <c r="BE93" s="3" t="e">
        <f t="shared" si="14"/>
        <v>#VALUE!</v>
      </c>
      <c r="BF93" s="430">
        <v>18</v>
      </c>
      <c r="BG93" s="430">
        <v>14</v>
      </c>
      <c r="BH93" s="121">
        <f t="shared" si="26"/>
        <v>1.75</v>
      </c>
      <c r="BI93" s="8">
        <f t="shared" si="15"/>
        <v>962.5</v>
      </c>
      <c r="BJ93" s="8">
        <f t="shared" si="16"/>
        <v>1.2857142857142858</v>
      </c>
      <c r="BK93" s="3">
        <f t="shared" si="27"/>
        <v>1814</v>
      </c>
      <c r="BL93" s="3" t="e">
        <v>#VALUE!</v>
      </c>
      <c r="BW93" s="3">
        <f t="shared" si="87"/>
        <v>0</v>
      </c>
    </row>
    <row r="94" spans="1:75" x14ac:dyDescent="0.3">
      <c r="A94" s="431">
        <v>61</v>
      </c>
      <c r="B94" s="260"/>
      <c r="C94" s="261">
        <f t="shared" si="81"/>
        <v>2</v>
      </c>
      <c r="D94" s="371"/>
      <c r="E94" s="262"/>
      <c r="F94" s="261" t="str">
        <f t="shared" ref="F94:G113" si="89">IFERROR(VLOOKUP($E94,DMFA,F$29,FALSE),"")</f>
        <v/>
      </c>
      <c r="G94" s="263" t="str">
        <f t="shared" si="89"/>
        <v/>
      </c>
      <c r="H94" s="264" t="str">
        <f t="shared" si="2"/>
        <v/>
      </c>
      <c r="I94" s="265" t="str">
        <f t="shared" si="3"/>
        <v/>
      </c>
      <c r="J94" s="264" t="str">
        <f t="shared" si="4"/>
        <v/>
      </c>
      <c r="K94" s="264">
        <f t="shared" si="5"/>
        <v>0</v>
      </c>
      <c r="L94" s="266"/>
      <c r="M94" s="267">
        <f t="shared" si="82"/>
        <v>1</v>
      </c>
      <c r="N94" s="465" t="str">
        <f t="shared" si="7"/>
        <v/>
      </c>
      <c r="O94" s="297" t="str">
        <f t="shared" si="8"/>
        <v/>
      </c>
      <c r="P94" s="467" t="str">
        <f t="shared" si="9"/>
        <v/>
      </c>
      <c r="Q94" s="268" t="str">
        <f t="shared" si="24"/>
        <v/>
      </c>
      <c r="R94" s="270" t="str">
        <f t="shared" si="83"/>
        <v/>
      </c>
      <c r="S94" s="271" t="str">
        <f t="shared" si="84"/>
        <v>---</v>
      </c>
      <c r="V94" s="3" t="str">
        <f>IFERROR(VALUE(TEXT(C94,"00")&amp;TEXT(N94,"00")&amp;TEXT(P94,"00")&amp;IF(#REF!="Plato perforado",5,IF(OR(#REF!="N/A",#REF!=""),0,#REF!))),"")</f>
        <v/>
      </c>
      <c r="BC94" s="3" t="str">
        <f t="shared" si="85"/>
        <v/>
      </c>
      <c r="BD94" s="3" t="str">
        <f t="shared" si="86"/>
        <v/>
      </c>
      <c r="BE94" s="3" t="e">
        <f t="shared" si="14"/>
        <v>#VALUE!</v>
      </c>
      <c r="BF94" s="430">
        <v>18</v>
      </c>
      <c r="BG94" s="430">
        <v>16</v>
      </c>
      <c r="BH94" s="121">
        <f t="shared" si="26"/>
        <v>2</v>
      </c>
      <c r="BI94" s="8">
        <f t="shared" si="15"/>
        <v>1100</v>
      </c>
      <c r="BJ94" s="8">
        <f t="shared" si="16"/>
        <v>1.125</v>
      </c>
      <c r="BK94" s="3">
        <f t="shared" si="27"/>
        <v>1816</v>
      </c>
      <c r="BL94" s="3" t="e">
        <v>#VALUE!</v>
      </c>
      <c r="BW94" s="3">
        <f t="shared" si="87"/>
        <v>0</v>
      </c>
    </row>
    <row r="95" spans="1:75" x14ac:dyDescent="0.3">
      <c r="A95" s="431">
        <v>62</v>
      </c>
      <c r="B95" s="272"/>
      <c r="C95" s="273">
        <f t="shared" si="81"/>
        <v>2</v>
      </c>
      <c r="D95" s="372"/>
      <c r="E95" s="274"/>
      <c r="F95" s="273" t="str">
        <f t="shared" si="89"/>
        <v/>
      </c>
      <c r="G95" s="275" t="str">
        <f t="shared" si="89"/>
        <v/>
      </c>
      <c r="H95" s="276" t="str">
        <f t="shared" si="2"/>
        <v/>
      </c>
      <c r="I95" s="277" t="str">
        <f t="shared" si="3"/>
        <v/>
      </c>
      <c r="J95" s="276" t="str">
        <f t="shared" si="4"/>
        <v/>
      </c>
      <c r="K95" s="276">
        <f t="shared" si="5"/>
        <v>0</v>
      </c>
      <c r="L95" s="278"/>
      <c r="M95" s="279">
        <f t="shared" si="82"/>
        <v>1</v>
      </c>
      <c r="N95" s="360" t="str">
        <f t="shared" si="7"/>
        <v/>
      </c>
      <c r="O95" s="117" t="str">
        <f t="shared" si="8"/>
        <v/>
      </c>
      <c r="P95" s="359" t="str">
        <f t="shared" si="9"/>
        <v/>
      </c>
      <c r="Q95" s="280" t="str">
        <f t="shared" si="24"/>
        <v/>
      </c>
      <c r="R95" s="282" t="str">
        <f t="shared" si="83"/>
        <v/>
      </c>
      <c r="S95" s="283" t="str">
        <f t="shared" si="84"/>
        <v>---</v>
      </c>
      <c r="V95" s="3" t="str">
        <f>IFERROR(VALUE(TEXT(C95,"00")&amp;TEXT(N95,"00")&amp;TEXT(P95,"00")&amp;IF(#REF!="Plato perforado",5,IF(OR(#REF!="N/A",#REF!=""),0,#REF!))),"")</f>
        <v/>
      </c>
      <c r="BC95" s="3" t="str">
        <f t="shared" si="85"/>
        <v/>
      </c>
      <c r="BD95" s="3" t="str">
        <f t="shared" si="86"/>
        <v/>
      </c>
      <c r="BE95" s="3" t="e">
        <f t="shared" si="14"/>
        <v>#VALUE!</v>
      </c>
      <c r="BF95" s="430">
        <v>18</v>
      </c>
      <c r="BG95" s="430">
        <v>18</v>
      </c>
      <c r="BH95" s="121">
        <f t="shared" si="26"/>
        <v>2.25</v>
      </c>
      <c r="BI95" s="8">
        <f t="shared" si="15"/>
        <v>1237.5</v>
      </c>
      <c r="BJ95" s="8">
        <f t="shared" si="16"/>
        <v>1</v>
      </c>
      <c r="BK95" s="3">
        <f t="shared" si="27"/>
        <v>1818</v>
      </c>
      <c r="BL95" s="3" t="e">
        <v>#VALUE!</v>
      </c>
      <c r="BW95" s="3">
        <f t="shared" si="87"/>
        <v>0</v>
      </c>
    </row>
    <row r="96" spans="1:75" x14ac:dyDescent="0.3">
      <c r="A96" s="431">
        <v>63</v>
      </c>
      <c r="B96" s="284"/>
      <c r="C96" s="285">
        <f t="shared" si="81"/>
        <v>2</v>
      </c>
      <c r="D96" s="373"/>
      <c r="E96" s="286"/>
      <c r="F96" s="285" t="str">
        <f t="shared" si="89"/>
        <v/>
      </c>
      <c r="G96" s="287" t="str">
        <f t="shared" si="89"/>
        <v/>
      </c>
      <c r="H96" s="288" t="str">
        <f t="shared" si="2"/>
        <v/>
      </c>
      <c r="I96" s="289" t="str">
        <f t="shared" si="3"/>
        <v/>
      </c>
      <c r="J96" s="288" t="str">
        <f t="shared" si="4"/>
        <v/>
      </c>
      <c r="K96" s="288">
        <f t="shared" si="5"/>
        <v>0</v>
      </c>
      <c r="L96" s="290"/>
      <c r="M96" s="291">
        <f t="shared" si="82"/>
        <v>1</v>
      </c>
      <c r="N96" s="466" t="str">
        <f t="shared" si="7"/>
        <v/>
      </c>
      <c r="O96" s="302" t="str">
        <f t="shared" si="8"/>
        <v/>
      </c>
      <c r="P96" s="468" t="str">
        <f t="shared" si="9"/>
        <v/>
      </c>
      <c r="Q96" s="292" t="str">
        <f t="shared" si="24"/>
        <v/>
      </c>
      <c r="R96" s="294" t="str">
        <f t="shared" si="83"/>
        <v/>
      </c>
      <c r="S96" s="295" t="str">
        <f t="shared" si="84"/>
        <v>---</v>
      </c>
      <c r="V96" s="3" t="str">
        <f>IFERROR(VALUE(TEXT(C96,"00")&amp;TEXT(N96,"00")&amp;TEXT(P96,"00")&amp;IF(#REF!="Plato perforado",5,IF(OR(#REF!="N/A",#REF!=""),0,#REF!))),"")</f>
        <v/>
      </c>
      <c r="BC96" s="3" t="str">
        <f t="shared" si="85"/>
        <v/>
      </c>
      <c r="BD96" s="3" t="str">
        <f t="shared" si="86"/>
        <v/>
      </c>
      <c r="BE96" s="3" t="e">
        <f t="shared" si="14"/>
        <v>#VALUE!</v>
      </c>
      <c r="BF96" s="430">
        <v>18</v>
      </c>
      <c r="BG96" s="430">
        <v>20</v>
      </c>
      <c r="BH96" s="121">
        <f t="shared" si="26"/>
        <v>2.5</v>
      </c>
      <c r="BI96" s="8">
        <f t="shared" si="15"/>
        <v>1375</v>
      </c>
      <c r="BJ96" s="8">
        <f t="shared" si="16"/>
        <v>0.9</v>
      </c>
      <c r="BK96" s="3">
        <f t="shared" si="27"/>
        <v>1820</v>
      </c>
      <c r="BL96" s="3" t="e">
        <v>#VALUE!</v>
      </c>
      <c r="BW96" s="3">
        <f t="shared" si="87"/>
        <v>0</v>
      </c>
    </row>
    <row r="97" spans="1:75" x14ac:dyDescent="0.3">
      <c r="A97" s="431">
        <v>64</v>
      </c>
      <c r="B97" s="260"/>
      <c r="C97" s="261">
        <f t="shared" si="81"/>
        <v>2</v>
      </c>
      <c r="D97" s="371"/>
      <c r="E97" s="262"/>
      <c r="F97" s="261" t="str">
        <f t="shared" si="89"/>
        <v/>
      </c>
      <c r="G97" s="263" t="str">
        <f t="shared" si="89"/>
        <v/>
      </c>
      <c r="H97" s="264" t="str">
        <f t="shared" si="2"/>
        <v/>
      </c>
      <c r="I97" s="265" t="str">
        <f t="shared" si="3"/>
        <v/>
      </c>
      <c r="J97" s="264" t="str">
        <f t="shared" si="4"/>
        <v/>
      </c>
      <c r="K97" s="264">
        <f t="shared" si="5"/>
        <v>0</v>
      </c>
      <c r="L97" s="266"/>
      <c r="M97" s="267">
        <f t="shared" si="82"/>
        <v>1</v>
      </c>
      <c r="N97" s="465" t="str">
        <f t="shared" si="7"/>
        <v/>
      </c>
      <c r="O97" s="297" t="str">
        <f t="shared" si="8"/>
        <v/>
      </c>
      <c r="P97" s="467" t="str">
        <f t="shared" si="9"/>
        <v/>
      </c>
      <c r="Q97" s="268" t="str">
        <f t="shared" si="24"/>
        <v/>
      </c>
      <c r="R97" s="270" t="str">
        <f t="shared" si="83"/>
        <v/>
      </c>
      <c r="S97" s="271" t="str">
        <f t="shared" si="84"/>
        <v>---</v>
      </c>
      <c r="V97" s="3" t="str">
        <f>IFERROR(VALUE(TEXT(C97,"00")&amp;TEXT(N97,"00")&amp;TEXT(P97,"00")&amp;IF(#REF!="Plato perforado",5,IF(OR(#REF!="N/A",#REF!=""),0,#REF!))),"")</f>
        <v/>
      </c>
      <c r="BC97" s="3" t="str">
        <f t="shared" si="85"/>
        <v/>
      </c>
      <c r="BD97" s="3" t="str">
        <f t="shared" si="86"/>
        <v/>
      </c>
      <c r="BE97" s="3" t="e">
        <f t="shared" si="14"/>
        <v>#VALUE!</v>
      </c>
      <c r="BF97" s="430">
        <v>20</v>
      </c>
      <c r="BG97" s="430">
        <v>10</v>
      </c>
      <c r="BH97" s="121">
        <f t="shared" si="26"/>
        <v>1.3888888888888891</v>
      </c>
      <c r="BI97" s="8">
        <f t="shared" si="15"/>
        <v>763.88888888888903</v>
      </c>
      <c r="BJ97" s="8">
        <f t="shared" si="16"/>
        <v>2</v>
      </c>
      <c r="BK97" s="3">
        <f t="shared" si="27"/>
        <v>2010</v>
      </c>
      <c r="BL97" s="3" t="e">
        <v>#VALUE!</v>
      </c>
      <c r="BW97" s="3">
        <f t="shared" si="87"/>
        <v>0</v>
      </c>
    </row>
    <row r="98" spans="1:75" x14ac:dyDescent="0.3">
      <c r="A98" s="431">
        <v>65</v>
      </c>
      <c r="B98" s="272"/>
      <c r="C98" s="273">
        <f t="shared" ref="C98:C129" si="90">IF(B98="RR",1,2)</f>
        <v>2</v>
      </c>
      <c r="D98" s="372"/>
      <c r="E98" s="274"/>
      <c r="F98" s="273" t="str">
        <f t="shared" si="89"/>
        <v/>
      </c>
      <c r="G98" s="275" t="str">
        <f t="shared" si="89"/>
        <v/>
      </c>
      <c r="H98" s="276" t="str">
        <f t="shared" ref="H98:H161" si="91">IF(COUNTIF($E$34:$E$183,E98)=0,"",COUNTIF($E$34:$E$183,E98))</f>
        <v/>
      </c>
      <c r="I98" s="277" t="str">
        <f t="shared" si="3"/>
        <v/>
      </c>
      <c r="J98" s="276" t="str">
        <f t="shared" ref="J98:J161" si="92">IF(I98="","",TEXT(I98/G98,"0.0 %"))</f>
        <v/>
      </c>
      <c r="K98" s="276">
        <f t="shared" ref="K98:K161" si="93">IF(C98=1,$J$16,IF(C98=2,$J$17,IF(C98=3,$J$18,0)))</f>
        <v>0</v>
      </c>
      <c r="L98" s="278"/>
      <c r="M98" s="279">
        <f t="shared" ref="M98:M129" si="94">IF(OR(L98=0,C98=2),1,L98)</f>
        <v>1</v>
      </c>
      <c r="N98" s="360" t="str">
        <f t="shared" ref="N98:N161" si="95">IFERROR(MAX(_xlfn.CEILING.MATH(SQRT(I98/(M98*INDEX($D$16:$D$18,C98)))*12,INDEX($J$16:$J$18,C98)),INDEX($L$16:$L$18,C98)),"")</f>
        <v/>
      </c>
      <c r="O98" s="117" t="str">
        <f t="shared" ref="O98:O161" si="96">IF(I98="","","×")</f>
        <v/>
      </c>
      <c r="P98" s="359" t="str">
        <f t="shared" ref="P98:P161" si="97">IFERROR(MAX(_xlfn.CEILING.MATH(SQRT((I98*M98)/INDEX($D$16:$D$18,C98))*12,INDEX($J$16:$J$18,C98)),INDEX($L$16:$L$18,C98)),"")</f>
        <v/>
      </c>
      <c r="Q98" s="280" t="str">
        <f t="shared" si="24"/>
        <v/>
      </c>
      <c r="R98" s="282" t="str">
        <f t="shared" ref="R98:R129" si="98">IF(C98=1,IF(N98&gt;=P98,"FL","FS"),IF(I98="","","N/A"))</f>
        <v/>
      </c>
      <c r="S98" s="283" t="str">
        <f t="shared" ref="S98:S129" si="99">IFERROR(IF(C98=1,(0.000000275)*Q98^1.993,"---"),"")</f>
        <v>---</v>
      </c>
      <c r="V98" s="3" t="str">
        <f>IFERROR(VALUE(TEXT(C98,"00")&amp;TEXT(N98,"00")&amp;TEXT(P98,"00")&amp;IF(#REF!="Plato perforado",5,IF(OR(#REF!="N/A",#REF!=""),0,#REF!))),"")</f>
        <v/>
      </c>
      <c r="BC98" s="3" t="str">
        <f t="shared" ref="BC98:BC129" si="100">IF(C98=2,N98,0)</f>
        <v/>
      </c>
      <c r="BD98" s="3" t="str">
        <f t="shared" ref="BD98:BD129" si="101">IF(C98=2,P98,0)</f>
        <v/>
      </c>
      <c r="BE98" s="3" t="e">
        <f t="shared" ref="BE98:BE161" si="102">VALUE(TEXT(BC98,"00")&amp;TEXT(BD98,"00"))</f>
        <v>#VALUE!</v>
      </c>
      <c r="BF98" s="430">
        <v>20</v>
      </c>
      <c r="BG98" s="430">
        <v>12</v>
      </c>
      <c r="BH98" s="121">
        <f t="shared" si="26"/>
        <v>1.6666666666666667</v>
      </c>
      <c r="BI98" s="8">
        <f t="shared" ref="BI98:BI114" si="103">BH98*$BI$31</f>
        <v>916.66666666666674</v>
      </c>
      <c r="BJ98" s="8">
        <f t="shared" ref="BJ98:BJ109" si="104">BF98/BG98</f>
        <v>1.6666666666666667</v>
      </c>
      <c r="BK98" s="3">
        <f t="shared" si="27"/>
        <v>2012</v>
      </c>
      <c r="BL98" s="3" t="e">
        <v>#VALUE!</v>
      </c>
      <c r="BW98" s="3">
        <f t="shared" ref="BW98:BW129" si="105">IF(C98=3,R98,0)</f>
        <v>0</v>
      </c>
    </row>
    <row r="99" spans="1:75" x14ac:dyDescent="0.3">
      <c r="A99" s="431">
        <v>66</v>
      </c>
      <c r="B99" s="284"/>
      <c r="C99" s="285">
        <f t="shared" si="90"/>
        <v>2</v>
      </c>
      <c r="D99" s="373"/>
      <c r="E99" s="286"/>
      <c r="F99" s="285" t="str">
        <f t="shared" si="89"/>
        <v/>
      </c>
      <c r="G99" s="287" t="str">
        <f t="shared" si="89"/>
        <v/>
      </c>
      <c r="H99" s="288" t="str">
        <f t="shared" si="91"/>
        <v/>
      </c>
      <c r="I99" s="289" t="str">
        <f t="shared" ref="I99:I162" si="106">IF(OR(G99="",H99=""),"",G99/H99)</f>
        <v/>
      </c>
      <c r="J99" s="288" t="str">
        <f t="shared" si="92"/>
        <v/>
      </c>
      <c r="K99" s="288">
        <f t="shared" si="93"/>
        <v>0</v>
      </c>
      <c r="L99" s="290"/>
      <c r="M99" s="291">
        <f t="shared" si="94"/>
        <v>1</v>
      </c>
      <c r="N99" s="466" t="str">
        <f t="shared" si="95"/>
        <v/>
      </c>
      <c r="O99" s="302" t="str">
        <f t="shared" si="96"/>
        <v/>
      </c>
      <c r="P99" s="468" t="str">
        <f t="shared" si="97"/>
        <v/>
      </c>
      <c r="Q99" s="292" t="str">
        <f t="shared" ref="Q99:Q162" si="107">IF(I99="","",IF(N99="---","---",I99/(N99/12*P99/12)))</f>
        <v/>
      </c>
      <c r="R99" s="294" t="str">
        <f t="shared" si="98"/>
        <v/>
      </c>
      <c r="S99" s="295" t="str">
        <f t="shared" si="99"/>
        <v>---</v>
      </c>
      <c r="V99" s="3" t="str">
        <f>IFERROR(VALUE(TEXT(C99,"00")&amp;TEXT(N99,"00")&amp;TEXT(P99,"00")&amp;IF(#REF!="Plato perforado",5,IF(OR(#REF!="N/A",#REF!=""),0,#REF!))),"")</f>
        <v/>
      </c>
      <c r="BC99" s="3" t="str">
        <f t="shared" si="100"/>
        <v/>
      </c>
      <c r="BD99" s="3" t="str">
        <f t="shared" si="101"/>
        <v/>
      </c>
      <c r="BE99" s="3" t="e">
        <f t="shared" si="102"/>
        <v>#VALUE!</v>
      </c>
      <c r="BF99" s="430">
        <v>20</v>
      </c>
      <c r="BG99" s="430">
        <v>14</v>
      </c>
      <c r="BH99" s="121">
        <f t="shared" ref="BH99:BH109" si="108">(BF99/12)*(BG99/12)</f>
        <v>1.9444444444444446</v>
      </c>
      <c r="BI99" s="8">
        <f t="shared" si="103"/>
        <v>1069.4444444444446</v>
      </c>
      <c r="BJ99" s="8">
        <f t="shared" si="104"/>
        <v>1.4285714285714286</v>
      </c>
      <c r="BK99" s="3">
        <f t="shared" ref="BK99:BK114" si="109">VALUE(TEXT(BF99,"00")&amp;TEXT(BG99,"00"))</f>
        <v>2014</v>
      </c>
      <c r="BL99" s="3" t="e">
        <v>#VALUE!</v>
      </c>
      <c r="BW99" s="3">
        <f t="shared" si="105"/>
        <v>0</v>
      </c>
    </row>
    <row r="100" spans="1:75" x14ac:dyDescent="0.3">
      <c r="A100" s="431">
        <v>67</v>
      </c>
      <c r="B100" s="260"/>
      <c r="C100" s="261">
        <f t="shared" si="90"/>
        <v>2</v>
      </c>
      <c r="D100" s="371"/>
      <c r="E100" s="262"/>
      <c r="F100" s="261" t="str">
        <f t="shared" si="89"/>
        <v/>
      </c>
      <c r="G100" s="263" t="str">
        <f t="shared" si="89"/>
        <v/>
      </c>
      <c r="H100" s="264" t="str">
        <f t="shared" si="91"/>
        <v/>
      </c>
      <c r="I100" s="265" t="str">
        <f t="shared" si="106"/>
        <v/>
      </c>
      <c r="J100" s="264" t="str">
        <f t="shared" si="92"/>
        <v/>
      </c>
      <c r="K100" s="264">
        <f t="shared" si="93"/>
        <v>0</v>
      </c>
      <c r="L100" s="266"/>
      <c r="M100" s="267">
        <f t="shared" si="94"/>
        <v>1</v>
      </c>
      <c r="N100" s="465" t="str">
        <f t="shared" si="95"/>
        <v/>
      </c>
      <c r="O100" s="297" t="str">
        <f t="shared" si="96"/>
        <v/>
      </c>
      <c r="P100" s="467" t="str">
        <f t="shared" si="97"/>
        <v/>
      </c>
      <c r="Q100" s="268" t="str">
        <f t="shared" si="107"/>
        <v/>
      </c>
      <c r="R100" s="270" t="str">
        <f t="shared" si="98"/>
        <v/>
      </c>
      <c r="S100" s="271" t="str">
        <f t="shared" si="99"/>
        <v>---</v>
      </c>
      <c r="V100" s="3" t="str">
        <f>IFERROR(VALUE(TEXT(C100,"00")&amp;TEXT(N100,"00")&amp;TEXT(P100,"00")&amp;IF(#REF!="Plato perforado",5,IF(OR(#REF!="N/A",#REF!=""),0,#REF!))),"")</f>
        <v/>
      </c>
      <c r="BC100" s="3" t="str">
        <f t="shared" si="100"/>
        <v/>
      </c>
      <c r="BD100" s="3" t="str">
        <f t="shared" si="101"/>
        <v/>
      </c>
      <c r="BE100" s="3" t="e">
        <f t="shared" si="102"/>
        <v>#VALUE!</v>
      </c>
      <c r="BF100" s="430">
        <v>20</v>
      </c>
      <c r="BG100" s="430">
        <v>16</v>
      </c>
      <c r="BH100" s="121">
        <f t="shared" si="108"/>
        <v>2.2222222222222223</v>
      </c>
      <c r="BI100" s="8">
        <f t="shared" si="103"/>
        <v>1222.2222222222222</v>
      </c>
      <c r="BJ100" s="8">
        <f t="shared" si="104"/>
        <v>1.25</v>
      </c>
      <c r="BK100" s="3">
        <f t="shared" si="109"/>
        <v>2016</v>
      </c>
      <c r="BL100" s="3" t="e">
        <v>#VALUE!</v>
      </c>
      <c r="BW100" s="3">
        <f t="shared" si="105"/>
        <v>0</v>
      </c>
    </row>
    <row r="101" spans="1:75" x14ac:dyDescent="0.3">
      <c r="A101" s="431">
        <v>68</v>
      </c>
      <c r="B101" s="272"/>
      <c r="C101" s="273">
        <f t="shared" si="90"/>
        <v>2</v>
      </c>
      <c r="D101" s="372"/>
      <c r="E101" s="274"/>
      <c r="F101" s="273" t="str">
        <f t="shared" si="89"/>
        <v/>
      </c>
      <c r="G101" s="275" t="str">
        <f t="shared" si="89"/>
        <v/>
      </c>
      <c r="H101" s="276" t="str">
        <f t="shared" si="91"/>
        <v/>
      </c>
      <c r="I101" s="277" t="str">
        <f t="shared" si="106"/>
        <v/>
      </c>
      <c r="J101" s="276" t="str">
        <f t="shared" si="92"/>
        <v/>
      </c>
      <c r="K101" s="276">
        <f t="shared" si="93"/>
        <v>0</v>
      </c>
      <c r="L101" s="278"/>
      <c r="M101" s="279">
        <f t="shared" si="94"/>
        <v>1</v>
      </c>
      <c r="N101" s="360" t="str">
        <f t="shared" si="95"/>
        <v/>
      </c>
      <c r="O101" s="117" t="str">
        <f t="shared" si="96"/>
        <v/>
      </c>
      <c r="P101" s="359" t="str">
        <f t="shared" si="97"/>
        <v/>
      </c>
      <c r="Q101" s="280" t="str">
        <f t="shared" si="107"/>
        <v/>
      </c>
      <c r="R101" s="282" t="str">
        <f t="shared" si="98"/>
        <v/>
      </c>
      <c r="S101" s="283" t="str">
        <f t="shared" si="99"/>
        <v>---</v>
      </c>
      <c r="V101" s="3" t="str">
        <f>IFERROR(VALUE(TEXT(C101,"00")&amp;TEXT(N101,"00")&amp;TEXT(P101,"00")&amp;IF(#REF!="Plato perforado",5,IF(OR(#REF!="N/A",#REF!=""),0,#REF!))),"")</f>
        <v/>
      </c>
      <c r="BC101" s="3" t="str">
        <f t="shared" si="100"/>
        <v/>
      </c>
      <c r="BD101" s="3" t="str">
        <f t="shared" si="101"/>
        <v/>
      </c>
      <c r="BE101" s="3" t="e">
        <f t="shared" si="102"/>
        <v>#VALUE!</v>
      </c>
      <c r="BF101" s="430">
        <v>20</v>
      </c>
      <c r="BG101" s="430">
        <v>18</v>
      </c>
      <c r="BH101" s="121">
        <f t="shared" si="108"/>
        <v>2.5</v>
      </c>
      <c r="BI101" s="8">
        <f t="shared" si="103"/>
        <v>1375</v>
      </c>
      <c r="BJ101" s="8">
        <f t="shared" si="104"/>
        <v>1.1111111111111112</v>
      </c>
      <c r="BK101" s="3">
        <f t="shared" si="109"/>
        <v>2018</v>
      </c>
      <c r="BL101" s="3" t="e">
        <v>#VALUE!</v>
      </c>
      <c r="BW101" s="3">
        <f t="shared" si="105"/>
        <v>0</v>
      </c>
    </row>
    <row r="102" spans="1:75" x14ac:dyDescent="0.3">
      <c r="A102" s="431">
        <v>69</v>
      </c>
      <c r="B102" s="284"/>
      <c r="C102" s="285">
        <f t="shared" si="90"/>
        <v>2</v>
      </c>
      <c r="D102" s="373"/>
      <c r="E102" s="286"/>
      <c r="F102" s="285" t="str">
        <f t="shared" si="89"/>
        <v/>
      </c>
      <c r="G102" s="287" t="str">
        <f t="shared" si="89"/>
        <v/>
      </c>
      <c r="H102" s="288" t="str">
        <f t="shared" si="91"/>
        <v/>
      </c>
      <c r="I102" s="289" t="str">
        <f t="shared" si="106"/>
        <v/>
      </c>
      <c r="J102" s="288" t="str">
        <f t="shared" si="92"/>
        <v/>
      </c>
      <c r="K102" s="288">
        <f t="shared" si="93"/>
        <v>0</v>
      </c>
      <c r="L102" s="290"/>
      <c r="M102" s="291">
        <f t="shared" si="94"/>
        <v>1</v>
      </c>
      <c r="N102" s="466" t="str">
        <f t="shared" si="95"/>
        <v/>
      </c>
      <c r="O102" s="302" t="str">
        <f t="shared" si="96"/>
        <v/>
      </c>
      <c r="P102" s="468" t="str">
        <f t="shared" si="97"/>
        <v/>
      </c>
      <c r="Q102" s="292" t="str">
        <f t="shared" si="107"/>
        <v/>
      </c>
      <c r="R102" s="294" t="str">
        <f t="shared" si="98"/>
        <v/>
      </c>
      <c r="S102" s="295" t="str">
        <f t="shared" si="99"/>
        <v>---</v>
      </c>
      <c r="V102" s="3" t="str">
        <f>IFERROR(VALUE(TEXT(C102,"00")&amp;TEXT(N102,"00")&amp;TEXT(P102,"00")&amp;IF(#REF!="Plato perforado",5,IF(OR(#REF!="N/A",#REF!=""),0,#REF!))),"")</f>
        <v/>
      </c>
      <c r="BC102" s="3" t="str">
        <f t="shared" si="100"/>
        <v/>
      </c>
      <c r="BD102" s="3" t="str">
        <f t="shared" si="101"/>
        <v/>
      </c>
      <c r="BE102" s="3" t="e">
        <f t="shared" si="102"/>
        <v>#VALUE!</v>
      </c>
      <c r="BF102" s="430">
        <v>22</v>
      </c>
      <c r="BG102" s="430">
        <v>10</v>
      </c>
      <c r="BH102" s="121">
        <f t="shared" si="108"/>
        <v>1.5277777777777777</v>
      </c>
      <c r="BI102" s="8">
        <f t="shared" si="103"/>
        <v>840.27777777777771</v>
      </c>
      <c r="BJ102" s="8">
        <f t="shared" si="104"/>
        <v>2.2000000000000002</v>
      </c>
      <c r="BK102" s="3">
        <f t="shared" si="109"/>
        <v>2210</v>
      </c>
      <c r="BL102" s="3" t="e">
        <v>#VALUE!</v>
      </c>
      <c r="BW102" s="3">
        <f t="shared" si="105"/>
        <v>0</v>
      </c>
    </row>
    <row r="103" spans="1:75" x14ac:dyDescent="0.3">
      <c r="A103" s="431">
        <v>70</v>
      </c>
      <c r="B103" s="260"/>
      <c r="C103" s="261">
        <f t="shared" si="90"/>
        <v>2</v>
      </c>
      <c r="D103" s="371"/>
      <c r="E103" s="262"/>
      <c r="F103" s="261" t="str">
        <f t="shared" si="89"/>
        <v/>
      </c>
      <c r="G103" s="263" t="str">
        <f t="shared" si="89"/>
        <v/>
      </c>
      <c r="H103" s="264" t="str">
        <f t="shared" si="91"/>
        <v/>
      </c>
      <c r="I103" s="265" t="str">
        <f t="shared" si="106"/>
        <v/>
      </c>
      <c r="J103" s="264" t="str">
        <f t="shared" si="92"/>
        <v/>
      </c>
      <c r="K103" s="264">
        <f t="shared" si="93"/>
        <v>0</v>
      </c>
      <c r="L103" s="266"/>
      <c r="M103" s="267">
        <f t="shared" si="94"/>
        <v>1</v>
      </c>
      <c r="N103" s="465" t="str">
        <f t="shared" si="95"/>
        <v/>
      </c>
      <c r="O103" s="297" t="str">
        <f t="shared" si="96"/>
        <v/>
      </c>
      <c r="P103" s="467" t="str">
        <f t="shared" si="97"/>
        <v/>
      </c>
      <c r="Q103" s="268" t="str">
        <f t="shared" si="107"/>
        <v/>
      </c>
      <c r="R103" s="270" t="str">
        <f t="shared" si="98"/>
        <v/>
      </c>
      <c r="S103" s="271" t="str">
        <f t="shared" si="99"/>
        <v>---</v>
      </c>
      <c r="V103" s="3" t="str">
        <f>IFERROR(VALUE(TEXT(C103,"00")&amp;TEXT(N103,"00")&amp;TEXT(P103,"00")&amp;IF(#REF!="Plato perforado",5,IF(OR(#REF!="N/A",#REF!=""),0,#REF!))),"")</f>
        <v/>
      </c>
      <c r="BC103" s="3" t="str">
        <f t="shared" si="100"/>
        <v/>
      </c>
      <c r="BD103" s="3" t="str">
        <f t="shared" si="101"/>
        <v/>
      </c>
      <c r="BE103" s="3" t="e">
        <f t="shared" si="102"/>
        <v>#VALUE!</v>
      </c>
      <c r="BF103" s="430">
        <v>22</v>
      </c>
      <c r="BG103" s="430">
        <v>12</v>
      </c>
      <c r="BH103" s="121">
        <f t="shared" si="108"/>
        <v>1.8333333333333333</v>
      </c>
      <c r="BI103" s="8">
        <f t="shared" si="103"/>
        <v>1008.3333333333333</v>
      </c>
      <c r="BJ103" s="8">
        <f t="shared" si="104"/>
        <v>1.8333333333333333</v>
      </c>
      <c r="BK103" s="3">
        <f t="shared" si="109"/>
        <v>2212</v>
      </c>
      <c r="BL103" s="3" t="e">
        <v>#VALUE!</v>
      </c>
      <c r="BW103" s="3">
        <f t="shared" si="105"/>
        <v>0</v>
      </c>
    </row>
    <row r="104" spans="1:75" x14ac:dyDescent="0.3">
      <c r="A104" s="431">
        <v>71</v>
      </c>
      <c r="B104" s="272"/>
      <c r="C104" s="273">
        <f t="shared" si="90"/>
        <v>2</v>
      </c>
      <c r="D104" s="372"/>
      <c r="E104" s="274"/>
      <c r="F104" s="273" t="str">
        <f t="shared" si="89"/>
        <v/>
      </c>
      <c r="G104" s="275" t="str">
        <f t="shared" si="89"/>
        <v/>
      </c>
      <c r="H104" s="276" t="str">
        <f t="shared" si="91"/>
        <v/>
      </c>
      <c r="I104" s="277" t="str">
        <f t="shared" si="106"/>
        <v/>
      </c>
      <c r="J104" s="276" t="str">
        <f t="shared" si="92"/>
        <v/>
      </c>
      <c r="K104" s="276">
        <f t="shared" si="93"/>
        <v>0</v>
      </c>
      <c r="L104" s="278"/>
      <c r="M104" s="279">
        <f t="shared" si="94"/>
        <v>1</v>
      </c>
      <c r="N104" s="360" t="str">
        <f t="shared" si="95"/>
        <v/>
      </c>
      <c r="O104" s="117" t="str">
        <f t="shared" si="96"/>
        <v/>
      </c>
      <c r="P104" s="359" t="str">
        <f t="shared" si="97"/>
        <v/>
      </c>
      <c r="Q104" s="280" t="str">
        <f t="shared" si="107"/>
        <v/>
      </c>
      <c r="R104" s="282" t="str">
        <f t="shared" si="98"/>
        <v/>
      </c>
      <c r="S104" s="283" t="str">
        <f t="shared" si="99"/>
        <v>---</v>
      </c>
      <c r="V104" s="3" t="str">
        <f>IFERROR(VALUE(TEXT(C104,"00")&amp;TEXT(N104,"00")&amp;TEXT(P104,"00")&amp;IF(#REF!="Plato perforado",5,IF(OR(#REF!="N/A",#REF!=""),0,#REF!))),"")</f>
        <v/>
      </c>
      <c r="BC104" s="3" t="str">
        <f t="shared" si="100"/>
        <v/>
      </c>
      <c r="BD104" s="3" t="str">
        <f t="shared" si="101"/>
        <v/>
      </c>
      <c r="BE104" s="3" t="e">
        <f t="shared" si="102"/>
        <v>#VALUE!</v>
      </c>
      <c r="BF104" s="430">
        <v>22</v>
      </c>
      <c r="BG104" s="430">
        <v>14</v>
      </c>
      <c r="BH104" s="121">
        <f t="shared" si="108"/>
        <v>2.1388888888888888</v>
      </c>
      <c r="BI104" s="8">
        <f t="shared" si="103"/>
        <v>1176.3888888888889</v>
      </c>
      <c r="BJ104" s="8">
        <f t="shared" si="104"/>
        <v>1.5714285714285714</v>
      </c>
      <c r="BK104" s="3">
        <f t="shared" si="109"/>
        <v>2214</v>
      </c>
      <c r="BL104" s="3" t="e">
        <v>#VALUE!</v>
      </c>
      <c r="BW104" s="3">
        <f t="shared" si="105"/>
        <v>0</v>
      </c>
    </row>
    <row r="105" spans="1:75" x14ac:dyDescent="0.3">
      <c r="A105" s="431">
        <v>72</v>
      </c>
      <c r="B105" s="284"/>
      <c r="C105" s="285">
        <f t="shared" si="90"/>
        <v>2</v>
      </c>
      <c r="D105" s="373"/>
      <c r="E105" s="286"/>
      <c r="F105" s="285" t="str">
        <f t="shared" si="89"/>
        <v/>
      </c>
      <c r="G105" s="287" t="str">
        <f t="shared" si="89"/>
        <v/>
      </c>
      <c r="H105" s="288" t="str">
        <f t="shared" si="91"/>
        <v/>
      </c>
      <c r="I105" s="289" t="str">
        <f t="shared" si="106"/>
        <v/>
      </c>
      <c r="J105" s="288" t="str">
        <f t="shared" si="92"/>
        <v/>
      </c>
      <c r="K105" s="288">
        <f t="shared" si="93"/>
        <v>0</v>
      </c>
      <c r="L105" s="290"/>
      <c r="M105" s="291">
        <f t="shared" si="94"/>
        <v>1</v>
      </c>
      <c r="N105" s="466" t="str">
        <f t="shared" si="95"/>
        <v/>
      </c>
      <c r="O105" s="302" t="str">
        <f t="shared" si="96"/>
        <v/>
      </c>
      <c r="P105" s="468" t="str">
        <f t="shared" si="97"/>
        <v/>
      </c>
      <c r="Q105" s="292" t="str">
        <f t="shared" si="107"/>
        <v/>
      </c>
      <c r="R105" s="294" t="str">
        <f t="shared" si="98"/>
        <v/>
      </c>
      <c r="S105" s="295" t="str">
        <f t="shared" si="99"/>
        <v>---</v>
      </c>
      <c r="V105" s="3" t="str">
        <f>IFERROR(VALUE(TEXT(C105,"00")&amp;TEXT(N105,"00")&amp;TEXT(P105,"00")&amp;IF(#REF!="Plato perforado",5,IF(OR(#REF!="N/A",#REF!=""),0,#REF!))),"")</f>
        <v/>
      </c>
      <c r="BC105" s="3" t="str">
        <f t="shared" si="100"/>
        <v/>
      </c>
      <c r="BD105" s="3" t="str">
        <f t="shared" si="101"/>
        <v/>
      </c>
      <c r="BE105" s="3" t="e">
        <f t="shared" si="102"/>
        <v>#VALUE!</v>
      </c>
      <c r="BF105" s="430">
        <v>22</v>
      </c>
      <c r="BG105" s="430">
        <v>16</v>
      </c>
      <c r="BH105" s="121">
        <f t="shared" si="108"/>
        <v>2.4444444444444442</v>
      </c>
      <c r="BI105" s="8">
        <f t="shared" si="103"/>
        <v>1344.4444444444443</v>
      </c>
      <c r="BJ105" s="8">
        <f t="shared" si="104"/>
        <v>1.375</v>
      </c>
      <c r="BK105" s="3">
        <f t="shared" si="109"/>
        <v>2216</v>
      </c>
      <c r="BL105" s="3" t="e">
        <v>#VALUE!</v>
      </c>
      <c r="BW105" s="3">
        <f t="shared" si="105"/>
        <v>0</v>
      </c>
    </row>
    <row r="106" spans="1:75" x14ac:dyDescent="0.3">
      <c r="A106" s="431">
        <v>73</v>
      </c>
      <c r="B106" s="260"/>
      <c r="C106" s="261">
        <f t="shared" si="90"/>
        <v>2</v>
      </c>
      <c r="D106" s="371"/>
      <c r="E106" s="262"/>
      <c r="F106" s="261" t="str">
        <f t="shared" si="89"/>
        <v/>
      </c>
      <c r="G106" s="263" t="str">
        <f t="shared" si="89"/>
        <v/>
      </c>
      <c r="H106" s="264" t="str">
        <f t="shared" si="91"/>
        <v/>
      </c>
      <c r="I106" s="265" t="str">
        <f t="shared" si="106"/>
        <v/>
      </c>
      <c r="J106" s="264" t="str">
        <f t="shared" si="92"/>
        <v/>
      </c>
      <c r="K106" s="264">
        <f t="shared" si="93"/>
        <v>0</v>
      </c>
      <c r="L106" s="266"/>
      <c r="M106" s="267">
        <f t="shared" si="94"/>
        <v>1</v>
      </c>
      <c r="N106" s="465" t="str">
        <f t="shared" si="95"/>
        <v/>
      </c>
      <c r="O106" s="297" t="str">
        <f t="shared" si="96"/>
        <v/>
      </c>
      <c r="P106" s="467" t="str">
        <f t="shared" si="97"/>
        <v/>
      </c>
      <c r="Q106" s="268" t="str">
        <f t="shared" si="107"/>
        <v/>
      </c>
      <c r="R106" s="270" t="str">
        <f t="shared" si="98"/>
        <v/>
      </c>
      <c r="S106" s="271" t="str">
        <f t="shared" si="99"/>
        <v>---</v>
      </c>
      <c r="V106" s="3" t="str">
        <f>IFERROR(VALUE(TEXT(C106,"00")&amp;TEXT(N106,"00")&amp;TEXT(P106,"00")&amp;IF(#REF!="Plato perforado",5,IF(OR(#REF!="N/A",#REF!=""),0,#REF!))),"")</f>
        <v/>
      </c>
      <c r="BC106" s="3" t="str">
        <f t="shared" si="100"/>
        <v/>
      </c>
      <c r="BD106" s="3" t="str">
        <f t="shared" si="101"/>
        <v/>
      </c>
      <c r="BE106" s="3" t="e">
        <f t="shared" si="102"/>
        <v>#VALUE!</v>
      </c>
      <c r="BF106" s="430">
        <v>24</v>
      </c>
      <c r="BG106" s="430">
        <v>10</v>
      </c>
      <c r="BH106" s="121">
        <f t="shared" si="108"/>
        <v>1.6666666666666667</v>
      </c>
      <c r="BI106" s="8">
        <f t="shared" si="103"/>
        <v>916.66666666666674</v>
      </c>
      <c r="BJ106" s="8">
        <f t="shared" si="104"/>
        <v>2.4</v>
      </c>
      <c r="BK106" s="3">
        <f t="shared" si="109"/>
        <v>2410</v>
      </c>
      <c r="BL106" s="3" t="e">
        <v>#VALUE!</v>
      </c>
      <c r="BW106" s="3">
        <f t="shared" si="105"/>
        <v>0</v>
      </c>
    </row>
    <row r="107" spans="1:75" x14ac:dyDescent="0.3">
      <c r="A107" s="431">
        <v>74</v>
      </c>
      <c r="B107" s="272"/>
      <c r="C107" s="273">
        <f t="shared" si="90"/>
        <v>2</v>
      </c>
      <c r="D107" s="372"/>
      <c r="E107" s="274"/>
      <c r="F107" s="273" t="str">
        <f t="shared" si="89"/>
        <v/>
      </c>
      <c r="G107" s="275" t="str">
        <f t="shared" si="89"/>
        <v/>
      </c>
      <c r="H107" s="276" t="str">
        <f t="shared" si="91"/>
        <v/>
      </c>
      <c r="I107" s="277" t="str">
        <f t="shared" si="106"/>
        <v/>
      </c>
      <c r="J107" s="276" t="str">
        <f t="shared" si="92"/>
        <v/>
      </c>
      <c r="K107" s="276">
        <f t="shared" si="93"/>
        <v>0</v>
      </c>
      <c r="L107" s="278"/>
      <c r="M107" s="279">
        <f t="shared" si="94"/>
        <v>1</v>
      </c>
      <c r="N107" s="360" t="str">
        <f t="shared" si="95"/>
        <v/>
      </c>
      <c r="O107" s="117" t="str">
        <f t="shared" si="96"/>
        <v/>
      </c>
      <c r="P107" s="359" t="str">
        <f t="shared" si="97"/>
        <v/>
      </c>
      <c r="Q107" s="280" t="str">
        <f t="shared" si="107"/>
        <v/>
      </c>
      <c r="R107" s="282" t="str">
        <f t="shared" si="98"/>
        <v/>
      </c>
      <c r="S107" s="283" t="str">
        <f t="shared" si="99"/>
        <v>---</v>
      </c>
      <c r="V107" s="3" t="str">
        <f>IFERROR(VALUE(TEXT(C107,"00")&amp;TEXT(N107,"00")&amp;TEXT(P107,"00")&amp;IF(#REF!="Plato perforado",5,IF(OR(#REF!="N/A",#REF!=""),0,#REF!))),"")</f>
        <v/>
      </c>
      <c r="BC107" s="3" t="str">
        <f t="shared" si="100"/>
        <v/>
      </c>
      <c r="BD107" s="3" t="str">
        <f t="shared" si="101"/>
        <v/>
      </c>
      <c r="BE107" s="3" t="e">
        <f t="shared" si="102"/>
        <v>#VALUE!</v>
      </c>
      <c r="BF107" s="430">
        <v>24</v>
      </c>
      <c r="BG107" s="430">
        <v>12</v>
      </c>
      <c r="BH107" s="121">
        <f t="shared" si="108"/>
        <v>2</v>
      </c>
      <c r="BI107" s="8">
        <f t="shared" si="103"/>
        <v>1100</v>
      </c>
      <c r="BJ107" s="8">
        <f t="shared" si="104"/>
        <v>2</v>
      </c>
      <c r="BK107" s="3">
        <f t="shared" si="109"/>
        <v>2412</v>
      </c>
      <c r="BL107" s="3" t="e">
        <v>#VALUE!</v>
      </c>
      <c r="BW107" s="3">
        <f t="shared" si="105"/>
        <v>0</v>
      </c>
    </row>
    <row r="108" spans="1:75" x14ac:dyDescent="0.3">
      <c r="A108" s="431">
        <v>75</v>
      </c>
      <c r="B108" s="284"/>
      <c r="C108" s="285">
        <f t="shared" si="90"/>
        <v>2</v>
      </c>
      <c r="D108" s="373"/>
      <c r="E108" s="286"/>
      <c r="F108" s="285" t="str">
        <f t="shared" si="89"/>
        <v/>
      </c>
      <c r="G108" s="287" t="str">
        <f t="shared" si="89"/>
        <v/>
      </c>
      <c r="H108" s="288" t="str">
        <f t="shared" si="91"/>
        <v/>
      </c>
      <c r="I108" s="289" t="str">
        <f t="shared" si="106"/>
        <v/>
      </c>
      <c r="J108" s="288" t="str">
        <f t="shared" si="92"/>
        <v/>
      </c>
      <c r="K108" s="288">
        <f t="shared" si="93"/>
        <v>0</v>
      </c>
      <c r="L108" s="290"/>
      <c r="M108" s="291">
        <f t="shared" si="94"/>
        <v>1</v>
      </c>
      <c r="N108" s="466" t="str">
        <f t="shared" si="95"/>
        <v/>
      </c>
      <c r="O108" s="302" t="str">
        <f t="shared" si="96"/>
        <v/>
      </c>
      <c r="P108" s="468" t="str">
        <f t="shared" si="97"/>
        <v/>
      </c>
      <c r="Q108" s="292" t="str">
        <f t="shared" si="107"/>
        <v/>
      </c>
      <c r="R108" s="294" t="str">
        <f t="shared" si="98"/>
        <v/>
      </c>
      <c r="S108" s="295" t="str">
        <f t="shared" si="99"/>
        <v>---</v>
      </c>
      <c r="V108" s="3" t="str">
        <f>IFERROR(VALUE(TEXT(C108,"00")&amp;TEXT(N108,"00")&amp;TEXT(P108,"00")&amp;IF(#REF!="Plato perforado",5,IF(OR(#REF!="N/A",#REF!=""),0,#REF!))),"")</f>
        <v/>
      </c>
      <c r="BC108" s="3" t="str">
        <f t="shared" si="100"/>
        <v/>
      </c>
      <c r="BD108" s="3" t="str">
        <f t="shared" si="101"/>
        <v/>
      </c>
      <c r="BE108" s="3" t="e">
        <f t="shared" si="102"/>
        <v>#VALUE!</v>
      </c>
      <c r="BF108" s="430">
        <v>24</v>
      </c>
      <c r="BG108" s="430">
        <v>14</v>
      </c>
      <c r="BH108" s="121">
        <f t="shared" si="108"/>
        <v>2.3333333333333335</v>
      </c>
      <c r="BI108" s="8">
        <f t="shared" si="103"/>
        <v>1283.3333333333335</v>
      </c>
      <c r="BJ108" s="8">
        <f t="shared" si="104"/>
        <v>1.7142857142857142</v>
      </c>
      <c r="BK108" s="3">
        <f t="shared" si="109"/>
        <v>2414</v>
      </c>
      <c r="BL108" s="3" t="e">
        <v>#VALUE!</v>
      </c>
      <c r="BW108" s="3">
        <f t="shared" si="105"/>
        <v>0</v>
      </c>
    </row>
    <row r="109" spans="1:75" x14ac:dyDescent="0.3">
      <c r="A109" s="431">
        <v>76</v>
      </c>
      <c r="B109" s="260"/>
      <c r="C109" s="261">
        <f t="shared" si="90"/>
        <v>2</v>
      </c>
      <c r="D109" s="371"/>
      <c r="E109" s="262"/>
      <c r="F109" s="261" t="str">
        <f t="shared" si="89"/>
        <v/>
      </c>
      <c r="G109" s="263" t="str">
        <f t="shared" si="89"/>
        <v/>
      </c>
      <c r="H109" s="264" t="str">
        <f t="shared" si="91"/>
        <v/>
      </c>
      <c r="I109" s="265" t="str">
        <f t="shared" si="106"/>
        <v/>
      </c>
      <c r="J109" s="264" t="str">
        <f t="shared" si="92"/>
        <v/>
      </c>
      <c r="K109" s="264">
        <f t="shared" si="93"/>
        <v>0</v>
      </c>
      <c r="L109" s="266"/>
      <c r="M109" s="267">
        <f t="shared" si="94"/>
        <v>1</v>
      </c>
      <c r="N109" s="465" t="str">
        <f t="shared" si="95"/>
        <v/>
      </c>
      <c r="O109" s="297" t="str">
        <f t="shared" si="96"/>
        <v/>
      </c>
      <c r="P109" s="467" t="str">
        <f t="shared" si="97"/>
        <v/>
      </c>
      <c r="Q109" s="268" t="str">
        <f t="shared" si="107"/>
        <v/>
      </c>
      <c r="R109" s="270" t="str">
        <f t="shared" si="98"/>
        <v/>
      </c>
      <c r="S109" s="271" t="str">
        <f t="shared" si="99"/>
        <v>---</v>
      </c>
      <c r="V109" s="3" t="str">
        <f>IFERROR(VALUE(TEXT(C109,"00")&amp;TEXT(N109,"00")&amp;TEXT(P109,"00")&amp;IF(#REF!="Plato perforado",5,IF(OR(#REF!="N/A",#REF!=""),0,#REF!))),"")</f>
        <v/>
      </c>
      <c r="BC109" s="3" t="str">
        <f t="shared" si="100"/>
        <v/>
      </c>
      <c r="BD109" s="3" t="str">
        <f t="shared" si="101"/>
        <v/>
      </c>
      <c r="BE109" s="3" t="e">
        <f t="shared" si="102"/>
        <v>#VALUE!</v>
      </c>
      <c r="BF109" s="430">
        <v>24</v>
      </c>
      <c r="BG109" s="430">
        <v>16</v>
      </c>
      <c r="BH109" s="121">
        <f t="shared" si="108"/>
        <v>2.6666666666666665</v>
      </c>
      <c r="BI109" s="8">
        <f t="shared" si="103"/>
        <v>1466.6666666666665</v>
      </c>
      <c r="BJ109" s="8">
        <f t="shared" si="104"/>
        <v>1.5</v>
      </c>
      <c r="BK109" s="3">
        <f t="shared" si="109"/>
        <v>2416</v>
      </c>
      <c r="BL109" s="3" t="e">
        <v>#VALUE!</v>
      </c>
      <c r="BW109" s="3">
        <f t="shared" si="105"/>
        <v>0</v>
      </c>
    </row>
    <row r="110" spans="1:75" x14ac:dyDescent="0.3">
      <c r="A110" s="431">
        <v>77</v>
      </c>
      <c r="B110" s="272"/>
      <c r="C110" s="273">
        <f t="shared" si="90"/>
        <v>2</v>
      </c>
      <c r="D110" s="372"/>
      <c r="E110" s="274"/>
      <c r="F110" s="273" t="str">
        <f t="shared" si="89"/>
        <v/>
      </c>
      <c r="G110" s="275" t="str">
        <f t="shared" si="89"/>
        <v/>
      </c>
      <c r="H110" s="276" t="str">
        <f t="shared" si="91"/>
        <v/>
      </c>
      <c r="I110" s="277" t="str">
        <f t="shared" si="106"/>
        <v/>
      </c>
      <c r="J110" s="276" t="str">
        <f t="shared" si="92"/>
        <v/>
      </c>
      <c r="K110" s="276">
        <f t="shared" si="93"/>
        <v>0</v>
      </c>
      <c r="L110" s="278"/>
      <c r="M110" s="279">
        <f t="shared" si="94"/>
        <v>1</v>
      </c>
      <c r="N110" s="360" t="str">
        <f t="shared" si="95"/>
        <v/>
      </c>
      <c r="O110" s="117" t="str">
        <f t="shared" si="96"/>
        <v/>
      </c>
      <c r="P110" s="359" t="str">
        <f t="shared" si="97"/>
        <v/>
      </c>
      <c r="Q110" s="280" t="str">
        <f t="shared" si="107"/>
        <v/>
      </c>
      <c r="R110" s="282" t="str">
        <f t="shared" si="98"/>
        <v/>
      </c>
      <c r="S110" s="283" t="str">
        <f t="shared" si="99"/>
        <v>---</v>
      </c>
      <c r="V110" s="3" t="str">
        <f>IFERROR(VALUE(TEXT(C110,"00")&amp;TEXT(N110,"00")&amp;TEXT(P110,"00")&amp;IF(#REF!="Plato perforado",5,IF(OR(#REF!="N/A",#REF!=""),0,#REF!))),"")</f>
        <v/>
      </c>
      <c r="BC110" s="3" t="str">
        <f t="shared" si="100"/>
        <v/>
      </c>
      <c r="BD110" s="3" t="str">
        <f t="shared" si="101"/>
        <v/>
      </c>
      <c r="BE110" s="3" t="e">
        <f t="shared" si="102"/>
        <v>#VALUE!</v>
      </c>
      <c r="BF110" s="430">
        <v>26</v>
      </c>
      <c r="BG110" s="430">
        <v>12</v>
      </c>
      <c r="BH110" s="121">
        <f>(BF110/12)*(BG110/12)</f>
        <v>2.1666666666666665</v>
      </c>
      <c r="BI110" s="8">
        <f t="shared" si="103"/>
        <v>1191.6666666666665</v>
      </c>
      <c r="BJ110" s="8">
        <f>BF110/BG110</f>
        <v>2.1666666666666665</v>
      </c>
      <c r="BK110" s="3">
        <f t="shared" si="109"/>
        <v>2612</v>
      </c>
      <c r="BL110" s="3" t="e">
        <v>#VALUE!</v>
      </c>
      <c r="BW110" s="3">
        <f t="shared" si="105"/>
        <v>0</v>
      </c>
    </row>
    <row r="111" spans="1:75" x14ac:dyDescent="0.3">
      <c r="A111" s="431">
        <v>78</v>
      </c>
      <c r="B111" s="284"/>
      <c r="C111" s="285">
        <f t="shared" si="90"/>
        <v>2</v>
      </c>
      <c r="D111" s="373"/>
      <c r="E111" s="286"/>
      <c r="F111" s="285" t="str">
        <f t="shared" si="89"/>
        <v/>
      </c>
      <c r="G111" s="287" t="str">
        <f t="shared" si="89"/>
        <v/>
      </c>
      <c r="H111" s="288" t="str">
        <f t="shared" si="91"/>
        <v/>
      </c>
      <c r="I111" s="289" t="str">
        <f t="shared" si="106"/>
        <v/>
      </c>
      <c r="J111" s="288" t="str">
        <f t="shared" si="92"/>
        <v/>
      </c>
      <c r="K111" s="288">
        <f t="shared" si="93"/>
        <v>0</v>
      </c>
      <c r="L111" s="290"/>
      <c r="M111" s="291">
        <f t="shared" si="94"/>
        <v>1</v>
      </c>
      <c r="N111" s="466" t="str">
        <f t="shared" si="95"/>
        <v/>
      </c>
      <c r="O111" s="302" t="str">
        <f t="shared" si="96"/>
        <v/>
      </c>
      <c r="P111" s="468" t="str">
        <f t="shared" si="97"/>
        <v/>
      </c>
      <c r="Q111" s="292" t="str">
        <f t="shared" si="107"/>
        <v/>
      </c>
      <c r="R111" s="294" t="str">
        <f t="shared" si="98"/>
        <v/>
      </c>
      <c r="S111" s="295" t="str">
        <f t="shared" si="99"/>
        <v>---</v>
      </c>
      <c r="V111" s="3" t="str">
        <f>IFERROR(VALUE(TEXT(C111,"00")&amp;TEXT(N111,"00")&amp;TEXT(P111,"00")&amp;IF(#REF!="Plato perforado",5,IF(OR(#REF!="N/A",#REF!=""),0,#REF!))),"")</f>
        <v/>
      </c>
      <c r="BC111" s="3" t="str">
        <f t="shared" si="100"/>
        <v/>
      </c>
      <c r="BD111" s="3" t="str">
        <f t="shared" si="101"/>
        <v/>
      </c>
      <c r="BE111" s="3" t="e">
        <f t="shared" si="102"/>
        <v>#VALUE!</v>
      </c>
      <c r="BF111" s="430">
        <v>26</v>
      </c>
      <c r="BG111" s="430">
        <v>14</v>
      </c>
      <c r="BH111" s="121">
        <f>(BF111/12)*(BG111/12)</f>
        <v>2.5277777777777777</v>
      </c>
      <c r="BI111" s="8">
        <f t="shared" si="103"/>
        <v>1390.2777777777778</v>
      </c>
      <c r="BJ111" s="8">
        <f>BF111/BG111</f>
        <v>1.8571428571428572</v>
      </c>
      <c r="BK111" s="3">
        <f t="shared" si="109"/>
        <v>2614</v>
      </c>
      <c r="BL111" s="3" t="e">
        <v>#VALUE!</v>
      </c>
      <c r="BW111" s="3">
        <f t="shared" si="105"/>
        <v>0</v>
      </c>
    </row>
    <row r="112" spans="1:75" x14ac:dyDescent="0.3">
      <c r="A112" s="431">
        <v>79</v>
      </c>
      <c r="B112" s="260"/>
      <c r="C112" s="261">
        <f t="shared" si="90"/>
        <v>2</v>
      </c>
      <c r="D112" s="371"/>
      <c r="E112" s="262"/>
      <c r="F112" s="261" t="str">
        <f t="shared" si="89"/>
        <v/>
      </c>
      <c r="G112" s="263" t="str">
        <f t="shared" si="89"/>
        <v/>
      </c>
      <c r="H112" s="264" t="str">
        <f t="shared" si="91"/>
        <v/>
      </c>
      <c r="I112" s="265" t="str">
        <f t="shared" si="106"/>
        <v/>
      </c>
      <c r="J112" s="264" t="str">
        <f t="shared" si="92"/>
        <v/>
      </c>
      <c r="K112" s="264">
        <f t="shared" si="93"/>
        <v>0</v>
      </c>
      <c r="L112" s="266"/>
      <c r="M112" s="267">
        <f t="shared" si="94"/>
        <v>1</v>
      </c>
      <c r="N112" s="465" t="str">
        <f t="shared" si="95"/>
        <v/>
      </c>
      <c r="O112" s="297" t="str">
        <f t="shared" si="96"/>
        <v/>
      </c>
      <c r="P112" s="467" t="str">
        <f t="shared" si="97"/>
        <v/>
      </c>
      <c r="Q112" s="268" t="str">
        <f t="shared" si="107"/>
        <v/>
      </c>
      <c r="R112" s="270" t="str">
        <f t="shared" si="98"/>
        <v/>
      </c>
      <c r="S112" s="271" t="str">
        <f t="shared" si="99"/>
        <v>---</v>
      </c>
      <c r="V112" s="3" t="str">
        <f>IFERROR(VALUE(TEXT(C112,"00")&amp;TEXT(N112,"00")&amp;TEXT(P112,"00")&amp;IF(#REF!="Plato perforado",5,IF(OR(#REF!="N/A",#REF!=""),0,#REF!))),"")</f>
        <v/>
      </c>
      <c r="BC112" s="3" t="str">
        <f t="shared" si="100"/>
        <v/>
      </c>
      <c r="BD112" s="3" t="str">
        <f t="shared" si="101"/>
        <v/>
      </c>
      <c r="BE112" s="3" t="e">
        <f t="shared" si="102"/>
        <v>#VALUE!</v>
      </c>
      <c r="BF112" s="430">
        <v>28</v>
      </c>
      <c r="BG112" s="430">
        <v>12</v>
      </c>
      <c r="BH112" s="121">
        <f>(BF112/12)*(BG112/12)</f>
        <v>2.3333333333333335</v>
      </c>
      <c r="BI112" s="8">
        <f t="shared" si="103"/>
        <v>1283.3333333333335</v>
      </c>
      <c r="BJ112" s="8">
        <f>BF112/BG112</f>
        <v>2.3333333333333335</v>
      </c>
      <c r="BK112" s="3">
        <f t="shared" si="109"/>
        <v>2812</v>
      </c>
      <c r="BL112" s="3" t="e">
        <v>#VALUE!</v>
      </c>
      <c r="BW112" s="3">
        <f t="shared" si="105"/>
        <v>0</v>
      </c>
    </row>
    <row r="113" spans="1:75" x14ac:dyDescent="0.3">
      <c r="A113" s="431">
        <v>80</v>
      </c>
      <c r="B113" s="272"/>
      <c r="C113" s="273">
        <f t="shared" si="90"/>
        <v>2</v>
      </c>
      <c r="D113" s="372"/>
      <c r="E113" s="274"/>
      <c r="F113" s="273" t="str">
        <f t="shared" si="89"/>
        <v/>
      </c>
      <c r="G113" s="275" t="str">
        <f t="shared" si="89"/>
        <v/>
      </c>
      <c r="H113" s="276" t="str">
        <f t="shared" si="91"/>
        <v/>
      </c>
      <c r="I113" s="277" t="str">
        <f t="shared" si="106"/>
        <v/>
      </c>
      <c r="J113" s="276" t="str">
        <f t="shared" si="92"/>
        <v/>
      </c>
      <c r="K113" s="276">
        <f t="shared" si="93"/>
        <v>0</v>
      </c>
      <c r="L113" s="278"/>
      <c r="M113" s="279">
        <f t="shared" si="94"/>
        <v>1</v>
      </c>
      <c r="N113" s="360" t="str">
        <f t="shared" si="95"/>
        <v/>
      </c>
      <c r="O113" s="117" t="str">
        <f t="shared" si="96"/>
        <v/>
      </c>
      <c r="P113" s="359" t="str">
        <f t="shared" si="97"/>
        <v/>
      </c>
      <c r="Q113" s="280" t="str">
        <f t="shared" si="107"/>
        <v/>
      </c>
      <c r="R113" s="282" t="str">
        <f t="shared" si="98"/>
        <v/>
      </c>
      <c r="S113" s="283" t="str">
        <f t="shared" si="99"/>
        <v>---</v>
      </c>
      <c r="V113" s="3" t="str">
        <f>IFERROR(VALUE(TEXT(C113,"00")&amp;TEXT(N113,"00")&amp;TEXT(P113,"00")&amp;IF(#REF!="Plato perforado",5,IF(OR(#REF!="N/A",#REF!=""),0,#REF!))),"")</f>
        <v/>
      </c>
      <c r="BC113" s="3" t="str">
        <f t="shared" si="100"/>
        <v/>
      </c>
      <c r="BD113" s="3" t="str">
        <f t="shared" si="101"/>
        <v/>
      </c>
      <c r="BE113" s="3" t="e">
        <f t="shared" si="102"/>
        <v>#VALUE!</v>
      </c>
      <c r="BF113" s="430">
        <v>28</v>
      </c>
      <c r="BG113" s="430">
        <v>14</v>
      </c>
      <c r="BH113" s="121">
        <f>(BF113/12)*(BG113/12)</f>
        <v>2.7222222222222228</v>
      </c>
      <c r="BI113" s="8">
        <f t="shared" si="103"/>
        <v>1497.2222222222226</v>
      </c>
      <c r="BJ113" s="8">
        <f>BF113/BG113</f>
        <v>2</v>
      </c>
      <c r="BK113" s="3">
        <f t="shared" si="109"/>
        <v>2814</v>
      </c>
      <c r="BL113" s="3" t="e">
        <v>#VALUE!</v>
      </c>
      <c r="BW113" s="3">
        <f t="shared" si="105"/>
        <v>0</v>
      </c>
    </row>
    <row r="114" spans="1:75" x14ac:dyDescent="0.3">
      <c r="A114" s="431">
        <v>81</v>
      </c>
      <c r="B114" s="284"/>
      <c r="C114" s="285">
        <f t="shared" si="90"/>
        <v>2</v>
      </c>
      <c r="D114" s="373"/>
      <c r="E114" s="286"/>
      <c r="F114" s="285" t="str">
        <f t="shared" ref="F114:G133" si="110">IFERROR(VLOOKUP($E114,DMFA,F$29,FALSE),"")</f>
        <v/>
      </c>
      <c r="G114" s="287" t="str">
        <f t="shared" si="110"/>
        <v/>
      </c>
      <c r="H114" s="288" t="str">
        <f t="shared" si="91"/>
        <v/>
      </c>
      <c r="I114" s="289" t="str">
        <f t="shared" si="106"/>
        <v/>
      </c>
      <c r="J114" s="288" t="str">
        <f t="shared" si="92"/>
        <v/>
      </c>
      <c r="K114" s="288">
        <f t="shared" si="93"/>
        <v>0</v>
      </c>
      <c r="L114" s="290"/>
      <c r="M114" s="291">
        <f t="shared" si="94"/>
        <v>1</v>
      </c>
      <c r="N114" s="466" t="str">
        <f t="shared" si="95"/>
        <v/>
      </c>
      <c r="O114" s="302" t="str">
        <f t="shared" si="96"/>
        <v/>
      </c>
      <c r="P114" s="468" t="str">
        <f t="shared" si="97"/>
        <v/>
      </c>
      <c r="Q114" s="292" t="str">
        <f t="shared" si="107"/>
        <v/>
      </c>
      <c r="R114" s="294" t="str">
        <f t="shared" si="98"/>
        <v/>
      </c>
      <c r="S114" s="295" t="str">
        <f t="shared" si="99"/>
        <v>---</v>
      </c>
      <c r="V114" s="3" t="str">
        <f>IFERROR(VALUE(TEXT(C114,"00")&amp;TEXT(N114,"00")&amp;TEXT(P114,"00")&amp;IF(#REF!="Plato perforado",5,IF(OR(#REF!="N/A",#REF!=""),0,#REF!))),"")</f>
        <v/>
      </c>
      <c r="BC114" s="3" t="str">
        <f t="shared" si="100"/>
        <v/>
      </c>
      <c r="BD114" s="3" t="str">
        <f t="shared" si="101"/>
        <v/>
      </c>
      <c r="BE114" s="3" t="e">
        <f t="shared" si="102"/>
        <v>#VALUE!</v>
      </c>
      <c r="BF114" s="430">
        <v>30</v>
      </c>
      <c r="BG114" s="430">
        <v>12</v>
      </c>
      <c r="BH114" s="121">
        <f>(BF114/12)*(BG114/12)</f>
        <v>2.5</v>
      </c>
      <c r="BI114" s="8">
        <f t="shared" si="103"/>
        <v>1375</v>
      </c>
      <c r="BJ114" s="8">
        <f>BF114/BG114</f>
        <v>2.5</v>
      </c>
      <c r="BK114" s="3">
        <f t="shared" si="109"/>
        <v>3012</v>
      </c>
      <c r="BL114" s="3" t="e">
        <v>#VALUE!</v>
      </c>
      <c r="BW114" s="3">
        <f t="shared" si="105"/>
        <v>0</v>
      </c>
    </row>
    <row r="115" spans="1:75" x14ac:dyDescent="0.3">
      <c r="A115" s="431">
        <v>82</v>
      </c>
      <c r="B115" s="260"/>
      <c r="C115" s="261">
        <f t="shared" si="90"/>
        <v>2</v>
      </c>
      <c r="D115" s="371"/>
      <c r="E115" s="262"/>
      <c r="F115" s="261" t="str">
        <f t="shared" si="110"/>
        <v/>
      </c>
      <c r="G115" s="263" t="str">
        <f t="shared" si="110"/>
        <v/>
      </c>
      <c r="H115" s="264" t="str">
        <f t="shared" si="91"/>
        <v/>
      </c>
      <c r="I115" s="265" t="str">
        <f t="shared" si="106"/>
        <v/>
      </c>
      <c r="J115" s="264" t="str">
        <f t="shared" si="92"/>
        <v/>
      </c>
      <c r="K115" s="264">
        <f t="shared" si="93"/>
        <v>0</v>
      </c>
      <c r="L115" s="266"/>
      <c r="M115" s="267">
        <f t="shared" si="94"/>
        <v>1</v>
      </c>
      <c r="N115" s="465" t="str">
        <f t="shared" si="95"/>
        <v/>
      </c>
      <c r="O115" s="297" t="str">
        <f t="shared" si="96"/>
        <v/>
      </c>
      <c r="P115" s="467" t="str">
        <f t="shared" si="97"/>
        <v/>
      </c>
      <c r="Q115" s="268" t="str">
        <f t="shared" si="107"/>
        <v/>
      </c>
      <c r="R115" s="270" t="str">
        <f t="shared" si="98"/>
        <v/>
      </c>
      <c r="S115" s="271" t="str">
        <f t="shared" si="99"/>
        <v>---</v>
      </c>
      <c r="V115" s="3" t="str">
        <f>IFERROR(VALUE(TEXT(C115,"00")&amp;TEXT(N115,"00")&amp;TEXT(P115,"00")&amp;IF(#REF!="Plato perforado",5,IF(OR(#REF!="N/A",#REF!=""),0,#REF!))),"")</f>
        <v/>
      </c>
      <c r="BC115" s="3" t="str">
        <f t="shared" si="100"/>
        <v/>
      </c>
      <c r="BD115" s="3" t="str">
        <f t="shared" si="101"/>
        <v/>
      </c>
      <c r="BE115" s="3" t="e">
        <f t="shared" si="102"/>
        <v>#VALUE!</v>
      </c>
      <c r="BL115" s="3" t="e">
        <v>#VALUE!</v>
      </c>
      <c r="BW115" s="3">
        <f t="shared" si="105"/>
        <v>0</v>
      </c>
    </row>
    <row r="116" spans="1:75" x14ac:dyDescent="0.3">
      <c r="A116" s="431">
        <v>83</v>
      </c>
      <c r="B116" s="272"/>
      <c r="C116" s="273">
        <f t="shared" si="90"/>
        <v>2</v>
      </c>
      <c r="D116" s="372"/>
      <c r="E116" s="274"/>
      <c r="F116" s="273" t="str">
        <f t="shared" si="110"/>
        <v/>
      </c>
      <c r="G116" s="275" t="str">
        <f t="shared" si="110"/>
        <v/>
      </c>
      <c r="H116" s="276" t="str">
        <f t="shared" si="91"/>
        <v/>
      </c>
      <c r="I116" s="277" t="str">
        <f t="shared" si="106"/>
        <v/>
      </c>
      <c r="J116" s="276" t="str">
        <f t="shared" si="92"/>
        <v/>
      </c>
      <c r="K116" s="276">
        <f t="shared" si="93"/>
        <v>0</v>
      </c>
      <c r="L116" s="278"/>
      <c r="M116" s="279">
        <f t="shared" si="94"/>
        <v>1</v>
      </c>
      <c r="N116" s="360" t="str">
        <f t="shared" si="95"/>
        <v/>
      </c>
      <c r="O116" s="117" t="str">
        <f t="shared" si="96"/>
        <v/>
      </c>
      <c r="P116" s="359" t="str">
        <f t="shared" si="97"/>
        <v/>
      </c>
      <c r="Q116" s="280" t="str">
        <f t="shared" si="107"/>
        <v/>
      </c>
      <c r="R116" s="282" t="str">
        <f t="shared" si="98"/>
        <v/>
      </c>
      <c r="S116" s="283" t="str">
        <f t="shared" si="99"/>
        <v>---</v>
      </c>
      <c r="V116" s="3" t="str">
        <f>IFERROR(VALUE(TEXT(C116,"00")&amp;TEXT(N116,"00")&amp;TEXT(P116,"00")&amp;IF(#REF!="Plato perforado",5,IF(OR(#REF!="N/A",#REF!=""),0,#REF!))),"")</f>
        <v/>
      </c>
      <c r="BC116" s="3" t="str">
        <f t="shared" si="100"/>
        <v/>
      </c>
      <c r="BD116" s="3" t="str">
        <f t="shared" si="101"/>
        <v/>
      </c>
      <c r="BE116" s="3" t="e">
        <f t="shared" si="102"/>
        <v>#VALUE!</v>
      </c>
      <c r="BW116" s="3">
        <f t="shared" si="105"/>
        <v>0</v>
      </c>
    </row>
    <row r="117" spans="1:75" x14ac:dyDescent="0.3">
      <c r="A117" s="431">
        <v>84</v>
      </c>
      <c r="B117" s="284"/>
      <c r="C117" s="285">
        <f t="shared" si="90"/>
        <v>2</v>
      </c>
      <c r="D117" s="373"/>
      <c r="E117" s="286"/>
      <c r="F117" s="285" t="str">
        <f t="shared" si="110"/>
        <v/>
      </c>
      <c r="G117" s="287" t="str">
        <f t="shared" si="110"/>
        <v/>
      </c>
      <c r="H117" s="288" t="str">
        <f t="shared" si="91"/>
        <v/>
      </c>
      <c r="I117" s="289" t="str">
        <f t="shared" si="106"/>
        <v/>
      </c>
      <c r="J117" s="288" t="str">
        <f t="shared" si="92"/>
        <v/>
      </c>
      <c r="K117" s="288">
        <f t="shared" si="93"/>
        <v>0</v>
      </c>
      <c r="L117" s="290"/>
      <c r="M117" s="291">
        <f t="shared" si="94"/>
        <v>1</v>
      </c>
      <c r="N117" s="466" t="str">
        <f t="shared" si="95"/>
        <v/>
      </c>
      <c r="O117" s="302" t="str">
        <f t="shared" si="96"/>
        <v/>
      </c>
      <c r="P117" s="468" t="str">
        <f t="shared" si="97"/>
        <v/>
      </c>
      <c r="Q117" s="292" t="str">
        <f t="shared" si="107"/>
        <v/>
      </c>
      <c r="R117" s="294" t="str">
        <f t="shared" si="98"/>
        <v/>
      </c>
      <c r="S117" s="295" t="str">
        <f t="shared" si="99"/>
        <v>---</v>
      </c>
      <c r="V117" s="3" t="str">
        <f>IFERROR(VALUE(TEXT(C117,"00")&amp;TEXT(N117,"00")&amp;TEXT(P117,"00")&amp;IF(#REF!="Plato perforado",5,IF(OR(#REF!="N/A",#REF!=""),0,#REF!))),"")</f>
        <v/>
      </c>
      <c r="BC117" s="3" t="str">
        <f t="shared" si="100"/>
        <v/>
      </c>
      <c r="BD117" s="3" t="str">
        <f t="shared" si="101"/>
        <v/>
      </c>
      <c r="BE117" s="3" t="e">
        <f t="shared" si="102"/>
        <v>#VALUE!</v>
      </c>
      <c r="BW117" s="3">
        <f t="shared" si="105"/>
        <v>0</v>
      </c>
    </row>
    <row r="118" spans="1:75" x14ac:dyDescent="0.3">
      <c r="A118" s="431">
        <v>85</v>
      </c>
      <c r="B118" s="260"/>
      <c r="C118" s="261">
        <f t="shared" si="90"/>
        <v>2</v>
      </c>
      <c r="D118" s="371"/>
      <c r="E118" s="262"/>
      <c r="F118" s="261" t="str">
        <f t="shared" si="110"/>
        <v/>
      </c>
      <c r="G118" s="263" t="str">
        <f t="shared" si="110"/>
        <v/>
      </c>
      <c r="H118" s="264" t="str">
        <f t="shared" si="91"/>
        <v/>
      </c>
      <c r="I118" s="265" t="str">
        <f t="shared" si="106"/>
        <v/>
      </c>
      <c r="J118" s="264" t="str">
        <f t="shared" si="92"/>
        <v/>
      </c>
      <c r="K118" s="264">
        <f t="shared" si="93"/>
        <v>0</v>
      </c>
      <c r="L118" s="266"/>
      <c r="M118" s="267">
        <f t="shared" si="94"/>
        <v>1</v>
      </c>
      <c r="N118" s="465" t="str">
        <f t="shared" si="95"/>
        <v/>
      </c>
      <c r="O118" s="297" t="str">
        <f t="shared" si="96"/>
        <v/>
      </c>
      <c r="P118" s="467" t="str">
        <f t="shared" si="97"/>
        <v/>
      </c>
      <c r="Q118" s="268" t="str">
        <f t="shared" si="107"/>
        <v/>
      </c>
      <c r="R118" s="270" t="str">
        <f t="shared" si="98"/>
        <v/>
      </c>
      <c r="S118" s="271" t="str">
        <f t="shared" si="99"/>
        <v>---</v>
      </c>
      <c r="V118" s="3" t="str">
        <f>IFERROR(VALUE(TEXT(C118,"00")&amp;TEXT(N118,"00")&amp;TEXT(P118,"00")&amp;IF(#REF!="Plato perforado",5,IF(OR(#REF!="N/A",#REF!=""),0,#REF!))),"")</f>
        <v/>
      </c>
      <c r="BC118" s="3" t="str">
        <f t="shared" si="100"/>
        <v/>
      </c>
      <c r="BD118" s="3" t="str">
        <f t="shared" si="101"/>
        <v/>
      </c>
      <c r="BE118" s="3" t="e">
        <f t="shared" si="102"/>
        <v>#VALUE!</v>
      </c>
      <c r="BW118" s="3">
        <f t="shared" si="105"/>
        <v>0</v>
      </c>
    </row>
    <row r="119" spans="1:75" x14ac:dyDescent="0.3">
      <c r="A119" s="431">
        <v>86</v>
      </c>
      <c r="B119" s="272"/>
      <c r="C119" s="273">
        <f t="shared" si="90"/>
        <v>2</v>
      </c>
      <c r="D119" s="372"/>
      <c r="E119" s="274"/>
      <c r="F119" s="273" t="str">
        <f t="shared" si="110"/>
        <v/>
      </c>
      <c r="G119" s="275" t="str">
        <f t="shared" si="110"/>
        <v/>
      </c>
      <c r="H119" s="276" t="str">
        <f t="shared" si="91"/>
        <v/>
      </c>
      <c r="I119" s="277" t="str">
        <f t="shared" si="106"/>
        <v/>
      </c>
      <c r="J119" s="276" t="str">
        <f t="shared" si="92"/>
        <v/>
      </c>
      <c r="K119" s="276">
        <f t="shared" si="93"/>
        <v>0</v>
      </c>
      <c r="L119" s="278"/>
      <c r="M119" s="279">
        <f t="shared" si="94"/>
        <v>1</v>
      </c>
      <c r="N119" s="360" t="str">
        <f t="shared" si="95"/>
        <v/>
      </c>
      <c r="O119" s="117" t="str">
        <f t="shared" si="96"/>
        <v/>
      </c>
      <c r="P119" s="359" t="str">
        <f t="shared" si="97"/>
        <v/>
      </c>
      <c r="Q119" s="280" t="str">
        <f t="shared" si="107"/>
        <v/>
      </c>
      <c r="R119" s="282" t="str">
        <f t="shared" si="98"/>
        <v/>
      </c>
      <c r="S119" s="283" t="str">
        <f t="shared" si="99"/>
        <v>---</v>
      </c>
      <c r="V119" s="3" t="str">
        <f>IFERROR(VALUE(TEXT(C119,"00")&amp;TEXT(N119,"00")&amp;TEXT(P119,"00")&amp;IF(#REF!="Plato perforado",5,IF(OR(#REF!="N/A",#REF!=""),0,#REF!))),"")</f>
        <v/>
      </c>
      <c r="BC119" s="3" t="str">
        <f t="shared" si="100"/>
        <v/>
      </c>
      <c r="BD119" s="3" t="str">
        <f t="shared" si="101"/>
        <v/>
      </c>
      <c r="BE119" s="3" t="e">
        <f t="shared" si="102"/>
        <v>#VALUE!</v>
      </c>
      <c r="BW119" s="3">
        <f t="shared" si="105"/>
        <v>0</v>
      </c>
    </row>
    <row r="120" spans="1:75" x14ac:dyDescent="0.3">
      <c r="A120" s="259">
        <v>87</v>
      </c>
      <c r="B120" s="284"/>
      <c r="C120" s="285">
        <f t="shared" si="90"/>
        <v>2</v>
      </c>
      <c r="D120" s="373"/>
      <c r="E120" s="286"/>
      <c r="F120" s="285" t="str">
        <f t="shared" si="110"/>
        <v/>
      </c>
      <c r="G120" s="287" t="str">
        <f t="shared" si="110"/>
        <v/>
      </c>
      <c r="H120" s="288" t="str">
        <f t="shared" si="91"/>
        <v/>
      </c>
      <c r="I120" s="289" t="str">
        <f t="shared" si="106"/>
        <v/>
      </c>
      <c r="J120" s="288" t="str">
        <f t="shared" si="92"/>
        <v/>
      </c>
      <c r="K120" s="288">
        <f t="shared" si="93"/>
        <v>0</v>
      </c>
      <c r="L120" s="290"/>
      <c r="M120" s="291">
        <f t="shared" si="94"/>
        <v>1</v>
      </c>
      <c r="N120" s="466" t="str">
        <f t="shared" si="95"/>
        <v/>
      </c>
      <c r="O120" s="302" t="str">
        <f t="shared" si="96"/>
        <v/>
      </c>
      <c r="P120" s="468" t="str">
        <f t="shared" si="97"/>
        <v/>
      </c>
      <c r="Q120" s="292" t="str">
        <f t="shared" si="107"/>
        <v/>
      </c>
      <c r="R120" s="294" t="str">
        <f t="shared" si="98"/>
        <v/>
      </c>
      <c r="S120" s="295" t="str">
        <f t="shared" si="99"/>
        <v>---</v>
      </c>
      <c r="V120" s="3" t="str">
        <f>IFERROR(VALUE(TEXT(C120,"00")&amp;TEXT(N120,"00")&amp;TEXT(P120,"00")&amp;IF(#REF!="Plato perforado",5,IF(OR(#REF!="N/A",#REF!=""),0,#REF!))),"")</f>
        <v/>
      </c>
      <c r="BC120" s="3" t="str">
        <f t="shared" si="100"/>
        <v/>
      </c>
      <c r="BD120" s="3" t="str">
        <f t="shared" si="101"/>
        <v/>
      </c>
      <c r="BE120" s="3" t="e">
        <f t="shared" si="102"/>
        <v>#VALUE!</v>
      </c>
      <c r="BW120" s="3">
        <f t="shared" si="105"/>
        <v>0</v>
      </c>
    </row>
    <row r="121" spans="1:75" x14ac:dyDescent="0.3">
      <c r="A121" s="431">
        <v>88</v>
      </c>
      <c r="B121" s="260"/>
      <c r="C121" s="261">
        <f t="shared" si="90"/>
        <v>2</v>
      </c>
      <c r="D121" s="371"/>
      <c r="E121" s="262"/>
      <c r="F121" s="261" t="str">
        <f t="shared" si="110"/>
        <v/>
      </c>
      <c r="G121" s="263" t="str">
        <f t="shared" si="110"/>
        <v/>
      </c>
      <c r="H121" s="264" t="str">
        <f t="shared" si="91"/>
        <v/>
      </c>
      <c r="I121" s="265" t="str">
        <f t="shared" si="106"/>
        <v/>
      </c>
      <c r="J121" s="264" t="str">
        <f t="shared" si="92"/>
        <v/>
      </c>
      <c r="K121" s="264">
        <f t="shared" si="93"/>
        <v>0</v>
      </c>
      <c r="L121" s="266"/>
      <c r="M121" s="267">
        <f t="shared" si="94"/>
        <v>1</v>
      </c>
      <c r="N121" s="465" t="str">
        <f t="shared" si="95"/>
        <v/>
      </c>
      <c r="O121" s="297" t="str">
        <f t="shared" si="96"/>
        <v/>
      </c>
      <c r="P121" s="467" t="str">
        <f t="shared" si="97"/>
        <v/>
      </c>
      <c r="Q121" s="268" t="str">
        <f t="shared" si="107"/>
        <v/>
      </c>
      <c r="R121" s="270" t="str">
        <f t="shared" si="98"/>
        <v/>
      </c>
      <c r="S121" s="271" t="str">
        <f t="shared" si="99"/>
        <v>---</v>
      </c>
      <c r="V121" s="3" t="str">
        <f>IFERROR(VALUE(TEXT(C121,"00")&amp;TEXT(N121,"00")&amp;TEXT(P121,"00")&amp;IF(#REF!="Plato perforado",5,IF(OR(#REF!="N/A",#REF!=""),0,#REF!))),"")</f>
        <v/>
      </c>
      <c r="BC121" s="3" t="str">
        <f t="shared" si="100"/>
        <v/>
      </c>
      <c r="BD121" s="3" t="str">
        <f t="shared" si="101"/>
        <v/>
      </c>
      <c r="BE121" s="3" t="e">
        <f t="shared" si="102"/>
        <v>#VALUE!</v>
      </c>
      <c r="BW121" s="3">
        <f t="shared" si="105"/>
        <v>0</v>
      </c>
    </row>
    <row r="122" spans="1:75" x14ac:dyDescent="0.3">
      <c r="A122" s="431">
        <v>89</v>
      </c>
      <c r="B122" s="272"/>
      <c r="C122" s="273">
        <f t="shared" si="90"/>
        <v>2</v>
      </c>
      <c r="D122" s="372"/>
      <c r="E122" s="274"/>
      <c r="F122" s="273" t="str">
        <f t="shared" si="110"/>
        <v/>
      </c>
      <c r="G122" s="275" t="str">
        <f t="shared" si="110"/>
        <v/>
      </c>
      <c r="H122" s="276" t="str">
        <f t="shared" si="91"/>
        <v/>
      </c>
      <c r="I122" s="277" t="str">
        <f t="shared" si="106"/>
        <v/>
      </c>
      <c r="J122" s="276" t="str">
        <f t="shared" si="92"/>
        <v/>
      </c>
      <c r="K122" s="276">
        <f t="shared" si="93"/>
        <v>0</v>
      </c>
      <c r="L122" s="278"/>
      <c r="M122" s="279">
        <f t="shared" si="94"/>
        <v>1</v>
      </c>
      <c r="N122" s="360" t="str">
        <f t="shared" si="95"/>
        <v/>
      </c>
      <c r="O122" s="117" t="str">
        <f t="shared" si="96"/>
        <v/>
      </c>
      <c r="P122" s="359" t="str">
        <f t="shared" si="97"/>
        <v/>
      </c>
      <c r="Q122" s="280" t="str">
        <f t="shared" si="107"/>
        <v/>
      </c>
      <c r="R122" s="282" t="str">
        <f t="shared" si="98"/>
        <v/>
      </c>
      <c r="S122" s="283" t="str">
        <f t="shared" si="99"/>
        <v>---</v>
      </c>
      <c r="V122" s="3" t="str">
        <f>IFERROR(VALUE(TEXT(C122,"00")&amp;TEXT(N122,"00")&amp;TEXT(P122,"00")&amp;IF(#REF!="Plato perforado",5,IF(OR(#REF!="N/A",#REF!=""),0,#REF!))),"")</f>
        <v/>
      </c>
      <c r="BC122" s="3" t="str">
        <f t="shared" si="100"/>
        <v/>
      </c>
      <c r="BD122" s="3" t="str">
        <f t="shared" si="101"/>
        <v/>
      </c>
      <c r="BE122" s="3" t="e">
        <f t="shared" si="102"/>
        <v>#VALUE!</v>
      </c>
      <c r="BW122" s="3">
        <f t="shared" si="105"/>
        <v>0</v>
      </c>
    </row>
    <row r="123" spans="1:75" x14ac:dyDescent="0.3">
      <c r="A123" s="431">
        <v>90</v>
      </c>
      <c r="B123" s="284"/>
      <c r="C123" s="285">
        <f t="shared" si="90"/>
        <v>2</v>
      </c>
      <c r="D123" s="373"/>
      <c r="E123" s="286"/>
      <c r="F123" s="285" t="str">
        <f t="shared" si="110"/>
        <v/>
      </c>
      <c r="G123" s="287" t="str">
        <f t="shared" si="110"/>
        <v/>
      </c>
      <c r="H123" s="288" t="str">
        <f t="shared" si="91"/>
        <v/>
      </c>
      <c r="I123" s="289" t="str">
        <f t="shared" si="106"/>
        <v/>
      </c>
      <c r="J123" s="288" t="str">
        <f t="shared" si="92"/>
        <v/>
      </c>
      <c r="K123" s="288">
        <f t="shared" si="93"/>
        <v>0</v>
      </c>
      <c r="L123" s="290"/>
      <c r="M123" s="291">
        <f t="shared" si="94"/>
        <v>1</v>
      </c>
      <c r="N123" s="466" t="str">
        <f t="shared" si="95"/>
        <v/>
      </c>
      <c r="O123" s="302" t="str">
        <f t="shared" si="96"/>
        <v/>
      </c>
      <c r="P123" s="468" t="str">
        <f t="shared" si="97"/>
        <v/>
      </c>
      <c r="Q123" s="292" t="str">
        <f t="shared" si="107"/>
        <v/>
      </c>
      <c r="R123" s="294" t="str">
        <f t="shared" si="98"/>
        <v/>
      </c>
      <c r="S123" s="295" t="str">
        <f t="shared" si="99"/>
        <v>---</v>
      </c>
      <c r="V123" s="3" t="str">
        <f>IFERROR(VALUE(TEXT(C123,"00")&amp;TEXT(N123,"00")&amp;TEXT(P123,"00")&amp;IF(#REF!="Plato perforado",5,IF(OR(#REF!="N/A",#REF!=""),0,#REF!))),"")</f>
        <v/>
      </c>
      <c r="BC123" s="3" t="str">
        <f t="shared" si="100"/>
        <v/>
      </c>
      <c r="BD123" s="3" t="str">
        <f t="shared" si="101"/>
        <v/>
      </c>
      <c r="BE123" s="3" t="e">
        <f t="shared" si="102"/>
        <v>#VALUE!</v>
      </c>
      <c r="BH123" s="121"/>
      <c r="BI123" s="8"/>
      <c r="BJ123" s="8"/>
      <c r="BW123" s="3">
        <f t="shared" si="105"/>
        <v>0</v>
      </c>
    </row>
    <row r="124" spans="1:75" x14ac:dyDescent="0.3">
      <c r="A124" s="431">
        <v>91</v>
      </c>
      <c r="B124" s="260"/>
      <c r="C124" s="261">
        <f t="shared" si="90"/>
        <v>2</v>
      </c>
      <c r="D124" s="371"/>
      <c r="E124" s="262"/>
      <c r="F124" s="261" t="str">
        <f t="shared" si="110"/>
        <v/>
      </c>
      <c r="G124" s="263" t="str">
        <f t="shared" si="110"/>
        <v/>
      </c>
      <c r="H124" s="264" t="str">
        <f t="shared" si="91"/>
        <v/>
      </c>
      <c r="I124" s="265" t="str">
        <f t="shared" si="106"/>
        <v/>
      </c>
      <c r="J124" s="264" t="str">
        <f t="shared" si="92"/>
        <v/>
      </c>
      <c r="K124" s="264">
        <f t="shared" si="93"/>
        <v>0</v>
      </c>
      <c r="L124" s="266"/>
      <c r="M124" s="267">
        <f t="shared" si="94"/>
        <v>1</v>
      </c>
      <c r="N124" s="465" t="str">
        <f t="shared" si="95"/>
        <v/>
      </c>
      <c r="O124" s="297" t="str">
        <f t="shared" si="96"/>
        <v/>
      </c>
      <c r="P124" s="467" t="str">
        <f t="shared" si="97"/>
        <v/>
      </c>
      <c r="Q124" s="268" t="str">
        <f t="shared" si="107"/>
        <v/>
      </c>
      <c r="R124" s="270" t="str">
        <f t="shared" si="98"/>
        <v/>
      </c>
      <c r="S124" s="271" t="str">
        <f t="shared" si="99"/>
        <v>---</v>
      </c>
      <c r="V124" s="3" t="str">
        <f>IFERROR(VALUE(TEXT(C124,"00")&amp;TEXT(N124,"00")&amp;TEXT(P124,"00")&amp;IF(#REF!="Plato perforado",5,IF(OR(#REF!="N/A",#REF!=""),0,#REF!))),"")</f>
        <v/>
      </c>
      <c r="BC124" s="3" t="str">
        <f t="shared" si="100"/>
        <v/>
      </c>
      <c r="BD124" s="3" t="str">
        <f t="shared" si="101"/>
        <v/>
      </c>
      <c r="BE124" s="3" t="e">
        <f t="shared" si="102"/>
        <v>#VALUE!</v>
      </c>
      <c r="BH124" s="121"/>
      <c r="BI124" s="8"/>
      <c r="BJ124" s="8"/>
      <c r="BW124" s="3">
        <f t="shared" si="105"/>
        <v>0</v>
      </c>
    </row>
    <row r="125" spans="1:75" x14ac:dyDescent="0.3">
      <c r="A125" s="431">
        <v>92</v>
      </c>
      <c r="B125" s="272"/>
      <c r="C125" s="273">
        <f t="shared" si="90"/>
        <v>2</v>
      </c>
      <c r="D125" s="372"/>
      <c r="E125" s="274"/>
      <c r="F125" s="273" t="str">
        <f t="shared" si="110"/>
        <v/>
      </c>
      <c r="G125" s="275" t="str">
        <f t="shared" si="110"/>
        <v/>
      </c>
      <c r="H125" s="276" t="str">
        <f t="shared" si="91"/>
        <v/>
      </c>
      <c r="I125" s="277" t="str">
        <f t="shared" si="106"/>
        <v/>
      </c>
      <c r="J125" s="276" t="str">
        <f t="shared" si="92"/>
        <v/>
      </c>
      <c r="K125" s="276">
        <f t="shared" si="93"/>
        <v>0</v>
      </c>
      <c r="L125" s="278"/>
      <c r="M125" s="279">
        <f t="shared" si="94"/>
        <v>1</v>
      </c>
      <c r="N125" s="360" t="str">
        <f t="shared" si="95"/>
        <v/>
      </c>
      <c r="O125" s="117" t="str">
        <f t="shared" si="96"/>
        <v/>
      </c>
      <c r="P125" s="359" t="str">
        <f t="shared" si="97"/>
        <v/>
      </c>
      <c r="Q125" s="280" t="str">
        <f t="shared" si="107"/>
        <v/>
      </c>
      <c r="R125" s="282" t="str">
        <f t="shared" si="98"/>
        <v/>
      </c>
      <c r="S125" s="283" t="str">
        <f t="shared" si="99"/>
        <v>---</v>
      </c>
      <c r="V125" s="3" t="str">
        <f>IFERROR(VALUE(TEXT(C125,"00")&amp;TEXT(N125,"00")&amp;TEXT(P125,"00")&amp;IF(#REF!="Plato perforado",5,IF(OR(#REF!="N/A",#REF!=""),0,#REF!))),"")</f>
        <v/>
      </c>
      <c r="BC125" s="3" t="str">
        <f t="shared" si="100"/>
        <v/>
      </c>
      <c r="BD125" s="3" t="str">
        <f t="shared" si="101"/>
        <v/>
      </c>
      <c r="BE125" s="3" t="e">
        <f t="shared" si="102"/>
        <v>#VALUE!</v>
      </c>
      <c r="BH125" s="121"/>
      <c r="BI125" s="8"/>
      <c r="BJ125" s="8"/>
      <c r="BW125" s="3">
        <f t="shared" si="105"/>
        <v>0</v>
      </c>
    </row>
    <row r="126" spans="1:75" x14ac:dyDescent="0.3">
      <c r="A126" s="431">
        <v>93</v>
      </c>
      <c r="B126" s="284"/>
      <c r="C126" s="285">
        <f t="shared" si="90"/>
        <v>2</v>
      </c>
      <c r="D126" s="373"/>
      <c r="E126" s="286"/>
      <c r="F126" s="285" t="str">
        <f t="shared" si="110"/>
        <v/>
      </c>
      <c r="G126" s="287" t="str">
        <f t="shared" si="110"/>
        <v/>
      </c>
      <c r="H126" s="288" t="str">
        <f t="shared" si="91"/>
        <v/>
      </c>
      <c r="I126" s="289" t="str">
        <f t="shared" si="106"/>
        <v/>
      </c>
      <c r="J126" s="288" t="str">
        <f t="shared" si="92"/>
        <v/>
      </c>
      <c r="K126" s="288">
        <f t="shared" si="93"/>
        <v>0</v>
      </c>
      <c r="L126" s="290"/>
      <c r="M126" s="291">
        <f t="shared" si="94"/>
        <v>1</v>
      </c>
      <c r="N126" s="466" t="str">
        <f t="shared" si="95"/>
        <v/>
      </c>
      <c r="O126" s="302" t="str">
        <f t="shared" si="96"/>
        <v/>
      </c>
      <c r="P126" s="468" t="str">
        <f t="shared" si="97"/>
        <v/>
      </c>
      <c r="Q126" s="292" t="str">
        <f t="shared" si="107"/>
        <v/>
      </c>
      <c r="R126" s="294" t="str">
        <f t="shared" si="98"/>
        <v/>
      </c>
      <c r="S126" s="295" t="str">
        <f t="shared" si="99"/>
        <v>---</v>
      </c>
      <c r="V126" s="3" t="str">
        <f>IFERROR(VALUE(TEXT(C126,"00")&amp;TEXT(N126,"00")&amp;TEXT(P126,"00")&amp;IF(#REF!="Plato perforado",5,IF(OR(#REF!="N/A",#REF!=""),0,#REF!))),"")</f>
        <v/>
      </c>
      <c r="BC126" s="3" t="str">
        <f t="shared" si="100"/>
        <v/>
      </c>
      <c r="BD126" s="3" t="str">
        <f t="shared" si="101"/>
        <v/>
      </c>
      <c r="BE126" s="3" t="e">
        <f t="shared" si="102"/>
        <v>#VALUE!</v>
      </c>
      <c r="BH126" s="121"/>
      <c r="BI126" s="8"/>
      <c r="BJ126" s="8"/>
      <c r="BW126" s="3">
        <f t="shared" si="105"/>
        <v>0</v>
      </c>
    </row>
    <row r="127" spans="1:75" x14ac:dyDescent="0.3">
      <c r="A127" s="431">
        <v>94</v>
      </c>
      <c r="B127" s="260"/>
      <c r="C127" s="261">
        <f t="shared" si="90"/>
        <v>2</v>
      </c>
      <c r="D127" s="371"/>
      <c r="E127" s="262"/>
      <c r="F127" s="261" t="str">
        <f t="shared" si="110"/>
        <v/>
      </c>
      <c r="G127" s="263" t="str">
        <f t="shared" si="110"/>
        <v/>
      </c>
      <c r="H127" s="264" t="str">
        <f t="shared" si="91"/>
        <v/>
      </c>
      <c r="I127" s="265" t="str">
        <f t="shared" si="106"/>
        <v/>
      </c>
      <c r="J127" s="264" t="str">
        <f t="shared" si="92"/>
        <v/>
      </c>
      <c r="K127" s="264">
        <f t="shared" si="93"/>
        <v>0</v>
      </c>
      <c r="L127" s="266"/>
      <c r="M127" s="267">
        <f t="shared" si="94"/>
        <v>1</v>
      </c>
      <c r="N127" s="465" t="str">
        <f t="shared" si="95"/>
        <v/>
      </c>
      <c r="O127" s="297" t="str">
        <f t="shared" si="96"/>
        <v/>
      </c>
      <c r="P127" s="467" t="str">
        <f t="shared" si="97"/>
        <v/>
      </c>
      <c r="Q127" s="268" t="str">
        <f t="shared" si="107"/>
        <v/>
      </c>
      <c r="R127" s="270" t="str">
        <f t="shared" si="98"/>
        <v/>
      </c>
      <c r="S127" s="271" t="str">
        <f t="shared" si="99"/>
        <v>---</v>
      </c>
      <c r="V127" s="3" t="str">
        <f>IFERROR(VALUE(TEXT(C127,"00")&amp;TEXT(N127,"00")&amp;TEXT(P127,"00")&amp;IF(#REF!="Plato perforado",5,IF(OR(#REF!="N/A",#REF!=""),0,#REF!))),"")</f>
        <v/>
      </c>
      <c r="BC127" s="3" t="str">
        <f t="shared" si="100"/>
        <v/>
      </c>
      <c r="BD127" s="3" t="str">
        <f t="shared" si="101"/>
        <v/>
      </c>
      <c r="BE127" s="3" t="e">
        <f t="shared" si="102"/>
        <v>#VALUE!</v>
      </c>
      <c r="BH127" s="121"/>
      <c r="BI127" s="8"/>
      <c r="BJ127" s="8"/>
      <c r="BW127" s="3">
        <f t="shared" si="105"/>
        <v>0</v>
      </c>
    </row>
    <row r="128" spans="1:75" x14ac:dyDescent="0.3">
      <c r="A128" s="431">
        <v>95</v>
      </c>
      <c r="B128" s="272"/>
      <c r="C128" s="273">
        <f t="shared" si="90"/>
        <v>2</v>
      </c>
      <c r="D128" s="372"/>
      <c r="E128" s="274"/>
      <c r="F128" s="273" t="str">
        <f t="shared" si="110"/>
        <v/>
      </c>
      <c r="G128" s="275" t="str">
        <f t="shared" si="110"/>
        <v/>
      </c>
      <c r="H128" s="276" t="str">
        <f t="shared" si="91"/>
        <v/>
      </c>
      <c r="I128" s="277" t="str">
        <f t="shared" si="106"/>
        <v/>
      </c>
      <c r="J128" s="276" t="str">
        <f t="shared" si="92"/>
        <v/>
      </c>
      <c r="K128" s="276">
        <f t="shared" si="93"/>
        <v>0</v>
      </c>
      <c r="L128" s="278"/>
      <c r="M128" s="279">
        <f t="shared" si="94"/>
        <v>1</v>
      </c>
      <c r="N128" s="360" t="str">
        <f t="shared" si="95"/>
        <v/>
      </c>
      <c r="O128" s="117" t="str">
        <f t="shared" si="96"/>
        <v/>
      </c>
      <c r="P128" s="359" t="str">
        <f t="shared" si="97"/>
        <v/>
      </c>
      <c r="Q128" s="280" t="str">
        <f t="shared" si="107"/>
        <v/>
      </c>
      <c r="R128" s="282" t="str">
        <f t="shared" si="98"/>
        <v/>
      </c>
      <c r="S128" s="283" t="str">
        <f t="shared" si="99"/>
        <v>---</v>
      </c>
      <c r="V128" s="3" t="str">
        <f>IFERROR(VALUE(TEXT(C128,"00")&amp;TEXT(N128,"00")&amp;TEXT(P128,"00")&amp;IF(#REF!="Plato perforado",5,IF(OR(#REF!="N/A",#REF!=""),0,#REF!))),"")</f>
        <v/>
      </c>
      <c r="BC128" s="3" t="str">
        <f t="shared" si="100"/>
        <v/>
      </c>
      <c r="BD128" s="3" t="str">
        <f t="shared" si="101"/>
        <v/>
      </c>
      <c r="BE128" s="3" t="e">
        <f t="shared" si="102"/>
        <v>#VALUE!</v>
      </c>
      <c r="BH128" s="121"/>
      <c r="BI128" s="8"/>
      <c r="BJ128" s="8"/>
      <c r="BW128" s="3">
        <f t="shared" si="105"/>
        <v>0</v>
      </c>
    </row>
    <row r="129" spans="1:75" x14ac:dyDescent="0.3">
      <c r="A129" s="431">
        <v>96</v>
      </c>
      <c r="B129" s="284"/>
      <c r="C129" s="285">
        <f t="shared" si="90"/>
        <v>2</v>
      </c>
      <c r="D129" s="373"/>
      <c r="E129" s="286"/>
      <c r="F129" s="285" t="str">
        <f t="shared" si="110"/>
        <v/>
      </c>
      <c r="G129" s="287" t="str">
        <f t="shared" si="110"/>
        <v/>
      </c>
      <c r="H129" s="288" t="str">
        <f t="shared" si="91"/>
        <v/>
      </c>
      <c r="I129" s="289" t="str">
        <f t="shared" si="106"/>
        <v/>
      </c>
      <c r="J129" s="288" t="str">
        <f t="shared" si="92"/>
        <v/>
      </c>
      <c r="K129" s="288">
        <f t="shared" si="93"/>
        <v>0</v>
      </c>
      <c r="L129" s="290"/>
      <c r="M129" s="291">
        <f t="shared" si="94"/>
        <v>1</v>
      </c>
      <c r="N129" s="466" t="str">
        <f t="shared" si="95"/>
        <v/>
      </c>
      <c r="O129" s="302" t="str">
        <f t="shared" si="96"/>
        <v/>
      </c>
      <c r="P129" s="468" t="str">
        <f t="shared" si="97"/>
        <v/>
      </c>
      <c r="Q129" s="292" t="str">
        <f t="shared" si="107"/>
        <v/>
      </c>
      <c r="R129" s="294" t="str">
        <f t="shared" si="98"/>
        <v/>
      </c>
      <c r="S129" s="295" t="str">
        <f t="shared" si="99"/>
        <v>---</v>
      </c>
      <c r="V129" s="3" t="str">
        <f>IFERROR(VALUE(TEXT(C129,"00")&amp;TEXT(N129,"00")&amp;TEXT(P129,"00")&amp;IF(#REF!="Plato perforado",5,IF(OR(#REF!="N/A",#REF!=""),0,#REF!))),"")</f>
        <v/>
      </c>
      <c r="BC129" s="3" t="str">
        <f t="shared" si="100"/>
        <v/>
      </c>
      <c r="BD129" s="3" t="str">
        <f t="shared" si="101"/>
        <v/>
      </c>
      <c r="BE129" s="3" t="e">
        <f t="shared" si="102"/>
        <v>#VALUE!</v>
      </c>
      <c r="BH129" s="121"/>
      <c r="BI129" s="8"/>
      <c r="BJ129" s="8"/>
      <c r="BW129" s="3">
        <f t="shared" si="105"/>
        <v>0</v>
      </c>
    </row>
    <row r="130" spans="1:75" x14ac:dyDescent="0.3">
      <c r="A130" s="431">
        <v>97</v>
      </c>
      <c r="B130" s="260"/>
      <c r="C130" s="261">
        <f t="shared" ref="C130:C161" si="111">IF(B130="RR",1,2)</f>
        <v>2</v>
      </c>
      <c r="D130" s="371"/>
      <c r="E130" s="262"/>
      <c r="F130" s="261" t="str">
        <f t="shared" si="110"/>
        <v/>
      </c>
      <c r="G130" s="263" t="str">
        <f t="shared" si="110"/>
        <v/>
      </c>
      <c r="H130" s="264" t="str">
        <f t="shared" si="91"/>
        <v/>
      </c>
      <c r="I130" s="265" t="str">
        <f t="shared" si="106"/>
        <v/>
      </c>
      <c r="J130" s="264" t="str">
        <f t="shared" si="92"/>
        <v/>
      </c>
      <c r="K130" s="264">
        <f t="shared" si="93"/>
        <v>0</v>
      </c>
      <c r="L130" s="266"/>
      <c r="M130" s="267">
        <f t="shared" ref="M130:M161" si="112">IF(OR(L130=0,C130=2),1,L130)</f>
        <v>1</v>
      </c>
      <c r="N130" s="465" t="str">
        <f t="shared" si="95"/>
        <v/>
      </c>
      <c r="O130" s="297" t="str">
        <f t="shared" si="96"/>
        <v/>
      </c>
      <c r="P130" s="467" t="str">
        <f t="shared" si="97"/>
        <v/>
      </c>
      <c r="Q130" s="268" t="str">
        <f t="shared" si="107"/>
        <v/>
      </c>
      <c r="R130" s="270" t="str">
        <f t="shared" ref="R130:R161" si="113">IF(C130=1,IF(N130&gt;=P130,"FL","FS"),IF(I130="","","N/A"))</f>
        <v/>
      </c>
      <c r="S130" s="271" t="str">
        <f t="shared" ref="S130:S161" si="114">IFERROR(IF(C130=1,(0.000000275)*Q130^1.993,"---"),"")</f>
        <v>---</v>
      </c>
      <c r="V130" s="3" t="str">
        <f>IFERROR(VALUE(TEXT(C130,"00")&amp;TEXT(N130,"00")&amp;TEXT(P130,"00")&amp;IF(#REF!="Plato perforado",5,IF(OR(#REF!="N/A",#REF!=""),0,#REF!))),"")</f>
        <v/>
      </c>
      <c r="BC130" s="3" t="str">
        <f t="shared" ref="BC130:BC161" si="115">IF(C130=2,N130,0)</f>
        <v/>
      </c>
      <c r="BD130" s="3" t="str">
        <f t="shared" ref="BD130:BD161" si="116">IF(C130=2,P130,0)</f>
        <v/>
      </c>
      <c r="BE130" s="3" t="e">
        <f t="shared" si="102"/>
        <v>#VALUE!</v>
      </c>
      <c r="BH130" s="121"/>
      <c r="BI130" s="8"/>
      <c r="BJ130" s="8"/>
      <c r="BW130" s="3">
        <f t="shared" ref="BW130:BW161" si="117">IF(C130=3,R130,0)</f>
        <v>0</v>
      </c>
    </row>
    <row r="131" spans="1:75" x14ac:dyDescent="0.3">
      <c r="A131" s="431">
        <v>98</v>
      </c>
      <c r="B131" s="272"/>
      <c r="C131" s="273">
        <f t="shared" si="111"/>
        <v>2</v>
      </c>
      <c r="D131" s="372"/>
      <c r="E131" s="274"/>
      <c r="F131" s="273" t="str">
        <f t="shared" si="110"/>
        <v/>
      </c>
      <c r="G131" s="275" t="str">
        <f t="shared" si="110"/>
        <v/>
      </c>
      <c r="H131" s="276" t="str">
        <f t="shared" si="91"/>
        <v/>
      </c>
      <c r="I131" s="277" t="str">
        <f t="shared" si="106"/>
        <v/>
      </c>
      <c r="J131" s="276" t="str">
        <f t="shared" si="92"/>
        <v/>
      </c>
      <c r="K131" s="276">
        <f t="shared" si="93"/>
        <v>0</v>
      </c>
      <c r="L131" s="278"/>
      <c r="M131" s="279">
        <f t="shared" si="112"/>
        <v>1</v>
      </c>
      <c r="N131" s="360" t="str">
        <f t="shared" si="95"/>
        <v/>
      </c>
      <c r="O131" s="117" t="str">
        <f t="shared" si="96"/>
        <v/>
      </c>
      <c r="P131" s="359" t="str">
        <f t="shared" si="97"/>
        <v/>
      </c>
      <c r="Q131" s="280" t="str">
        <f t="shared" si="107"/>
        <v/>
      </c>
      <c r="R131" s="282" t="str">
        <f t="shared" si="113"/>
        <v/>
      </c>
      <c r="S131" s="283" t="str">
        <f t="shared" si="114"/>
        <v>---</v>
      </c>
      <c r="V131" s="3" t="str">
        <f>IFERROR(VALUE(TEXT(C131,"00")&amp;TEXT(N131,"00")&amp;TEXT(P131,"00")&amp;IF(#REF!="Plato perforado",5,IF(OR(#REF!="N/A",#REF!=""),0,#REF!))),"")</f>
        <v/>
      </c>
      <c r="BC131" s="3" t="str">
        <f t="shared" si="115"/>
        <v/>
      </c>
      <c r="BD131" s="3" t="str">
        <f t="shared" si="116"/>
        <v/>
      </c>
      <c r="BE131" s="3" t="e">
        <f t="shared" si="102"/>
        <v>#VALUE!</v>
      </c>
      <c r="BW131" s="3">
        <f t="shared" si="117"/>
        <v>0</v>
      </c>
    </row>
    <row r="132" spans="1:75" x14ac:dyDescent="0.3">
      <c r="A132" s="431">
        <v>99</v>
      </c>
      <c r="B132" s="284"/>
      <c r="C132" s="285">
        <f t="shared" si="111"/>
        <v>2</v>
      </c>
      <c r="D132" s="373"/>
      <c r="E132" s="286"/>
      <c r="F132" s="285" t="str">
        <f t="shared" si="110"/>
        <v/>
      </c>
      <c r="G132" s="287" t="str">
        <f t="shared" si="110"/>
        <v/>
      </c>
      <c r="H132" s="288" t="str">
        <f t="shared" si="91"/>
        <v/>
      </c>
      <c r="I132" s="289" t="str">
        <f t="shared" si="106"/>
        <v/>
      </c>
      <c r="J132" s="288" t="str">
        <f t="shared" si="92"/>
        <v/>
      </c>
      <c r="K132" s="288">
        <f t="shared" si="93"/>
        <v>0</v>
      </c>
      <c r="L132" s="290"/>
      <c r="M132" s="291">
        <f t="shared" si="112"/>
        <v>1</v>
      </c>
      <c r="N132" s="466" t="str">
        <f t="shared" si="95"/>
        <v/>
      </c>
      <c r="O132" s="302" t="str">
        <f t="shared" si="96"/>
        <v/>
      </c>
      <c r="P132" s="468" t="str">
        <f t="shared" si="97"/>
        <v/>
      </c>
      <c r="Q132" s="292" t="str">
        <f t="shared" si="107"/>
        <v/>
      </c>
      <c r="R132" s="294" t="str">
        <f t="shared" si="113"/>
        <v/>
      </c>
      <c r="S132" s="295" t="str">
        <f t="shared" si="114"/>
        <v>---</v>
      </c>
      <c r="V132" s="3" t="str">
        <f>IFERROR(VALUE(TEXT(C132,"00")&amp;TEXT(N132,"00")&amp;TEXT(P132,"00")&amp;IF(#REF!="Plato perforado",5,IF(OR(#REF!="N/A",#REF!=""),0,#REF!))),"")</f>
        <v/>
      </c>
      <c r="BC132" s="3" t="str">
        <f t="shared" si="115"/>
        <v/>
      </c>
      <c r="BD132" s="3" t="str">
        <f t="shared" si="116"/>
        <v/>
      </c>
      <c r="BE132" s="3" t="e">
        <f t="shared" si="102"/>
        <v>#VALUE!</v>
      </c>
      <c r="BW132" s="3">
        <f t="shared" si="117"/>
        <v>0</v>
      </c>
    </row>
    <row r="133" spans="1:75" x14ac:dyDescent="0.3">
      <c r="A133" s="431">
        <v>100</v>
      </c>
      <c r="B133" s="260"/>
      <c r="C133" s="261">
        <f t="shared" si="111"/>
        <v>2</v>
      </c>
      <c r="D133" s="371"/>
      <c r="E133" s="262"/>
      <c r="F133" s="261" t="str">
        <f t="shared" si="110"/>
        <v/>
      </c>
      <c r="G133" s="263" t="str">
        <f t="shared" si="110"/>
        <v/>
      </c>
      <c r="H133" s="264" t="str">
        <f t="shared" si="91"/>
        <v/>
      </c>
      <c r="I133" s="265" t="str">
        <f t="shared" si="106"/>
        <v/>
      </c>
      <c r="J133" s="264" t="str">
        <f t="shared" si="92"/>
        <v/>
      </c>
      <c r="K133" s="264">
        <f t="shared" si="93"/>
        <v>0</v>
      </c>
      <c r="L133" s="266"/>
      <c r="M133" s="267">
        <f t="shared" si="112"/>
        <v>1</v>
      </c>
      <c r="N133" s="465" t="str">
        <f t="shared" si="95"/>
        <v/>
      </c>
      <c r="O133" s="297" t="str">
        <f t="shared" si="96"/>
        <v/>
      </c>
      <c r="P133" s="467" t="str">
        <f t="shared" si="97"/>
        <v/>
      </c>
      <c r="Q133" s="268" t="str">
        <f t="shared" si="107"/>
        <v/>
      </c>
      <c r="R133" s="270" t="str">
        <f t="shared" si="113"/>
        <v/>
      </c>
      <c r="S133" s="271" t="str">
        <f t="shared" si="114"/>
        <v>---</v>
      </c>
      <c r="V133" s="3" t="str">
        <f>IFERROR(VALUE(TEXT(C133,"00")&amp;TEXT(N133,"00")&amp;TEXT(P133,"00")&amp;IF(#REF!="Plato perforado",5,IF(OR(#REF!="N/A",#REF!=""),0,#REF!))),"")</f>
        <v/>
      </c>
      <c r="BC133" s="3" t="str">
        <f t="shared" si="115"/>
        <v/>
      </c>
      <c r="BD133" s="3" t="str">
        <f t="shared" si="116"/>
        <v/>
      </c>
      <c r="BE133" s="3" t="e">
        <f t="shared" si="102"/>
        <v>#VALUE!</v>
      </c>
      <c r="BW133" s="3">
        <f t="shared" si="117"/>
        <v>0</v>
      </c>
    </row>
    <row r="134" spans="1:75" x14ac:dyDescent="0.3">
      <c r="A134" s="431">
        <v>101</v>
      </c>
      <c r="B134" s="272"/>
      <c r="C134" s="273">
        <f t="shared" si="111"/>
        <v>2</v>
      </c>
      <c r="D134" s="372"/>
      <c r="E134" s="274"/>
      <c r="F134" s="273" t="str">
        <f t="shared" ref="F134:G153" si="118">IFERROR(VLOOKUP($E134,DMFA,F$29,FALSE),"")</f>
        <v/>
      </c>
      <c r="G134" s="275" t="str">
        <f t="shared" si="118"/>
        <v/>
      </c>
      <c r="H134" s="276" t="str">
        <f t="shared" si="91"/>
        <v/>
      </c>
      <c r="I134" s="277" t="str">
        <f t="shared" si="106"/>
        <v/>
      </c>
      <c r="J134" s="276" t="str">
        <f t="shared" si="92"/>
        <v/>
      </c>
      <c r="K134" s="276">
        <f t="shared" si="93"/>
        <v>0</v>
      </c>
      <c r="L134" s="278"/>
      <c r="M134" s="279">
        <f t="shared" si="112"/>
        <v>1</v>
      </c>
      <c r="N134" s="360" t="str">
        <f t="shared" si="95"/>
        <v/>
      </c>
      <c r="O134" s="117" t="str">
        <f t="shared" si="96"/>
        <v/>
      </c>
      <c r="P134" s="359" t="str">
        <f t="shared" si="97"/>
        <v/>
      </c>
      <c r="Q134" s="280" t="str">
        <f t="shared" si="107"/>
        <v/>
      </c>
      <c r="R134" s="282" t="str">
        <f t="shared" si="113"/>
        <v/>
      </c>
      <c r="S134" s="283" t="str">
        <f t="shared" si="114"/>
        <v>---</v>
      </c>
      <c r="V134" s="3" t="str">
        <f>IFERROR(VALUE(TEXT(C134,"00")&amp;TEXT(N134,"00")&amp;TEXT(P134,"00")&amp;IF(#REF!="Plato perforado",5,IF(OR(#REF!="N/A",#REF!=""),0,#REF!))),"")</f>
        <v/>
      </c>
      <c r="BC134" s="3" t="str">
        <f t="shared" si="115"/>
        <v/>
      </c>
      <c r="BD134" s="3" t="str">
        <f t="shared" si="116"/>
        <v/>
      </c>
      <c r="BE134" s="3" t="e">
        <f t="shared" si="102"/>
        <v>#VALUE!</v>
      </c>
      <c r="BW134" s="3">
        <f t="shared" si="117"/>
        <v>0</v>
      </c>
    </row>
    <row r="135" spans="1:75" x14ac:dyDescent="0.3">
      <c r="A135" s="431">
        <v>102</v>
      </c>
      <c r="B135" s="284"/>
      <c r="C135" s="285">
        <f t="shared" si="111"/>
        <v>2</v>
      </c>
      <c r="D135" s="373"/>
      <c r="E135" s="286"/>
      <c r="F135" s="285" t="str">
        <f t="shared" si="118"/>
        <v/>
      </c>
      <c r="G135" s="287" t="str">
        <f t="shared" si="118"/>
        <v/>
      </c>
      <c r="H135" s="288" t="str">
        <f t="shared" si="91"/>
        <v/>
      </c>
      <c r="I135" s="289" t="str">
        <f t="shared" si="106"/>
        <v/>
      </c>
      <c r="J135" s="288" t="str">
        <f t="shared" si="92"/>
        <v/>
      </c>
      <c r="K135" s="288">
        <f t="shared" si="93"/>
        <v>0</v>
      </c>
      <c r="L135" s="290"/>
      <c r="M135" s="291">
        <f t="shared" si="112"/>
        <v>1</v>
      </c>
      <c r="N135" s="466" t="str">
        <f t="shared" si="95"/>
        <v/>
      </c>
      <c r="O135" s="302" t="str">
        <f t="shared" si="96"/>
        <v/>
      </c>
      <c r="P135" s="468" t="str">
        <f t="shared" si="97"/>
        <v/>
      </c>
      <c r="Q135" s="292" t="str">
        <f t="shared" si="107"/>
        <v/>
      </c>
      <c r="R135" s="294" t="str">
        <f t="shared" si="113"/>
        <v/>
      </c>
      <c r="S135" s="295" t="str">
        <f t="shared" si="114"/>
        <v>---</v>
      </c>
      <c r="V135" s="3" t="str">
        <f>IFERROR(VALUE(TEXT(C135,"00")&amp;TEXT(N135,"00")&amp;TEXT(P135,"00")&amp;IF(#REF!="Plato perforado",5,IF(OR(#REF!="N/A",#REF!=""),0,#REF!))),"")</f>
        <v/>
      </c>
      <c r="BC135" s="3" t="str">
        <f t="shared" si="115"/>
        <v/>
      </c>
      <c r="BD135" s="3" t="str">
        <f t="shared" si="116"/>
        <v/>
      </c>
      <c r="BE135" s="3" t="e">
        <f t="shared" si="102"/>
        <v>#VALUE!</v>
      </c>
      <c r="BW135" s="3">
        <f t="shared" si="117"/>
        <v>0</v>
      </c>
    </row>
    <row r="136" spans="1:75" x14ac:dyDescent="0.3">
      <c r="A136" s="431">
        <v>103</v>
      </c>
      <c r="B136" s="260"/>
      <c r="C136" s="261">
        <f t="shared" si="111"/>
        <v>2</v>
      </c>
      <c r="D136" s="371"/>
      <c r="E136" s="262"/>
      <c r="F136" s="261" t="str">
        <f t="shared" si="118"/>
        <v/>
      </c>
      <c r="G136" s="263" t="str">
        <f t="shared" si="118"/>
        <v/>
      </c>
      <c r="H136" s="264" t="str">
        <f t="shared" si="91"/>
        <v/>
      </c>
      <c r="I136" s="265" t="str">
        <f t="shared" si="106"/>
        <v/>
      </c>
      <c r="J136" s="264" t="str">
        <f t="shared" si="92"/>
        <v/>
      </c>
      <c r="K136" s="264">
        <f t="shared" si="93"/>
        <v>0</v>
      </c>
      <c r="L136" s="266"/>
      <c r="M136" s="267">
        <f t="shared" si="112"/>
        <v>1</v>
      </c>
      <c r="N136" s="465" t="str">
        <f t="shared" si="95"/>
        <v/>
      </c>
      <c r="O136" s="297" t="str">
        <f t="shared" si="96"/>
        <v/>
      </c>
      <c r="P136" s="467" t="str">
        <f t="shared" si="97"/>
        <v/>
      </c>
      <c r="Q136" s="268" t="str">
        <f t="shared" si="107"/>
        <v/>
      </c>
      <c r="R136" s="270" t="str">
        <f t="shared" si="113"/>
        <v/>
      </c>
      <c r="S136" s="271" t="str">
        <f t="shared" si="114"/>
        <v>---</v>
      </c>
      <c r="V136" s="3" t="str">
        <f>IFERROR(VALUE(TEXT(C136,"00")&amp;TEXT(N136,"00")&amp;TEXT(P136,"00")&amp;IF(#REF!="Plato perforado",5,IF(OR(#REF!="N/A",#REF!=""),0,#REF!))),"")</f>
        <v/>
      </c>
      <c r="BC136" s="3" t="str">
        <f t="shared" si="115"/>
        <v/>
      </c>
      <c r="BD136" s="3" t="str">
        <f t="shared" si="116"/>
        <v/>
      </c>
      <c r="BE136" s="3" t="e">
        <f t="shared" si="102"/>
        <v>#VALUE!</v>
      </c>
      <c r="BW136" s="3">
        <f t="shared" si="117"/>
        <v>0</v>
      </c>
    </row>
    <row r="137" spans="1:75" x14ac:dyDescent="0.3">
      <c r="A137" s="431">
        <v>104</v>
      </c>
      <c r="B137" s="272"/>
      <c r="C137" s="273">
        <f t="shared" si="111"/>
        <v>2</v>
      </c>
      <c r="D137" s="372"/>
      <c r="E137" s="274"/>
      <c r="F137" s="273" t="str">
        <f t="shared" si="118"/>
        <v/>
      </c>
      <c r="G137" s="275" t="str">
        <f t="shared" si="118"/>
        <v/>
      </c>
      <c r="H137" s="276" t="str">
        <f t="shared" si="91"/>
        <v/>
      </c>
      <c r="I137" s="277" t="str">
        <f t="shared" si="106"/>
        <v/>
      </c>
      <c r="J137" s="276" t="str">
        <f t="shared" si="92"/>
        <v/>
      </c>
      <c r="K137" s="276">
        <f t="shared" si="93"/>
        <v>0</v>
      </c>
      <c r="L137" s="278"/>
      <c r="M137" s="279">
        <f t="shared" si="112"/>
        <v>1</v>
      </c>
      <c r="N137" s="360" t="str">
        <f t="shared" si="95"/>
        <v/>
      </c>
      <c r="O137" s="117" t="str">
        <f t="shared" si="96"/>
        <v/>
      </c>
      <c r="P137" s="359" t="str">
        <f t="shared" si="97"/>
        <v/>
      </c>
      <c r="Q137" s="280" t="str">
        <f t="shared" si="107"/>
        <v/>
      </c>
      <c r="R137" s="282" t="str">
        <f t="shared" si="113"/>
        <v/>
      </c>
      <c r="S137" s="283" t="str">
        <f t="shared" si="114"/>
        <v>---</v>
      </c>
      <c r="V137" s="3" t="str">
        <f>IFERROR(VALUE(TEXT(C137,"00")&amp;TEXT(N137,"00")&amp;TEXT(P137,"00")&amp;IF(#REF!="Plato perforado",5,IF(OR(#REF!="N/A",#REF!=""),0,#REF!))),"")</f>
        <v/>
      </c>
      <c r="BC137" s="3" t="str">
        <f t="shared" si="115"/>
        <v/>
      </c>
      <c r="BD137" s="3" t="str">
        <f t="shared" si="116"/>
        <v/>
      </c>
      <c r="BE137" s="3" t="e">
        <f t="shared" si="102"/>
        <v>#VALUE!</v>
      </c>
      <c r="BW137" s="3">
        <f t="shared" si="117"/>
        <v>0</v>
      </c>
    </row>
    <row r="138" spans="1:75" x14ac:dyDescent="0.3">
      <c r="A138" s="431">
        <v>105</v>
      </c>
      <c r="B138" s="284"/>
      <c r="C138" s="285">
        <f t="shared" si="111"/>
        <v>2</v>
      </c>
      <c r="D138" s="373"/>
      <c r="E138" s="286"/>
      <c r="F138" s="285" t="str">
        <f t="shared" si="118"/>
        <v/>
      </c>
      <c r="G138" s="287" t="str">
        <f t="shared" si="118"/>
        <v/>
      </c>
      <c r="H138" s="288" t="str">
        <f t="shared" si="91"/>
        <v/>
      </c>
      <c r="I138" s="289" t="str">
        <f t="shared" si="106"/>
        <v/>
      </c>
      <c r="J138" s="288" t="str">
        <f t="shared" si="92"/>
        <v/>
      </c>
      <c r="K138" s="288">
        <f t="shared" si="93"/>
        <v>0</v>
      </c>
      <c r="L138" s="290"/>
      <c r="M138" s="291">
        <f t="shared" si="112"/>
        <v>1</v>
      </c>
      <c r="N138" s="466" t="str">
        <f t="shared" si="95"/>
        <v/>
      </c>
      <c r="O138" s="302" t="str">
        <f t="shared" si="96"/>
        <v/>
      </c>
      <c r="P138" s="468" t="str">
        <f t="shared" si="97"/>
        <v/>
      </c>
      <c r="Q138" s="292" t="str">
        <f t="shared" si="107"/>
        <v/>
      </c>
      <c r="R138" s="294" t="str">
        <f t="shared" si="113"/>
        <v/>
      </c>
      <c r="S138" s="295" t="str">
        <f t="shared" si="114"/>
        <v>---</v>
      </c>
      <c r="V138" s="3" t="str">
        <f>IFERROR(VALUE(TEXT(C138,"00")&amp;TEXT(N138,"00")&amp;TEXT(P138,"00")&amp;IF(#REF!="Plato perforado",5,IF(OR(#REF!="N/A",#REF!=""),0,#REF!))),"")</f>
        <v/>
      </c>
      <c r="BC138" s="3" t="str">
        <f t="shared" si="115"/>
        <v/>
      </c>
      <c r="BD138" s="3" t="str">
        <f t="shared" si="116"/>
        <v/>
      </c>
      <c r="BE138" s="3" t="e">
        <f t="shared" si="102"/>
        <v>#VALUE!</v>
      </c>
      <c r="BW138" s="3">
        <f t="shared" si="117"/>
        <v>0</v>
      </c>
    </row>
    <row r="139" spans="1:75" x14ac:dyDescent="0.3">
      <c r="A139" s="431">
        <v>106</v>
      </c>
      <c r="B139" s="260"/>
      <c r="C139" s="261">
        <f t="shared" si="111"/>
        <v>2</v>
      </c>
      <c r="D139" s="371"/>
      <c r="E139" s="262"/>
      <c r="F139" s="261" t="str">
        <f t="shared" si="118"/>
        <v/>
      </c>
      <c r="G139" s="263" t="str">
        <f t="shared" si="118"/>
        <v/>
      </c>
      <c r="H139" s="264" t="str">
        <f t="shared" si="91"/>
        <v/>
      </c>
      <c r="I139" s="265" t="str">
        <f t="shared" si="106"/>
        <v/>
      </c>
      <c r="J139" s="264" t="str">
        <f t="shared" si="92"/>
        <v/>
      </c>
      <c r="K139" s="264">
        <f t="shared" si="93"/>
        <v>0</v>
      </c>
      <c r="L139" s="266"/>
      <c r="M139" s="267">
        <f t="shared" si="112"/>
        <v>1</v>
      </c>
      <c r="N139" s="465" t="str">
        <f t="shared" si="95"/>
        <v/>
      </c>
      <c r="O139" s="297" t="str">
        <f t="shared" si="96"/>
        <v/>
      </c>
      <c r="P139" s="467" t="str">
        <f t="shared" si="97"/>
        <v/>
      </c>
      <c r="Q139" s="268" t="str">
        <f t="shared" si="107"/>
        <v/>
      </c>
      <c r="R139" s="270" t="str">
        <f t="shared" si="113"/>
        <v/>
      </c>
      <c r="S139" s="271" t="str">
        <f t="shared" si="114"/>
        <v>---</v>
      </c>
      <c r="V139" s="3" t="str">
        <f>IFERROR(VALUE(TEXT(C139,"00")&amp;TEXT(N139,"00")&amp;TEXT(P139,"00")&amp;IF(#REF!="Plato perforado",5,IF(OR(#REF!="N/A",#REF!=""),0,#REF!))),"")</f>
        <v/>
      </c>
      <c r="BC139" s="3" t="str">
        <f t="shared" si="115"/>
        <v/>
      </c>
      <c r="BD139" s="3" t="str">
        <f t="shared" si="116"/>
        <v/>
      </c>
      <c r="BE139" s="3" t="e">
        <f t="shared" si="102"/>
        <v>#VALUE!</v>
      </c>
      <c r="BW139" s="3">
        <f t="shared" si="117"/>
        <v>0</v>
      </c>
    </row>
    <row r="140" spans="1:75" x14ac:dyDescent="0.3">
      <c r="A140" s="431">
        <v>107</v>
      </c>
      <c r="B140" s="272"/>
      <c r="C140" s="273">
        <f t="shared" si="111"/>
        <v>2</v>
      </c>
      <c r="D140" s="372"/>
      <c r="E140" s="274"/>
      <c r="F140" s="273" t="str">
        <f t="shared" si="118"/>
        <v/>
      </c>
      <c r="G140" s="275" t="str">
        <f t="shared" si="118"/>
        <v/>
      </c>
      <c r="H140" s="276" t="str">
        <f t="shared" si="91"/>
        <v/>
      </c>
      <c r="I140" s="277" t="str">
        <f t="shared" si="106"/>
        <v/>
      </c>
      <c r="J140" s="276" t="str">
        <f t="shared" si="92"/>
        <v/>
      </c>
      <c r="K140" s="276">
        <f t="shared" si="93"/>
        <v>0</v>
      </c>
      <c r="L140" s="278"/>
      <c r="M140" s="279">
        <f t="shared" si="112"/>
        <v>1</v>
      </c>
      <c r="N140" s="360" t="str">
        <f t="shared" si="95"/>
        <v/>
      </c>
      <c r="O140" s="117" t="str">
        <f t="shared" si="96"/>
        <v/>
      </c>
      <c r="P140" s="359" t="str">
        <f t="shared" si="97"/>
        <v/>
      </c>
      <c r="Q140" s="280" t="str">
        <f t="shared" si="107"/>
        <v/>
      </c>
      <c r="R140" s="282" t="str">
        <f t="shared" si="113"/>
        <v/>
      </c>
      <c r="S140" s="283" t="str">
        <f t="shared" si="114"/>
        <v>---</v>
      </c>
      <c r="V140" s="3" t="str">
        <f>IFERROR(VALUE(TEXT(C140,"00")&amp;TEXT(N140,"00")&amp;TEXT(P140,"00")&amp;IF(#REF!="Plato perforado",5,IF(OR(#REF!="N/A",#REF!=""),0,#REF!))),"")</f>
        <v/>
      </c>
      <c r="BC140" s="3" t="str">
        <f t="shared" si="115"/>
        <v/>
      </c>
      <c r="BD140" s="3" t="str">
        <f t="shared" si="116"/>
        <v/>
      </c>
      <c r="BE140" s="3" t="e">
        <f t="shared" si="102"/>
        <v>#VALUE!</v>
      </c>
      <c r="BW140" s="3">
        <f t="shared" si="117"/>
        <v>0</v>
      </c>
    </row>
    <row r="141" spans="1:75" x14ac:dyDescent="0.3">
      <c r="A141" s="431">
        <v>108</v>
      </c>
      <c r="B141" s="284"/>
      <c r="C141" s="285">
        <f t="shared" si="111"/>
        <v>2</v>
      </c>
      <c r="D141" s="373"/>
      <c r="E141" s="286"/>
      <c r="F141" s="285" t="str">
        <f t="shared" si="118"/>
        <v/>
      </c>
      <c r="G141" s="287" t="str">
        <f t="shared" si="118"/>
        <v/>
      </c>
      <c r="H141" s="288" t="str">
        <f t="shared" si="91"/>
        <v/>
      </c>
      <c r="I141" s="289" t="str">
        <f t="shared" si="106"/>
        <v/>
      </c>
      <c r="J141" s="288" t="str">
        <f t="shared" si="92"/>
        <v/>
      </c>
      <c r="K141" s="288">
        <f t="shared" si="93"/>
        <v>0</v>
      </c>
      <c r="L141" s="290"/>
      <c r="M141" s="291">
        <f t="shared" si="112"/>
        <v>1</v>
      </c>
      <c r="N141" s="466" t="str">
        <f t="shared" si="95"/>
        <v/>
      </c>
      <c r="O141" s="302" t="str">
        <f t="shared" si="96"/>
        <v/>
      </c>
      <c r="P141" s="468" t="str">
        <f t="shared" si="97"/>
        <v/>
      </c>
      <c r="Q141" s="292" t="str">
        <f t="shared" si="107"/>
        <v/>
      </c>
      <c r="R141" s="294" t="str">
        <f t="shared" si="113"/>
        <v/>
      </c>
      <c r="S141" s="295" t="str">
        <f t="shared" si="114"/>
        <v>---</v>
      </c>
      <c r="V141" s="3" t="str">
        <f>IFERROR(VALUE(TEXT(C141,"00")&amp;TEXT(N141,"00")&amp;TEXT(P141,"00")&amp;IF(#REF!="Plato perforado",5,IF(OR(#REF!="N/A",#REF!=""),0,#REF!))),"")</f>
        <v/>
      </c>
      <c r="BC141" s="3" t="str">
        <f t="shared" si="115"/>
        <v/>
      </c>
      <c r="BD141" s="3" t="str">
        <f t="shared" si="116"/>
        <v/>
      </c>
      <c r="BE141" s="3" t="e">
        <f t="shared" si="102"/>
        <v>#VALUE!</v>
      </c>
      <c r="BW141" s="3">
        <f t="shared" si="117"/>
        <v>0</v>
      </c>
    </row>
    <row r="142" spans="1:75" x14ac:dyDescent="0.3">
      <c r="A142" s="431">
        <v>109</v>
      </c>
      <c r="B142" s="260"/>
      <c r="C142" s="261">
        <f t="shared" si="111"/>
        <v>2</v>
      </c>
      <c r="D142" s="371"/>
      <c r="E142" s="262"/>
      <c r="F142" s="261" t="str">
        <f t="shared" si="118"/>
        <v/>
      </c>
      <c r="G142" s="263" t="str">
        <f t="shared" si="118"/>
        <v/>
      </c>
      <c r="H142" s="264" t="str">
        <f t="shared" si="91"/>
        <v/>
      </c>
      <c r="I142" s="265" t="str">
        <f t="shared" si="106"/>
        <v/>
      </c>
      <c r="J142" s="264" t="str">
        <f t="shared" si="92"/>
        <v/>
      </c>
      <c r="K142" s="264">
        <f t="shared" si="93"/>
        <v>0</v>
      </c>
      <c r="L142" s="266"/>
      <c r="M142" s="267">
        <f t="shared" si="112"/>
        <v>1</v>
      </c>
      <c r="N142" s="465" t="str">
        <f t="shared" si="95"/>
        <v/>
      </c>
      <c r="O142" s="297" t="str">
        <f t="shared" si="96"/>
        <v/>
      </c>
      <c r="P142" s="467" t="str">
        <f t="shared" si="97"/>
        <v/>
      </c>
      <c r="Q142" s="268" t="str">
        <f t="shared" si="107"/>
        <v/>
      </c>
      <c r="R142" s="270" t="str">
        <f t="shared" si="113"/>
        <v/>
      </c>
      <c r="S142" s="271" t="str">
        <f t="shared" si="114"/>
        <v>---</v>
      </c>
      <c r="V142" s="3" t="str">
        <f>IFERROR(VALUE(TEXT(C142,"00")&amp;TEXT(N142,"00")&amp;TEXT(P142,"00")&amp;IF(#REF!="Plato perforado",5,IF(OR(#REF!="N/A",#REF!=""),0,#REF!))),"")</f>
        <v/>
      </c>
      <c r="BC142" s="3" t="str">
        <f t="shared" si="115"/>
        <v/>
      </c>
      <c r="BD142" s="3" t="str">
        <f t="shared" si="116"/>
        <v/>
      </c>
      <c r="BE142" s="3" t="e">
        <f t="shared" si="102"/>
        <v>#VALUE!</v>
      </c>
      <c r="BW142" s="3">
        <f t="shared" si="117"/>
        <v>0</v>
      </c>
    </row>
    <row r="143" spans="1:75" x14ac:dyDescent="0.3">
      <c r="A143" s="431">
        <v>110</v>
      </c>
      <c r="B143" s="272"/>
      <c r="C143" s="273">
        <f t="shared" si="111"/>
        <v>2</v>
      </c>
      <c r="D143" s="372"/>
      <c r="E143" s="274"/>
      <c r="F143" s="273" t="str">
        <f t="shared" si="118"/>
        <v/>
      </c>
      <c r="G143" s="275" t="str">
        <f t="shared" si="118"/>
        <v/>
      </c>
      <c r="H143" s="276" t="str">
        <f t="shared" si="91"/>
        <v/>
      </c>
      <c r="I143" s="277" t="str">
        <f t="shared" si="106"/>
        <v/>
      </c>
      <c r="J143" s="276" t="str">
        <f t="shared" si="92"/>
        <v/>
      </c>
      <c r="K143" s="276">
        <f t="shared" si="93"/>
        <v>0</v>
      </c>
      <c r="L143" s="278"/>
      <c r="M143" s="279">
        <f t="shared" si="112"/>
        <v>1</v>
      </c>
      <c r="N143" s="360" t="str">
        <f t="shared" si="95"/>
        <v/>
      </c>
      <c r="O143" s="117" t="str">
        <f t="shared" si="96"/>
        <v/>
      </c>
      <c r="P143" s="359" t="str">
        <f t="shared" si="97"/>
        <v/>
      </c>
      <c r="Q143" s="280" t="str">
        <f t="shared" si="107"/>
        <v/>
      </c>
      <c r="R143" s="282" t="str">
        <f t="shared" si="113"/>
        <v/>
      </c>
      <c r="S143" s="283" t="str">
        <f t="shared" si="114"/>
        <v>---</v>
      </c>
      <c r="V143" s="3" t="str">
        <f>IFERROR(VALUE(TEXT(C143,"00")&amp;TEXT(N143,"00")&amp;TEXT(P143,"00")&amp;IF(#REF!="Plato perforado",5,IF(OR(#REF!="N/A",#REF!=""),0,#REF!))),"")</f>
        <v/>
      </c>
      <c r="BC143" s="3" t="str">
        <f t="shared" si="115"/>
        <v/>
      </c>
      <c r="BD143" s="3" t="str">
        <f t="shared" si="116"/>
        <v/>
      </c>
      <c r="BE143" s="3" t="e">
        <f t="shared" si="102"/>
        <v>#VALUE!</v>
      </c>
      <c r="BW143" s="3">
        <f t="shared" si="117"/>
        <v>0</v>
      </c>
    </row>
    <row r="144" spans="1:75" x14ac:dyDescent="0.3">
      <c r="A144" s="431">
        <v>111</v>
      </c>
      <c r="B144" s="284"/>
      <c r="C144" s="285">
        <f t="shared" si="111"/>
        <v>2</v>
      </c>
      <c r="D144" s="373"/>
      <c r="E144" s="286"/>
      <c r="F144" s="285" t="str">
        <f t="shared" si="118"/>
        <v/>
      </c>
      <c r="G144" s="287" t="str">
        <f t="shared" si="118"/>
        <v/>
      </c>
      <c r="H144" s="288" t="str">
        <f t="shared" si="91"/>
        <v/>
      </c>
      <c r="I144" s="289" t="str">
        <f t="shared" si="106"/>
        <v/>
      </c>
      <c r="J144" s="288" t="str">
        <f t="shared" si="92"/>
        <v/>
      </c>
      <c r="K144" s="288">
        <f t="shared" si="93"/>
        <v>0</v>
      </c>
      <c r="L144" s="290"/>
      <c r="M144" s="291">
        <f t="shared" si="112"/>
        <v>1</v>
      </c>
      <c r="N144" s="466" t="str">
        <f t="shared" si="95"/>
        <v/>
      </c>
      <c r="O144" s="302" t="str">
        <f t="shared" si="96"/>
        <v/>
      </c>
      <c r="P144" s="468" t="str">
        <f t="shared" si="97"/>
        <v/>
      </c>
      <c r="Q144" s="292" t="str">
        <f t="shared" si="107"/>
        <v/>
      </c>
      <c r="R144" s="294" t="str">
        <f t="shared" si="113"/>
        <v/>
      </c>
      <c r="S144" s="295" t="str">
        <f t="shared" si="114"/>
        <v>---</v>
      </c>
      <c r="V144" s="3" t="str">
        <f>IFERROR(VALUE(TEXT(C144,"00")&amp;TEXT(N144,"00")&amp;TEXT(P144,"00")&amp;IF(#REF!="Plato perforado",5,IF(OR(#REF!="N/A",#REF!=""),0,#REF!))),"")</f>
        <v/>
      </c>
      <c r="BC144" s="3" t="str">
        <f t="shared" si="115"/>
        <v/>
      </c>
      <c r="BD144" s="3" t="str">
        <f t="shared" si="116"/>
        <v/>
      </c>
      <c r="BE144" s="3" t="e">
        <f t="shared" si="102"/>
        <v>#VALUE!</v>
      </c>
      <c r="BW144" s="3">
        <f t="shared" si="117"/>
        <v>0</v>
      </c>
    </row>
    <row r="145" spans="1:75" x14ac:dyDescent="0.3">
      <c r="A145" s="431">
        <v>112</v>
      </c>
      <c r="B145" s="260"/>
      <c r="C145" s="261">
        <f t="shared" si="111"/>
        <v>2</v>
      </c>
      <c r="D145" s="371"/>
      <c r="E145" s="262"/>
      <c r="F145" s="261" t="str">
        <f t="shared" si="118"/>
        <v/>
      </c>
      <c r="G145" s="263" t="str">
        <f t="shared" si="118"/>
        <v/>
      </c>
      <c r="H145" s="264" t="str">
        <f t="shared" si="91"/>
        <v/>
      </c>
      <c r="I145" s="265" t="str">
        <f t="shared" si="106"/>
        <v/>
      </c>
      <c r="J145" s="264" t="str">
        <f t="shared" si="92"/>
        <v/>
      </c>
      <c r="K145" s="264">
        <f t="shared" si="93"/>
        <v>0</v>
      </c>
      <c r="L145" s="266"/>
      <c r="M145" s="267">
        <f t="shared" si="112"/>
        <v>1</v>
      </c>
      <c r="N145" s="465" t="str">
        <f t="shared" si="95"/>
        <v/>
      </c>
      <c r="O145" s="297" t="str">
        <f t="shared" si="96"/>
        <v/>
      </c>
      <c r="P145" s="467" t="str">
        <f t="shared" si="97"/>
        <v/>
      </c>
      <c r="Q145" s="268" t="str">
        <f t="shared" si="107"/>
        <v/>
      </c>
      <c r="R145" s="270" t="str">
        <f t="shared" si="113"/>
        <v/>
      </c>
      <c r="S145" s="271" t="str">
        <f t="shared" si="114"/>
        <v>---</v>
      </c>
      <c r="V145" s="3" t="str">
        <f>IFERROR(VALUE(TEXT(C145,"00")&amp;TEXT(N145,"00")&amp;TEXT(P145,"00")&amp;IF(#REF!="Plato perforado",5,IF(OR(#REF!="N/A",#REF!=""),0,#REF!))),"")</f>
        <v/>
      </c>
      <c r="BC145" s="3" t="str">
        <f t="shared" si="115"/>
        <v/>
      </c>
      <c r="BD145" s="3" t="str">
        <f t="shared" si="116"/>
        <v/>
      </c>
      <c r="BE145" s="3" t="e">
        <f t="shared" si="102"/>
        <v>#VALUE!</v>
      </c>
      <c r="BW145" s="3">
        <f t="shared" si="117"/>
        <v>0</v>
      </c>
    </row>
    <row r="146" spans="1:75" x14ac:dyDescent="0.3">
      <c r="A146" s="431">
        <v>113</v>
      </c>
      <c r="B146" s="272"/>
      <c r="C146" s="273">
        <f t="shared" si="111"/>
        <v>2</v>
      </c>
      <c r="D146" s="372"/>
      <c r="E146" s="274"/>
      <c r="F146" s="273" t="str">
        <f t="shared" si="118"/>
        <v/>
      </c>
      <c r="G146" s="275" t="str">
        <f t="shared" si="118"/>
        <v/>
      </c>
      <c r="H146" s="276" t="str">
        <f t="shared" si="91"/>
        <v/>
      </c>
      <c r="I146" s="277" t="str">
        <f t="shared" si="106"/>
        <v/>
      </c>
      <c r="J146" s="276" t="str">
        <f t="shared" si="92"/>
        <v/>
      </c>
      <c r="K146" s="276">
        <f t="shared" si="93"/>
        <v>0</v>
      </c>
      <c r="L146" s="278"/>
      <c r="M146" s="279">
        <f t="shared" si="112"/>
        <v>1</v>
      </c>
      <c r="N146" s="360" t="str">
        <f t="shared" si="95"/>
        <v/>
      </c>
      <c r="O146" s="117" t="str">
        <f t="shared" si="96"/>
        <v/>
      </c>
      <c r="P146" s="359" t="str">
        <f t="shared" si="97"/>
        <v/>
      </c>
      <c r="Q146" s="280" t="str">
        <f t="shared" si="107"/>
        <v/>
      </c>
      <c r="R146" s="282" t="str">
        <f t="shared" si="113"/>
        <v/>
      </c>
      <c r="S146" s="283" t="str">
        <f t="shared" si="114"/>
        <v>---</v>
      </c>
      <c r="V146" s="3" t="str">
        <f>IFERROR(VALUE(TEXT(C146,"00")&amp;TEXT(N146,"00")&amp;TEXT(P146,"00")&amp;IF(#REF!="Plato perforado",5,IF(OR(#REF!="N/A",#REF!=""),0,#REF!))),"")</f>
        <v/>
      </c>
      <c r="BC146" s="3" t="str">
        <f t="shared" si="115"/>
        <v/>
      </c>
      <c r="BD146" s="3" t="str">
        <f t="shared" si="116"/>
        <v/>
      </c>
      <c r="BE146" s="3" t="e">
        <f t="shared" si="102"/>
        <v>#VALUE!</v>
      </c>
      <c r="BW146" s="3">
        <f t="shared" si="117"/>
        <v>0</v>
      </c>
    </row>
    <row r="147" spans="1:75" x14ac:dyDescent="0.3">
      <c r="A147" s="431">
        <v>114</v>
      </c>
      <c r="B147" s="284"/>
      <c r="C147" s="285">
        <f t="shared" si="111"/>
        <v>2</v>
      </c>
      <c r="D147" s="373"/>
      <c r="E147" s="286"/>
      <c r="F147" s="285" t="str">
        <f t="shared" si="118"/>
        <v/>
      </c>
      <c r="G147" s="287" t="str">
        <f t="shared" si="118"/>
        <v/>
      </c>
      <c r="H147" s="288" t="str">
        <f t="shared" si="91"/>
        <v/>
      </c>
      <c r="I147" s="289" t="str">
        <f t="shared" si="106"/>
        <v/>
      </c>
      <c r="J147" s="288" t="str">
        <f t="shared" si="92"/>
        <v/>
      </c>
      <c r="K147" s="288">
        <f t="shared" si="93"/>
        <v>0</v>
      </c>
      <c r="L147" s="290"/>
      <c r="M147" s="291">
        <f t="shared" si="112"/>
        <v>1</v>
      </c>
      <c r="N147" s="466" t="str">
        <f t="shared" si="95"/>
        <v/>
      </c>
      <c r="O147" s="302" t="str">
        <f t="shared" si="96"/>
        <v/>
      </c>
      <c r="P147" s="468" t="str">
        <f t="shared" si="97"/>
        <v/>
      </c>
      <c r="Q147" s="292" t="str">
        <f t="shared" si="107"/>
        <v/>
      </c>
      <c r="R147" s="294" t="str">
        <f t="shared" si="113"/>
        <v/>
      </c>
      <c r="S147" s="295" t="str">
        <f t="shared" si="114"/>
        <v>---</v>
      </c>
      <c r="V147" s="3" t="str">
        <f>IFERROR(VALUE(TEXT(C147,"00")&amp;TEXT(N147,"00")&amp;TEXT(P147,"00")&amp;IF(#REF!="Plato perforado",5,IF(OR(#REF!="N/A",#REF!=""),0,#REF!))),"")</f>
        <v/>
      </c>
      <c r="BC147" s="3" t="str">
        <f t="shared" si="115"/>
        <v/>
      </c>
      <c r="BD147" s="3" t="str">
        <f t="shared" si="116"/>
        <v/>
      </c>
      <c r="BE147" s="3" t="e">
        <f t="shared" si="102"/>
        <v>#VALUE!</v>
      </c>
      <c r="BW147" s="3">
        <f t="shared" si="117"/>
        <v>0</v>
      </c>
    </row>
    <row r="148" spans="1:75" x14ac:dyDescent="0.3">
      <c r="A148" s="431">
        <v>115</v>
      </c>
      <c r="B148" s="260"/>
      <c r="C148" s="261">
        <f t="shared" si="111"/>
        <v>2</v>
      </c>
      <c r="D148" s="371"/>
      <c r="E148" s="262"/>
      <c r="F148" s="261" t="str">
        <f t="shared" si="118"/>
        <v/>
      </c>
      <c r="G148" s="263" t="str">
        <f t="shared" si="118"/>
        <v/>
      </c>
      <c r="H148" s="264" t="str">
        <f t="shared" si="91"/>
        <v/>
      </c>
      <c r="I148" s="265" t="str">
        <f t="shared" si="106"/>
        <v/>
      </c>
      <c r="J148" s="264" t="str">
        <f t="shared" si="92"/>
        <v/>
      </c>
      <c r="K148" s="264">
        <f t="shared" si="93"/>
        <v>0</v>
      </c>
      <c r="L148" s="266"/>
      <c r="M148" s="267">
        <f t="shared" si="112"/>
        <v>1</v>
      </c>
      <c r="N148" s="465" t="str">
        <f t="shared" si="95"/>
        <v/>
      </c>
      <c r="O148" s="297" t="str">
        <f t="shared" si="96"/>
        <v/>
      </c>
      <c r="P148" s="467" t="str">
        <f t="shared" si="97"/>
        <v/>
      </c>
      <c r="Q148" s="268" t="str">
        <f t="shared" si="107"/>
        <v/>
      </c>
      <c r="R148" s="270" t="str">
        <f t="shared" si="113"/>
        <v/>
      </c>
      <c r="S148" s="271" t="str">
        <f t="shared" si="114"/>
        <v>---</v>
      </c>
      <c r="V148" s="3" t="str">
        <f>IFERROR(VALUE(TEXT(C148,"00")&amp;TEXT(N148,"00")&amp;TEXT(P148,"00")&amp;IF(#REF!="Plato perforado",5,IF(OR(#REF!="N/A",#REF!=""),0,#REF!))),"")</f>
        <v/>
      </c>
      <c r="BC148" s="3" t="str">
        <f t="shared" si="115"/>
        <v/>
      </c>
      <c r="BD148" s="3" t="str">
        <f t="shared" si="116"/>
        <v/>
      </c>
      <c r="BE148" s="3" t="e">
        <f t="shared" si="102"/>
        <v>#VALUE!</v>
      </c>
      <c r="BW148" s="3">
        <f t="shared" si="117"/>
        <v>0</v>
      </c>
    </row>
    <row r="149" spans="1:75" x14ac:dyDescent="0.3">
      <c r="A149" s="431">
        <v>116</v>
      </c>
      <c r="B149" s="272"/>
      <c r="C149" s="273">
        <f t="shared" si="111"/>
        <v>2</v>
      </c>
      <c r="D149" s="372"/>
      <c r="E149" s="274"/>
      <c r="F149" s="273" t="str">
        <f t="shared" si="118"/>
        <v/>
      </c>
      <c r="G149" s="275" t="str">
        <f t="shared" si="118"/>
        <v/>
      </c>
      <c r="H149" s="276" t="str">
        <f t="shared" si="91"/>
        <v/>
      </c>
      <c r="I149" s="277" t="str">
        <f t="shared" si="106"/>
        <v/>
      </c>
      <c r="J149" s="276" t="str">
        <f t="shared" si="92"/>
        <v/>
      </c>
      <c r="K149" s="276">
        <f t="shared" si="93"/>
        <v>0</v>
      </c>
      <c r="L149" s="278"/>
      <c r="M149" s="279">
        <f t="shared" si="112"/>
        <v>1</v>
      </c>
      <c r="N149" s="360" t="str">
        <f t="shared" si="95"/>
        <v/>
      </c>
      <c r="O149" s="117" t="str">
        <f t="shared" si="96"/>
        <v/>
      </c>
      <c r="P149" s="359" t="str">
        <f t="shared" si="97"/>
        <v/>
      </c>
      <c r="Q149" s="280" t="str">
        <f t="shared" si="107"/>
        <v/>
      </c>
      <c r="R149" s="282" t="str">
        <f t="shared" si="113"/>
        <v/>
      </c>
      <c r="S149" s="283" t="str">
        <f t="shared" si="114"/>
        <v>---</v>
      </c>
      <c r="V149" s="3" t="str">
        <f>IFERROR(VALUE(TEXT(C149,"00")&amp;TEXT(N149,"00")&amp;TEXT(P149,"00")&amp;IF(#REF!="Plato perforado",5,IF(OR(#REF!="N/A",#REF!=""),0,#REF!))),"")</f>
        <v/>
      </c>
      <c r="BC149" s="3" t="str">
        <f t="shared" si="115"/>
        <v/>
      </c>
      <c r="BD149" s="3" t="str">
        <f t="shared" si="116"/>
        <v/>
      </c>
      <c r="BE149" s="3" t="e">
        <f t="shared" si="102"/>
        <v>#VALUE!</v>
      </c>
      <c r="BW149" s="3">
        <f t="shared" si="117"/>
        <v>0</v>
      </c>
    </row>
    <row r="150" spans="1:75" x14ac:dyDescent="0.3">
      <c r="A150" s="431">
        <v>117</v>
      </c>
      <c r="B150" s="284"/>
      <c r="C150" s="285">
        <f t="shared" si="111"/>
        <v>2</v>
      </c>
      <c r="D150" s="373"/>
      <c r="E150" s="286"/>
      <c r="F150" s="285" t="str">
        <f t="shared" si="118"/>
        <v/>
      </c>
      <c r="G150" s="287" t="str">
        <f t="shared" si="118"/>
        <v/>
      </c>
      <c r="H150" s="288" t="str">
        <f t="shared" si="91"/>
        <v/>
      </c>
      <c r="I150" s="289" t="str">
        <f t="shared" si="106"/>
        <v/>
      </c>
      <c r="J150" s="288" t="str">
        <f t="shared" si="92"/>
        <v/>
      </c>
      <c r="K150" s="288">
        <f t="shared" si="93"/>
        <v>0</v>
      </c>
      <c r="L150" s="290"/>
      <c r="M150" s="291">
        <f t="shared" si="112"/>
        <v>1</v>
      </c>
      <c r="N150" s="466" t="str">
        <f t="shared" si="95"/>
        <v/>
      </c>
      <c r="O150" s="302" t="str">
        <f t="shared" si="96"/>
        <v/>
      </c>
      <c r="P150" s="468" t="str">
        <f t="shared" si="97"/>
        <v/>
      </c>
      <c r="Q150" s="292" t="str">
        <f t="shared" si="107"/>
        <v/>
      </c>
      <c r="R150" s="294" t="str">
        <f t="shared" si="113"/>
        <v/>
      </c>
      <c r="S150" s="295" t="str">
        <f t="shared" si="114"/>
        <v>---</v>
      </c>
      <c r="V150" s="3" t="str">
        <f>IFERROR(VALUE(TEXT(C150,"00")&amp;TEXT(N150,"00")&amp;TEXT(P150,"00")&amp;IF(#REF!="Plato perforado",5,IF(OR(#REF!="N/A",#REF!=""),0,#REF!))),"")</f>
        <v/>
      </c>
      <c r="BC150" s="3" t="str">
        <f t="shared" si="115"/>
        <v/>
      </c>
      <c r="BD150" s="3" t="str">
        <f t="shared" si="116"/>
        <v/>
      </c>
      <c r="BE150" s="3" t="e">
        <f t="shared" si="102"/>
        <v>#VALUE!</v>
      </c>
      <c r="BW150" s="3">
        <f t="shared" si="117"/>
        <v>0</v>
      </c>
    </row>
    <row r="151" spans="1:75" x14ac:dyDescent="0.3">
      <c r="A151" s="431">
        <v>118</v>
      </c>
      <c r="B151" s="260"/>
      <c r="C151" s="261">
        <f t="shared" si="111"/>
        <v>2</v>
      </c>
      <c r="D151" s="371"/>
      <c r="E151" s="262"/>
      <c r="F151" s="261" t="str">
        <f t="shared" si="118"/>
        <v/>
      </c>
      <c r="G151" s="263" t="str">
        <f t="shared" si="118"/>
        <v/>
      </c>
      <c r="H151" s="264" t="str">
        <f t="shared" si="91"/>
        <v/>
      </c>
      <c r="I151" s="265" t="str">
        <f t="shared" si="106"/>
        <v/>
      </c>
      <c r="J151" s="264" t="str">
        <f t="shared" si="92"/>
        <v/>
      </c>
      <c r="K151" s="264">
        <f t="shared" si="93"/>
        <v>0</v>
      </c>
      <c r="L151" s="266"/>
      <c r="M151" s="267">
        <f t="shared" si="112"/>
        <v>1</v>
      </c>
      <c r="N151" s="465" t="str">
        <f t="shared" si="95"/>
        <v/>
      </c>
      <c r="O151" s="297" t="str">
        <f t="shared" si="96"/>
        <v/>
      </c>
      <c r="P151" s="467" t="str">
        <f t="shared" si="97"/>
        <v/>
      </c>
      <c r="Q151" s="268" t="str">
        <f t="shared" si="107"/>
        <v/>
      </c>
      <c r="R151" s="270" t="str">
        <f t="shared" si="113"/>
        <v/>
      </c>
      <c r="S151" s="271" t="str">
        <f t="shared" si="114"/>
        <v>---</v>
      </c>
      <c r="V151" s="3" t="str">
        <f>IFERROR(VALUE(TEXT(C151,"00")&amp;TEXT(N151,"00")&amp;TEXT(P151,"00")&amp;IF(#REF!="Plato perforado",5,IF(OR(#REF!="N/A",#REF!=""),0,#REF!))),"")</f>
        <v/>
      </c>
      <c r="BC151" s="3" t="str">
        <f t="shared" si="115"/>
        <v/>
      </c>
      <c r="BD151" s="3" t="str">
        <f t="shared" si="116"/>
        <v/>
      </c>
      <c r="BE151" s="3" t="e">
        <f t="shared" si="102"/>
        <v>#VALUE!</v>
      </c>
      <c r="BW151" s="3">
        <f t="shared" si="117"/>
        <v>0</v>
      </c>
    </row>
    <row r="152" spans="1:75" x14ac:dyDescent="0.3">
      <c r="A152" s="431">
        <v>119</v>
      </c>
      <c r="B152" s="272"/>
      <c r="C152" s="273">
        <f t="shared" si="111"/>
        <v>2</v>
      </c>
      <c r="D152" s="372"/>
      <c r="E152" s="274"/>
      <c r="F152" s="273" t="str">
        <f t="shared" si="118"/>
        <v/>
      </c>
      <c r="G152" s="275" t="str">
        <f t="shared" si="118"/>
        <v/>
      </c>
      <c r="H152" s="276" t="str">
        <f t="shared" si="91"/>
        <v/>
      </c>
      <c r="I152" s="277" t="str">
        <f t="shared" si="106"/>
        <v/>
      </c>
      <c r="J152" s="276" t="str">
        <f t="shared" si="92"/>
        <v/>
      </c>
      <c r="K152" s="276">
        <f t="shared" si="93"/>
        <v>0</v>
      </c>
      <c r="L152" s="278"/>
      <c r="M152" s="279">
        <f t="shared" si="112"/>
        <v>1</v>
      </c>
      <c r="N152" s="360" t="str">
        <f t="shared" si="95"/>
        <v/>
      </c>
      <c r="O152" s="117" t="str">
        <f t="shared" si="96"/>
        <v/>
      </c>
      <c r="P152" s="359" t="str">
        <f t="shared" si="97"/>
        <v/>
      </c>
      <c r="Q152" s="280" t="str">
        <f t="shared" si="107"/>
        <v/>
      </c>
      <c r="R152" s="282" t="str">
        <f t="shared" si="113"/>
        <v/>
      </c>
      <c r="S152" s="283" t="str">
        <f t="shared" si="114"/>
        <v>---</v>
      </c>
      <c r="V152" s="3" t="str">
        <f>IFERROR(VALUE(TEXT(C152,"00")&amp;TEXT(N152,"00")&amp;TEXT(P152,"00")&amp;IF(#REF!="Plato perforado",5,IF(OR(#REF!="N/A",#REF!=""),0,#REF!))),"")</f>
        <v/>
      </c>
      <c r="BC152" s="3" t="str">
        <f t="shared" si="115"/>
        <v/>
      </c>
      <c r="BD152" s="3" t="str">
        <f t="shared" si="116"/>
        <v/>
      </c>
      <c r="BE152" s="3" t="e">
        <f t="shared" si="102"/>
        <v>#VALUE!</v>
      </c>
      <c r="BW152" s="3">
        <f t="shared" si="117"/>
        <v>0</v>
      </c>
    </row>
    <row r="153" spans="1:75" x14ac:dyDescent="0.3">
      <c r="A153" s="431">
        <v>120</v>
      </c>
      <c r="B153" s="284"/>
      <c r="C153" s="285">
        <f t="shared" si="111"/>
        <v>2</v>
      </c>
      <c r="D153" s="373"/>
      <c r="E153" s="286"/>
      <c r="F153" s="285" t="str">
        <f t="shared" si="118"/>
        <v/>
      </c>
      <c r="G153" s="287" t="str">
        <f t="shared" si="118"/>
        <v/>
      </c>
      <c r="H153" s="288" t="str">
        <f t="shared" si="91"/>
        <v/>
      </c>
      <c r="I153" s="289" t="str">
        <f t="shared" si="106"/>
        <v/>
      </c>
      <c r="J153" s="288" t="str">
        <f t="shared" si="92"/>
        <v/>
      </c>
      <c r="K153" s="288">
        <f t="shared" si="93"/>
        <v>0</v>
      </c>
      <c r="L153" s="290"/>
      <c r="M153" s="291">
        <f t="shared" si="112"/>
        <v>1</v>
      </c>
      <c r="N153" s="466" t="str">
        <f t="shared" si="95"/>
        <v/>
      </c>
      <c r="O153" s="302" t="str">
        <f t="shared" si="96"/>
        <v/>
      </c>
      <c r="P153" s="468" t="str">
        <f t="shared" si="97"/>
        <v/>
      </c>
      <c r="Q153" s="292" t="str">
        <f t="shared" si="107"/>
        <v/>
      </c>
      <c r="R153" s="294" t="str">
        <f t="shared" si="113"/>
        <v/>
      </c>
      <c r="S153" s="295" t="str">
        <f t="shared" si="114"/>
        <v>---</v>
      </c>
      <c r="V153" s="3" t="str">
        <f>IFERROR(VALUE(TEXT(C153,"00")&amp;TEXT(N153,"00")&amp;TEXT(P153,"00")&amp;IF(#REF!="Plato perforado",5,IF(OR(#REF!="N/A",#REF!=""),0,#REF!))),"")</f>
        <v/>
      </c>
      <c r="BC153" s="3" t="str">
        <f t="shared" si="115"/>
        <v/>
      </c>
      <c r="BD153" s="3" t="str">
        <f t="shared" si="116"/>
        <v/>
      </c>
      <c r="BE153" s="3" t="e">
        <f t="shared" si="102"/>
        <v>#VALUE!</v>
      </c>
      <c r="BW153" s="3">
        <f t="shared" si="117"/>
        <v>0</v>
      </c>
    </row>
    <row r="154" spans="1:75" x14ac:dyDescent="0.3">
      <c r="A154" s="431">
        <v>121</v>
      </c>
      <c r="B154" s="260"/>
      <c r="C154" s="261">
        <f t="shared" si="111"/>
        <v>2</v>
      </c>
      <c r="D154" s="371"/>
      <c r="E154" s="262"/>
      <c r="F154" s="261" t="str">
        <f t="shared" ref="F154:G173" si="119">IFERROR(VLOOKUP($E154,DMFA,F$29,FALSE),"")</f>
        <v/>
      </c>
      <c r="G154" s="263" t="str">
        <f t="shared" si="119"/>
        <v/>
      </c>
      <c r="H154" s="264" t="str">
        <f t="shared" si="91"/>
        <v/>
      </c>
      <c r="I154" s="265" t="str">
        <f t="shared" si="106"/>
        <v/>
      </c>
      <c r="J154" s="264" t="str">
        <f t="shared" si="92"/>
        <v/>
      </c>
      <c r="K154" s="264">
        <f t="shared" si="93"/>
        <v>0</v>
      </c>
      <c r="L154" s="266"/>
      <c r="M154" s="267">
        <f t="shared" si="112"/>
        <v>1</v>
      </c>
      <c r="N154" s="465" t="str">
        <f t="shared" si="95"/>
        <v/>
      </c>
      <c r="O154" s="297" t="str">
        <f t="shared" si="96"/>
        <v/>
      </c>
      <c r="P154" s="467" t="str">
        <f t="shared" si="97"/>
        <v/>
      </c>
      <c r="Q154" s="268" t="str">
        <f t="shared" si="107"/>
        <v/>
      </c>
      <c r="R154" s="270" t="str">
        <f t="shared" si="113"/>
        <v/>
      </c>
      <c r="S154" s="271" t="str">
        <f t="shared" si="114"/>
        <v>---</v>
      </c>
      <c r="V154" s="3" t="str">
        <f>IFERROR(VALUE(TEXT(C154,"00")&amp;TEXT(N154,"00")&amp;TEXT(P154,"00")&amp;IF(#REF!="Plato perforado",5,IF(OR(#REF!="N/A",#REF!=""),0,#REF!))),"")</f>
        <v/>
      </c>
      <c r="BC154" s="3" t="str">
        <f t="shared" si="115"/>
        <v/>
      </c>
      <c r="BD154" s="3" t="str">
        <f t="shared" si="116"/>
        <v/>
      </c>
      <c r="BE154" s="3" t="e">
        <f t="shared" si="102"/>
        <v>#VALUE!</v>
      </c>
      <c r="BW154" s="3">
        <f t="shared" si="117"/>
        <v>0</v>
      </c>
    </row>
    <row r="155" spans="1:75" x14ac:dyDescent="0.3">
      <c r="A155" s="431">
        <v>122</v>
      </c>
      <c r="B155" s="272"/>
      <c r="C155" s="273">
        <f t="shared" si="111"/>
        <v>2</v>
      </c>
      <c r="D155" s="372"/>
      <c r="E155" s="274"/>
      <c r="F155" s="273" t="str">
        <f t="shared" si="119"/>
        <v/>
      </c>
      <c r="G155" s="275" t="str">
        <f t="shared" si="119"/>
        <v/>
      </c>
      <c r="H155" s="276" t="str">
        <f t="shared" si="91"/>
        <v/>
      </c>
      <c r="I155" s="277" t="str">
        <f t="shared" si="106"/>
        <v/>
      </c>
      <c r="J155" s="276" t="str">
        <f t="shared" si="92"/>
        <v/>
      </c>
      <c r="K155" s="276">
        <f t="shared" si="93"/>
        <v>0</v>
      </c>
      <c r="L155" s="278"/>
      <c r="M155" s="279">
        <f t="shared" si="112"/>
        <v>1</v>
      </c>
      <c r="N155" s="360" t="str">
        <f t="shared" si="95"/>
        <v/>
      </c>
      <c r="O155" s="117" t="str">
        <f t="shared" si="96"/>
        <v/>
      </c>
      <c r="P155" s="359" t="str">
        <f t="shared" si="97"/>
        <v/>
      </c>
      <c r="Q155" s="280" t="str">
        <f t="shared" si="107"/>
        <v/>
      </c>
      <c r="R155" s="282" t="str">
        <f t="shared" si="113"/>
        <v/>
      </c>
      <c r="S155" s="283" t="str">
        <f t="shared" si="114"/>
        <v>---</v>
      </c>
      <c r="V155" s="3" t="str">
        <f>IFERROR(VALUE(TEXT(C155,"00")&amp;TEXT(N155,"00")&amp;TEXT(P155,"00")&amp;IF(#REF!="Plato perforado",5,IF(OR(#REF!="N/A",#REF!=""),0,#REF!))),"")</f>
        <v/>
      </c>
      <c r="BC155" s="3" t="str">
        <f t="shared" si="115"/>
        <v/>
      </c>
      <c r="BD155" s="3" t="str">
        <f t="shared" si="116"/>
        <v/>
      </c>
      <c r="BE155" s="3" t="e">
        <f t="shared" si="102"/>
        <v>#VALUE!</v>
      </c>
      <c r="BW155" s="3">
        <f t="shared" si="117"/>
        <v>0</v>
      </c>
    </row>
    <row r="156" spans="1:75" x14ac:dyDescent="0.3">
      <c r="A156" s="431">
        <v>123</v>
      </c>
      <c r="B156" s="284"/>
      <c r="C156" s="285">
        <f t="shared" si="111"/>
        <v>2</v>
      </c>
      <c r="D156" s="373"/>
      <c r="E156" s="286"/>
      <c r="F156" s="285" t="str">
        <f t="shared" si="119"/>
        <v/>
      </c>
      <c r="G156" s="287" t="str">
        <f t="shared" si="119"/>
        <v/>
      </c>
      <c r="H156" s="288" t="str">
        <f t="shared" si="91"/>
        <v/>
      </c>
      <c r="I156" s="289" t="str">
        <f t="shared" si="106"/>
        <v/>
      </c>
      <c r="J156" s="288" t="str">
        <f t="shared" si="92"/>
        <v/>
      </c>
      <c r="K156" s="288">
        <f t="shared" si="93"/>
        <v>0</v>
      </c>
      <c r="L156" s="290"/>
      <c r="M156" s="291">
        <f t="shared" si="112"/>
        <v>1</v>
      </c>
      <c r="N156" s="466" t="str">
        <f t="shared" si="95"/>
        <v/>
      </c>
      <c r="O156" s="302" t="str">
        <f t="shared" si="96"/>
        <v/>
      </c>
      <c r="P156" s="468" t="str">
        <f t="shared" si="97"/>
        <v/>
      </c>
      <c r="Q156" s="292" t="str">
        <f t="shared" si="107"/>
        <v/>
      </c>
      <c r="R156" s="294" t="str">
        <f t="shared" si="113"/>
        <v/>
      </c>
      <c r="S156" s="295" t="str">
        <f t="shared" si="114"/>
        <v>---</v>
      </c>
      <c r="V156" s="3" t="str">
        <f>IFERROR(VALUE(TEXT(C156,"00")&amp;TEXT(N156,"00")&amp;TEXT(P156,"00")&amp;IF(#REF!="Plato perforado",5,IF(OR(#REF!="N/A",#REF!=""),0,#REF!))),"")</f>
        <v/>
      </c>
      <c r="BC156" s="3" t="str">
        <f t="shared" si="115"/>
        <v/>
      </c>
      <c r="BD156" s="3" t="str">
        <f t="shared" si="116"/>
        <v/>
      </c>
      <c r="BE156" s="3" t="e">
        <f t="shared" si="102"/>
        <v>#VALUE!</v>
      </c>
      <c r="BW156" s="3">
        <f t="shared" si="117"/>
        <v>0</v>
      </c>
    </row>
    <row r="157" spans="1:75" x14ac:dyDescent="0.3">
      <c r="A157" s="431">
        <v>124</v>
      </c>
      <c r="B157" s="260"/>
      <c r="C157" s="261">
        <f t="shared" si="111"/>
        <v>2</v>
      </c>
      <c r="D157" s="371"/>
      <c r="E157" s="262"/>
      <c r="F157" s="261" t="str">
        <f t="shared" si="119"/>
        <v/>
      </c>
      <c r="G157" s="263" t="str">
        <f t="shared" si="119"/>
        <v/>
      </c>
      <c r="H157" s="264" t="str">
        <f t="shared" si="91"/>
        <v/>
      </c>
      <c r="I157" s="265" t="str">
        <f t="shared" si="106"/>
        <v/>
      </c>
      <c r="J157" s="264" t="str">
        <f t="shared" si="92"/>
        <v/>
      </c>
      <c r="K157" s="264">
        <f t="shared" si="93"/>
        <v>0</v>
      </c>
      <c r="L157" s="266"/>
      <c r="M157" s="267">
        <f t="shared" si="112"/>
        <v>1</v>
      </c>
      <c r="N157" s="465" t="str">
        <f t="shared" si="95"/>
        <v/>
      </c>
      <c r="O157" s="297" t="str">
        <f t="shared" si="96"/>
        <v/>
      </c>
      <c r="P157" s="467" t="str">
        <f t="shared" si="97"/>
        <v/>
      </c>
      <c r="Q157" s="268" t="str">
        <f t="shared" si="107"/>
        <v/>
      </c>
      <c r="R157" s="270" t="str">
        <f t="shared" si="113"/>
        <v/>
      </c>
      <c r="S157" s="271" t="str">
        <f t="shared" si="114"/>
        <v>---</v>
      </c>
      <c r="V157" s="3" t="str">
        <f>IFERROR(VALUE(TEXT(C157,"00")&amp;TEXT(N157,"00")&amp;TEXT(P157,"00")&amp;IF(#REF!="Plato perforado",5,IF(OR(#REF!="N/A",#REF!=""),0,#REF!))),"")</f>
        <v/>
      </c>
      <c r="BC157" s="3" t="str">
        <f t="shared" si="115"/>
        <v/>
      </c>
      <c r="BD157" s="3" t="str">
        <f t="shared" si="116"/>
        <v/>
      </c>
      <c r="BE157" s="3" t="e">
        <f t="shared" si="102"/>
        <v>#VALUE!</v>
      </c>
      <c r="BW157" s="3">
        <f t="shared" si="117"/>
        <v>0</v>
      </c>
    </row>
    <row r="158" spans="1:75" x14ac:dyDescent="0.3">
      <c r="A158" s="431">
        <v>125</v>
      </c>
      <c r="B158" s="272"/>
      <c r="C158" s="273">
        <f t="shared" si="111"/>
        <v>2</v>
      </c>
      <c r="D158" s="372"/>
      <c r="E158" s="274"/>
      <c r="F158" s="273" t="str">
        <f t="shared" si="119"/>
        <v/>
      </c>
      <c r="G158" s="275" t="str">
        <f t="shared" si="119"/>
        <v/>
      </c>
      <c r="H158" s="276" t="str">
        <f t="shared" si="91"/>
        <v/>
      </c>
      <c r="I158" s="277" t="str">
        <f t="shared" si="106"/>
        <v/>
      </c>
      <c r="J158" s="276" t="str">
        <f t="shared" si="92"/>
        <v/>
      </c>
      <c r="K158" s="276">
        <f t="shared" si="93"/>
        <v>0</v>
      </c>
      <c r="L158" s="278"/>
      <c r="M158" s="279">
        <f t="shared" si="112"/>
        <v>1</v>
      </c>
      <c r="N158" s="360" t="str">
        <f t="shared" si="95"/>
        <v/>
      </c>
      <c r="O158" s="117" t="str">
        <f t="shared" si="96"/>
        <v/>
      </c>
      <c r="P158" s="359" t="str">
        <f t="shared" si="97"/>
        <v/>
      </c>
      <c r="Q158" s="280" t="str">
        <f t="shared" si="107"/>
        <v/>
      </c>
      <c r="R158" s="282" t="str">
        <f t="shared" si="113"/>
        <v/>
      </c>
      <c r="S158" s="283" t="str">
        <f t="shared" si="114"/>
        <v>---</v>
      </c>
      <c r="V158" s="3" t="str">
        <f>IFERROR(VALUE(TEXT(C158,"00")&amp;TEXT(N158,"00")&amp;TEXT(P158,"00")&amp;IF(#REF!="Plato perforado",5,IF(OR(#REF!="N/A",#REF!=""),0,#REF!))),"")</f>
        <v/>
      </c>
      <c r="BC158" s="3" t="str">
        <f t="shared" si="115"/>
        <v/>
      </c>
      <c r="BD158" s="3" t="str">
        <f t="shared" si="116"/>
        <v/>
      </c>
      <c r="BE158" s="3" t="e">
        <f t="shared" si="102"/>
        <v>#VALUE!</v>
      </c>
      <c r="BW158" s="3">
        <f t="shared" si="117"/>
        <v>0</v>
      </c>
    </row>
    <row r="159" spans="1:75" x14ac:dyDescent="0.3">
      <c r="A159" s="431">
        <v>126</v>
      </c>
      <c r="B159" s="284"/>
      <c r="C159" s="285">
        <f t="shared" si="111"/>
        <v>2</v>
      </c>
      <c r="D159" s="373"/>
      <c r="E159" s="286"/>
      <c r="F159" s="285" t="str">
        <f t="shared" si="119"/>
        <v/>
      </c>
      <c r="G159" s="287" t="str">
        <f t="shared" si="119"/>
        <v/>
      </c>
      <c r="H159" s="288" t="str">
        <f t="shared" si="91"/>
        <v/>
      </c>
      <c r="I159" s="289" t="str">
        <f t="shared" si="106"/>
        <v/>
      </c>
      <c r="J159" s="288" t="str">
        <f t="shared" si="92"/>
        <v/>
      </c>
      <c r="K159" s="288">
        <f t="shared" si="93"/>
        <v>0</v>
      </c>
      <c r="L159" s="290"/>
      <c r="M159" s="291">
        <f t="shared" si="112"/>
        <v>1</v>
      </c>
      <c r="N159" s="466" t="str">
        <f t="shared" si="95"/>
        <v/>
      </c>
      <c r="O159" s="302" t="str">
        <f t="shared" si="96"/>
        <v/>
      </c>
      <c r="P159" s="468" t="str">
        <f t="shared" si="97"/>
        <v/>
      </c>
      <c r="Q159" s="292" t="str">
        <f t="shared" si="107"/>
        <v/>
      </c>
      <c r="R159" s="294" t="str">
        <f t="shared" si="113"/>
        <v/>
      </c>
      <c r="S159" s="295" t="str">
        <f t="shared" si="114"/>
        <v>---</v>
      </c>
      <c r="V159" s="3" t="str">
        <f>IFERROR(VALUE(TEXT(C159,"00")&amp;TEXT(N159,"00")&amp;TEXT(P159,"00")&amp;IF(#REF!="Plato perforado",5,IF(OR(#REF!="N/A",#REF!=""),0,#REF!))),"")</f>
        <v/>
      </c>
      <c r="BC159" s="3" t="str">
        <f t="shared" si="115"/>
        <v/>
      </c>
      <c r="BD159" s="3" t="str">
        <f t="shared" si="116"/>
        <v/>
      </c>
      <c r="BE159" s="3" t="e">
        <f t="shared" si="102"/>
        <v>#VALUE!</v>
      </c>
      <c r="BW159" s="3">
        <f t="shared" si="117"/>
        <v>0</v>
      </c>
    </row>
    <row r="160" spans="1:75" x14ac:dyDescent="0.3">
      <c r="A160" s="431">
        <v>127</v>
      </c>
      <c r="B160" s="260"/>
      <c r="C160" s="261">
        <f t="shared" si="111"/>
        <v>2</v>
      </c>
      <c r="D160" s="371"/>
      <c r="E160" s="262"/>
      <c r="F160" s="261" t="str">
        <f t="shared" si="119"/>
        <v/>
      </c>
      <c r="G160" s="263" t="str">
        <f t="shared" si="119"/>
        <v/>
      </c>
      <c r="H160" s="264" t="str">
        <f t="shared" si="91"/>
        <v/>
      </c>
      <c r="I160" s="265" t="str">
        <f t="shared" si="106"/>
        <v/>
      </c>
      <c r="J160" s="264" t="str">
        <f t="shared" si="92"/>
        <v/>
      </c>
      <c r="K160" s="264">
        <f t="shared" si="93"/>
        <v>0</v>
      </c>
      <c r="L160" s="266"/>
      <c r="M160" s="267">
        <f t="shared" si="112"/>
        <v>1</v>
      </c>
      <c r="N160" s="465" t="str">
        <f t="shared" si="95"/>
        <v/>
      </c>
      <c r="O160" s="297" t="str">
        <f t="shared" si="96"/>
        <v/>
      </c>
      <c r="P160" s="467" t="str">
        <f t="shared" si="97"/>
        <v/>
      </c>
      <c r="Q160" s="268" t="str">
        <f t="shared" si="107"/>
        <v/>
      </c>
      <c r="R160" s="270" t="str">
        <f t="shared" si="113"/>
        <v/>
      </c>
      <c r="S160" s="271" t="str">
        <f t="shared" si="114"/>
        <v>---</v>
      </c>
      <c r="V160" s="3" t="str">
        <f>IFERROR(VALUE(TEXT(C160,"00")&amp;TEXT(N160,"00")&amp;TEXT(P160,"00")&amp;IF(#REF!="Plato perforado",5,IF(OR(#REF!="N/A",#REF!=""),0,#REF!))),"")</f>
        <v/>
      </c>
      <c r="BC160" s="3" t="str">
        <f t="shared" si="115"/>
        <v/>
      </c>
      <c r="BD160" s="3" t="str">
        <f t="shared" si="116"/>
        <v/>
      </c>
      <c r="BE160" s="3" t="e">
        <f t="shared" si="102"/>
        <v>#VALUE!</v>
      </c>
      <c r="BW160" s="3">
        <f t="shared" si="117"/>
        <v>0</v>
      </c>
    </row>
    <row r="161" spans="1:75" x14ac:dyDescent="0.3">
      <c r="A161" s="431">
        <v>128</v>
      </c>
      <c r="B161" s="272"/>
      <c r="C161" s="273">
        <f t="shared" si="111"/>
        <v>2</v>
      </c>
      <c r="D161" s="372"/>
      <c r="E161" s="274"/>
      <c r="F161" s="273" t="str">
        <f t="shared" si="119"/>
        <v/>
      </c>
      <c r="G161" s="275" t="str">
        <f t="shared" si="119"/>
        <v/>
      </c>
      <c r="H161" s="276" t="str">
        <f t="shared" si="91"/>
        <v/>
      </c>
      <c r="I161" s="277" t="str">
        <f t="shared" si="106"/>
        <v/>
      </c>
      <c r="J161" s="276" t="str">
        <f t="shared" si="92"/>
        <v/>
      </c>
      <c r="K161" s="276">
        <f t="shared" si="93"/>
        <v>0</v>
      </c>
      <c r="L161" s="278"/>
      <c r="M161" s="279">
        <f t="shared" si="112"/>
        <v>1</v>
      </c>
      <c r="N161" s="360" t="str">
        <f t="shared" si="95"/>
        <v/>
      </c>
      <c r="O161" s="117" t="str">
        <f t="shared" si="96"/>
        <v/>
      </c>
      <c r="P161" s="359" t="str">
        <f t="shared" si="97"/>
        <v/>
      </c>
      <c r="Q161" s="280" t="str">
        <f t="shared" si="107"/>
        <v/>
      </c>
      <c r="R161" s="282" t="str">
        <f t="shared" si="113"/>
        <v/>
      </c>
      <c r="S161" s="283" t="str">
        <f t="shared" si="114"/>
        <v>---</v>
      </c>
      <c r="V161" s="3" t="str">
        <f>IFERROR(VALUE(TEXT(C161,"00")&amp;TEXT(N161,"00")&amp;TEXT(P161,"00")&amp;IF(#REF!="Plato perforado",5,IF(OR(#REF!="N/A",#REF!=""),0,#REF!))),"")</f>
        <v/>
      </c>
      <c r="BC161" s="3" t="str">
        <f t="shared" si="115"/>
        <v/>
      </c>
      <c r="BD161" s="3" t="str">
        <f t="shared" si="116"/>
        <v/>
      </c>
      <c r="BE161" s="3" t="e">
        <f t="shared" si="102"/>
        <v>#VALUE!</v>
      </c>
      <c r="BW161" s="3">
        <f t="shared" si="117"/>
        <v>0</v>
      </c>
    </row>
    <row r="162" spans="1:75" x14ac:dyDescent="0.3">
      <c r="A162" s="431">
        <v>129</v>
      </c>
      <c r="B162" s="284"/>
      <c r="C162" s="285">
        <f t="shared" ref="C162:C183" si="120">IF(B162="RR",1,2)</f>
        <v>2</v>
      </c>
      <c r="D162" s="373"/>
      <c r="E162" s="286"/>
      <c r="F162" s="285" t="str">
        <f t="shared" si="119"/>
        <v/>
      </c>
      <c r="G162" s="287" t="str">
        <f t="shared" si="119"/>
        <v/>
      </c>
      <c r="H162" s="288" t="str">
        <f t="shared" ref="H162:H183" si="121">IF(COUNTIF($E$34:$E$183,E162)=0,"",COUNTIF($E$34:$E$183,E162))</f>
        <v/>
      </c>
      <c r="I162" s="289" t="str">
        <f t="shared" si="106"/>
        <v/>
      </c>
      <c r="J162" s="288" t="str">
        <f t="shared" ref="J162:J183" si="122">IF(I162="","",TEXT(I162/G162,"0.0 %"))</f>
        <v/>
      </c>
      <c r="K162" s="288">
        <f t="shared" ref="K162:K183" si="123">IF(C162=1,$J$16,IF(C162=2,$J$17,IF(C162=3,$J$18,0)))</f>
        <v>0</v>
      </c>
      <c r="L162" s="290"/>
      <c r="M162" s="291">
        <f t="shared" ref="M162:M183" si="124">IF(OR(L162=0,C162=2),1,L162)</f>
        <v>1</v>
      </c>
      <c r="N162" s="466" t="str">
        <f t="shared" ref="N162:N183" si="125">IFERROR(MAX(_xlfn.CEILING.MATH(SQRT(I162/(M162*INDEX($D$16:$D$18,C162)))*12,INDEX($J$16:$J$18,C162)),INDEX($L$16:$L$18,C162)),"")</f>
        <v/>
      </c>
      <c r="O162" s="302" t="str">
        <f t="shared" ref="O162:O183" si="126">IF(I162="","","×")</f>
        <v/>
      </c>
      <c r="P162" s="468" t="str">
        <f t="shared" ref="P162:P183" si="127">IFERROR(MAX(_xlfn.CEILING.MATH(SQRT((I162*M162)/INDEX($D$16:$D$18,C162))*12,INDEX($J$16:$J$18,C162)),INDEX($L$16:$L$18,C162)),"")</f>
        <v/>
      </c>
      <c r="Q162" s="292" t="str">
        <f t="shared" si="107"/>
        <v/>
      </c>
      <c r="R162" s="294" t="str">
        <f t="shared" ref="R162:R183" si="128">IF(C162=1,IF(N162&gt;=P162,"FL","FS"),IF(I162="","","N/A"))</f>
        <v/>
      </c>
      <c r="S162" s="295" t="str">
        <f t="shared" ref="S162:S183" si="129">IFERROR(IF(C162=1,(0.000000275)*Q162^1.993,"---"),"")</f>
        <v>---</v>
      </c>
      <c r="V162" s="3" t="str">
        <f>IFERROR(VALUE(TEXT(C162,"00")&amp;TEXT(N162,"00")&amp;TEXT(P162,"00")&amp;IF(#REF!="Plato perforado",5,IF(OR(#REF!="N/A",#REF!=""),0,#REF!))),"")</f>
        <v/>
      </c>
      <c r="BC162" s="3" t="str">
        <f t="shared" ref="BC162:BC183" si="130">IF(C162=2,N162,0)</f>
        <v/>
      </c>
      <c r="BD162" s="3" t="str">
        <f t="shared" ref="BD162:BD183" si="131">IF(C162=2,P162,0)</f>
        <v/>
      </c>
      <c r="BE162" s="3" t="e">
        <f t="shared" ref="BE162:BE183" si="132">VALUE(TEXT(BC162,"00")&amp;TEXT(BD162,"00"))</f>
        <v>#VALUE!</v>
      </c>
      <c r="BW162" s="3">
        <f t="shared" ref="BW162:BW183" si="133">IF(C162=3,R162,0)</f>
        <v>0</v>
      </c>
    </row>
    <row r="163" spans="1:75" x14ac:dyDescent="0.3">
      <c r="A163" s="431">
        <v>130</v>
      </c>
      <c r="B163" s="260"/>
      <c r="C163" s="261">
        <f t="shared" si="120"/>
        <v>2</v>
      </c>
      <c r="D163" s="371"/>
      <c r="E163" s="262"/>
      <c r="F163" s="261" t="str">
        <f t="shared" si="119"/>
        <v/>
      </c>
      <c r="G163" s="263" t="str">
        <f t="shared" si="119"/>
        <v/>
      </c>
      <c r="H163" s="264" t="str">
        <f t="shared" si="121"/>
        <v/>
      </c>
      <c r="I163" s="265" t="str">
        <f t="shared" ref="I163:I183" si="134">IF(OR(G163="",H163=""),"",G163/H163)</f>
        <v/>
      </c>
      <c r="J163" s="264" t="str">
        <f t="shared" si="122"/>
        <v/>
      </c>
      <c r="K163" s="264">
        <f t="shared" si="123"/>
        <v>0</v>
      </c>
      <c r="L163" s="266"/>
      <c r="M163" s="267">
        <f t="shared" si="124"/>
        <v>1</v>
      </c>
      <c r="N163" s="465" t="str">
        <f t="shared" si="125"/>
        <v/>
      </c>
      <c r="O163" s="297" t="str">
        <f t="shared" si="126"/>
        <v/>
      </c>
      <c r="P163" s="467" t="str">
        <f t="shared" si="127"/>
        <v/>
      </c>
      <c r="Q163" s="268" t="str">
        <f t="shared" ref="Q163:Q183" si="135">IF(I163="","",IF(N163="---","---",I163/(N163/12*P163/12)))</f>
        <v/>
      </c>
      <c r="R163" s="270" t="str">
        <f t="shared" si="128"/>
        <v/>
      </c>
      <c r="S163" s="271" t="str">
        <f t="shared" si="129"/>
        <v>---</v>
      </c>
      <c r="V163" s="3" t="str">
        <f>IFERROR(VALUE(TEXT(C163,"00")&amp;TEXT(N163,"00")&amp;TEXT(P163,"00")&amp;IF(#REF!="Plato perforado",5,IF(OR(#REF!="N/A",#REF!=""),0,#REF!))),"")</f>
        <v/>
      </c>
      <c r="BC163" s="3" t="str">
        <f t="shared" si="130"/>
        <v/>
      </c>
      <c r="BD163" s="3" t="str">
        <f t="shared" si="131"/>
        <v/>
      </c>
      <c r="BE163" s="3" t="e">
        <f t="shared" si="132"/>
        <v>#VALUE!</v>
      </c>
      <c r="BW163" s="3">
        <f t="shared" si="133"/>
        <v>0</v>
      </c>
    </row>
    <row r="164" spans="1:75" x14ac:dyDescent="0.3">
      <c r="A164" s="431">
        <v>131</v>
      </c>
      <c r="B164" s="272"/>
      <c r="C164" s="273">
        <f t="shared" si="120"/>
        <v>2</v>
      </c>
      <c r="D164" s="372"/>
      <c r="E164" s="274"/>
      <c r="F164" s="273" t="str">
        <f t="shared" si="119"/>
        <v/>
      </c>
      <c r="G164" s="275" t="str">
        <f t="shared" si="119"/>
        <v/>
      </c>
      <c r="H164" s="276" t="str">
        <f t="shared" si="121"/>
        <v/>
      </c>
      <c r="I164" s="277" t="str">
        <f t="shared" si="134"/>
        <v/>
      </c>
      <c r="J164" s="276" t="str">
        <f t="shared" si="122"/>
        <v/>
      </c>
      <c r="K164" s="276">
        <f t="shared" si="123"/>
        <v>0</v>
      </c>
      <c r="L164" s="278"/>
      <c r="M164" s="279">
        <f t="shared" si="124"/>
        <v>1</v>
      </c>
      <c r="N164" s="360" t="str">
        <f t="shared" si="125"/>
        <v/>
      </c>
      <c r="O164" s="117" t="str">
        <f t="shared" si="126"/>
        <v/>
      </c>
      <c r="P164" s="359" t="str">
        <f t="shared" si="127"/>
        <v/>
      </c>
      <c r="Q164" s="280" t="str">
        <f t="shared" si="135"/>
        <v/>
      </c>
      <c r="R164" s="282" t="str">
        <f t="shared" si="128"/>
        <v/>
      </c>
      <c r="S164" s="283" t="str">
        <f t="shared" si="129"/>
        <v>---</v>
      </c>
      <c r="V164" s="3" t="str">
        <f>IFERROR(VALUE(TEXT(C164,"00")&amp;TEXT(N164,"00")&amp;TEXT(P164,"00")&amp;IF(#REF!="Plato perforado",5,IF(OR(#REF!="N/A",#REF!=""),0,#REF!))),"")</f>
        <v/>
      </c>
      <c r="BC164" s="3" t="str">
        <f t="shared" si="130"/>
        <v/>
      </c>
      <c r="BD164" s="3" t="str">
        <f t="shared" si="131"/>
        <v/>
      </c>
      <c r="BE164" s="3" t="e">
        <f t="shared" si="132"/>
        <v>#VALUE!</v>
      </c>
      <c r="BW164" s="3">
        <f t="shared" si="133"/>
        <v>0</v>
      </c>
    </row>
    <row r="165" spans="1:75" x14ac:dyDescent="0.3">
      <c r="A165" s="431">
        <v>132</v>
      </c>
      <c r="B165" s="284"/>
      <c r="C165" s="285">
        <f t="shared" si="120"/>
        <v>2</v>
      </c>
      <c r="D165" s="373"/>
      <c r="E165" s="286"/>
      <c r="F165" s="285" t="str">
        <f t="shared" si="119"/>
        <v/>
      </c>
      <c r="G165" s="287" t="str">
        <f t="shared" si="119"/>
        <v/>
      </c>
      <c r="H165" s="288" t="str">
        <f t="shared" si="121"/>
        <v/>
      </c>
      <c r="I165" s="289" t="str">
        <f t="shared" si="134"/>
        <v/>
      </c>
      <c r="J165" s="288" t="str">
        <f t="shared" si="122"/>
        <v/>
      </c>
      <c r="K165" s="288">
        <f t="shared" si="123"/>
        <v>0</v>
      </c>
      <c r="L165" s="290"/>
      <c r="M165" s="291">
        <f t="shared" si="124"/>
        <v>1</v>
      </c>
      <c r="N165" s="466" t="str">
        <f t="shared" si="125"/>
        <v/>
      </c>
      <c r="O165" s="302" t="str">
        <f t="shared" si="126"/>
        <v/>
      </c>
      <c r="P165" s="468" t="str">
        <f t="shared" si="127"/>
        <v/>
      </c>
      <c r="Q165" s="292" t="str">
        <f t="shared" si="135"/>
        <v/>
      </c>
      <c r="R165" s="294" t="str">
        <f t="shared" si="128"/>
        <v/>
      </c>
      <c r="S165" s="295" t="str">
        <f t="shared" si="129"/>
        <v>---</v>
      </c>
      <c r="V165" s="3" t="str">
        <f>IFERROR(VALUE(TEXT(C165,"00")&amp;TEXT(N165,"00")&amp;TEXT(P165,"00")&amp;IF(#REF!="Plato perforado",5,IF(OR(#REF!="N/A",#REF!=""),0,#REF!))),"")</f>
        <v/>
      </c>
      <c r="BC165" s="3" t="str">
        <f t="shared" si="130"/>
        <v/>
      </c>
      <c r="BD165" s="3" t="str">
        <f t="shared" si="131"/>
        <v/>
      </c>
      <c r="BE165" s="3" t="e">
        <f t="shared" si="132"/>
        <v>#VALUE!</v>
      </c>
      <c r="BW165" s="3">
        <f t="shared" si="133"/>
        <v>0</v>
      </c>
    </row>
    <row r="166" spans="1:75" x14ac:dyDescent="0.3">
      <c r="A166" s="431">
        <v>133</v>
      </c>
      <c r="B166" s="260"/>
      <c r="C166" s="261">
        <f t="shared" si="120"/>
        <v>2</v>
      </c>
      <c r="D166" s="371"/>
      <c r="E166" s="262"/>
      <c r="F166" s="261" t="str">
        <f t="shared" si="119"/>
        <v/>
      </c>
      <c r="G166" s="263" t="str">
        <f t="shared" si="119"/>
        <v/>
      </c>
      <c r="H166" s="264" t="str">
        <f t="shared" si="121"/>
        <v/>
      </c>
      <c r="I166" s="265" t="str">
        <f t="shared" si="134"/>
        <v/>
      </c>
      <c r="J166" s="264" t="str">
        <f t="shared" si="122"/>
        <v/>
      </c>
      <c r="K166" s="264">
        <f t="shared" si="123"/>
        <v>0</v>
      </c>
      <c r="L166" s="266"/>
      <c r="M166" s="267">
        <f t="shared" si="124"/>
        <v>1</v>
      </c>
      <c r="N166" s="465" t="str">
        <f t="shared" si="125"/>
        <v/>
      </c>
      <c r="O166" s="297" t="str">
        <f t="shared" si="126"/>
        <v/>
      </c>
      <c r="P166" s="467" t="str">
        <f t="shared" si="127"/>
        <v/>
      </c>
      <c r="Q166" s="268" t="str">
        <f t="shared" si="135"/>
        <v/>
      </c>
      <c r="R166" s="270" t="str">
        <f t="shared" si="128"/>
        <v/>
      </c>
      <c r="S166" s="271" t="str">
        <f t="shared" si="129"/>
        <v>---</v>
      </c>
      <c r="V166" s="3" t="str">
        <f>IFERROR(VALUE(TEXT(C166,"00")&amp;TEXT(N166,"00")&amp;TEXT(P166,"00")&amp;IF(#REF!="Plato perforado",5,IF(OR(#REF!="N/A",#REF!=""),0,#REF!))),"")</f>
        <v/>
      </c>
      <c r="BC166" s="3" t="str">
        <f t="shared" si="130"/>
        <v/>
      </c>
      <c r="BD166" s="3" t="str">
        <f t="shared" si="131"/>
        <v/>
      </c>
      <c r="BE166" s="3" t="e">
        <f t="shared" si="132"/>
        <v>#VALUE!</v>
      </c>
      <c r="BW166" s="3">
        <f t="shared" si="133"/>
        <v>0</v>
      </c>
    </row>
    <row r="167" spans="1:75" x14ac:dyDescent="0.3">
      <c r="A167" s="431">
        <v>134</v>
      </c>
      <c r="B167" s="272"/>
      <c r="C167" s="273">
        <f t="shared" si="120"/>
        <v>2</v>
      </c>
      <c r="D167" s="372"/>
      <c r="E167" s="274"/>
      <c r="F167" s="273" t="str">
        <f t="shared" si="119"/>
        <v/>
      </c>
      <c r="G167" s="275" t="str">
        <f t="shared" si="119"/>
        <v/>
      </c>
      <c r="H167" s="276" t="str">
        <f t="shared" si="121"/>
        <v/>
      </c>
      <c r="I167" s="277" t="str">
        <f t="shared" si="134"/>
        <v/>
      </c>
      <c r="J167" s="276" t="str">
        <f t="shared" si="122"/>
        <v/>
      </c>
      <c r="K167" s="276">
        <f t="shared" si="123"/>
        <v>0</v>
      </c>
      <c r="L167" s="278"/>
      <c r="M167" s="279">
        <f t="shared" si="124"/>
        <v>1</v>
      </c>
      <c r="N167" s="360" t="str">
        <f t="shared" si="125"/>
        <v/>
      </c>
      <c r="O167" s="117" t="str">
        <f t="shared" si="126"/>
        <v/>
      </c>
      <c r="P167" s="359" t="str">
        <f t="shared" si="127"/>
        <v/>
      </c>
      <c r="Q167" s="280" t="str">
        <f t="shared" si="135"/>
        <v/>
      </c>
      <c r="R167" s="282" t="str">
        <f t="shared" si="128"/>
        <v/>
      </c>
      <c r="S167" s="283" t="str">
        <f t="shared" si="129"/>
        <v>---</v>
      </c>
      <c r="V167" s="3" t="str">
        <f>IFERROR(VALUE(TEXT(C167,"00")&amp;TEXT(N167,"00")&amp;TEXT(P167,"00")&amp;IF(#REF!="Plato perforado",5,IF(OR(#REF!="N/A",#REF!=""),0,#REF!))),"")</f>
        <v/>
      </c>
      <c r="BC167" s="3" t="str">
        <f t="shared" si="130"/>
        <v/>
      </c>
      <c r="BD167" s="3" t="str">
        <f t="shared" si="131"/>
        <v/>
      </c>
      <c r="BE167" s="3" t="e">
        <f t="shared" si="132"/>
        <v>#VALUE!</v>
      </c>
      <c r="BW167" s="3">
        <f t="shared" si="133"/>
        <v>0</v>
      </c>
    </row>
    <row r="168" spans="1:75" x14ac:dyDescent="0.3">
      <c r="A168" s="431">
        <v>135</v>
      </c>
      <c r="B168" s="284"/>
      <c r="C168" s="285">
        <f t="shared" si="120"/>
        <v>2</v>
      </c>
      <c r="D168" s="373"/>
      <c r="E168" s="286"/>
      <c r="F168" s="285" t="str">
        <f t="shared" si="119"/>
        <v/>
      </c>
      <c r="G168" s="287" t="str">
        <f t="shared" si="119"/>
        <v/>
      </c>
      <c r="H168" s="288" t="str">
        <f t="shared" si="121"/>
        <v/>
      </c>
      <c r="I168" s="289" t="str">
        <f t="shared" si="134"/>
        <v/>
      </c>
      <c r="J168" s="288" t="str">
        <f t="shared" si="122"/>
        <v/>
      </c>
      <c r="K168" s="288">
        <f t="shared" si="123"/>
        <v>0</v>
      </c>
      <c r="L168" s="290"/>
      <c r="M168" s="291">
        <f t="shared" si="124"/>
        <v>1</v>
      </c>
      <c r="N168" s="466" t="str">
        <f t="shared" si="125"/>
        <v/>
      </c>
      <c r="O168" s="302" t="str">
        <f t="shared" si="126"/>
        <v/>
      </c>
      <c r="P168" s="468" t="str">
        <f t="shared" si="127"/>
        <v/>
      </c>
      <c r="Q168" s="292" t="str">
        <f t="shared" si="135"/>
        <v/>
      </c>
      <c r="R168" s="294" t="str">
        <f t="shared" si="128"/>
        <v/>
      </c>
      <c r="S168" s="295" t="str">
        <f t="shared" si="129"/>
        <v>---</v>
      </c>
      <c r="V168" s="3" t="str">
        <f>IFERROR(VALUE(TEXT(C168,"00")&amp;TEXT(N168,"00")&amp;TEXT(P168,"00")&amp;IF(#REF!="Plato perforado",5,IF(OR(#REF!="N/A",#REF!=""),0,#REF!))),"")</f>
        <v/>
      </c>
      <c r="BC168" s="3" t="str">
        <f t="shared" si="130"/>
        <v/>
      </c>
      <c r="BD168" s="3" t="str">
        <f t="shared" si="131"/>
        <v/>
      </c>
      <c r="BE168" s="3" t="e">
        <f t="shared" si="132"/>
        <v>#VALUE!</v>
      </c>
      <c r="BW168" s="3">
        <f t="shared" si="133"/>
        <v>0</v>
      </c>
    </row>
    <row r="169" spans="1:75" x14ac:dyDescent="0.3">
      <c r="A169" s="431">
        <v>136</v>
      </c>
      <c r="B169" s="260"/>
      <c r="C169" s="261">
        <f t="shared" si="120"/>
        <v>2</v>
      </c>
      <c r="D169" s="371"/>
      <c r="E169" s="262"/>
      <c r="F169" s="261" t="str">
        <f t="shared" si="119"/>
        <v/>
      </c>
      <c r="G169" s="263" t="str">
        <f t="shared" si="119"/>
        <v/>
      </c>
      <c r="H169" s="264" t="str">
        <f t="shared" si="121"/>
        <v/>
      </c>
      <c r="I169" s="265" t="str">
        <f t="shared" si="134"/>
        <v/>
      </c>
      <c r="J169" s="264" t="str">
        <f t="shared" si="122"/>
        <v/>
      </c>
      <c r="K169" s="264">
        <f t="shared" si="123"/>
        <v>0</v>
      </c>
      <c r="L169" s="266"/>
      <c r="M169" s="267">
        <f t="shared" si="124"/>
        <v>1</v>
      </c>
      <c r="N169" s="465" t="str">
        <f t="shared" si="125"/>
        <v/>
      </c>
      <c r="O169" s="297" t="str">
        <f t="shared" si="126"/>
        <v/>
      </c>
      <c r="P169" s="467" t="str">
        <f t="shared" si="127"/>
        <v/>
      </c>
      <c r="Q169" s="268" t="str">
        <f t="shared" si="135"/>
        <v/>
      </c>
      <c r="R169" s="270" t="str">
        <f t="shared" si="128"/>
        <v/>
      </c>
      <c r="S169" s="271" t="str">
        <f t="shared" si="129"/>
        <v>---</v>
      </c>
      <c r="V169" s="3" t="str">
        <f>IFERROR(VALUE(TEXT(C169,"00")&amp;TEXT(N169,"00")&amp;TEXT(P169,"00")&amp;IF(#REF!="Plato perforado",5,IF(OR(#REF!="N/A",#REF!=""),0,#REF!))),"")</f>
        <v/>
      </c>
      <c r="BC169" s="3" t="str">
        <f t="shared" si="130"/>
        <v/>
      </c>
      <c r="BD169" s="3" t="str">
        <f t="shared" si="131"/>
        <v/>
      </c>
      <c r="BE169" s="3" t="e">
        <f t="shared" si="132"/>
        <v>#VALUE!</v>
      </c>
      <c r="BW169" s="3">
        <f t="shared" si="133"/>
        <v>0</v>
      </c>
    </row>
    <row r="170" spans="1:75" x14ac:dyDescent="0.3">
      <c r="A170" s="431">
        <v>137</v>
      </c>
      <c r="B170" s="272"/>
      <c r="C170" s="273">
        <f t="shared" si="120"/>
        <v>2</v>
      </c>
      <c r="D170" s="372"/>
      <c r="E170" s="274"/>
      <c r="F170" s="273" t="str">
        <f t="shared" si="119"/>
        <v/>
      </c>
      <c r="G170" s="275" t="str">
        <f t="shared" si="119"/>
        <v/>
      </c>
      <c r="H170" s="276" t="str">
        <f t="shared" si="121"/>
        <v/>
      </c>
      <c r="I170" s="277" t="str">
        <f t="shared" si="134"/>
        <v/>
      </c>
      <c r="J170" s="276" t="str">
        <f t="shared" si="122"/>
        <v/>
      </c>
      <c r="K170" s="276">
        <f t="shared" si="123"/>
        <v>0</v>
      </c>
      <c r="L170" s="278"/>
      <c r="M170" s="279">
        <f t="shared" si="124"/>
        <v>1</v>
      </c>
      <c r="N170" s="360" t="str">
        <f t="shared" si="125"/>
        <v/>
      </c>
      <c r="O170" s="117" t="str">
        <f t="shared" si="126"/>
        <v/>
      </c>
      <c r="P170" s="359" t="str">
        <f t="shared" si="127"/>
        <v/>
      </c>
      <c r="Q170" s="280" t="str">
        <f t="shared" si="135"/>
        <v/>
      </c>
      <c r="R170" s="282" t="str">
        <f t="shared" si="128"/>
        <v/>
      </c>
      <c r="S170" s="283" t="str">
        <f t="shared" si="129"/>
        <v>---</v>
      </c>
      <c r="V170" s="3" t="str">
        <f>IFERROR(VALUE(TEXT(C170,"00")&amp;TEXT(N170,"00")&amp;TEXT(P170,"00")&amp;IF(#REF!="Plato perforado",5,IF(OR(#REF!="N/A",#REF!=""),0,#REF!))),"")</f>
        <v/>
      </c>
      <c r="BC170" s="3" t="str">
        <f t="shared" si="130"/>
        <v/>
      </c>
      <c r="BD170" s="3" t="str">
        <f t="shared" si="131"/>
        <v/>
      </c>
      <c r="BE170" s="3" t="e">
        <f t="shared" si="132"/>
        <v>#VALUE!</v>
      </c>
      <c r="BW170" s="3">
        <f t="shared" si="133"/>
        <v>0</v>
      </c>
    </row>
    <row r="171" spans="1:75" x14ac:dyDescent="0.3">
      <c r="A171" s="431">
        <v>138</v>
      </c>
      <c r="B171" s="284"/>
      <c r="C171" s="285">
        <f t="shared" si="120"/>
        <v>2</v>
      </c>
      <c r="D171" s="373"/>
      <c r="E171" s="286"/>
      <c r="F171" s="285" t="str">
        <f t="shared" si="119"/>
        <v/>
      </c>
      <c r="G171" s="287" t="str">
        <f t="shared" si="119"/>
        <v/>
      </c>
      <c r="H171" s="288" t="str">
        <f t="shared" si="121"/>
        <v/>
      </c>
      <c r="I171" s="289" t="str">
        <f t="shared" si="134"/>
        <v/>
      </c>
      <c r="J171" s="288" t="str">
        <f t="shared" si="122"/>
        <v/>
      </c>
      <c r="K171" s="288">
        <f t="shared" si="123"/>
        <v>0</v>
      </c>
      <c r="L171" s="290"/>
      <c r="M171" s="291">
        <f t="shared" si="124"/>
        <v>1</v>
      </c>
      <c r="N171" s="466" t="str">
        <f t="shared" si="125"/>
        <v/>
      </c>
      <c r="O171" s="302" t="str">
        <f t="shared" si="126"/>
        <v/>
      </c>
      <c r="P171" s="468" t="str">
        <f t="shared" si="127"/>
        <v/>
      </c>
      <c r="Q171" s="292" t="str">
        <f t="shared" si="135"/>
        <v/>
      </c>
      <c r="R171" s="294" t="str">
        <f t="shared" si="128"/>
        <v/>
      </c>
      <c r="S171" s="295" t="str">
        <f t="shared" si="129"/>
        <v>---</v>
      </c>
      <c r="V171" s="3" t="str">
        <f>IFERROR(VALUE(TEXT(C171,"00")&amp;TEXT(N171,"00")&amp;TEXT(P171,"00")&amp;IF(#REF!="Plato perforado",5,IF(OR(#REF!="N/A",#REF!=""),0,#REF!))),"")</f>
        <v/>
      </c>
      <c r="BC171" s="3" t="str">
        <f t="shared" si="130"/>
        <v/>
      </c>
      <c r="BD171" s="3" t="str">
        <f t="shared" si="131"/>
        <v/>
      </c>
      <c r="BE171" s="3" t="e">
        <f t="shared" si="132"/>
        <v>#VALUE!</v>
      </c>
      <c r="BW171" s="3">
        <f t="shared" si="133"/>
        <v>0</v>
      </c>
    </row>
    <row r="172" spans="1:75" x14ac:dyDescent="0.3">
      <c r="A172" s="431">
        <v>139</v>
      </c>
      <c r="B172" s="260"/>
      <c r="C172" s="261">
        <f t="shared" si="120"/>
        <v>2</v>
      </c>
      <c r="D172" s="371"/>
      <c r="E172" s="262"/>
      <c r="F172" s="261" t="str">
        <f t="shared" si="119"/>
        <v/>
      </c>
      <c r="G172" s="263" t="str">
        <f t="shared" si="119"/>
        <v/>
      </c>
      <c r="H172" s="264" t="str">
        <f t="shared" si="121"/>
        <v/>
      </c>
      <c r="I172" s="265" t="str">
        <f t="shared" si="134"/>
        <v/>
      </c>
      <c r="J172" s="264" t="str">
        <f t="shared" si="122"/>
        <v/>
      </c>
      <c r="K172" s="264">
        <f t="shared" si="123"/>
        <v>0</v>
      </c>
      <c r="L172" s="266"/>
      <c r="M172" s="267">
        <f t="shared" si="124"/>
        <v>1</v>
      </c>
      <c r="N172" s="465" t="str">
        <f t="shared" si="125"/>
        <v/>
      </c>
      <c r="O172" s="297" t="str">
        <f t="shared" si="126"/>
        <v/>
      </c>
      <c r="P172" s="467" t="str">
        <f t="shared" si="127"/>
        <v/>
      </c>
      <c r="Q172" s="268" t="str">
        <f t="shared" si="135"/>
        <v/>
      </c>
      <c r="R172" s="270" t="str">
        <f t="shared" si="128"/>
        <v/>
      </c>
      <c r="S172" s="271" t="str">
        <f t="shared" si="129"/>
        <v>---</v>
      </c>
      <c r="V172" s="3" t="str">
        <f>IFERROR(VALUE(TEXT(C172,"00")&amp;TEXT(N172,"00")&amp;TEXT(P172,"00")&amp;IF(#REF!="Plato perforado",5,IF(OR(#REF!="N/A",#REF!=""),0,#REF!))),"")</f>
        <v/>
      </c>
      <c r="BC172" s="3" t="str">
        <f t="shared" si="130"/>
        <v/>
      </c>
      <c r="BD172" s="3" t="str">
        <f t="shared" si="131"/>
        <v/>
      </c>
      <c r="BE172" s="3" t="e">
        <f t="shared" si="132"/>
        <v>#VALUE!</v>
      </c>
      <c r="BW172" s="3">
        <f t="shared" si="133"/>
        <v>0</v>
      </c>
    </row>
    <row r="173" spans="1:75" x14ac:dyDescent="0.3">
      <c r="A173" s="431">
        <v>140</v>
      </c>
      <c r="B173" s="272"/>
      <c r="C173" s="273">
        <f t="shared" si="120"/>
        <v>2</v>
      </c>
      <c r="D173" s="372"/>
      <c r="E173" s="274"/>
      <c r="F173" s="273" t="str">
        <f t="shared" si="119"/>
        <v/>
      </c>
      <c r="G173" s="275" t="str">
        <f t="shared" si="119"/>
        <v/>
      </c>
      <c r="H173" s="276" t="str">
        <f t="shared" si="121"/>
        <v/>
      </c>
      <c r="I173" s="277" t="str">
        <f t="shared" si="134"/>
        <v/>
      </c>
      <c r="J173" s="276" t="str">
        <f t="shared" si="122"/>
        <v/>
      </c>
      <c r="K173" s="276">
        <f t="shared" si="123"/>
        <v>0</v>
      </c>
      <c r="L173" s="278"/>
      <c r="M173" s="279">
        <f t="shared" si="124"/>
        <v>1</v>
      </c>
      <c r="N173" s="360" t="str">
        <f t="shared" si="125"/>
        <v/>
      </c>
      <c r="O173" s="117" t="str">
        <f t="shared" si="126"/>
        <v/>
      </c>
      <c r="P173" s="359" t="str">
        <f t="shared" si="127"/>
        <v/>
      </c>
      <c r="Q173" s="280" t="str">
        <f t="shared" si="135"/>
        <v/>
      </c>
      <c r="R173" s="282" t="str">
        <f t="shared" si="128"/>
        <v/>
      </c>
      <c r="S173" s="283" t="str">
        <f t="shared" si="129"/>
        <v>---</v>
      </c>
      <c r="V173" s="3" t="str">
        <f>IFERROR(VALUE(TEXT(C173,"00")&amp;TEXT(N173,"00")&amp;TEXT(P173,"00")&amp;IF(#REF!="Plato perforado",5,IF(OR(#REF!="N/A",#REF!=""),0,#REF!))),"")</f>
        <v/>
      </c>
      <c r="BC173" s="3" t="str">
        <f t="shared" si="130"/>
        <v/>
      </c>
      <c r="BD173" s="3" t="str">
        <f t="shared" si="131"/>
        <v/>
      </c>
      <c r="BE173" s="3" t="e">
        <f t="shared" si="132"/>
        <v>#VALUE!</v>
      </c>
      <c r="BW173" s="3">
        <f t="shared" si="133"/>
        <v>0</v>
      </c>
    </row>
    <row r="174" spans="1:75" x14ac:dyDescent="0.3">
      <c r="A174" s="431">
        <v>141</v>
      </c>
      <c r="B174" s="284"/>
      <c r="C174" s="285">
        <f t="shared" si="120"/>
        <v>2</v>
      </c>
      <c r="D174" s="373"/>
      <c r="E174" s="286"/>
      <c r="F174" s="285" t="str">
        <f t="shared" ref="F174:G183" si="136">IFERROR(VLOOKUP($E174,DMFA,F$29,FALSE),"")</f>
        <v/>
      </c>
      <c r="G174" s="287" t="str">
        <f t="shared" si="136"/>
        <v/>
      </c>
      <c r="H174" s="288" t="str">
        <f t="shared" si="121"/>
        <v/>
      </c>
      <c r="I174" s="289" t="str">
        <f t="shared" si="134"/>
        <v/>
      </c>
      <c r="J174" s="288" t="str">
        <f t="shared" si="122"/>
        <v/>
      </c>
      <c r="K174" s="288">
        <f t="shared" si="123"/>
        <v>0</v>
      </c>
      <c r="L174" s="290"/>
      <c r="M174" s="291">
        <f t="shared" si="124"/>
        <v>1</v>
      </c>
      <c r="N174" s="466" t="str">
        <f t="shared" si="125"/>
        <v/>
      </c>
      <c r="O174" s="302" t="str">
        <f t="shared" si="126"/>
        <v/>
      </c>
      <c r="P174" s="468" t="str">
        <f t="shared" si="127"/>
        <v/>
      </c>
      <c r="Q174" s="292" t="str">
        <f t="shared" si="135"/>
        <v/>
      </c>
      <c r="R174" s="294" t="str">
        <f t="shared" si="128"/>
        <v/>
      </c>
      <c r="S174" s="295" t="str">
        <f t="shared" si="129"/>
        <v>---</v>
      </c>
      <c r="V174" s="3" t="str">
        <f>IFERROR(VALUE(TEXT(C174,"00")&amp;TEXT(N174,"00")&amp;TEXT(P174,"00")&amp;IF(#REF!="Plato perforado",5,IF(OR(#REF!="N/A",#REF!=""),0,#REF!))),"")</f>
        <v/>
      </c>
      <c r="BC174" s="3" t="str">
        <f t="shared" si="130"/>
        <v/>
      </c>
      <c r="BD174" s="3" t="str">
        <f t="shared" si="131"/>
        <v/>
      </c>
      <c r="BE174" s="3" t="e">
        <f t="shared" si="132"/>
        <v>#VALUE!</v>
      </c>
      <c r="BW174" s="3">
        <f t="shared" si="133"/>
        <v>0</v>
      </c>
    </row>
    <row r="175" spans="1:75" x14ac:dyDescent="0.3">
      <c r="A175" s="431">
        <v>142</v>
      </c>
      <c r="B175" s="260"/>
      <c r="C175" s="261">
        <f t="shared" si="120"/>
        <v>2</v>
      </c>
      <c r="D175" s="371"/>
      <c r="E175" s="262"/>
      <c r="F175" s="261" t="str">
        <f t="shared" si="136"/>
        <v/>
      </c>
      <c r="G175" s="263" t="str">
        <f t="shared" si="136"/>
        <v/>
      </c>
      <c r="H175" s="264" t="str">
        <f t="shared" si="121"/>
        <v/>
      </c>
      <c r="I175" s="265" t="str">
        <f t="shared" si="134"/>
        <v/>
      </c>
      <c r="J175" s="264" t="str">
        <f t="shared" si="122"/>
        <v/>
      </c>
      <c r="K175" s="264">
        <f t="shared" si="123"/>
        <v>0</v>
      </c>
      <c r="L175" s="266"/>
      <c r="M175" s="267">
        <f t="shared" si="124"/>
        <v>1</v>
      </c>
      <c r="N175" s="465" t="str">
        <f t="shared" si="125"/>
        <v/>
      </c>
      <c r="O175" s="297" t="str">
        <f t="shared" si="126"/>
        <v/>
      </c>
      <c r="P175" s="467" t="str">
        <f t="shared" si="127"/>
        <v/>
      </c>
      <c r="Q175" s="268" t="str">
        <f t="shared" si="135"/>
        <v/>
      </c>
      <c r="R175" s="270" t="str">
        <f t="shared" si="128"/>
        <v/>
      </c>
      <c r="S175" s="271" t="str">
        <f t="shared" si="129"/>
        <v>---</v>
      </c>
      <c r="V175" s="3" t="str">
        <f>IFERROR(VALUE(TEXT(C175,"00")&amp;TEXT(N175,"00")&amp;TEXT(P175,"00")&amp;IF(#REF!="Plato perforado",5,IF(OR(#REF!="N/A",#REF!=""),0,#REF!))),"")</f>
        <v/>
      </c>
      <c r="BC175" s="3" t="str">
        <f t="shared" si="130"/>
        <v/>
      </c>
      <c r="BD175" s="3" t="str">
        <f t="shared" si="131"/>
        <v/>
      </c>
      <c r="BE175" s="3" t="e">
        <f t="shared" si="132"/>
        <v>#VALUE!</v>
      </c>
      <c r="BW175" s="3">
        <f t="shared" si="133"/>
        <v>0</v>
      </c>
    </row>
    <row r="176" spans="1:75" x14ac:dyDescent="0.3">
      <c r="A176" s="431">
        <v>143</v>
      </c>
      <c r="B176" s="272"/>
      <c r="C176" s="273">
        <f t="shared" si="120"/>
        <v>2</v>
      </c>
      <c r="D176" s="372"/>
      <c r="E176" s="274"/>
      <c r="F176" s="273" t="str">
        <f t="shared" si="136"/>
        <v/>
      </c>
      <c r="G176" s="275" t="str">
        <f t="shared" si="136"/>
        <v/>
      </c>
      <c r="H176" s="276" t="str">
        <f t="shared" si="121"/>
        <v/>
      </c>
      <c r="I176" s="277" t="str">
        <f t="shared" si="134"/>
        <v/>
      </c>
      <c r="J176" s="276" t="str">
        <f t="shared" si="122"/>
        <v/>
      </c>
      <c r="K176" s="276">
        <f t="shared" si="123"/>
        <v>0</v>
      </c>
      <c r="L176" s="278"/>
      <c r="M176" s="279">
        <f t="shared" si="124"/>
        <v>1</v>
      </c>
      <c r="N176" s="360" t="str">
        <f t="shared" si="125"/>
        <v/>
      </c>
      <c r="O176" s="117" t="str">
        <f t="shared" si="126"/>
        <v/>
      </c>
      <c r="P176" s="359" t="str">
        <f t="shared" si="127"/>
        <v/>
      </c>
      <c r="Q176" s="280" t="str">
        <f t="shared" si="135"/>
        <v/>
      </c>
      <c r="R176" s="282" t="str">
        <f t="shared" si="128"/>
        <v/>
      </c>
      <c r="S176" s="283" t="str">
        <f t="shared" si="129"/>
        <v>---</v>
      </c>
      <c r="V176" s="3" t="str">
        <f>IFERROR(VALUE(TEXT(C176,"00")&amp;TEXT(N176,"00")&amp;TEXT(P176,"00")&amp;IF(#REF!="Plato perforado",5,IF(OR(#REF!="N/A",#REF!=""),0,#REF!))),"")</f>
        <v/>
      </c>
      <c r="BC176" s="3" t="str">
        <f t="shared" si="130"/>
        <v/>
      </c>
      <c r="BD176" s="3" t="str">
        <f t="shared" si="131"/>
        <v/>
      </c>
      <c r="BE176" s="3" t="e">
        <f t="shared" si="132"/>
        <v>#VALUE!</v>
      </c>
      <c r="BW176" s="3">
        <f t="shared" si="133"/>
        <v>0</v>
      </c>
    </row>
    <row r="177" spans="1:75" x14ac:dyDescent="0.3">
      <c r="A177" s="431">
        <v>144</v>
      </c>
      <c r="B177" s="284"/>
      <c r="C177" s="285">
        <f t="shared" si="120"/>
        <v>2</v>
      </c>
      <c r="D177" s="373"/>
      <c r="E177" s="286"/>
      <c r="F177" s="285" t="str">
        <f t="shared" si="136"/>
        <v/>
      </c>
      <c r="G177" s="287" t="str">
        <f t="shared" si="136"/>
        <v/>
      </c>
      <c r="H177" s="288" t="str">
        <f t="shared" si="121"/>
        <v/>
      </c>
      <c r="I177" s="289" t="str">
        <f t="shared" si="134"/>
        <v/>
      </c>
      <c r="J177" s="288" t="str">
        <f t="shared" si="122"/>
        <v/>
      </c>
      <c r="K177" s="288">
        <f t="shared" si="123"/>
        <v>0</v>
      </c>
      <c r="L177" s="290"/>
      <c r="M177" s="291">
        <f t="shared" si="124"/>
        <v>1</v>
      </c>
      <c r="N177" s="466" t="str">
        <f t="shared" si="125"/>
        <v/>
      </c>
      <c r="O177" s="302" t="str">
        <f t="shared" si="126"/>
        <v/>
      </c>
      <c r="P177" s="468" t="str">
        <f t="shared" si="127"/>
        <v/>
      </c>
      <c r="Q177" s="292" t="str">
        <f t="shared" si="135"/>
        <v/>
      </c>
      <c r="R177" s="294" t="str">
        <f t="shared" si="128"/>
        <v/>
      </c>
      <c r="S177" s="295" t="str">
        <f t="shared" si="129"/>
        <v>---</v>
      </c>
      <c r="V177" s="3" t="str">
        <f>IFERROR(VALUE(TEXT(C177,"00")&amp;TEXT(N177,"00")&amp;TEXT(P177,"00")&amp;IF(#REF!="Plato perforado",5,IF(OR(#REF!="N/A",#REF!=""),0,#REF!))),"")</f>
        <v/>
      </c>
      <c r="BC177" s="3" t="str">
        <f t="shared" si="130"/>
        <v/>
      </c>
      <c r="BD177" s="3" t="str">
        <f t="shared" si="131"/>
        <v/>
      </c>
      <c r="BE177" s="3" t="e">
        <f t="shared" si="132"/>
        <v>#VALUE!</v>
      </c>
      <c r="BW177" s="3">
        <f t="shared" si="133"/>
        <v>0</v>
      </c>
    </row>
    <row r="178" spans="1:75" x14ac:dyDescent="0.3">
      <c r="A178" s="431">
        <v>145</v>
      </c>
      <c r="B178" s="260"/>
      <c r="C178" s="261">
        <f t="shared" si="120"/>
        <v>2</v>
      </c>
      <c r="D178" s="371"/>
      <c r="E178" s="262"/>
      <c r="F178" s="261" t="str">
        <f t="shared" si="136"/>
        <v/>
      </c>
      <c r="G178" s="263" t="str">
        <f t="shared" si="136"/>
        <v/>
      </c>
      <c r="H178" s="264" t="str">
        <f t="shared" si="121"/>
        <v/>
      </c>
      <c r="I178" s="265" t="str">
        <f t="shared" si="134"/>
        <v/>
      </c>
      <c r="J178" s="264" t="str">
        <f t="shared" si="122"/>
        <v/>
      </c>
      <c r="K178" s="264">
        <f t="shared" si="123"/>
        <v>0</v>
      </c>
      <c r="L178" s="266"/>
      <c r="M178" s="267">
        <f t="shared" si="124"/>
        <v>1</v>
      </c>
      <c r="N178" s="465" t="str">
        <f t="shared" si="125"/>
        <v/>
      </c>
      <c r="O178" s="297" t="str">
        <f t="shared" si="126"/>
        <v/>
      </c>
      <c r="P178" s="467" t="str">
        <f t="shared" si="127"/>
        <v/>
      </c>
      <c r="Q178" s="268" t="str">
        <f t="shared" si="135"/>
        <v/>
      </c>
      <c r="R178" s="270" t="str">
        <f t="shared" si="128"/>
        <v/>
      </c>
      <c r="S178" s="271" t="str">
        <f t="shared" si="129"/>
        <v>---</v>
      </c>
      <c r="V178" s="3" t="str">
        <f>IFERROR(VALUE(TEXT(C178,"00")&amp;TEXT(N178,"00")&amp;TEXT(P178,"00")&amp;IF(#REF!="Plato perforado",5,IF(OR(#REF!="N/A",#REF!=""),0,#REF!))),"")</f>
        <v/>
      </c>
      <c r="BC178" s="3" t="str">
        <f t="shared" si="130"/>
        <v/>
      </c>
      <c r="BD178" s="3" t="str">
        <f t="shared" si="131"/>
        <v/>
      </c>
      <c r="BE178" s="3" t="e">
        <f t="shared" si="132"/>
        <v>#VALUE!</v>
      </c>
      <c r="BW178" s="3">
        <f t="shared" si="133"/>
        <v>0</v>
      </c>
    </row>
    <row r="179" spans="1:75" x14ac:dyDescent="0.3">
      <c r="A179" s="431">
        <v>146</v>
      </c>
      <c r="B179" s="272"/>
      <c r="C179" s="273">
        <f t="shared" si="120"/>
        <v>2</v>
      </c>
      <c r="D179" s="372"/>
      <c r="E179" s="274"/>
      <c r="F179" s="273" t="str">
        <f t="shared" si="136"/>
        <v/>
      </c>
      <c r="G179" s="275" t="str">
        <f t="shared" si="136"/>
        <v/>
      </c>
      <c r="H179" s="276" t="str">
        <f t="shared" si="121"/>
        <v/>
      </c>
      <c r="I179" s="277" t="str">
        <f t="shared" si="134"/>
        <v/>
      </c>
      <c r="J179" s="276" t="str">
        <f t="shared" si="122"/>
        <v/>
      </c>
      <c r="K179" s="276">
        <f t="shared" si="123"/>
        <v>0</v>
      </c>
      <c r="L179" s="278"/>
      <c r="M179" s="279">
        <f t="shared" si="124"/>
        <v>1</v>
      </c>
      <c r="N179" s="360" t="str">
        <f t="shared" si="125"/>
        <v/>
      </c>
      <c r="O179" s="117" t="str">
        <f t="shared" si="126"/>
        <v/>
      </c>
      <c r="P179" s="359" t="str">
        <f t="shared" si="127"/>
        <v/>
      </c>
      <c r="Q179" s="280" t="str">
        <f t="shared" si="135"/>
        <v/>
      </c>
      <c r="R179" s="282" t="str">
        <f t="shared" si="128"/>
        <v/>
      </c>
      <c r="S179" s="283" t="str">
        <f t="shared" si="129"/>
        <v>---</v>
      </c>
      <c r="V179" s="3" t="str">
        <f>IFERROR(VALUE(TEXT(C179,"00")&amp;TEXT(N179,"00")&amp;TEXT(P179,"00")&amp;IF(#REF!="Plato perforado",5,IF(OR(#REF!="N/A",#REF!=""),0,#REF!))),"")</f>
        <v/>
      </c>
      <c r="BC179" s="3" t="str">
        <f t="shared" si="130"/>
        <v/>
      </c>
      <c r="BD179" s="3" t="str">
        <f t="shared" si="131"/>
        <v/>
      </c>
      <c r="BE179" s="3" t="e">
        <f t="shared" si="132"/>
        <v>#VALUE!</v>
      </c>
      <c r="BW179" s="3">
        <f t="shared" si="133"/>
        <v>0</v>
      </c>
    </row>
    <row r="180" spans="1:75" x14ac:dyDescent="0.3">
      <c r="A180" s="431">
        <v>147</v>
      </c>
      <c r="B180" s="284"/>
      <c r="C180" s="285">
        <f t="shared" si="120"/>
        <v>2</v>
      </c>
      <c r="D180" s="373"/>
      <c r="E180" s="286"/>
      <c r="F180" s="285" t="str">
        <f t="shared" si="136"/>
        <v/>
      </c>
      <c r="G180" s="287" t="str">
        <f t="shared" si="136"/>
        <v/>
      </c>
      <c r="H180" s="288" t="str">
        <f t="shared" si="121"/>
        <v/>
      </c>
      <c r="I180" s="289" t="str">
        <f t="shared" si="134"/>
        <v/>
      </c>
      <c r="J180" s="288" t="str">
        <f t="shared" si="122"/>
        <v/>
      </c>
      <c r="K180" s="288">
        <f t="shared" si="123"/>
        <v>0</v>
      </c>
      <c r="L180" s="290"/>
      <c r="M180" s="291">
        <f t="shared" si="124"/>
        <v>1</v>
      </c>
      <c r="N180" s="466" t="str">
        <f t="shared" si="125"/>
        <v/>
      </c>
      <c r="O180" s="302" t="str">
        <f t="shared" si="126"/>
        <v/>
      </c>
      <c r="P180" s="468" t="str">
        <f t="shared" si="127"/>
        <v/>
      </c>
      <c r="Q180" s="292" t="str">
        <f t="shared" si="135"/>
        <v/>
      </c>
      <c r="R180" s="294" t="str">
        <f t="shared" si="128"/>
        <v/>
      </c>
      <c r="S180" s="295" t="str">
        <f t="shared" si="129"/>
        <v>---</v>
      </c>
      <c r="V180" s="3" t="str">
        <f>IFERROR(VALUE(TEXT(C180,"00")&amp;TEXT(N180,"00")&amp;TEXT(P180,"00")&amp;IF(#REF!="Plato perforado",5,IF(OR(#REF!="N/A",#REF!=""),0,#REF!))),"")</f>
        <v/>
      </c>
      <c r="BC180" s="3" t="str">
        <f t="shared" si="130"/>
        <v/>
      </c>
      <c r="BD180" s="3" t="str">
        <f t="shared" si="131"/>
        <v/>
      </c>
      <c r="BE180" s="3" t="e">
        <f t="shared" si="132"/>
        <v>#VALUE!</v>
      </c>
      <c r="BW180" s="3">
        <f t="shared" si="133"/>
        <v>0</v>
      </c>
    </row>
    <row r="181" spans="1:75" x14ac:dyDescent="0.3">
      <c r="A181" s="431">
        <v>148</v>
      </c>
      <c r="B181" s="260"/>
      <c r="C181" s="261">
        <f t="shared" si="120"/>
        <v>2</v>
      </c>
      <c r="D181" s="371"/>
      <c r="E181" s="262"/>
      <c r="F181" s="261" t="str">
        <f t="shared" si="136"/>
        <v/>
      </c>
      <c r="G181" s="263" t="str">
        <f t="shared" si="136"/>
        <v/>
      </c>
      <c r="H181" s="264" t="str">
        <f t="shared" si="121"/>
        <v/>
      </c>
      <c r="I181" s="265" t="str">
        <f t="shared" si="134"/>
        <v/>
      </c>
      <c r="J181" s="264" t="str">
        <f t="shared" si="122"/>
        <v/>
      </c>
      <c r="K181" s="264">
        <f t="shared" si="123"/>
        <v>0</v>
      </c>
      <c r="L181" s="266"/>
      <c r="M181" s="267">
        <f t="shared" si="124"/>
        <v>1</v>
      </c>
      <c r="N181" s="465" t="str">
        <f t="shared" si="125"/>
        <v/>
      </c>
      <c r="O181" s="297" t="str">
        <f t="shared" si="126"/>
        <v/>
      </c>
      <c r="P181" s="467" t="str">
        <f t="shared" si="127"/>
        <v/>
      </c>
      <c r="Q181" s="268" t="str">
        <f t="shared" si="135"/>
        <v/>
      </c>
      <c r="R181" s="270" t="str">
        <f t="shared" si="128"/>
        <v/>
      </c>
      <c r="S181" s="271" t="str">
        <f t="shared" si="129"/>
        <v>---</v>
      </c>
      <c r="V181" s="3" t="str">
        <f>IFERROR(VALUE(TEXT(C181,"00")&amp;TEXT(N181,"00")&amp;TEXT(P181,"00")&amp;IF(#REF!="Plato perforado",5,IF(OR(#REF!="N/A",#REF!=""),0,#REF!))),"")</f>
        <v/>
      </c>
      <c r="BC181" s="3" t="str">
        <f t="shared" si="130"/>
        <v/>
      </c>
      <c r="BD181" s="3" t="str">
        <f t="shared" si="131"/>
        <v/>
      </c>
      <c r="BE181" s="3" t="e">
        <f t="shared" si="132"/>
        <v>#VALUE!</v>
      </c>
      <c r="BW181" s="3">
        <f t="shared" si="133"/>
        <v>0</v>
      </c>
    </row>
    <row r="182" spans="1:75" x14ac:dyDescent="0.3">
      <c r="A182" s="431">
        <v>149</v>
      </c>
      <c r="B182" s="272"/>
      <c r="C182" s="273">
        <f t="shared" si="120"/>
        <v>2</v>
      </c>
      <c r="D182" s="372"/>
      <c r="E182" s="274"/>
      <c r="F182" s="273" t="str">
        <f t="shared" si="136"/>
        <v/>
      </c>
      <c r="G182" s="275" t="str">
        <f t="shared" si="136"/>
        <v/>
      </c>
      <c r="H182" s="276" t="str">
        <f t="shared" si="121"/>
        <v/>
      </c>
      <c r="I182" s="277" t="str">
        <f t="shared" si="134"/>
        <v/>
      </c>
      <c r="J182" s="276" t="str">
        <f t="shared" si="122"/>
        <v/>
      </c>
      <c r="K182" s="276">
        <f t="shared" si="123"/>
        <v>0</v>
      </c>
      <c r="L182" s="278"/>
      <c r="M182" s="279">
        <f t="shared" si="124"/>
        <v>1</v>
      </c>
      <c r="N182" s="360" t="str">
        <f t="shared" si="125"/>
        <v/>
      </c>
      <c r="O182" s="117" t="str">
        <f t="shared" si="126"/>
        <v/>
      </c>
      <c r="P182" s="359" t="str">
        <f t="shared" si="127"/>
        <v/>
      </c>
      <c r="Q182" s="280" t="str">
        <f t="shared" si="135"/>
        <v/>
      </c>
      <c r="R182" s="282" t="str">
        <f t="shared" si="128"/>
        <v/>
      </c>
      <c r="S182" s="283" t="str">
        <f t="shared" si="129"/>
        <v>---</v>
      </c>
      <c r="V182" s="3" t="str">
        <f>IFERROR(VALUE(TEXT(C182,"00")&amp;TEXT(N182,"00")&amp;TEXT(P182,"00")&amp;IF(#REF!="Plato perforado",5,IF(OR(#REF!="N/A",#REF!=""),0,#REF!))),"")</f>
        <v/>
      </c>
      <c r="BC182" s="3" t="str">
        <f t="shared" si="130"/>
        <v/>
      </c>
      <c r="BD182" s="3" t="str">
        <f t="shared" si="131"/>
        <v/>
      </c>
      <c r="BE182" s="3" t="e">
        <f t="shared" si="132"/>
        <v>#VALUE!</v>
      </c>
      <c r="BW182" s="3">
        <f t="shared" si="133"/>
        <v>0</v>
      </c>
    </row>
    <row r="183" spans="1:75" x14ac:dyDescent="0.3">
      <c r="A183" s="431">
        <v>150</v>
      </c>
      <c r="B183" s="284"/>
      <c r="C183" s="285">
        <f t="shared" si="120"/>
        <v>2</v>
      </c>
      <c r="D183" s="373"/>
      <c r="E183" s="286"/>
      <c r="F183" s="285" t="str">
        <f t="shared" si="136"/>
        <v/>
      </c>
      <c r="G183" s="287" t="str">
        <f t="shared" si="136"/>
        <v/>
      </c>
      <c r="H183" s="288" t="str">
        <f t="shared" si="121"/>
        <v/>
      </c>
      <c r="I183" s="289" t="str">
        <f t="shared" si="134"/>
        <v/>
      </c>
      <c r="J183" s="288" t="str">
        <f t="shared" si="122"/>
        <v/>
      </c>
      <c r="K183" s="288">
        <f t="shared" si="123"/>
        <v>0</v>
      </c>
      <c r="L183" s="290"/>
      <c r="M183" s="291">
        <f t="shared" si="124"/>
        <v>1</v>
      </c>
      <c r="N183" s="466" t="str">
        <f t="shared" si="125"/>
        <v/>
      </c>
      <c r="O183" s="302" t="str">
        <f t="shared" si="126"/>
        <v/>
      </c>
      <c r="P183" s="468" t="str">
        <f t="shared" si="127"/>
        <v/>
      </c>
      <c r="Q183" s="292" t="str">
        <f t="shared" si="135"/>
        <v/>
      </c>
      <c r="R183" s="294" t="str">
        <f t="shared" si="128"/>
        <v/>
      </c>
      <c r="S183" s="295" t="str">
        <f t="shared" si="129"/>
        <v>---</v>
      </c>
      <c r="V183" s="3" t="str">
        <f>IFERROR(VALUE(TEXT(C183,"00")&amp;TEXT(N183,"00")&amp;TEXT(P183,"00")&amp;IF(#REF!="Plato perforado",5,IF(OR(#REF!="N/A",#REF!=""),0,#REF!))),"")</f>
        <v/>
      </c>
      <c r="BC183" s="3" t="str">
        <f t="shared" si="130"/>
        <v/>
      </c>
      <c r="BD183" s="3" t="str">
        <f t="shared" si="131"/>
        <v/>
      </c>
      <c r="BE183" s="3" t="e">
        <f t="shared" si="132"/>
        <v>#VALUE!</v>
      </c>
      <c r="BW183" s="3">
        <f t="shared" si="133"/>
        <v>0</v>
      </c>
    </row>
  </sheetData>
  <sheetProtection selectLockedCells="1"/>
  <mergeCells count="66">
    <mergeCell ref="BX56:BZ57"/>
    <mergeCell ref="DY33:DY34"/>
    <mergeCell ref="DZ33:DZ34"/>
    <mergeCell ref="EA33:EA34"/>
    <mergeCell ref="EC33:EE33"/>
    <mergeCell ref="DA33:DA34"/>
    <mergeCell ref="DB33:DB34"/>
    <mergeCell ref="DC33:DC34"/>
    <mergeCell ref="DE33:DG33"/>
    <mergeCell ref="DI33:DI34"/>
    <mergeCell ref="DJ33:DJ34"/>
    <mergeCell ref="CO33:CO34"/>
    <mergeCell ref="CP33:CP34"/>
    <mergeCell ref="CQ33:CQ34"/>
    <mergeCell ref="CS33:CU33"/>
    <mergeCell ref="CW33:CW34"/>
    <mergeCell ref="EG33:EG34"/>
    <mergeCell ref="EH33:EH34"/>
    <mergeCell ref="DM33:DM34"/>
    <mergeCell ref="DN33:DN34"/>
    <mergeCell ref="DO33:DO34"/>
    <mergeCell ref="DQ33:DS33"/>
    <mergeCell ref="DU33:DU34"/>
    <mergeCell ref="DV33:DV34"/>
    <mergeCell ref="CX33:CX34"/>
    <mergeCell ref="CC33:CC34"/>
    <mergeCell ref="CD33:CD34"/>
    <mergeCell ref="CE33:CE34"/>
    <mergeCell ref="CG33:CI33"/>
    <mergeCell ref="CK33:CK34"/>
    <mergeCell ref="CL33:CL34"/>
    <mergeCell ref="BZ32:BZ33"/>
    <mergeCell ref="Q30:Q32"/>
    <mergeCell ref="R30:R33"/>
    <mergeCell ref="S30:S32"/>
    <mergeCell ref="BF30:BL30"/>
    <mergeCell ref="AZ32:AZ33"/>
    <mergeCell ref="BR32:BR33"/>
    <mergeCell ref="BS32:BS33"/>
    <mergeCell ref="BT32:BT33"/>
    <mergeCell ref="BX32:BX33"/>
    <mergeCell ref="BY32:BY33"/>
    <mergeCell ref="N30:P31"/>
    <mergeCell ref="A17:C17"/>
    <mergeCell ref="F17:G18"/>
    <mergeCell ref="A18:C18"/>
    <mergeCell ref="A30:A33"/>
    <mergeCell ref="B30:B33"/>
    <mergeCell ref="D30:D33"/>
    <mergeCell ref="E30:E33"/>
    <mergeCell ref="F30:F33"/>
    <mergeCell ref="G30:G32"/>
    <mergeCell ref="I30:I32"/>
    <mergeCell ref="J30:J33"/>
    <mergeCell ref="K30:K33"/>
    <mergeCell ref="L30:L33"/>
    <mergeCell ref="M30:M33"/>
    <mergeCell ref="A1:I1"/>
    <mergeCell ref="L1:P1"/>
    <mergeCell ref="R1:S1"/>
    <mergeCell ref="A14:E15"/>
    <mergeCell ref="F14:G16"/>
    <mergeCell ref="I14:J15"/>
    <mergeCell ref="L14:L15"/>
    <mergeCell ref="Q14:R14"/>
    <mergeCell ref="A16:C16"/>
  </mergeCells>
  <conditionalFormatting sqref="AZ34:BA63">
    <cfRule type="expression" dxfId="17" priority="6">
      <formula>EXACT($BA34,0)</formula>
    </cfRule>
  </conditionalFormatting>
  <conditionalFormatting sqref="BI123:BI130 BI34:BI114">
    <cfRule type="cellIs" dxfId="16" priority="5" operator="greaterThan">
      <formula>1500</formula>
    </cfRule>
  </conditionalFormatting>
  <conditionalFormatting sqref="BJ123:BJ130 BJ34:BJ114">
    <cfRule type="cellIs" dxfId="15" priority="4" operator="notBetween">
      <formula>0.4</formula>
      <formula>2.5</formula>
    </cfRule>
  </conditionalFormatting>
  <conditionalFormatting sqref="BR34:BU63">
    <cfRule type="expression" dxfId="14" priority="3">
      <formula>EXACT($BU34,0)</formula>
    </cfRule>
  </conditionalFormatting>
  <conditionalFormatting sqref="BX34:CA48 BX58:CA60">
    <cfRule type="expression" dxfId="13" priority="7">
      <formula>EXACT($CA34,0)</formula>
    </cfRule>
  </conditionalFormatting>
  <conditionalFormatting sqref="F14:G18">
    <cfRule type="expression" dxfId="12" priority="2">
      <formula>IF(AS-SUM($I$34:$I$183)&lt;0.1,TRUE,FALSE)</formula>
    </cfRule>
  </conditionalFormatting>
  <dataValidations count="3">
    <dataValidation type="custom" allowBlank="1" showInputMessage="1" showErrorMessage="1" errorTitle="CUARTO" error="El cuarto que desea ingresar no existe. Ingrese otro valor para este cuarto." sqref="E34:E183" xr:uid="{A421A496-8FBA-453A-A28E-FF168AB80203}">
      <formula1>NOT(ISERROR(J34))</formula1>
    </dataValidation>
    <dataValidation type="decimal" allowBlank="1" showInputMessage="1" showErrorMessage="1" errorTitle="REALCIÓN DE ASPECTO" error="El valor permitido está entre 0.25 y 4.00" sqref="L34:L183" xr:uid="{58E5FFB0-005C-4C7A-A2A2-C0CE17AAD162}">
      <formula1>0.25</formula1>
      <formula2>4</formula2>
    </dataValidation>
    <dataValidation type="list" allowBlank="1" showInputMessage="1" showErrorMessage="1" errorTitle="DISPOSITIVO" error="El dispositivo para el suministro de aire únicamente puede ser:_x000a_- Difusor (DI)_x000a_- Rejilla de inyección (RI)_x000a_- Filtro terminal HEPA (FT)_x000a_" sqref="B34:B183" xr:uid="{BBBD46B1-B265-4679-AC4A-E0918F473F36}">
      <formula1>$B$29:$B$29</formula1>
    </dataValidation>
  </dataValidations>
  <printOptions horizontalCentered="1"/>
  <pageMargins left="0.59055118110236227" right="0.59055118110236227" top="0.39370078740157483" bottom="0.39370078740157483" header="0.31496062992125984" footer="0.31496062992125984"/>
  <pageSetup scale="101" fitToWidth="6" orientation="landscape" r:id="rId1"/>
  <colBreaks count="5" manualBreakCount="5">
    <brk id="80" min="11" max="63" man="1"/>
    <brk id="92" min="11" max="63" man="1"/>
    <brk id="104" min="11" max="63" man="1"/>
    <brk id="116" min="11" max="63" man="1"/>
    <brk id="128" min="11" max="6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odule2.Inyeccion">
                <anchor moveWithCells="1">
                  <from>
                    <xdr:col>8</xdr:col>
                    <xdr:colOff>434340</xdr:colOff>
                    <xdr:row>2</xdr:row>
                    <xdr:rowOff>144780</xdr:rowOff>
                  </from>
                  <to>
                    <xdr:col>9</xdr:col>
                    <xdr:colOff>388620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Retorno">
                <anchor moveWithCells="1">
                  <from>
                    <xdr:col>8</xdr:col>
                    <xdr:colOff>434340</xdr:colOff>
                    <xdr:row>5</xdr:row>
                    <xdr:rowOff>83820</xdr:rowOff>
                  </from>
                  <to>
                    <xdr:col>9</xdr:col>
                    <xdr:colOff>388620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D95F-B08A-411F-91B5-E1646F8893F2}">
  <sheetPr codeName="Hoja9"/>
  <dimension ref="A1:EJ183"/>
  <sheetViews>
    <sheetView showGridLines="0" showRowColHeaders="0" zoomScaleNormal="100" workbookViewId="0">
      <pane ySplit="33" topLeftCell="A34" activePane="bottomLeft" state="frozen"/>
      <selection pane="bottomLeft" activeCell="B34" sqref="B34"/>
    </sheetView>
  </sheetViews>
  <sheetFormatPr defaultColWidth="12" defaultRowHeight="13.8" x14ac:dyDescent="0.3"/>
  <cols>
    <col min="1" max="1" width="4.125" style="3" bestFit="1" customWidth="1"/>
    <col min="2" max="2" width="13" style="3" customWidth="1"/>
    <col min="3" max="3" width="10.875" style="3" hidden="1" customWidth="1"/>
    <col min="4" max="4" width="10.875" style="3" customWidth="1"/>
    <col min="5" max="5" width="7.125" style="3" bestFit="1" customWidth="1"/>
    <col min="6" max="6" width="30.875" style="3" customWidth="1"/>
    <col min="7" max="7" width="7.875" style="3" customWidth="1"/>
    <col min="8" max="8" width="33.125" style="430" hidden="1" customWidth="1"/>
    <col min="9" max="9" width="12" style="3"/>
    <col min="10" max="10" width="12" style="3" customWidth="1"/>
    <col min="11" max="11" width="12" style="3" hidden="1" customWidth="1"/>
    <col min="12" max="12" width="12" style="3" customWidth="1"/>
    <col min="13" max="13" width="12" style="3" hidden="1" customWidth="1"/>
    <col min="14" max="14" width="4.875" style="430" customWidth="1"/>
    <col min="15" max="15" width="2.125" style="430" customWidth="1"/>
    <col min="16" max="16" width="4.875" style="430" customWidth="1"/>
    <col min="17" max="17" width="12" style="3"/>
    <col min="18" max="18" width="13.625" style="3" customWidth="1"/>
    <col min="19" max="21" width="12" style="3"/>
    <col min="22" max="25" width="12" style="3" hidden="1" customWidth="1"/>
    <col min="26" max="50" width="12" style="3" customWidth="1"/>
    <col min="51" max="51" width="1.875" style="3" customWidth="1"/>
    <col min="52" max="52" width="46.125" style="3" bestFit="1" customWidth="1"/>
    <col min="53" max="53" width="7.875" style="3" customWidth="1"/>
    <col min="54" max="54" width="1.875" style="3" customWidth="1"/>
    <col min="55" max="57" width="12" style="3" hidden="1" customWidth="1"/>
    <col min="58" max="62" width="12" style="430" hidden="1" customWidth="1"/>
    <col min="63" max="69" width="12" style="3" hidden="1" customWidth="1"/>
    <col min="70" max="70" width="22.375" style="3" customWidth="1"/>
    <col min="71" max="73" width="7.875" style="3" customWidth="1"/>
    <col min="74" max="74" width="1.875" style="3" customWidth="1"/>
    <col min="75" max="75" width="12" style="3" hidden="1" customWidth="1"/>
    <col min="76" max="76" width="22.375" style="3" bestFit="1" customWidth="1"/>
    <col min="77" max="79" width="7.875" style="3" customWidth="1"/>
    <col min="80" max="80" width="1.875" style="3" customWidth="1"/>
    <col min="81" max="82" width="7.875" style="3" customWidth="1"/>
    <col min="83" max="83" width="30.875" style="3" customWidth="1"/>
    <col min="84" max="84" width="12" style="3"/>
    <col min="85" max="85" width="4.875" style="3" customWidth="1"/>
    <col min="86" max="86" width="2.875" style="3" customWidth="1"/>
    <col min="87" max="87" width="4.875" style="3" customWidth="1"/>
    <col min="88" max="88" width="12" style="3"/>
    <col min="89" max="89" width="8" style="3" bestFit="1" customWidth="1"/>
    <col min="90" max="90" width="9.875" style="430" customWidth="1"/>
    <col min="91" max="91" width="8.875" style="430" customWidth="1"/>
    <col min="92" max="92" width="42.875" style="430" customWidth="1"/>
    <col min="93" max="94" width="7.875" style="3" customWidth="1"/>
    <col min="95" max="95" width="30.875" style="3" customWidth="1"/>
    <col min="96" max="96" width="12" style="3"/>
    <col min="97" max="97" width="4.875" style="3" customWidth="1"/>
    <col min="98" max="98" width="2.875" style="3" customWidth="1"/>
    <col min="99" max="99" width="4.875" style="3" customWidth="1"/>
    <col min="100" max="100" width="12" style="3"/>
    <col min="101" max="101" width="8" style="3" bestFit="1" customWidth="1"/>
    <col min="102" max="102" width="9.875" style="3" customWidth="1"/>
    <col min="103" max="103" width="8.875" style="3" customWidth="1"/>
    <col min="104" max="104" width="42.875" style="3" customWidth="1"/>
    <col min="105" max="106" width="7.875" style="3" customWidth="1"/>
    <col min="107" max="107" width="30.875" style="3" customWidth="1"/>
    <col min="108" max="108" width="12" style="3"/>
    <col min="109" max="109" width="4.875" style="3" customWidth="1"/>
    <col min="110" max="110" width="2.875" style="3" customWidth="1"/>
    <col min="111" max="111" width="4.875" style="3" customWidth="1"/>
    <col min="112" max="112" width="12" style="3"/>
    <col min="113" max="113" width="8" style="3" bestFit="1" customWidth="1"/>
    <col min="114" max="114" width="9.875" style="3" customWidth="1"/>
    <col min="115" max="115" width="8.875" style="3" customWidth="1"/>
    <col min="116" max="116" width="42.875" style="3" customWidth="1"/>
    <col min="117" max="118" width="7.875" style="3" customWidth="1"/>
    <col min="119" max="119" width="30.875" style="3" customWidth="1"/>
    <col min="120" max="120" width="12" style="3"/>
    <col min="121" max="121" width="4.875" style="3" customWidth="1"/>
    <col min="122" max="122" width="2.875" style="3" customWidth="1"/>
    <col min="123" max="123" width="4.875" style="3" customWidth="1"/>
    <col min="124" max="124" width="12" style="3"/>
    <col min="125" max="125" width="8" style="3" bestFit="1" customWidth="1"/>
    <col min="126" max="126" width="9.875" style="3" customWidth="1"/>
    <col min="127" max="127" width="8.875" style="3" customWidth="1"/>
    <col min="128" max="128" width="42.875" style="3" customWidth="1"/>
    <col min="129" max="130" width="7.875" style="3" customWidth="1"/>
    <col min="131" max="131" width="30.875" style="3" customWidth="1"/>
    <col min="132" max="132" width="12" style="3"/>
    <col min="133" max="133" width="4.875" style="3" customWidth="1"/>
    <col min="134" max="134" width="2.875" style="3" customWidth="1"/>
    <col min="135" max="135" width="4.875" style="3" customWidth="1"/>
    <col min="136" max="136" width="12" style="3"/>
    <col min="137" max="137" width="8" style="3" bestFit="1" customWidth="1"/>
    <col min="138" max="138" width="9.875" style="3" customWidth="1"/>
    <col min="139" max="139" width="8.875" style="3" customWidth="1"/>
    <col min="140" max="140" width="42.875" style="3" customWidth="1"/>
    <col min="141" max="16384" width="12" style="3"/>
  </cols>
  <sheetData>
    <row r="1" spans="1:92" x14ac:dyDescent="0.3">
      <c r="A1" s="616" t="s">
        <v>486</v>
      </c>
      <c r="B1" s="616"/>
      <c r="C1" s="616"/>
      <c r="D1" s="616"/>
      <c r="E1" s="616"/>
      <c r="F1" s="616"/>
      <c r="G1" s="616"/>
      <c r="H1" s="616"/>
      <c r="I1" s="616"/>
      <c r="J1" s="432"/>
      <c r="K1" s="171"/>
      <c r="L1" s="616"/>
      <c r="M1" s="616"/>
      <c r="N1" s="616"/>
      <c r="O1" s="616"/>
      <c r="P1" s="616"/>
      <c r="Q1" s="367"/>
      <c r="R1" s="616"/>
      <c r="S1" s="616"/>
    </row>
    <row r="4" spans="1:92" x14ac:dyDescent="0.3">
      <c r="G4" s="5"/>
      <c r="H4" s="3"/>
    </row>
    <row r="5" spans="1:92" x14ac:dyDescent="0.3">
      <c r="G5" s="5"/>
      <c r="H5" s="3"/>
    </row>
    <row r="6" spans="1:92" x14ac:dyDescent="0.3">
      <c r="G6" s="5"/>
      <c r="H6" s="3"/>
    </row>
    <row r="7" spans="1:92" x14ac:dyDescent="0.3">
      <c r="G7" s="5"/>
      <c r="H7" s="3"/>
    </row>
    <row r="8" spans="1:92" x14ac:dyDescent="0.3">
      <c r="G8" s="5"/>
      <c r="H8" s="3"/>
    </row>
    <row r="9" spans="1:92" x14ac:dyDescent="0.3">
      <c r="G9" s="5"/>
      <c r="H9" s="3"/>
    </row>
    <row r="10" spans="1:92" ht="13.8" hidden="1" customHeight="1" x14ac:dyDescent="0.3">
      <c r="G10" s="5"/>
      <c r="H10" s="3"/>
    </row>
    <row r="11" spans="1:92" ht="13.8" hidden="1" customHeight="1" x14ac:dyDescent="0.3">
      <c r="G11" s="5"/>
      <c r="H11" s="3"/>
    </row>
    <row r="12" spans="1:92" ht="13.8" hidden="1" customHeight="1" x14ac:dyDescent="0.3">
      <c r="G12" s="5"/>
      <c r="H12" s="3"/>
      <c r="AY12" s="224"/>
      <c r="AZ12" s="224"/>
      <c r="BA12" s="224"/>
      <c r="BB12" s="224"/>
      <c r="BC12" s="224"/>
      <c r="BD12" s="224"/>
      <c r="BE12" s="224"/>
      <c r="BF12" s="225"/>
      <c r="BG12" s="225"/>
      <c r="BH12" s="225"/>
      <c r="BI12" s="225"/>
      <c r="BJ12" s="225"/>
      <c r="BK12" s="224"/>
      <c r="BL12" s="224"/>
      <c r="BM12" s="224"/>
      <c r="BN12" s="224"/>
      <c r="BO12" s="224"/>
      <c r="BP12" s="224"/>
      <c r="BQ12" s="224"/>
      <c r="BR12" s="224"/>
      <c r="BS12" s="224"/>
      <c r="BT12" s="224"/>
      <c r="BU12" s="224"/>
      <c r="BV12" s="224"/>
      <c r="BW12" s="224"/>
      <c r="BX12" s="224"/>
      <c r="BY12" s="224"/>
      <c r="BZ12" s="224"/>
      <c r="CA12" s="224"/>
      <c r="CB12" s="224"/>
      <c r="CC12" s="224"/>
      <c r="CD12" s="224"/>
      <c r="CE12" s="224"/>
      <c r="CF12" s="224"/>
      <c r="CG12" s="224"/>
      <c r="CH12" s="224"/>
      <c r="CI12" s="224"/>
      <c r="CJ12" s="224"/>
      <c r="CK12" s="224"/>
      <c r="CL12" s="225"/>
      <c r="CM12" s="225"/>
      <c r="CN12" s="225"/>
    </row>
    <row r="13" spans="1:92" ht="13.8" hidden="1" customHeight="1" x14ac:dyDescent="0.3">
      <c r="G13" s="5"/>
      <c r="H13" s="3"/>
    </row>
    <row r="14" spans="1:92" ht="12.75" customHeight="1" x14ac:dyDescent="0.3">
      <c r="A14" s="624" t="s">
        <v>215</v>
      </c>
      <c r="B14" s="624"/>
      <c r="C14" s="624"/>
      <c r="D14" s="624"/>
      <c r="E14" s="624"/>
      <c r="F14" s="620" t="s">
        <v>232</v>
      </c>
      <c r="G14" s="620"/>
      <c r="H14" s="3"/>
      <c r="I14" s="624" t="s">
        <v>216</v>
      </c>
      <c r="J14" s="624"/>
      <c r="L14" s="629" t="s">
        <v>530</v>
      </c>
      <c r="Q14" s="624" t="s">
        <v>217</v>
      </c>
      <c r="R14" s="624"/>
    </row>
    <row r="15" spans="1:92" x14ac:dyDescent="0.3">
      <c r="A15" s="624"/>
      <c r="B15" s="624"/>
      <c r="C15" s="624"/>
      <c r="D15" s="624"/>
      <c r="E15" s="624"/>
      <c r="F15" s="620"/>
      <c r="G15" s="620"/>
      <c r="H15" s="3"/>
      <c r="I15" s="624"/>
      <c r="J15" s="624"/>
      <c r="L15" s="629"/>
      <c r="Q15" s="435" t="s">
        <v>484</v>
      </c>
      <c r="R15" s="161" t="s">
        <v>481</v>
      </c>
      <c r="CC15" s="224"/>
      <c r="CD15" s="224"/>
      <c r="CE15" s="224"/>
      <c r="CF15" s="224"/>
      <c r="CG15" s="224"/>
      <c r="CH15" s="224"/>
      <c r="CI15" s="224"/>
      <c r="CJ15" s="224"/>
      <c r="CK15" s="224"/>
      <c r="CL15" s="225"/>
      <c r="CM15" s="225"/>
      <c r="CN15" s="225"/>
    </row>
    <row r="16" spans="1:92" x14ac:dyDescent="0.3">
      <c r="A16" s="622" t="s">
        <v>483</v>
      </c>
      <c r="B16" s="623"/>
      <c r="C16" s="623"/>
      <c r="D16" s="158">
        <v>500</v>
      </c>
      <c r="E16" s="157" t="s">
        <v>175</v>
      </c>
      <c r="F16" s="620"/>
      <c r="G16" s="620"/>
      <c r="H16" s="3"/>
      <c r="I16" s="433" t="s">
        <v>222</v>
      </c>
      <c r="J16" s="161">
        <v>2</v>
      </c>
      <c r="L16" s="161">
        <v>8</v>
      </c>
      <c r="Q16" s="435"/>
      <c r="R16" s="160"/>
    </row>
    <row r="17" spans="1:92" x14ac:dyDescent="0.3">
      <c r="A17" s="622"/>
      <c r="B17" s="623"/>
      <c r="C17" s="623"/>
      <c r="D17" s="470"/>
      <c r="E17" s="157"/>
      <c r="F17" s="621" t="str">
        <f>TEXT(AR-SUM($I$34:$I$183),"#,##0.0")&amp;" PCM"</f>
        <v>0.0 PCM</v>
      </c>
      <c r="G17" s="620"/>
      <c r="H17" s="3"/>
      <c r="I17" s="433"/>
      <c r="J17" s="160"/>
      <c r="L17" s="160"/>
      <c r="Q17" s="435"/>
      <c r="R17" s="160"/>
    </row>
    <row r="18" spans="1:92" x14ac:dyDescent="0.3">
      <c r="A18" s="622"/>
      <c r="B18" s="623"/>
      <c r="C18" s="623"/>
      <c r="D18" s="470"/>
      <c r="E18" s="157"/>
      <c r="F18" s="620"/>
      <c r="G18" s="620"/>
      <c r="H18" s="3"/>
      <c r="I18" s="433"/>
      <c r="J18" s="160"/>
      <c r="L18" s="160"/>
      <c r="Q18" s="435"/>
      <c r="R18" s="160"/>
      <c r="CC18" s="224"/>
      <c r="CD18" s="224"/>
      <c r="CE18" s="224"/>
      <c r="CF18" s="224"/>
      <c r="CG18" s="224"/>
      <c r="CH18" s="224"/>
      <c r="CI18" s="224"/>
      <c r="CJ18" s="224"/>
      <c r="CK18" s="224"/>
      <c r="CL18" s="225"/>
      <c r="CM18" s="225"/>
      <c r="CN18" s="225"/>
    </row>
    <row r="19" spans="1:92" x14ac:dyDescent="0.3">
      <c r="G19" s="5"/>
      <c r="H19" s="3"/>
    </row>
    <row r="20" spans="1:92" hidden="1" x14ac:dyDescent="0.3">
      <c r="G20" s="5"/>
      <c r="H20" s="3"/>
    </row>
    <row r="21" spans="1:92" hidden="1" x14ac:dyDescent="0.3">
      <c r="G21" s="5"/>
      <c r="H21" s="3"/>
    </row>
    <row r="22" spans="1:92" hidden="1" x14ac:dyDescent="0.3">
      <c r="G22" s="5"/>
      <c r="H22" s="3"/>
    </row>
    <row r="23" spans="1:92" hidden="1" x14ac:dyDescent="0.3"/>
    <row r="24" spans="1:92" hidden="1" x14ac:dyDescent="0.3">
      <c r="A24" s="103"/>
      <c r="B24" s="103"/>
      <c r="C24" s="120"/>
      <c r="H24" s="120"/>
      <c r="K24" s="120"/>
      <c r="M24" s="120"/>
      <c r="R24" s="122"/>
    </row>
    <row r="25" spans="1:92" hidden="1" x14ac:dyDescent="0.3">
      <c r="A25" s="103"/>
      <c r="B25" s="103"/>
      <c r="C25" s="120"/>
      <c r="H25" s="123"/>
      <c r="K25" s="120"/>
      <c r="M25" s="120"/>
      <c r="R25" s="122"/>
    </row>
    <row r="26" spans="1:92" hidden="1" x14ac:dyDescent="0.3">
      <c r="A26" s="103"/>
      <c r="B26" s="103"/>
      <c r="C26" s="120"/>
      <c r="H26" s="123"/>
      <c r="K26" s="120"/>
      <c r="M26" s="120"/>
      <c r="R26" s="122"/>
    </row>
    <row r="27" spans="1:92" hidden="1" x14ac:dyDescent="0.3">
      <c r="A27" s="103"/>
      <c r="B27" s="103"/>
      <c r="C27" s="120"/>
      <c r="H27" s="123"/>
      <c r="K27" s="120"/>
      <c r="M27" s="120"/>
      <c r="R27" s="122"/>
      <c r="S27" s="3" t="str">
        <f>IFERROR(IF(C34=1,(0.000000468)*Q34^2.0001,IF(C34=2,(0.000000275)*Q34^1.993,IF(C34=3,1,"---"))),"")</f>
        <v/>
      </c>
    </row>
    <row r="28" spans="1:92" hidden="1" x14ac:dyDescent="0.3">
      <c r="A28" s="103"/>
      <c r="B28" s="103"/>
      <c r="C28" s="120"/>
      <c r="H28" s="123"/>
      <c r="K28" s="120"/>
      <c r="M28" s="120"/>
      <c r="R28" s="122"/>
    </row>
    <row r="29" spans="1:92" hidden="1" x14ac:dyDescent="0.3">
      <c r="A29" s="103"/>
      <c r="B29" s="103" t="s">
        <v>481</v>
      </c>
      <c r="C29" s="120"/>
      <c r="E29" s="3">
        <v>1</v>
      </c>
      <c r="F29" s="3">
        <v>2</v>
      </c>
      <c r="G29" s="3">
        <v>3</v>
      </c>
      <c r="H29" s="123"/>
      <c r="K29" s="120"/>
      <c r="M29" s="120"/>
      <c r="R29" s="122"/>
    </row>
    <row r="30" spans="1:92" ht="12.75" customHeight="1" x14ac:dyDescent="0.3">
      <c r="A30" s="626" t="s">
        <v>0</v>
      </c>
      <c r="B30" s="627" t="s">
        <v>185</v>
      </c>
      <c r="C30" s="434"/>
      <c r="D30" s="618" t="s">
        <v>184</v>
      </c>
      <c r="E30" s="625" t="s">
        <v>34</v>
      </c>
      <c r="F30" s="625" t="s">
        <v>3</v>
      </c>
      <c r="G30" s="617" t="s">
        <v>168</v>
      </c>
      <c r="H30" s="436"/>
      <c r="I30" s="618" t="s">
        <v>197</v>
      </c>
      <c r="J30" s="618" t="s">
        <v>172</v>
      </c>
      <c r="K30" s="618" t="s">
        <v>195</v>
      </c>
      <c r="L30" s="618" t="s">
        <v>194</v>
      </c>
      <c r="M30" s="618" t="s">
        <v>194</v>
      </c>
      <c r="N30" s="617" t="s">
        <v>173</v>
      </c>
      <c r="O30" s="617"/>
      <c r="P30" s="617"/>
      <c r="Q30" s="617" t="s">
        <v>174</v>
      </c>
      <c r="R30" s="618" t="s">
        <v>196</v>
      </c>
      <c r="S30" s="619" t="s">
        <v>180</v>
      </c>
      <c r="BF30" s="646" t="s">
        <v>210</v>
      </c>
      <c r="BG30" s="646"/>
      <c r="BH30" s="646"/>
      <c r="BI30" s="646"/>
      <c r="BJ30" s="646"/>
      <c r="BK30" s="646"/>
      <c r="BL30" s="646"/>
    </row>
    <row r="31" spans="1:92" ht="12.75" customHeight="1" x14ac:dyDescent="0.3">
      <c r="A31" s="626"/>
      <c r="B31" s="627"/>
      <c r="C31" s="434"/>
      <c r="D31" s="618"/>
      <c r="E31" s="625"/>
      <c r="F31" s="625"/>
      <c r="G31" s="617"/>
      <c r="H31" s="436"/>
      <c r="I31" s="618"/>
      <c r="J31" s="618"/>
      <c r="K31" s="618"/>
      <c r="L31" s="618"/>
      <c r="M31" s="618"/>
      <c r="N31" s="617"/>
      <c r="O31" s="617"/>
      <c r="P31" s="617"/>
      <c r="Q31" s="617"/>
      <c r="R31" s="618"/>
      <c r="S31" s="619"/>
      <c r="BI31" s="430">
        <v>550</v>
      </c>
      <c r="BJ31" s="430" t="s">
        <v>193</v>
      </c>
      <c r="BK31" s="3" t="s">
        <v>167</v>
      </c>
      <c r="BL31" s="3" t="s">
        <v>209</v>
      </c>
    </row>
    <row r="32" spans="1:92" ht="12.75" customHeight="1" x14ac:dyDescent="0.3">
      <c r="A32" s="626"/>
      <c r="B32" s="627"/>
      <c r="C32" s="434"/>
      <c r="D32" s="618"/>
      <c r="E32" s="625"/>
      <c r="F32" s="625"/>
      <c r="G32" s="617"/>
      <c r="H32" s="436"/>
      <c r="I32" s="618"/>
      <c r="J32" s="618"/>
      <c r="K32" s="618"/>
      <c r="L32" s="618"/>
      <c r="M32" s="618"/>
      <c r="N32" s="437" t="s">
        <v>198</v>
      </c>
      <c r="O32" s="167"/>
      <c r="P32" s="168" t="s">
        <v>199</v>
      </c>
      <c r="Q32" s="617"/>
      <c r="R32" s="618"/>
      <c r="S32" s="619"/>
      <c r="W32" s="430"/>
      <c r="X32" s="430"/>
      <c r="Y32" s="430"/>
      <c r="Z32" s="430"/>
      <c r="AA32" s="430"/>
      <c r="AB32" s="430"/>
      <c r="AC32" s="430"/>
      <c r="AE32" s="430"/>
      <c r="AF32" s="430"/>
      <c r="AG32" s="43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  <c r="AS32" s="430"/>
      <c r="AT32" s="430"/>
      <c r="AU32" s="430"/>
      <c r="AV32" s="430"/>
      <c r="AW32" s="430"/>
      <c r="AX32" s="430"/>
      <c r="AY32" s="186"/>
      <c r="AZ32" s="647" t="s">
        <v>221</v>
      </c>
      <c r="BA32" s="178" t="s">
        <v>208</v>
      </c>
      <c r="BB32" s="187"/>
      <c r="BD32" s="430"/>
      <c r="BE32" s="430"/>
      <c r="BK32" s="430"/>
      <c r="BL32" s="430"/>
      <c r="BM32" s="430"/>
      <c r="BO32" s="430"/>
      <c r="BP32" s="430"/>
      <c r="BQ32" s="430"/>
      <c r="BR32" s="648" t="s">
        <v>229</v>
      </c>
      <c r="BS32" s="645" t="s">
        <v>206</v>
      </c>
      <c r="BT32" s="645" t="s">
        <v>207</v>
      </c>
      <c r="BU32" s="178" t="s">
        <v>208</v>
      </c>
      <c r="BV32" s="187"/>
      <c r="BX32" s="648" t="s">
        <v>229</v>
      </c>
      <c r="BY32" s="645" t="s">
        <v>206</v>
      </c>
      <c r="BZ32" s="645" t="s">
        <v>207</v>
      </c>
      <c r="CA32" s="178" t="s">
        <v>208</v>
      </c>
      <c r="CB32" s="187"/>
    </row>
    <row r="33" spans="1:140" x14ac:dyDescent="0.3">
      <c r="A33" s="626"/>
      <c r="B33" s="627"/>
      <c r="C33" s="164" t="s">
        <v>189</v>
      </c>
      <c r="D33" s="618"/>
      <c r="E33" s="625"/>
      <c r="F33" s="625"/>
      <c r="G33" s="436" t="s">
        <v>42</v>
      </c>
      <c r="H33" s="165" t="s">
        <v>183</v>
      </c>
      <c r="I33" s="436" t="s">
        <v>42</v>
      </c>
      <c r="J33" s="618"/>
      <c r="K33" s="618"/>
      <c r="L33" s="618"/>
      <c r="M33" s="618"/>
      <c r="N33" s="437" t="s">
        <v>181</v>
      </c>
      <c r="O33" s="167" t="s">
        <v>182</v>
      </c>
      <c r="P33" s="168" t="s">
        <v>181</v>
      </c>
      <c r="Q33" s="436" t="s">
        <v>175</v>
      </c>
      <c r="R33" s="618"/>
      <c r="S33" s="437" t="s">
        <v>15</v>
      </c>
      <c r="AY33" s="187"/>
      <c r="AZ33" s="647"/>
      <c r="BA33" s="178">
        <f>SUM(BA34:BA63)</f>
        <v>0</v>
      </c>
      <c r="BB33" s="187"/>
      <c r="BC33" s="3" t="s">
        <v>198</v>
      </c>
      <c r="BD33" s="3" t="s">
        <v>199</v>
      </c>
      <c r="BF33" s="430" t="s">
        <v>198</v>
      </c>
      <c r="BG33" s="430" t="s">
        <v>199</v>
      </c>
      <c r="BH33" s="430" t="s">
        <v>200</v>
      </c>
      <c r="BI33" s="430" t="s">
        <v>205</v>
      </c>
      <c r="BK33" s="3">
        <v>605</v>
      </c>
      <c r="BL33" s="3" t="e">
        <f t="array" ref="BL33:BL115">FREQUENCY($BE$34:$BE$183,$BK$33:$BK$114)</f>
        <v>#VALUE!</v>
      </c>
      <c r="BR33" s="649"/>
      <c r="BS33" s="645"/>
      <c r="BT33" s="645"/>
      <c r="BU33" s="179">
        <f>SUM(BU34:BU63,CA34:CA48)</f>
        <v>0</v>
      </c>
      <c r="BV33" s="187"/>
      <c r="BX33" s="649"/>
      <c r="BY33" s="645"/>
      <c r="BZ33" s="645"/>
      <c r="CA33" s="179">
        <f>SUM(BU34:BU63,CA34:CA48)</f>
        <v>0</v>
      </c>
      <c r="CB33" s="187"/>
      <c r="CC33" s="650" t="s">
        <v>167</v>
      </c>
      <c r="CD33" s="650" t="s">
        <v>189</v>
      </c>
      <c r="CE33" s="652" t="s">
        <v>34</v>
      </c>
      <c r="CF33" s="441" t="s">
        <v>230</v>
      </c>
      <c r="CG33" s="650" t="s">
        <v>173</v>
      </c>
      <c r="CH33" s="650"/>
      <c r="CI33" s="650"/>
      <c r="CJ33" s="440" t="s">
        <v>174</v>
      </c>
      <c r="CK33" s="654" t="s">
        <v>231</v>
      </c>
      <c r="CL33" s="650" t="s">
        <v>196</v>
      </c>
      <c r="CM33" s="438" t="s">
        <v>180</v>
      </c>
      <c r="CN33" s="438"/>
      <c r="CO33" s="650" t="s">
        <v>167</v>
      </c>
      <c r="CP33" s="650" t="s">
        <v>189</v>
      </c>
      <c r="CQ33" s="652" t="s">
        <v>34</v>
      </c>
      <c r="CR33" s="441" t="s">
        <v>230</v>
      </c>
      <c r="CS33" s="650" t="s">
        <v>173</v>
      </c>
      <c r="CT33" s="650"/>
      <c r="CU33" s="650"/>
      <c r="CV33" s="440" t="s">
        <v>174</v>
      </c>
      <c r="CW33" s="654" t="s">
        <v>231</v>
      </c>
      <c r="CX33" s="650" t="s">
        <v>196</v>
      </c>
      <c r="CY33" s="438" t="s">
        <v>180</v>
      </c>
      <c r="CZ33" s="438"/>
      <c r="DA33" s="650" t="s">
        <v>167</v>
      </c>
      <c r="DB33" s="650" t="s">
        <v>189</v>
      </c>
      <c r="DC33" s="652" t="s">
        <v>34</v>
      </c>
      <c r="DD33" s="441" t="s">
        <v>230</v>
      </c>
      <c r="DE33" s="650" t="s">
        <v>173</v>
      </c>
      <c r="DF33" s="650"/>
      <c r="DG33" s="650"/>
      <c r="DH33" s="440" t="s">
        <v>174</v>
      </c>
      <c r="DI33" s="654" t="s">
        <v>231</v>
      </c>
      <c r="DJ33" s="650" t="s">
        <v>196</v>
      </c>
      <c r="DK33" s="438" t="s">
        <v>180</v>
      </c>
      <c r="DL33" s="438"/>
      <c r="DM33" s="650" t="s">
        <v>167</v>
      </c>
      <c r="DN33" s="650" t="s">
        <v>189</v>
      </c>
      <c r="DO33" s="652" t="s">
        <v>34</v>
      </c>
      <c r="DP33" s="441" t="s">
        <v>230</v>
      </c>
      <c r="DQ33" s="650" t="s">
        <v>173</v>
      </c>
      <c r="DR33" s="650"/>
      <c r="DS33" s="650"/>
      <c r="DT33" s="440" t="s">
        <v>174</v>
      </c>
      <c r="DU33" s="654" t="s">
        <v>231</v>
      </c>
      <c r="DV33" s="650" t="s">
        <v>196</v>
      </c>
      <c r="DW33" s="438" t="s">
        <v>180</v>
      </c>
      <c r="DX33" s="438"/>
      <c r="DY33" s="650" t="s">
        <v>167</v>
      </c>
      <c r="DZ33" s="650" t="s">
        <v>189</v>
      </c>
      <c r="EA33" s="652" t="s">
        <v>34</v>
      </c>
      <c r="EB33" s="441" t="s">
        <v>230</v>
      </c>
      <c r="EC33" s="650" t="s">
        <v>173</v>
      </c>
      <c r="ED33" s="650"/>
      <c r="EE33" s="650"/>
      <c r="EF33" s="440" t="s">
        <v>174</v>
      </c>
      <c r="EG33" s="654" t="s">
        <v>231</v>
      </c>
      <c r="EH33" s="650" t="s">
        <v>196</v>
      </c>
      <c r="EI33" s="438" t="s">
        <v>180</v>
      </c>
      <c r="EJ33" s="226"/>
    </row>
    <row r="34" spans="1:140" x14ac:dyDescent="0.3">
      <c r="A34" s="431">
        <v>1</v>
      </c>
      <c r="B34" s="260"/>
      <c r="C34" s="261">
        <f t="shared" ref="C34:C97" si="0">IF(B34="RR",1,2)</f>
        <v>2</v>
      </c>
      <c r="D34" s="371"/>
      <c r="E34" s="262"/>
      <c r="F34" s="261" t="str">
        <f t="shared" ref="F34:G53" si="1">IFERROR(VLOOKUP($E34,DMFA,F$29,FALSE),"")</f>
        <v/>
      </c>
      <c r="G34" s="263" t="str">
        <f t="shared" si="1"/>
        <v/>
      </c>
      <c r="H34" s="264" t="str">
        <f t="shared" ref="H34:H97" si="2">IF(COUNTIF($E$34:$E$183,E34)=0,"",COUNTIF($E$34:$E$183,E34))</f>
        <v/>
      </c>
      <c r="I34" s="265" t="str">
        <f t="shared" ref="I34:I98" si="3">IF(OR(G34="",H34=""),"",G34/H34)</f>
        <v/>
      </c>
      <c r="J34" s="264" t="str">
        <f t="shared" ref="J34:J97" si="4">IF(I34="","",TEXT(I34/G34,"0.0 %"))</f>
        <v/>
      </c>
      <c r="K34" s="264">
        <f t="shared" ref="K34:K97" si="5">IF(C34=1,$J$16,IF(C34=2,$J$17,IF(C34=3,$J$18,0)))</f>
        <v>0</v>
      </c>
      <c r="L34" s="266"/>
      <c r="M34" s="267">
        <f t="shared" ref="M34:M97" si="6">IF(OR(L34=0,C34=2),1,L34)</f>
        <v>1</v>
      </c>
      <c r="N34" s="465" t="str">
        <f t="shared" ref="N34:N97" si="7">IFERROR(MAX(_xlfn.CEILING.MATH(SQRT(I34/(M34*INDEX($D$16:$D$18,C34)))*12,INDEX($J$16:$J$18,C34)),INDEX($L$16:$L$18,C34)),"")</f>
        <v/>
      </c>
      <c r="O34" s="297" t="str">
        <f t="shared" ref="O34:O97" si="8">IF(I34="","","×")</f>
        <v/>
      </c>
      <c r="P34" s="467" t="str">
        <f t="shared" ref="P34:P97" si="9">IFERROR(MAX(_xlfn.CEILING.MATH(SQRT((I34*M34)/INDEX($D$16:$D$18,C34))*12,INDEX($J$16:$J$18,C34)),INDEX($L$16:$L$18,C34)),"")</f>
        <v/>
      </c>
      <c r="Q34" s="268" t="str">
        <f>IF(I34="","",IF(N34="---","---",I34/(N34/12*P34/12)))</f>
        <v/>
      </c>
      <c r="R34" s="270" t="str">
        <f t="shared" ref="R34:R97" si="10">IF(C34=1,IF(N34&gt;=P34,"FL","FS"),IF(I34="","","N/A"))</f>
        <v/>
      </c>
      <c r="S34" s="271" t="str">
        <f t="shared" ref="S34:S97" si="11">IFERROR(IF(C34=1,(0.000000275)*Q34^1.993,"---"),"")</f>
        <v>---</v>
      </c>
      <c r="V34" s="3" t="str">
        <f>IFERROR(VALUE(TEXT(C34,"00")&amp;TEXT(N34,"00")&amp;TEXT(P34,"00")&amp;IF(#REF!="Plato perforado",5,IF(OR(#REF!="N/A",#REF!=""),0,#REF!))),"")</f>
        <v/>
      </c>
      <c r="W34" s="3">
        <v>6</v>
      </c>
      <c r="X34" s="3">
        <v>6</v>
      </c>
      <c r="Y34" s="3">
        <v>1</v>
      </c>
      <c r="AY34" s="187"/>
      <c r="AZ34" s="177" t="str">
        <f>"Difusores de "&amp;W34&amp;""""&amp;" × "&amp;X34&amp;""""&amp;" de "&amp;Y34&amp;" vía:"</f>
        <v>Difusores de 6" × 6" de 1 vía:</v>
      </c>
      <c r="BA34" s="242">
        <f>COUNTIF($V$34:$V$183,VALUE(1&amp;TEXT(W34,"00")&amp;TEXT(X34,"00")&amp;IF(Y34="plato perforado:",5,IF(Y34=", número de vías por definir:",0,Y34))))</f>
        <v>0</v>
      </c>
      <c r="BB34" s="187"/>
      <c r="BC34" s="103" t="str">
        <f t="shared" ref="BC34:BC65" si="12">IF(C34=2,N34,0)</f>
        <v/>
      </c>
      <c r="BD34" s="103" t="str">
        <f t="shared" ref="BD34:BD65" si="13">IF(C34=2,P34,0)</f>
        <v/>
      </c>
      <c r="BE34" s="103" t="e">
        <f t="shared" ref="BE34:BE97" si="14">VALUE(TEXT(BC34,"00")&amp;TEXT(BD34,"00"))</f>
        <v>#VALUE!</v>
      </c>
      <c r="BF34" s="181">
        <v>6</v>
      </c>
      <c r="BG34" s="181">
        <v>6</v>
      </c>
      <c r="BH34" s="184">
        <f>(BF34/12)*(BG34/12)</f>
        <v>0.25</v>
      </c>
      <c r="BI34" s="185">
        <f t="shared" ref="BI34:BI97" si="15">BH34*$BI$31</f>
        <v>137.5</v>
      </c>
      <c r="BJ34" s="185">
        <f t="shared" ref="BJ34:BJ97" si="16">BF34/BG34</f>
        <v>1</v>
      </c>
      <c r="BK34" s="103">
        <f>VALUE(TEXT(BF34,"00")&amp;TEXT(BG34,"00"))</f>
        <v>606</v>
      </c>
      <c r="BL34" s="103" t="e">
        <v>#VALUE!</v>
      </c>
      <c r="BM34" s="103">
        <v>6</v>
      </c>
      <c r="BN34" s="103">
        <v>6</v>
      </c>
      <c r="BO34" s="103">
        <v>6</v>
      </c>
      <c r="BP34" s="103">
        <f>VALUE(TEXT(BM34,"00")&amp;TEXT(BN34,"00"))</f>
        <v>606</v>
      </c>
      <c r="BQ34" s="103">
        <f>VALUE(TEXT(BN34,"00")&amp;TEXT(BO34,"00"))</f>
        <v>606</v>
      </c>
      <c r="BR34" s="246" t="str">
        <f>"Rejillas de "&amp;BM34&amp;""""&amp;" × "&amp;BN34&amp;""""&amp;":"</f>
        <v>Rejillas de 6" × 6":</v>
      </c>
      <c r="BS34" s="247">
        <f t="shared" ref="BS34:BS63" si="17">COUNTIF($BE$34:$BE$183,BQ34)</f>
        <v>0</v>
      </c>
      <c r="BT34" s="247">
        <f t="shared" ref="BT34:BT63" si="18">COUNTIF($BE$34:$BE$183,BP34)</f>
        <v>0</v>
      </c>
      <c r="BU34" s="247">
        <f>SUM(BS34:BT34)</f>
        <v>0</v>
      </c>
      <c r="BV34" s="187"/>
      <c r="BW34" s="103">
        <f t="shared" ref="BW34:BW65" si="19">IF(C34=3,R34,0)</f>
        <v>0</v>
      </c>
      <c r="BX34" s="246" t="str">
        <f t="shared" ref="BX34:BX48" si="20">"Rejillas de "&amp;BM64&amp;""""&amp;" × "&amp;BN64&amp;""""&amp;":"</f>
        <v>Rejillas de 14" × 16":</v>
      </c>
      <c r="BY34" s="247">
        <f t="shared" ref="BY34:BY48" si="21">COUNTIF($BE$34:$BE$183,BQ64)</f>
        <v>0</v>
      </c>
      <c r="BZ34" s="247">
        <f t="shared" ref="BZ34:BZ48" si="22">COUNTIF($BE$34:$BE$183,BP64)</f>
        <v>0</v>
      </c>
      <c r="CA34" s="247">
        <f t="shared" ref="CA34:CA48" si="23">SUM(BY34:BZ34)</f>
        <v>0</v>
      </c>
      <c r="CB34" s="187"/>
      <c r="CC34" s="651"/>
      <c r="CD34" s="651"/>
      <c r="CE34" s="653"/>
      <c r="CF34" s="439" t="s">
        <v>42</v>
      </c>
      <c r="CG34" s="190" t="s">
        <v>181</v>
      </c>
      <c r="CH34" s="191"/>
      <c r="CI34" s="192" t="s">
        <v>181</v>
      </c>
      <c r="CJ34" s="439" t="s">
        <v>175</v>
      </c>
      <c r="CK34" s="655"/>
      <c r="CL34" s="651"/>
      <c r="CM34" s="439" t="s">
        <v>15</v>
      </c>
      <c r="CN34" s="439"/>
      <c r="CO34" s="651"/>
      <c r="CP34" s="651"/>
      <c r="CQ34" s="653"/>
      <c r="CR34" s="439" t="s">
        <v>42</v>
      </c>
      <c r="CS34" s="190" t="s">
        <v>181</v>
      </c>
      <c r="CT34" s="191"/>
      <c r="CU34" s="192" t="s">
        <v>181</v>
      </c>
      <c r="CV34" s="439" t="s">
        <v>175</v>
      </c>
      <c r="CW34" s="655"/>
      <c r="CX34" s="651"/>
      <c r="CY34" s="439" t="s">
        <v>15</v>
      </c>
      <c r="CZ34" s="439"/>
      <c r="DA34" s="651"/>
      <c r="DB34" s="651"/>
      <c r="DC34" s="653"/>
      <c r="DD34" s="439" t="s">
        <v>42</v>
      </c>
      <c r="DE34" s="190" t="s">
        <v>181</v>
      </c>
      <c r="DF34" s="191"/>
      <c r="DG34" s="192" t="s">
        <v>181</v>
      </c>
      <c r="DH34" s="439" t="s">
        <v>175</v>
      </c>
      <c r="DI34" s="655"/>
      <c r="DJ34" s="651"/>
      <c r="DK34" s="439" t="s">
        <v>15</v>
      </c>
      <c r="DL34" s="439"/>
      <c r="DM34" s="651"/>
      <c r="DN34" s="651"/>
      <c r="DO34" s="653"/>
      <c r="DP34" s="439" t="s">
        <v>42</v>
      </c>
      <c r="DQ34" s="190" t="s">
        <v>181</v>
      </c>
      <c r="DR34" s="191"/>
      <c r="DS34" s="192" t="s">
        <v>181</v>
      </c>
      <c r="DT34" s="439" t="s">
        <v>175</v>
      </c>
      <c r="DU34" s="655"/>
      <c r="DV34" s="651"/>
      <c r="DW34" s="439" t="s">
        <v>15</v>
      </c>
      <c r="DX34" s="439"/>
      <c r="DY34" s="651"/>
      <c r="DZ34" s="651"/>
      <c r="EA34" s="653"/>
      <c r="EB34" s="439" t="s">
        <v>42</v>
      </c>
      <c r="EC34" s="190" t="s">
        <v>181</v>
      </c>
      <c r="ED34" s="191"/>
      <c r="EE34" s="192" t="s">
        <v>181</v>
      </c>
      <c r="EF34" s="439" t="s">
        <v>175</v>
      </c>
      <c r="EG34" s="655"/>
      <c r="EH34" s="651"/>
      <c r="EI34" s="439" t="s">
        <v>15</v>
      </c>
      <c r="EJ34" s="227"/>
    </row>
    <row r="35" spans="1:140" x14ac:dyDescent="0.3">
      <c r="A35" s="431">
        <v>2</v>
      </c>
      <c r="B35" s="272"/>
      <c r="C35" s="273">
        <f t="shared" si="0"/>
        <v>2</v>
      </c>
      <c r="D35" s="372"/>
      <c r="E35" s="274"/>
      <c r="F35" s="273" t="str">
        <f t="shared" si="1"/>
        <v/>
      </c>
      <c r="G35" s="275" t="str">
        <f t="shared" si="1"/>
        <v/>
      </c>
      <c r="H35" s="276" t="str">
        <f>IF(COUNTIF($E$34:$E$183,E35)=0,"",COUNTIF($E$34:$E$183,E35))</f>
        <v/>
      </c>
      <c r="I35" s="277" t="str">
        <f t="shared" si="3"/>
        <v/>
      </c>
      <c r="J35" s="276" t="str">
        <f t="shared" si="4"/>
        <v/>
      </c>
      <c r="K35" s="276">
        <f t="shared" si="5"/>
        <v>0</v>
      </c>
      <c r="L35" s="278"/>
      <c r="M35" s="279">
        <f t="shared" si="6"/>
        <v>1</v>
      </c>
      <c r="N35" s="360" t="str">
        <f t="shared" si="7"/>
        <v/>
      </c>
      <c r="O35" s="117" t="str">
        <f t="shared" si="8"/>
        <v/>
      </c>
      <c r="P35" s="359" t="str">
        <f t="shared" si="9"/>
        <v/>
      </c>
      <c r="Q35" s="280" t="str">
        <f t="shared" ref="Q35:Q98" si="24">IF(I35="","",IF(N35="---","---",I35/(N35/12*P35/12)))</f>
        <v/>
      </c>
      <c r="R35" s="282" t="str">
        <f t="shared" si="10"/>
        <v/>
      </c>
      <c r="S35" s="283" t="str">
        <f t="shared" si="11"/>
        <v>---</v>
      </c>
      <c r="V35" s="3" t="str">
        <f>IFERROR(VALUE(TEXT(C35,"00")&amp;TEXT(N35,"00")&amp;TEXT(P35,"00")&amp;IF(#REF!="Plato perforado",5,IF(OR(#REF!="N/A",#REF!=""),0,#REF!))),"")</f>
        <v/>
      </c>
      <c r="W35" s="3">
        <v>6</v>
      </c>
      <c r="X35" s="3">
        <v>6</v>
      </c>
      <c r="Y35" s="3">
        <v>2</v>
      </c>
      <c r="AY35" s="187"/>
      <c r="AZ35" s="175" t="str">
        <f>"Difusores de "&amp;W35&amp;""""&amp;" × "&amp;X35&amp;""""&amp;" de "&amp;Y35&amp;" vías:"</f>
        <v>Difusores de 6" × 6" de 2 vías:</v>
      </c>
      <c r="BA35" s="174">
        <f t="shared" ref="BA35:BA63" si="25">COUNTIF($V$34:$V$183,VALUE(1&amp;TEXT(W35,"00")&amp;TEXT(X35,"00")&amp;IF(Y35="plato perforado:",5,IF(Y35=", número de vías por definir:",0,Y35))))</f>
        <v>0</v>
      </c>
      <c r="BB35" s="187"/>
      <c r="BC35" s="103" t="str">
        <f t="shared" si="12"/>
        <v/>
      </c>
      <c r="BD35" s="103" t="str">
        <f t="shared" si="13"/>
        <v/>
      </c>
      <c r="BE35" s="103" t="e">
        <f t="shared" si="14"/>
        <v>#VALUE!</v>
      </c>
      <c r="BF35" s="181">
        <v>6</v>
      </c>
      <c r="BG35" s="181">
        <v>8</v>
      </c>
      <c r="BH35" s="184">
        <f t="shared" ref="BH35:BH98" si="26">(BF35/12)*(BG35/12)</f>
        <v>0.33333333333333331</v>
      </c>
      <c r="BI35" s="185">
        <f t="shared" si="15"/>
        <v>183.33333333333331</v>
      </c>
      <c r="BJ35" s="185">
        <f t="shared" si="16"/>
        <v>0.75</v>
      </c>
      <c r="BK35" s="103">
        <f t="shared" ref="BK35:BK98" si="27">VALUE(TEXT(BF35,"00")&amp;TEXT(BG35,"00"))</f>
        <v>608</v>
      </c>
      <c r="BL35" s="103" t="e">
        <v>#VALUE!</v>
      </c>
      <c r="BM35" s="103">
        <v>6</v>
      </c>
      <c r="BN35" s="103">
        <v>8</v>
      </c>
      <c r="BO35" s="103">
        <v>6</v>
      </c>
      <c r="BP35" s="103">
        <f t="shared" ref="BP35:BQ78" si="28">VALUE(TEXT(BM35,"00")&amp;TEXT(BN35,"00"))</f>
        <v>608</v>
      </c>
      <c r="BQ35" s="103">
        <f t="shared" si="28"/>
        <v>806</v>
      </c>
      <c r="BR35" s="173" t="str">
        <f t="shared" ref="BR35:BR63" si="29">"Rejillas de "&amp;BM35&amp;""""&amp;" × "&amp;BN35&amp;""""&amp;":"</f>
        <v>Rejillas de 6" × 8":</v>
      </c>
      <c r="BS35" s="180">
        <f t="shared" si="17"/>
        <v>0</v>
      </c>
      <c r="BT35" s="180">
        <f t="shared" si="18"/>
        <v>0</v>
      </c>
      <c r="BU35" s="180">
        <f t="shared" ref="BU35:BU63" si="30">SUM(BS35:BT35)</f>
        <v>0</v>
      </c>
      <c r="BV35" s="187"/>
      <c r="BW35" s="103">
        <f t="shared" si="19"/>
        <v>0</v>
      </c>
      <c r="BX35" s="173" t="str">
        <f t="shared" si="20"/>
        <v>Rejillas de 14" × 18":</v>
      </c>
      <c r="BY35" s="180">
        <f t="shared" si="21"/>
        <v>0</v>
      </c>
      <c r="BZ35" s="180">
        <f t="shared" si="22"/>
        <v>0</v>
      </c>
      <c r="CA35" s="180">
        <f t="shared" si="23"/>
        <v>0</v>
      </c>
      <c r="CB35" s="187"/>
      <c r="CC35" s="221" t="str">
        <f t="shared" ref="CC35:CC64" si="31">IF(D34="","",D34)</f>
        <v/>
      </c>
      <c r="CD35" s="220" t="str">
        <f t="shared" ref="CD35:CD64" si="32">IF(B34="","",B34)</f>
        <v/>
      </c>
      <c r="CE35" s="193" t="str">
        <f t="shared" ref="CE35:CE64" si="33">F34</f>
        <v/>
      </c>
      <c r="CF35" s="132" t="str">
        <f t="shared" ref="CF35:CF64" si="34">I34</f>
        <v/>
      </c>
      <c r="CG35" s="208" t="str">
        <f t="shared" ref="CG35:CG64" si="35">N34</f>
        <v/>
      </c>
      <c r="CH35" s="209" t="str">
        <f t="shared" ref="CH35:CH64" si="36">O34</f>
        <v/>
      </c>
      <c r="CI35" s="210" t="str">
        <f t="shared" ref="CI35:CI64" si="37">P34</f>
        <v/>
      </c>
      <c r="CJ35" s="132" t="str">
        <f t="shared" ref="CJ35:CJ64" si="38">Q34</f>
        <v/>
      </c>
      <c r="CK35" s="194" t="e">
        <f>IF(#REF!="Plato perforado","PP",IF(OR(#REF!=0,#REF!=""),"",#REF!))</f>
        <v>#REF!</v>
      </c>
      <c r="CL35" s="195" t="str">
        <f t="shared" ref="CL35:CM64" si="39">R34</f>
        <v/>
      </c>
      <c r="CM35" s="196" t="str">
        <f t="shared" si="39"/>
        <v>---</v>
      </c>
      <c r="CN35" s="197"/>
      <c r="CO35" s="221" t="str">
        <f t="shared" ref="CO35:CO64" si="40">IF(D64="","",D64)</f>
        <v/>
      </c>
      <c r="CP35" s="194" t="str">
        <f t="shared" ref="CP35:CP64" si="41">IF(B64="","",B64)</f>
        <v/>
      </c>
      <c r="CQ35" s="193" t="str">
        <f t="shared" ref="CQ35:CQ64" si="42">F64</f>
        <v/>
      </c>
      <c r="CR35" s="132" t="str">
        <f t="shared" ref="CR35:CR64" si="43">I64</f>
        <v/>
      </c>
      <c r="CS35" s="208" t="str">
        <f t="shared" ref="CS35:CS64" si="44">N64</f>
        <v/>
      </c>
      <c r="CT35" s="209" t="str">
        <f t="shared" ref="CT35:CT64" si="45">O64</f>
        <v/>
      </c>
      <c r="CU35" s="210" t="str">
        <f t="shared" ref="CU35:CU64" si="46">P64</f>
        <v/>
      </c>
      <c r="CV35" s="132" t="str">
        <f t="shared" ref="CV35:CV64" si="47">Q64</f>
        <v/>
      </c>
      <c r="CW35" s="194" t="e">
        <f>IF(#REF!="Plato perforado","PP",IF(OR(#REF!=0,#REF!=""),"",#REF!))</f>
        <v>#REF!</v>
      </c>
      <c r="CX35" s="195" t="str">
        <f t="shared" ref="CX35:CY64" si="48">R64</f>
        <v/>
      </c>
      <c r="CY35" s="196" t="str">
        <f t="shared" si="48"/>
        <v>---</v>
      </c>
      <c r="CZ35" s="197"/>
      <c r="DA35" s="221" t="str">
        <f t="shared" ref="DA35:DA64" si="49">IF(D94="","",D94)</f>
        <v/>
      </c>
      <c r="DB35" s="194" t="str">
        <f t="shared" ref="DB35:DB64" si="50">IF(B94="","",B94)</f>
        <v/>
      </c>
      <c r="DC35" s="193" t="str">
        <f t="shared" ref="DC35:DC64" si="51">F94</f>
        <v/>
      </c>
      <c r="DD35" s="132" t="str">
        <f t="shared" ref="DD35:DD64" si="52">I94</f>
        <v/>
      </c>
      <c r="DE35" s="208" t="str">
        <f t="shared" ref="DE35:DE64" si="53">N94</f>
        <v/>
      </c>
      <c r="DF35" s="209" t="str">
        <f t="shared" ref="DF35:DF64" si="54">O94</f>
        <v/>
      </c>
      <c r="DG35" s="210" t="str">
        <f t="shared" ref="DG35:DG64" si="55">P94</f>
        <v/>
      </c>
      <c r="DH35" s="132" t="str">
        <f t="shared" ref="DH35:DH64" si="56">Q94</f>
        <v/>
      </c>
      <c r="DI35" s="194" t="e">
        <f>IF(#REF!="Plato perforado","PP",IF(OR(#REF!=0,#REF!=""),"",#REF!))</f>
        <v>#REF!</v>
      </c>
      <c r="DJ35" s="195" t="str">
        <f t="shared" ref="DJ35:DK64" si="57">R94</f>
        <v/>
      </c>
      <c r="DK35" s="196" t="str">
        <f t="shared" si="57"/>
        <v>---</v>
      </c>
      <c r="DL35" s="197"/>
      <c r="DM35" s="221" t="str">
        <f t="shared" ref="DM35:DM64" si="58">IF(D124="","",D124)</f>
        <v/>
      </c>
      <c r="DN35" s="194" t="str">
        <f t="shared" ref="DN35:DN64" si="59">IF(B124="","",B124)</f>
        <v/>
      </c>
      <c r="DO35" s="193" t="str">
        <f t="shared" ref="DO35:DO64" si="60">F124</f>
        <v/>
      </c>
      <c r="DP35" s="132" t="str">
        <f t="shared" ref="DP35:DP64" si="61">I124</f>
        <v/>
      </c>
      <c r="DQ35" s="208" t="str">
        <f t="shared" ref="DQ35:DQ64" si="62">N124</f>
        <v/>
      </c>
      <c r="DR35" s="209" t="str">
        <f t="shared" ref="DR35:DR64" si="63">O124</f>
        <v/>
      </c>
      <c r="DS35" s="210" t="str">
        <f t="shared" ref="DS35:DS64" si="64">P124</f>
        <v/>
      </c>
      <c r="DT35" s="132" t="str">
        <f t="shared" ref="DT35:DT64" si="65">Q124</f>
        <v/>
      </c>
      <c r="DU35" s="194" t="e">
        <f>IF(#REF!="Plato perforado","PP",IF(OR(#REF!=0,#REF!=""),"",#REF!))</f>
        <v>#REF!</v>
      </c>
      <c r="DV35" s="195" t="str">
        <f t="shared" ref="DV35:DW64" si="66">R124</f>
        <v/>
      </c>
      <c r="DW35" s="196" t="str">
        <f t="shared" si="66"/>
        <v>---</v>
      </c>
      <c r="DX35" s="197"/>
      <c r="DY35" s="221" t="str">
        <f t="shared" ref="DY35:DY64" si="67">IF(D154="","",D154)</f>
        <v/>
      </c>
      <c r="DZ35" s="194" t="str">
        <f t="shared" ref="DZ35:DZ64" si="68">IF(B154="","",B154)</f>
        <v/>
      </c>
      <c r="EA35" s="193" t="str">
        <f t="shared" ref="EA35:EA64" si="69">F154</f>
        <v/>
      </c>
      <c r="EB35" s="132" t="str">
        <f t="shared" ref="EB35:EB64" si="70">I154</f>
        <v/>
      </c>
      <c r="EC35" s="208" t="str">
        <f t="shared" ref="EC35:EC64" si="71">N154</f>
        <v/>
      </c>
      <c r="ED35" s="209" t="str">
        <f t="shared" ref="ED35:ED64" si="72">O154</f>
        <v/>
      </c>
      <c r="EE35" s="210" t="str">
        <f t="shared" ref="EE35:EE64" si="73">P154</f>
        <v/>
      </c>
      <c r="EF35" s="132" t="str">
        <f t="shared" ref="EF35:EF64" si="74">Q154</f>
        <v/>
      </c>
      <c r="EG35" s="194" t="e">
        <f>IF(#REF!="Plato perforado","PP",IF(OR(#REF!=0,#REF!=""),"",#REF!))</f>
        <v>#REF!</v>
      </c>
      <c r="EH35" s="195" t="str">
        <f t="shared" ref="EH35:EI64" si="75">R154</f>
        <v/>
      </c>
      <c r="EI35" s="196" t="str">
        <f t="shared" si="75"/>
        <v>---</v>
      </c>
      <c r="EJ35" s="228"/>
    </row>
    <row r="36" spans="1:140" x14ac:dyDescent="0.3">
      <c r="A36" s="431">
        <v>3</v>
      </c>
      <c r="B36" s="284"/>
      <c r="C36" s="285">
        <f t="shared" si="0"/>
        <v>2</v>
      </c>
      <c r="D36" s="373"/>
      <c r="E36" s="286"/>
      <c r="F36" s="285" t="str">
        <f t="shared" si="1"/>
        <v/>
      </c>
      <c r="G36" s="287" t="str">
        <f t="shared" si="1"/>
        <v/>
      </c>
      <c r="H36" s="288" t="str">
        <f t="shared" si="2"/>
        <v/>
      </c>
      <c r="I36" s="289" t="str">
        <f t="shared" si="3"/>
        <v/>
      </c>
      <c r="J36" s="288" t="str">
        <f t="shared" si="4"/>
        <v/>
      </c>
      <c r="K36" s="288">
        <f t="shared" si="5"/>
        <v>0</v>
      </c>
      <c r="L36" s="290"/>
      <c r="M36" s="291">
        <f t="shared" si="6"/>
        <v>1</v>
      </c>
      <c r="N36" s="466" t="str">
        <f t="shared" si="7"/>
        <v/>
      </c>
      <c r="O36" s="302" t="str">
        <f t="shared" si="8"/>
        <v/>
      </c>
      <c r="P36" s="468" t="str">
        <f t="shared" si="9"/>
        <v/>
      </c>
      <c r="Q36" s="292" t="str">
        <f t="shared" si="24"/>
        <v/>
      </c>
      <c r="R36" s="294" t="str">
        <f t="shared" si="10"/>
        <v/>
      </c>
      <c r="S36" s="295" t="str">
        <f t="shared" si="11"/>
        <v>---</v>
      </c>
      <c r="V36" s="3" t="str">
        <f>IFERROR(VALUE(TEXT(C36,"00")&amp;TEXT(N36,"00")&amp;TEXT(P36,"00")&amp;IF(#REF!="Plato perforado",5,IF(OR(#REF!="N/A",#REF!=""),0,#REF!))),"")</f>
        <v/>
      </c>
      <c r="W36" s="3">
        <v>6</v>
      </c>
      <c r="X36" s="3">
        <v>6</v>
      </c>
      <c r="Y36" s="3">
        <v>3</v>
      </c>
      <c r="AY36" s="187"/>
      <c r="AZ36" s="175" t="str">
        <f t="shared" ref="AZ36:AZ37" si="76">"Difusores de "&amp;W36&amp;""""&amp;" × "&amp;X36&amp;""""&amp;" de "&amp;Y36&amp;" vías:"</f>
        <v>Difusores de 6" × 6" de 3 vías:</v>
      </c>
      <c r="BA36" s="174">
        <f t="shared" si="25"/>
        <v>0</v>
      </c>
      <c r="BB36" s="187"/>
      <c r="BC36" s="103" t="str">
        <f t="shared" si="12"/>
        <v/>
      </c>
      <c r="BD36" s="103" t="str">
        <f t="shared" si="13"/>
        <v/>
      </c>
      <c r="BE36" s="103" t="e">
        <f t="shared" si="14"/>
        <v>#VALUE!</v>
      </c>
      <c r="BF36" s="181">
        <v>6</v>
      </c>
      <c r="BG36" s="181">
        <v>10</v>
      </c>
      <c r="BH36" s="184">
        <f t="shared" si="26"/>
        <v>0.41666666666666669</v>
      </c>
      <c r="BI36" s="185">
        <f t="shared" si="15"/>
        <v>229.16666666666669</v>
      </c>
      <c r="BJ36" s="185">
        <f t="shared" si="16"/>
        <v>0.6</v>
      </c>
      <c r="BK36" s="103">
        <f t="shared" si="27"/>
        <v>610</v>
      </c>
      <c r="BL36" s="103" t="e">
        <v>#VALUE!</v>
      </c>
      <c r="BM36" s="103">
        <v>6</v>
      </c>
      <c r="BN36" s="103">
        <v>10</v>
      </c>
      <c r="BO36" s="103">
        <v>6</v>
      </c>
      <c r="BP36" s="103">
        <f t="shared" si="28"/>
        <v>610</v>
      </c>
      <c r="BQ36" s="103">
        <f t="shared" si="28"/>
        <v>1006</v>
      </c>
      <c r="BR36" s="173" t="str">
        <f t="shared" si="29"/>
        <v>Rejillas de 6" × 10":</v>
      </c>
      <c r="BS36" s="180">
        <f t="shared" si="17"/>
        <v>0</v>
      </c>
      <c r="BT36" s="180">
        <f t="shared" si="18"/>
        <v>0</v>
      </c>
      <c r="BU36" s="180">
        <f t="shared" si="30"/>
        <v>0</v>
      </c>
      <c r="BV36" s="187"/>
      <c r="BW36" s="103">
        <f t="shared" si="19"/>
        <v>0</v>
      </c>
      <c r="BX36" s="173" t="str">
        <f t="shared" si="20"/>
        <v>Rejillas de 14" × 20":</v>
      </c>
      <c r="BY36" s="180">
        <f t="shared" si="21"/>
        <v>0</v>
      </c>
      <c r="BZ36" s="180">
        <f t="shared" si="22"/>
        <v>0</v>
      </c>
      <c r="CA36" s="180">
        <f t="shared" si="23"/>
        <v>0</v>
      </c>
      <c r="CB36" s="187"/>
      <c r="CC36" s="222" t="str">
        <f t="shared" si="31"/>
        <v/>
      </c>
      <c r="CD36" s="217" t="str">
        <f t="shared" si="32"/>
        <v/>
      </c>
      <c r="CE36" s="198" t="str">
        <f t="shared" si="33"/>
        <v/>
      </c>
      <c r="CF36" s="138" t="str">
        <f t="shared" si="34"/>
        <v/>
      </c>
      <c r="CG36" s="211" t="str">
        <f t="shared" si="35"/>
        <v/>
      </c>
      <c r="CH36" s="212" t="str">
        <f t="shared" si="36"/>
        <v/>
      </c>
      <c r="CI36" s="213" t="str">
        <f t="shared" si="37"/>
        <v/>
      </c>
      <c r="CJ36" s="138" t="str">
        <f t="shared" si="38"/>
        <v/>
      </c>
      <c r="CK36" s="199" t="e">
        <f>IF(#REF!="Plato perforado","PP",IF(OR(#REF!=0,#REF!=""),"",#REF!))</f>
        <v>#REF!</v>
      </c>
      <c r="CL36" s="200" t="str">
        <f t="shared" si="39"/>
        <v/>
      </c>
      <c r="CM36" s="201" t="str">
        <f t="shared" si="39"/>
        <v>---</v>
      </c>
      <c r="CN36" s="202"/>
      <c r="CO36" s="222" t="str">
        <f t="shared" si="40"/>
        <v/>
      </c>
      <c r="CP36" s="199" t="str">
        <f t="shared" si="41"/>
        <v/>
      </c>
      <c r="CQ36" s="198" t="str">
        <f t="shared" si="42"/>
        <v/>
      </c>
      <c r="CR36" s="138" t="str">
        <f t="shared" si="43"/>
        <v/>
      </c>
      <c r="CS36" s="211" t="str">
        <f t="shared" si="44"/>
        <v/>
      </c>
      <c r="CT36" s="212" t="str">
        <f t="shared" si="45"/>
        <v/>
      </c>
      <c r="CU36" s="213" t="str">
        <f t="shared" si="46"/>
        <v/>
      </c>
      <c r="CV36" s="138" t="str">
        <f t="shared" si="47"/>
        <v/>
      </c>
      <c r="CW36" s="199" t="e">
        <f>IF(#REF!="Plato perforado","PP",IF(OR(#REF!=0,#REF!=""),"",#REF!))</f>
        <v>#REF!</v>
      </c>
      <c r="CX36" s="200" t="str">
        <f t="shared" si="48"/>
        <v/>
      </c>
      <c r="CY36" s="201" t="str">
        <f t="shared" si="48"/>
        <v>---</v>
      </c>
      <c r="CZ36" s="202"/>
      <c r="DA36" s="222" t="str">
        <f t="shared" si="49"/>
        <v/>
      </c>
      <c r="DB36" s="199" t="str">
        <f t="shared" si="50"/>
        <v/>
      </c>
      <c r="DC36" s="198" t="str">
        <f t="shared" si="51"/>
        <v/>
      </c>
      <c r="DD36" s="138" t="str">
        <f t="shared" si="52"/>
        <v/>
      </c>
      <c r="DE36" s="211" t="str">
        <f t="shared" si="53"/>
        <v/>
      </c>
      <c r="DF36" s="212" t="str">
        <f t="shared" si="54"/>
        <v/>
      </c>
      <c r="DG36" s="213" t="str">
        <f t="shared" si="55"/>
        <v/>
      </c>
      <c r="DH36" s="138" t="str">
        <f t="shared" si="56"/>
        <v/>
      </c>
      <c r="DI36" s="199" t="e">
        <f>IF(#REF!="Plato perforado","PP",IF(OR(#REF!=0,#REF!=""),"",#REF!))</f>
        <v>#REF!</v>
      </c>
      <c r="DJ36" s="200" t="str">
        <f t="shared" si="57"/>
        <v/>
      </c>
      <c r="DK36" s="201" t="str">
        <f t="shared" si="57"/>
        <v>---</v>
      </c>
      <c r="DL36" s="202"/>
      <c r="DM36" s="222" t="str">
        <f t="shared" si="58"/>
        <v/>
      </c>
      <c r="DN36" s="199" t="str">
        <f t="shared" si="59"/>
        <v/>
      </c>
      <c r="DO36" s="198" t="str">
        <f t="shared" si="60"/>
        <v/>
      </c>
      <c r="DP36" s="138" t="str">
        <f t="shared" si="61"/>
        <v/>
      </c>
      <c r="DQ36" s="211" t="str">
        <f t="shared" si="62"/>
        <v/>
      </c>
      <c r="DR36" s="212" t="str">
        <f t="shared" si="63"/>
        <v/>
      </c>
      <c r="DS36" s="213" t="str">
        <f t="shared" si="64"/>
        <v/>
      </c>
      <c r="DT36" s="138" t="str">
        <f t="shared" si="65"/>
        <v/>
      </c>
      <c r="DU36" s="199" t="e">
        <f>IF(#REF!="Plato perforado","PP",IF(OR(#REF!=0,#REF!=""),"",#REF!))</f>
        <v>#REF!</v>
      </c>
      <c r="DV36" s="200" t="str">
        <f t="shared" si="66"/>
        <v/>
      </c>
      <c r="DW36" s="201" t="str">
        <f t="shared" si="66"/>
        <v>---</v>
      </c>
      <c r="DX36" s="202"/>
      <c r="DY36" s="222" t="str">
        <f t="shared" si="67"/>
        <v/>
      </c>
      <c r="DZ36" s="199" t="str">
        <f t="shared" si="68"/>
        <v/>
      </c>
      <c r="EA36" s="198" t="str">
        <f t="shared" si="69"/>
        <v/>
      </c>
      <c r="EB36" s="138" t="str">
        <f t="shared" si="70"/>
        <v/>
      </c>
      <c r="EC36" s="211" t="str">
        <f t="shared" si="71"/>
        <v/>
      </c>
      <c r="ED36" s="212" t="str">
        <f t="shared" si="72"/>
        <v/>
      </c>
      <c r="EE36" s="213" t="str">
        <f t="shared" si="73"/>
        <v/>
      </c>
      <c r="EF36" s="138" t="str">
        <f t="shared" si="74"/>
        <v/>
      </c>
      <c r="EG36" s="199" t="e">
        <f>IF(#REF!="Plato perforado","PP",IF(OR(#REF!=0,#REF!=""),"",#REF!))</f>
        <v>#REF!</v>
      </c>
      <c r="EH36" s="200" t="str">
        <f t="shared" si="75"/>
        <v/>
      </c>
      <c r="EI36" s="201" t="str">
        <f t="shared" si="75"/>
        <v>---</v>
      </c>
      <c r="EJ36" s="229"/>
    </row>
    <row r="37" spans="1:140" x14ac:dyDescent="0.3">
      <c r="A37" s="431">
        <v>4</v>
      </c>
      <c r="B37" s="260"/>
      <c r="C37" s="261">
        <f t="shared" si="0"/>
        <v>2</v>
      </c>
      <c r="D37" s="371"/>
      <c r="E37" s="262"/>
      <c r="F37" s="261" t="str">
        <f t="shared" si="1"/>
        <v/>
      </c>
      <c r="G37" s="263" t="str">
        <f t="shared" si="1"/>
        <v/>
      </c>
      <c r="H37" s="264" t="str">
        <f t="shared" si="2"/>
        <v/>
      </c>
      <c r="I37" s="265" t="str">
        <f t="shared" si="3"/>
        <v/>
      </c>
      <c r="J37" s="264" t="str">
        <f t="shared" si="4"/>
        <v/>
      </c>
      <c r="K37" s="264">
        <f t="shared" si="5"/>
        <v>0</v>
      </c>
      <c r="L37" s="266"/>
      <c r="M37" s="267">
        <f t="shared" si="6"/>
        <v>1</v>
      </c>
      <c r="N37" s="465" t="str">
        <f t="shared" si="7"/>
        <v/>
      </c>
      <c r="O37" s="297" t="str">
        <f t="shared" si="8"/>
        <v/>
      </c>
      <c r="P37" s="467" t="str">
        <f t="shared" si="9"/>
        <v/>
      </c>
      <c r="Q37" s="268" t="str">
        <f t="shared" si="24"/>
        <v/>
      </c>
      <c r="R37" s="270" t="str">
        <f t="shared" si="10"/>
        <v/>
      </c>
      <c r="S37" s="271" t="str">
        <f t="shared" si="11"/>
        <v>---</v>
      </c>
      <c r="V37" s="3" t="str">
        <f>IFERROR(VALUE(TEXT(C37,"00")&amp;TEXT(N37,"00")&amp;TEXT(P37,"00")&amp;IF(#REF!="Plato perforado",5,IF(OR(#REF!="N/A",#REF!=""),0,#REF!))),"")</f>
        <v/>
      </c>
      <c r="W37" s="3">
        <v>6</v>
      </c>
      <c r="X37" s="3">
        <v>6</v>
      </c>
      <c r="Y37" s="3">
        <v>4</v>
      </c>
      <c r="AY37" s="187"/>
      <c r="AZ37" s="175" t="str">
        <f t="shared" si="76"/>
        <v>Difusores de 6" × 6" de 4 vías:</v>
      </c>
      <c r="BA37" s="174">
        <f t="shared" si="25"/>
        <v>0</v>
      </c>
      <c r="BB37" s="187"/>
      <c r="BC37" s="103" t="str">
        <f t="shared" si="12"/>
        <v/>
      </c>
      <c r="BD37" s="103" t="str">
        <f t="shared" si="13"/>
        <v/>
      </c>
      <c r="BE37" s="103" t="e">
        <f t="shared" si="14"/>
        <v>#VALUE!</v>
      </c>
      <c r="BF37" s="181">
        <v>6</v>
      </c>
      <c r="BG37" s="181">
        <v>12</v>
      </c>
      <c r="BH37" s="184">
        <f t="shared" si="26"/>
        <v>0.5</v>
      </c>
      <c r="BI37" s="185">
        <f t="shared" si="15"/>
        <v>275</v>
      </c>
      <c r="BJ37" s="185">
        <f t="shared" si="16"/>
        <v>0.5</v>
      </c>
      <c r="BK37" s="103">
        <f t="shared" si="27"/>
        <v>612</v>
      </c>
      <c r="BL37" s="103" t="e">
        <v>#VALUE!</v>
      </c>
      <c r="BM37" s="103">
        <v>6</v>
      </c>
      <c r="BN37" s="103">
        <v>12</v>
      </c>
      <c r="BO37" s="103">
        <v>6</v>
      </c>
      <c r="BP37" s="103">
        <f t="shared" si="28"/>
        <v>612</v>
      </c>
      <c r="BQ37" s="103">
        <f t="shared" si="28"/>
        <v>1206</v>
      </c>
      <c r="BR37" s="173" t="str">
        <f t="shared" si="29"/>
        <v>Rejillas de 6" × 12":</v>
      </c>
      <c r="BS37" s="180">
        <f t="shared" si="17"/>
        <v>0</v>
      </c>
      <c r="BT37" s="180">
        <f t="shared" si="18"/>
        <v>0</v>
      </c>
      <c r="BU37" s="180">
        <f t="shared" si="30"/>
        <v>0</v>
      </c>
      <c r="BV37" s="187"/>
      <c r="BW37" s="103">
        <f t="shared" si="19"/>
        <v>0</v>
      </c>
      <c r="BX37" s="173" t="str">
        <f t="shared" si="20"/>
        <v>Rejillas de 14" × 22":</v>
      </c>
      <c r="BY37" s="180">
        <f t="shared" si="21"/>
        <v>0</v>
      </c>
      <c r="BZ37" s="180">
        <f t="shared" si="22"/>
        <v>0</v>
      </c>
      <c r="CA37" s="180">
        <f t="shared" si="23"/>
        <v>0</v>
      </c>
      <c r="CB37" s="187"/>
      <c r="CC37" s="222" t="str">
        <f t="shared" si="31"/>
        <v/>
      </c>
      <c r="CD37" s="218" t="str">
        <f t="shared" si="32"/>
        <v/>
      </c>
      <c r="CE37" s="198" t="str">
        <f t="shared" si="33"/>
        <v/>
      </c>
      <c r="CF37" s="138" t="str">
        <f t="shared" si="34"/>
        <v/>
      </c>
      <c r="CG37" s="211" t="str">
        <f t="shared" si="35"/>
        <v/>
      </c>
      <c r="CH37" s="212" t="str">
        <f t="shared" si="36"/>
        <v/>
      </c>
      <c r="CI37" s="213" t="str">
        <f t="shared" si="37"/>
        <v/>
      </c>
      <c r="CJ37" s="138" t="str">
        <f t="shared" si="38"/>
        <v/>
      </c>
      <c r="CK37" s="199" t="e">
        <f>IF(#REF!="Plato perforado","PP",IF(OR(#REF!=0,#REF!=""),"",#REF!))</f>
        <v>#REF!</v>
      </c>
      <c r="CL37" s="200" t="str">
        <f t="shared" si="39"/>
        <v/>
      </c>
      <c r="CM37" s="201" t="str">
        <f t="shared" si="39"/>
        <v>---</v>
      </c>
      <c r="CN37" s="202"/>
      <c r="CO37" s="222" t="str">
        <f t="shared" si="40"/>
        <v/>
      </c>
      <c r="CP37" s="199" t="str">
        <f t="shared" si="41"/>
        <v/>
      </c>
      <c r="CQ37" s="198" t="str">
        <f t="shared" si="42"/>
        <v/>
      </c>
      <c r="CR37" s="138" t="str">
        <f t="shared" si="43"/>
        <v/>
      </c>
      <c r="CS37" s="211" t="str">
        <f t="shared" si="44"/>
        <v/>
      </c>
      <c r="CT37" s="212" t="str">
        <f t="shared" si="45"/>
        <v/>
      </c>
      <c r="CU37" s="213" t="str">
        <f t="shared" si="46"/>
        <v/>
      </c>
      <c r="CV37" s="138" t="str">
        <f t="shared" si="47"/>
        <v/>
      </c>
      <c r="CW37" s="199" t="e">
        <f>IF(#REF!="Plato perforado","PP",IF(OR(#REF!=0,#REF!=""),"",#REF!))</f>
        <v>#REF!</v>
      </c>
      <c r="CX37" s="200" t="str">
        <f t="shared" si="48"/>
        <v/>
      </c>
      <c r="CY37" s="201" t="str">
        <f t="shared" si="48"/>
        <v>---</v>
      </c>
      <c r="CZ37" s="202"/>
      <c r="DA37" s="222" t="str">
        <f t="shared" si="49"/>
        <v/>
      </c>
      <c r="DB37" s="199" t="str">
        <f t="shared" si="50"/>
        <v/>
      </c>
      <c r="DC37" s="198" t="str">
        <f t="shared" si="51"/>
        <v/>
      </c>
      <c r="DD37" s="138" t="str">
        <f t="shared" si="52"/>
        <v/>
      </c>
      <c r="DE37" s="211" t="str">
        <f t="shared" si="53"/>
        <v/>
      </c>
      <c r="DF37" s="212" t="str">
        <f t="shared" si="54"/>
        <v/>
      </c>
      <c r="DG37" s="213" t="str">
        <f t="shared" si="55"/>
        <v/>
      </c>
      <c r="DH37" s="138" t="str">
        <f t="shared" si="56"/>
        <v/>
      </c>
      <c r="DI37" s="199" t="e">
        <f>IF(#REF!="Plato perforado","PP",IF(OR(#REF!=0,#REF!=""),"",#REF!))</f>
        <v>#REF!</v>
      </c>
      <c r="DJ37" s="200" t="str">
        <f t="shared" si="57"/>
        <v/>
      </c>
      <c r="DK37" s="201" t="str">
        <f t="shared" si="57"/>
        <v>---</v>
      </c>
      <c r="DL37" s="202"/>
      <c r="DM37" s="222" t="str">
        <f t="shared" si="58"/>
        <v/>
      </c>
      <c r="DN37" s="199" t="str">
        <f t="shared" si="59"/>
        <v/>
      </c>
      <c r="DO37" s="198" t="str">
        <f t="shared" si="60"/>
        <v/>
      </c>
      <c r="DP37" s="138" t="str">
        <f t="shared" si="61"/>
        <v/>
      </c>
      <c r="DQ37" s="211" t="str">
        <f t="shared" si="62"/>
        <v/>
      </c>
      <c r="DR37" s="212" t="str">
        <f t="shared" si="63"/>
        <v/>
      </c>
      <c r="DS37" s="213" t="str">
        <f t="shared" si="64"/>
        <v/>
      </c>
      <c r="DT37" s="138" t="str">
        <f t="shared" si="65"/>
        <v/>
      </c>
      <c r="DU37" s="199" t="e">
        <f>IF(#REF!="Plato perforado","PP",IF(OR(#REF!=0,#REF!=""),"",#REF!))</f>
        <v>#REF!</v>
      </c>
      <c r="DV37" s="200" t="str">
        <f t="shared" si="66"/>
        <v/>
      </c>
      <c r="DW37" s="201" t="str">
        <f t="shared" si="66"/>
        <v>---</v>
      </c>
      <c r="DX37" s="202"/>
      <c r="DY37" s="222" t="str">
        <f t="shared" si="67"/>
        <v/>
      </c>
      <c r="DZ37" s="199" t="str">
        <f t="shared" si="68"/>
        <v/>
      </c>
      <c r="EA37" s="198" t="str">
        <f t="shared" si="69"/>
        <v/>
      </c>
      <c r="EB37" s="138" t="str">
        <f t="shared" si="70"/>
        <v/>
      </c>
      <c r="EC37" s="211" t="str">
        <f t="shared" si="71"/>
        <v/>
      </c>
      <c r="ED37" s="212" t="str">
        <f t="shared" si="72"/>
        <v/>
      </c>
      <c r="EE37" s="213" t="str">
        <f t="shared" si="73"/>
        <v/>
      </c>
      <c r="EF37" s="138" t="str">
        <f t="shared" si="74"/>
        <v/>
      </c>
      <c r="EG37" s="199" t="e">
        <f>IF(#REF!="Plato perforado","PP",IF(OR(#REF!=0,#REF!=""),"",#REF!))</f>
        <v>#REF!</v>
      </c>
      <c r="EH37" s="200" t="str">
        <f t="shared" si="75"/>
        <v/>
      </c>
      <c r="EI37" s="201" t="str">
        <f t="shared" si="75"/>
        <v>---</v>
      </c>
      <c r="EJ37" s="229"/>
    </row>
    <row r="38" spans="1:140" x14ac:dyDescent="0.3">
      <c r="A38" s="431">
        <v>5</v>
      </c>
      <c r="B38" s="272"/>
      <c r="C38" s="273">
        <f t="shared" si="0"/>
        <v>2</v>
      </c>
      <c r="D38" s="372"/>
      <c r="E38" s="274"/>
      <c r="F38" s="273" t="str">
        <f t="shared" si="1"/>
        <v/>
      </c>
      <c r="G38" s="275" t="str">
        <f t="shared" si="1"/>
        <v/>
      </c>
      <c r="H38" s="276" t="str">
        <f t="shared" si="2"/>
        <v/>
      </c>
      <c r="I38" s="277" t="str">
        <f t="shared" si="3"/>
        <v/>
      </c>
      <c r="J38" s="276" t="str">
        <f t="shared" si="4"/>
        <v/>
      </c>
      <c r="K38" s="276">
        <f t="shared" si="5"/>
        <v>0</v>
      </c>
      <c r="L38" s="278"/>
      <c r="M38" s="279">
        <f t="shared" si="6"/>
        <v>1</v>
      </c>
      <c r="N38" s="360" t="str">
        <f t="shared" si="7"/>
        <v/>
      </c>
      <c r="O38" s="117" t="str">
        <f t="shared" si="8"/>
        <v/>
      </c>
      <c r="P38" s="359" t="str">
        <f t="shared" si="9"/>
        <v/>
      </c>
      <c r="Q38" s="280" t="str">
        <f t="shared" si="24"/>
        <v/>
      </c>
      <c r="R38" s="282" t="str">
        <f t="shared" si="10"/>
        <v/>
      </c>
      <c r="S38" s="283" t="str">
        <f t="shared" si="11"/>
        <v>---</v>
      </c>
      <c r="V38" s="3" t="str">
        <f>IFERROR(VALUE(TEXT(C38,"00")&amp;TEXT(N38,"00")&amp;TEXT(P38,"00")&amp;IF(#REF!="Plato perforado",5,IF(OR(#REF!="N/A",#REF!=""),0,#REF!))),"")</f>
        <v/>
      </c>
      <c r="W38" s="3">
        <v>6</v>
      </c>
      <c r="X38" s="3">
        <v>6</v>
      </c>
      <c r="Y38" s="3" t="s">
        <v>178</v>
      </c>
      <c r="AY38" s="187"/>
      <c r="AZ38" s="175" t="str">
        <f>"Difusores de "&amp;W38&amp;""""&amp;" × "&amp;X38&amp;""""&amp;" de "&amp;Y38</f>
        <v>Difusores de 6" × 6" de plato perforado:</v>
      </c>
      <c r="BA38" s="174">
        <f t="shared" si="25"/>
        <v>0</v>
      </c>
      <c r="BB38" s="187"/>
      <c r="BC38" s="103" t="str">
        <f t="shared" si="12"/>
        <v/>
      </c>
      <c r="BD38" s="103" t="str">
        <f t="shared" si="13"/>
        <v/>
      </c>
      <c r="BE38" s="103" t="e">
        <f t="shared" si="14"/>
        <v>#VALUE!</v>
      </c>
      <c r="BF38" s="181">
        <v>6</v>
      </c>
      <c r="BG38" s="181">
        <v>14</v>
      </c>
      <c r="BH38" s="184">
        <f t="shared" si="26"/>
        <v>0.58333333333333337</v>
      </c>
      <c r="BI38" s="185">
        <f t="shared" si="15"/>
        <v>320.83333333333337</v>
      </c>
      <c r="BJ38" s="185">
        <f t="shared" si="16"/>
        <v>0.42857142857142855</v>
      </c>
      <c r="BK38" s="103">
        <f t="shared" si="27"/>
        <v>614</v>
      </c>
      <c r="BL38" s="103" t="e">
        <v>#VALUE!</v>
      </c>
      <c r="BM38" s="103">
        <v>6</v>
      </c>
      <c r="BN38" s="103">
        <v>14</v>
      </c>
      <c r="BO38" s="103">
        <v>6</v>
      </c>
      <c r="BP38" s="103">
        <f t="shared" si="28"/>
        <v>614</v>
      </c>
      <c r="BQ38" s="103">
        <f t="shared" si="28"/>
        <v>1406</v>
      </c>
      <c r="BR38" s="173" t="str">
        <f t="shared" si="29"/>
        <v>Rejillas de 6" × 14":</v>
      </c>
      <c r="BS38" s="180">
        <f t="shared" si="17"/>
        <v>0</v>
      </c>
      <c r="BT38" s="180">
        <f t="shared" si="18"/>
        <v>0</v>
      </c>
      <c r="BU38" s="180">
        <f t="shared" si="30"/>
        <v>0</v>
      </c>
      <c r="BV38" s="187"/>
      <c r="BW38" s="103">
        <f t="shared" si="19"/>
        <v>0</v>
      </c>
      <c r="BX38" s="173" t="str">
        <f t="shared" si="20"/>
        <v>Rejillas de 14" × 24":</v>
      </c>
      <c r="BY38" s="180">
        <f t="shared" si="21"/>
        <v>0</v>
      </c>
      <c r="BZ38" s="180">
        <f t="shared" si="22"/>
        <v>0</v>
      </c>
      <c r="CA38" s="180">
        <f t="shared" si="23"/>
        <v>0</v>
      </c>
      <c r="CB38" s="187"/>
      <c r="CC38" s="222" t="str">
        <f t="shared" si="31"/>
        <v/>
      </c>
      <c r="CD38" s="218" t="str">
        <f t="shared" si="32"/>
        <v/>
      </c>
      <c r="CE38" s="198" t="str">
        <f t="shared" si="33"/>
        <v/>
      </c>
      <c r="CF38" s="138" t="str">
        <f t="shared" si="34"/>
        <v/>
      </c>
      <c r="CG38" s="211" t="str">
        <f t="shared" si="35"/>
        <v/>
      </c>
      <c r="CH38" s="212" t="str">
        <f t="shared" si="36"/>
        <v/>
      </c>
      <c r="CI38" s="213" t="str">
        <f t="shared" si="37"/>
        <v/>
      </c>
      <c r="CJ38" s="138" t="str">
        <f t="shared" si="38"/>
        <v/>
      </c>
      <c r="CK38" s="199" t="e">
        <f>IF(#REF!="Plato perforado","PP",IF(OR(#REF!=0,#REF!=""),"",#REF!))</f>
        <v>#REF!</v>
      </c>
      <c r="CL38" s="200" t="str">
        <f t="shared" si="39"/>
        <v/>
      </c>
      <c r="CM38" s="201" t="str">
        <f t="shared" si="39"/>
        <v>---</v>
      </c>
      <c r="CN38" s="202"/>
      <c r="CO38" s="222" t="str">
        <f t="shared" si="40"/>
        <v/>
      </c>
      <c r="CP38" s="199" t="str">
        <f t="shared" si="41"/>
        <v/>
      </c>
      <c r="CQ38" s="198" t="str">
        <f t="shared" si="42"/>
        <v/>
      </c>
      <c r="CR38" s="138" t="str">
        <f t="shared" si="43"/>
        <v/>
      </c>
      <c r="CS38" s="211" t="str">
        <f t="shared" si="44"/>
        <v/>
      </c>
      <c r="CT38" s="212" t="str">
        <f t="shared" si="45"/>
        <v/>
      </c>
      <c r="CU38" s="213" t="str">
        <f t="shared" si="46"/>
        <v/>
      </c>
      <c r="CV38" s="138" t="str">
        <f t="shared" si="47"/>
        <v/>
      </c>
      <c r="CW38" s="199" t="e">
        <f>IF(#REF!="Plato perforado","PP",IF(OR(#REF!=0,#REF!=""),"",#REF!))</f>
        <v>#REF!</v>
      </c>
      <c r="CX38" s="200" t="str">
        <f t="shared" si="48"/>
        <v/>
      </c>
      <c r="CY38" s="201" t="str">
        <f t="shared" si="48"/>
        <v>---</v>
      </c>
      <c r="CZ38" s="202"/>
      <c r="DA38" s="222" t="str">
        <f t="shared" si="49"/>
        <v/>
      </c>
      <c r="DB38" s="199" t="str">
        <f t="shared" si="50"/>
        <v/>
      </c>
      <c r="DC38" s="198" t="str">
        <f t="shared" si="51"/>
        <v/>
      </c>
      <c r="DD38" s="138" t="str">
        <f t="shared" si="52"/>
        <v/>
      </c>
      <c r="DE38" s="211" t="str">
        <f t="shared" si="53"/>
        <v/>
      </c>
      <c r="DF38" s="212" t="str">
        <f t="shared" si="54"/>
        <v/>
      </c>
      <c r="DG38" s="213" t="str">
        <f t="shared" si="55"/>
        <v/>
      </c>
      <c r="DH38" s="138" t="str">
        <f t="shared" si="56"/>
        <v/>
      </c>
      <c r="DI38" s="199" t="e">
        <f>IF(#REF!="Plato perforado","PP",IF(OR(#REF!=0,#REF!=""),"",#REF!))</f>
        <v>#REF!</v>
      </c>
      <c r="DJ38" s="200" t="str">
        <f t="shared" si="57"/>
        <v/>
      </c>
      <c r="DK38" s="201" t="str">
        <f t="shared" si="57"/>
        <v>---</v>
      </c>
      <c r="DL38" s="202"/>
      <c r="DM38" s="222" t="str">
        <f t="shared" si="58"/>
        <v/>
      </c>
      <c r="DN38" s="199" t="str">
        <f t="shared" si="59"/>
        <v/>
      </c>
      <c r="DO38" s="198" t="str">
        <f t="shared" si="60"/>
        <v/>
      </c>
      <c r="DP38" s="138" t="str">
        <f t="shared" si="61"/>
        <v/>
      </c>
      <c r="DQ38" s="211" t="str">
        <f t="shared" si="62"/>
        <v/>
      </c>
      <c r="DR38" s="212" t="str">
        <f t="shared" si="63"/>
        <v/>
      </c>
      <c r="DS38" s="213" t="str">
        <f t="shared" si="64"/>
        <v/>
      </c>
      <c r="DT38" s="138" t="str">
        <f t="shared" si="65"/>
        <v/>
      </c>
      <c r="DU38" s="199" t="e">
        <f>IF(#REF!="Plato perforado","PP",IF(OR(#REF!=0,#REF!=""),"",#REF!))</f>
        <v>#REF!</v>
      </c>
      <c r="DV38" s="200" t="str">
        <f t="shared" si="66"/>
        <v/>
      </c>
      <c r="DW38" s="201" t="str">
        <f t="shared" si="66"/>
        <v>---</v>
      </c>
      <c r="DX38" s="202"/>
      <c r="DY38" s="222" t="str">
        <f t="shared" si="67"/>
        <v/>
      </c>
      <c r="DZ38" s="199" t="str">
        <f t="shared" si="68"/>
        <v/>
      </c>
      <c r="EA38" s="198" t="str">
        <f t="shared" si="69"/>
        <v/>
      </c>
      <c r="EB38" s="138" t="str">
        <f t="shared" si="70"/>
        <v/>
      </c>
      <c r="EC38" s="211" t="str">
        <f t="shared" si="71"/>
        <v/>
      </c>
      <c r="ED38" s="212" t="str">
        <f t="shared" si="72"/>
        <v/>
      </c>
      <c r="EE38" s="213" t="str">
        <f t="shared" si="73"/>
        <v/>
      </c>
      <c r="EF38" s="138" t="str">
        <f t="shared" si="74"/>
        <v/>
      </c>
      <c r="EG38" s="199" t="e">
        <f>IF(#REF!="Plato perforado","PP",IF(OR(#REF!=0,#REF!=""),"",#REF!))</f>
        <v>#REF!</v>
      </c>
      <c r="EH38" s="200" t="str">
        <f t="shared" si="75"/>
        <v/>
      </c>
      <c r="EI38" s="201" t="str">
        <f t="shared" si="75"/>
        <v>---</v>
      </c>
      <c r="EJ38" s="229"/>
    </row>
    <row r="39" spans="1:140" x14ac:dyDescent="0.3">
      <c r="A39" s="431">
        <v>6</v>
      </c>
      <c r="B39" s="284"/>
      <c r="C39" s="285">
        <f t="shared" si="0"/>
        <v>2</v>
      </c>
      <c r="D39" s="373"/>
      <c r="E39" s="286"/>
      <c r="F39" s="285" t="str">
        <f t="shared" si="1"/>
        <v/>
      </c>
      <c r="G39" s="287" t="str">
        <f t="shared" si="1"/>
        <v/>
      </c>
      <c r="H39" s="288" t="str">
        <f t="shared" si="2"/>
        <v/>
      </c>
      <c r="I39" s="289" t="str">
        <f t="shared" si="3"/>
        <v/>
      </c>
      <c r="J39" s="288" t="str">
        <f t="shared" si="4"/>
        <v/>
      </c>
      <c r="K39" s="288">
        <f t="shared" si="5"/>
        <v>0</v>
      </c>
      <c r="L39" s="290"/>
      <c r="M39" s="291">
        <f t="shared" si="6"/>
        <v>1</v>
      </c>
      <c r="N39" s="466" t="str">
        <f t="shared" si="7"/>
        <v/>
      </c>
      <c r="O39" s="302" t="str">
        <f t="shared" si="8"/>
        <v/>
      </c>
      <c r="P39" s="468" t="str">
        <f t="shared" si="9"/>
        <v/>
      </c>
      <c r="Q39" s="292" t="str">
        <f t="shared" si="24"/>
        <v/>
      </c>
      <c r="R39" s="294" t="str">
        <f t="shared" si="10"/>
        <v/>
      </c>
      <c r="S39" s="295" t="str">
        <f t="shared" si="11"/>
        <v>---</v>
      </c>
      <c r="V39" s="3" t="str">
        <f>IFERROR(VALUE(TEXT(C39,"00")&amp;TEXT(N39,"00")&amp;TEXT(P39,"00")&amp;IF(#REF!="Plato perforado",5,IF(OR(#REF!="N/A",#REF!=""),0,#REF!))),"")</f>
        <v/>
      </c>
      <c r="W39" s="3">
        <v>6</v>
      </c>
      <c r="X39" s="3">
        <v>6</v>
      </c>
      <c r="Y39" s="3" t="s">
        <v>179</v>
      </c>
      <c r="AY39" s="187"/>
      <c r="AZ39" s="176" t="str">
        <f>"Difusores de "&amp;W39&amp;""""&amp;" × "&amp;X39&amp;""""&amp;Y39</f>
        <v>Difusores de 6" × 6", número de vías por definir:</v>
      </c>
      <c r="BA39" s="174">
        <f t="shared" si="25"/>
        <v>0</v>
      </c>
      <c r="BB39" s="187"/>
      <c r="BC39" s="103" t="str">
        <f t="shared" si="12"/>
        <v/>
      </c>
      <c r="BD39" s="103" t="str">
        <f t="shared" si="13"/>
        <v/>
      </c>
      <c r="BE39" s="103" t="e">
        <f t="shared" si="14"/>
        <v>#VALUE!</v>
      </c>
      <c r="BF39" s="181">
        <v>8</v>
      </c>
      <c r="BG39" s="181">
        <v>6</v>
      </c>
      <c r="BH39" s="184">
        <f t="shared" si="26"/>
        <v>0.33333333333333331</v>
      </c>
      <c r="BI39" s="185">
        <f t="shared" si="15"/>
        <v>183.33333333333331</v>
      </c>
      <c r="BJ39" s="185">
        <f t="shared" si="16"/>
        <v>1.3333333333333333</v>
      </c>
      <c r="BK39" s="103">
        <f t="shared" si="27"/>
        <v>806</v>
      </c>
      <c r="BL39" s="103" t="e">
        <v>#VALUE!</v>
      </c>
      <c r="BM39" s="103">
        <v>8</v>
      </c>
      <c r="BN39" s="103">
        <v>8</v>
      </c>
      <c r="BO39" s="103">
        <v>8</v>
      </c>
      <c r="BP39" s="103">
        <f t="shared" si="28"/>
        <v>808</v>
      </c>
      <c r="BQ39" s="103">
        <f t="shared" si="28"/>
        <v>808</v>
      </c>
      <c r="BR39" s="173" t="str">
        <f t="shared" si="29"/>
        <v>Rejillas de 8" × 8":</v>
      </c>
      <c r="BS39" s="180">
        <f t="shared" si="17"/>
        <v>0</v>
      </c>
      <c r="BT39" s="180">
        <f t="shared" si="18"/>
        <v>0</v>
      </c>
      <c r="BU39" s="180">
        <f t="shared" si="30"/>
        <v>0</v>
      </c>
      <c r="BV39" s="187"/>
      <c r="BW39" s="103">
        <f t="shared" si="19"/>
        <v>0</v>
      </c>
      <c r="BX39" s="173" t="str">
        <f t="shared" si="20"/>
        <v>Rejillas de 14" × 26":</v>
      </c>
      <c r="BY39" s="180">
        <f t="shared" si="21"/>
        <v>0</v>
      </c>
      <c r="BZ39" s="180">
        <f t="shared" si="22"/>
        <v>0</v>
      </c>
      <c r="CA39" s="180">
        <f t="shared" si="23"/>
        <v>0</v>
      </c>
      <c r="CB39" s="187"/>
      <c r="CC39" s="222" t="str">
        <f t="shared" si="31"/>
        <v/>
      </c>
      <c r="CD39" s="218" t="str">
        <f t="shared" si="32"/>
        <v/>
      </c>
      <c r="CE39" s="198" t="str">
        <f t="shared" si="33"/>
        <v/>
      </c>
      <c r="CF39" s="138" t="str">
        <f t="shared" si="34"/>
        <v/>
      </c>
      <c r="CG39" s="211" t="str">
        <f t="shared" si="35"/>
        <v/>
      </c>
      <c r="CH39" s="212" t="str">
        <f t="shared" si="36"/>
        <v/>
      </c>
      <c r="CI39" s="213" t="str">
        <f t="shared" si="37"/>
        <v/>
      </c>
      <c r="CJ39" s="138" t="str">
        <f t="shared" si="38"/>
        <v/>
      </c>
      <c r="CK39" s="199" t="e">
        <f>IF(#REF!="Plato perforado","PP",IF(OR(#REF!=0,#REF!=""),"",#REF!))</f>
        <v>#REF!</v>
      </c>
      <c r="CL39" s="200" t="str">
        <f t="shared" si="39"/>
        <v/>
      </c>
      <c r="CM39" s="201" t="str">
        <f t="shared" si="39"/>
        <v>---</v>
      </c>
      <c r="CN39" s="202"/>
      <c r="CO39" s="222" t="str">
        <f t="shared" si="40"/>
        <v/>
      </c>
      <c r="CP39" s="199" t="str">
        <f t="shared" si="41"/>
        <v/>
      </c>
      <c r="CQ39" s="198" t="str">
        <f t="shared" si="42"/>
        <v/>
      </c>
      <c r="CR39" s="138" t="str">
        <f t="shared" si="43"/>
        <v/>
      </c>
      <c r="CS39" s="211" t="str">
        <f t="shared" si="44"/>
        <v/>
      </c>
      <c r="CT39" s="212" t="str">
        <f t="shared" si="45"/>
        <v/>
      </c>
      <c r="CU39" s="213" t="str">
        <f t="shared" si="46"/>
        <v/>
      </c>
      <c r="CV39" s="138" t="str">
        <f t="shared" si="47"/>
        <v/>
      </c>
      <c r="CW39" s="199" t="e">
        <f>IF(#REF!="Plato perforado","PP",IF(OR(#REF!=0,#REF!=""),"",#REF!))</f>
        <v>#REF!</v>
      </c>
      <c r="CX39" s="200" t="str">
        <f t="shared" si="48"/>
        <v/>
      </c>
      <c r="CY39" s="201" t="str">
        <f t="shared" si="48"/>
        <v>---</v>
      </c>
      <c r="CZ39" s="202"/>
      <c r="DA39" s="222" t="str">
        <f t="shared" si="49"/>
        <v/>
      </c>
      <c r="DB39" s="199" t="str">
        <f t="shared" si="50"/>
        <v/>
      </c>
      <c r="DC39" s="198" t="str">
        <f t="shared" si="51"/>
        <v/>
      </c>
      <c r="DD39" s="138" t="str">
        <f t="shared" si="52"/>
        <v/>
      </c>
      <c r="DE39" s="211" t="str">
        <f t="shared" si="53"/>
        <v/>
      </c>
      <c r="DF39" s="212" t="str">
        <f t="shared" si="54"/>
        <v/>
      </c>
      <c r="DG39" s="213" t="str">
        <f t="shared" si="55"/>
        <v/>
      </c>
      <c r="DH39" s="138" t="str">
        <f t="shared" si="56"/>
        <v/>
      </c>
      <c r="DI39" s="199" t="e">
        <f>IF(#REF!="Plato perforado","PP",IF(OR(#REF!=0,#REF!=""),"",#REF!))</f>
        <v>#REF!</v>
      </c>
      <c r="DJ39" s="200" t="str">
        <f t="shared" si="57"/>
        <v/>
      </c>
      <c r="DK39" s="201" t="str">
        <f t="shared" si="57"/>
        <v>---</v>
      </c>
      <c r="DL39" s="202"/>
      <c r="DM39" s="222" t="str">
        <f t="shared" si="58"/>
        <v/>
      </c>
      <c r="DN39" s="199" t="str">
        <f t="shared" si="59"/>
        <v/>
      </c>
      <c r="DO39" s="198" t="str">
        <f t="shared" si="60"/>
        <v/>
      </c>
      <c r="DP39" s="138" t="str">
        <f t="shared" si="61"/>
        <v/>
      </c>
      <c r="DQ39" s="211" t="str">
        <f t="shared" si="62"/>
        <v/>
      </c>
      <c r="DR39" s="212" t="str">
        <f t="shared" si="63"/>
        <v/>
      </c>
      <c r="DS39" s="213" t="str">
        <f t="shared" si="64"/>
        <v/>
      </c>
      <c r="DT39" s="138" t="str">
        <f t="shared" si="65"/>
        <v/>
      </c>
      <c r="DU39" s="199" t="e">
        <f>IF(#REF!="Plato perforado","PP",IF(OR(#REF!=0,#REF!=""),"",#REF!))</f>
        <v>#REF!</v>
      </c>
      <c r="DV39" s="200" t="str">
        <f t="shared" si="66"/>
        <v/>
      </c>
      <c r="DW39" s="201" t="str">
        <f t="shared" si="66"/>
        <v>---</v>
      </c>
      <c r="DX39" s="202"/>
      <c r="DY39" s="222" t="str">
        <f t="shared" si="67"/>
        <v/>
      </c>
      <c r="DZ39" s="199" t="str">
        <f t="shared" si="68"/>
        <v/>
      </c>
      <c r="EA39" s="198" t="str">
        <f t="shared" si="69"/>
        <v/>
      </c>
      <c r="EB39" s="138" t="str">
        <f t="shared" si="70"/>
        <v/>
      </c>
      <c r="EC39" s="211" t="str">
        <f t="shared" si="71"/>
        <v/>
      </c>
      <c r="ED39" s="212" t="str">
        <f t="shared" si="72"/>
        <v/>
      </c>
      <c r="EE39" s="213" t="str">
        <f t="shared" si="73"/>
        <v/>
      </c>
      <c r="EF39" s="138" t="str">
        <f t="shared" si="74"/>
        <v/>
      </c>
      <c r="EG39" s="199" t="e">
        <f>IF(#REF!="Plato perforado","PP",IF(OR(#REF!=0,#REF!=""),"",#REF!))</f>
        <v>#REF!</v>
      </c>
      <c r="EH39" s="200" t="str">
        <f t="shared" si="75"/>
        <v/>
      </c>
      <c r="EI39" s="201" t="str">
        <f t="shared" si="75"/>
        <v>---</v>
      </c>
      <c r="EJ39" s="229"/>
    </row>
    <row r="40" spans="1:140" x14ac:dyDescent="0.3">
      <c r="A40" s="431">
        <v>7</v>
      </c>
      <c r="B40" s="260"/>
      <c r="C40" s="261">
        <f t="shared" si="0"/>
        <v>2</v>
      </c>
      <c r="D40" s="371"/>
      <c r="E40" s="262"/>
      <c r="F40" s="261" t="str">
        <f t="shared" si="1"/>
        <v/>
      </c>
      <c r="G40" s="263" t="str">
        <f t="shared" si="1"/>
        <v/>
      </c>
      <c r="H40" s="264" t="str">
        <f t="shared" si="2"/>
        <v/>
      </c>
      <c r="I40" s="265" t="str">
        <f t="shared" si="3"/>
        <v/>
      </c>
      <c r="J40" s="264" t="str">
        <f t="shared" si="4"/>
        <v/>
      </c>
      <c r="K40" s="264">
        <f t="shared" si="5"/>
        <v>0</v>
      </c>
      <c r="L40" s="266"/>
      <c r="M40" s="267">
        <f t="shared" si="6"/>
        <v>1</v>
      </c>
      <c r="N40" s="465" t="str">
        <f t="shared" si="7"/>
        <v/>
      </c>
      <c r="O40" s="297" t="str">
        <f t="shared" si="8"/>
        <v/>
      </c>
      <c r="P40" s="467" t="str">
        <f t="shared" si="9"/>
        <v/>
      </c>
      <c r="Q40" s="268" t="str">
        <f t="shared" si="24"/>
        <v/>
      </c>
      <c r="R40" s="270" t="str">
        <f t="shared" si="10"/>
        <v/>
      </c>
      <c r="S40" s="271" t="str">
        <f t="shared" si="11"/>
        <v>---</v>
      </c>
      <c r="V40" s="3" t="str">
        <f>IFERROR(VALUE(TEXT(C40,"00")&amp;TEXT(N40,"00")&amp;TEXT(P40,"00")&amp;IF(#REF!="Plato perforado",5,IF(OR(#REF!="N/A",#REF!=""),0,#REF!))),"")</f>
        <v/>
      </c>
      <c r="W40" s="3">
        <v>9</v>
      </c>
      <c r="X40" s="3">
        <v>9</v>
      </c>
      <c r="Y40" s="3">
        <v>1</v>
      </c>
      <c r="AY40" s="187"/>
      <c r="AZ40" s="175" t="str">
        <f>"Difusores de "&amp;W40&amp;""""&amp;" × "&amp;X40&amp;""""&amp;" de "&amp;Y40&amp;" vía:"</f>
        <v>Difusores de 9" × 9" de 1 vía:</v>
      </c>
      <c r="BA40" s="174">
        <f t="shared" si="25"/>
        <v>0</v>
      </c>
      <c r="BB40" s="187"/>
      <c r="BC40" s="103" t="str">
        <f t="shared" si="12"/>
        <v/>
      </c>
      <c r="BD40" s="103" t="str">
        <f t="shared" si="13"/>
        <v/>
      </c>
      <c r="BE40" s="103" t="e">
        <f t="shared" si="14"/>
        <v>#VALUE!</v>
      </c>
      <c r="BF40" s="181">
        <v>8</v>
      </c>
      <c r="BG40" s="181">
        <v>8</v>
      </c>
      <c r="BH40" s="184">
        <f t="shared" si="26"/>
        <v>0.44444444444444442</v>
      </c>
      <c r="BI40" s="185">
        <f t="shared" si="15"/>
        <v>244.44444444444443</v>
      </c>
      <c r="BJ40" s="185">
        <f t="shared" si="16"/>
        <v>1</v>
      </c>
      <c r="BK40" s="103">
        <f t="shared" si="27"/>
        <v>808</v>
      </c>
      <c r="BL40" s="103" t="e">
        <v>#VALUE!</v>
      </c>
      <c r="BM40" s="103">
        <v>8</v>
      </c>
      <c r="BN40" s="103">
        <v>10</v>
      </c>
      <c r="BO40" s="103">
        <v>8</v>
      </c>
      <c r="BP40" s="103">
        <f t="shared" si="28"/>
        <v>810</v>
      </c>
      <c r="BQ40" s="103">
        <f t="shared" si="28"/>
        <v>1008</v>
      </c>
      <c r="BR40" s="173" t="str">
        <f t="shared" si="29"/>
        <v>Rejillas de 8" × 10":</v>
      </c>
      <c r="BS40" s="180">
        <f t="shared" si="17"/>
        <v>0</v>
      </c>
      <c r="BT40" s="180">
        <f t="shared" si="18"/>
        <v>0</v>
      </c>
      <c r="BU40" s="180">
        <f t="shared" si="30"/>
        <v>0</v>
      </c>
      <c r="BV40" s="187"/>
      <c r="BW40" s="103">
        <f t="shared" si="19"/>
        <v>0</v>
      </c>
      <c r="BX40" s="173" t="str">
        <f t="shared" si="20"/>
        <v>Rejillas de 14" × 28":</v>
      </c>
      <c r="BY40" s="180">
        <f t="shared" si="21"/>
        <v>0</v>
      </c>
      <c r="BZ40" s="180">
        <f t="shared" si="22"/>
        <v>0</v>
      </c>
      <c r="CA40" s="180">
        <f t="shared" si="23"/>
        <v>0</v>
      </c>
      <c r="CB40" s="187"/>
      <c r="CC40" s="222" t="str">
        <f t="shared" si="31"/>
        <v/>
      </c>
      <c r="CD40" s="218" t="str">
        <f t="shared" si="32"/>
        <v/>
      </c>
      <c r="CE40" s="198" t="str">
        <f t="shared" si="33"/>
        <v/>
      </c>
      <c r="CF40" s="138" t="str">
        <f t="shared" si="34"/>
        <v/>
      </c>
      <c r="CG40" s="211" t="str">
        <f t="shared" si="35"/>
        <v/>
      </c>
      <c r="CH40" s="212" t="str">
        <f t="shared" si="36"/>
        <v/>
      </c>
      <c r="CI40" s="213" t="str">
        <f t="shared" si="37"/>
        <v/>
      </c>
      <c r="CJ40" s="138" t="str">
        <f t="shared" si="38"/>
        <v/>
      </c>
      <c r="CK40" s="199" t="e">
        <f>IF(#REF!="Plato perforado","PP",IF(OR(#REF!=0,#REF!=""),"",#REF!))</f>
        <v>#REF!</v>
      </c>
      <c r="CL40" s="200" t="str">
        <f t="shared" si="39"/>
        <v/>
      </c>
      <c r="CM40" s="201" t="str">
        <f t="shared" si="39"/>
        <v>---</v>
      </c>
      <c r="CN40" s="202"/>
      <c r="CO40" s="222" t="str">
        <f t="shared" si="40"/>
        <v/>
      </c>
      <c r="CP40" s="199" t="str">
        <f t="shared" si="41"/>
        <v/>
      </c>
      <c r="CQ40" s="198" t="str">
        <f t="shared" si="42"/>
        <v/>
      </c>
      <c r="CR40" s="138" t="str">
        <f t="shared" si="43"/>
        <v/>
      </c>
      <c r="CS40" s="211" t="str">
        <f t="shared" si="44"/>
        <v/>
      </c>
      <c r="CT40" s="212" t="str">
        <f t="shared" si="45"/>
        <v/>
      </c>
      <c r="CU40" s="213" t="str">
        <f t="shared" si="46"/>
        <v/>
      </c>
      <c r="CV40" s="138" t="str">
        <f t="shared" si="47"/>
        <v/>
      </c>
      <c r="CW40" s="199" t="e">
        <f>IF(#REF!="Plato perforado","PP",IF(OR(#REF!=0,#REF!=""),"",#REF!))</f>
        <v>#REF!</v>
      </c>
      <c r="CX40" s="200" t="str">
        <f t="shared" si="48"/>
        <v/>
      </c>
      <c r="CY40" s="201" t="str">
        <f t="shared" si="48"/>
        <v>---</v>
      </c>
      <c r="CZ40" s="202"/>
      <c r="DA40" s="222" t="str">
        <f t="shared" si="49"/>
        <v/>
      </c>
      <c r="DB40" s="199" t="str">
        <f t="shared" si="50"/>
        <v/>
      </c>
      <c r="DC40" s="198" t="str">
        <f t="shared" si="51"/>
        <v/>
      </c>
      <c r="DD40" s="138" t="str">
        <f t="shared" si="52"/>
        <v/>
      </c>
      <c r="DE40" s="211" t="str">
        <f t="shared" si="53"/>
        <v/>
      </c>
      <c r="DF40" s="212" t="str">
        <f t="shared" si="54"/>
        <v/>
      </c>
      <c r="DG40" s="213" t="str">
        <f t="shared" si="55"/>
        <v/>
      </c>
      <c r="DH40" s="138" t="str">
        <f t="shared" si="56"/>
        <v/>
      </c>
      <c r="DI40" s="199" t="e">
        <f>IF(#REF!="Plato perforado","PP",IF(OR(#REF!=0,#REF!=""),"",#REF!))</f>
        <v>#REF!</v>
      </c>
      <c r="DJ40" s="200" t="str">
        <f t="shared" si="57"/>
        <v/>
      </c>
      <c r="DK40" s="201" t="str">
        <f t="shared" si="57"/>
        <v>---</v>
      </c>
      <c r="DL40" s="202"/>
      <c r="DM40" s="222" t="str">
        <f t="shared" si="58"/>
        <v/>
      </c>
      <c r="DN40" s="199" t="str">
        <f t="shared" si="59"/>
        <v/>
      </c>
      <c r="DO40" s="198" t="str">
        <f t="shared" si="60"/>
        <v/>
      </c>
      <c r="DP40" s="138" t="str">
        <f t="shared" si="61"/>
        <v/>
      </c>
      <c r="DQ40" s="211" t="str">
        <f t="shared" si="62"/>
        <v/>
      </c>
      <c r="DR40" s="212" t="str">
        <f t="shared" si="63"/>
        <v/>
      </c>
      <c r="DS40" s="213" t="str">
        <f t="shared" si="64"/>
        <v/>
      </c>
      <c r="DT40" s="138" t="str">
        <f t="shared" si="65"/>
        <v/>
      </c>
      <c r="DU40" s="199" t="e">
        <f>IF(#REF!="Plato perforado","PP",IF(OR(#REF!=0,#REF!=""),"",#REF!))</f>
        <v>#REF!</v>
      </c>
      <c r="DV40" s="200" t="str">
        <f t="shared" si="66"/>
        <v/>
      </c>
      <c r="DW40" s="201" t="str">
        <f t="shared" si="66"/>
        <v>---</v>
      </c>
      <c r="DX40" s="202"/>
      <c r="DY40" s="222" t="str">
        <f t="shared" si="67"/>
        <v/>
      </c>
      <c r="DZ40" s="199" t="str">
        <f t="shared" si="68"/>
        <v/>
      </c>
      <c r="EA40" s="198" t="str">
        <f t="shared" si="69"/>
        <v/>
      </c>
      <c r="EB40" s="138" t="str">
        <f t="shared" si="70"/>
        <v/>
      </c>
      <c r="EC40" s="211" t="str">
        <f t="shared" si="71"/>
        <v/>
      </c>
      <c r="ED40" s="212" t="str">
        <f t="shared" si="72"/>
        <v/>
      </c>
      <c r="EE40" s="213" t="str">
        <f t="shared" si="73"/>
        <v/>
      </c>
      <c r="EF40" s="138" t="str">
        <f t="shared" si="74"/>
        <v/>
      </c>
      <c r="EG40" s="199" t="e">
        <f>IF(#REF!="Plato perforado","PP",IF(OR(#REF!=0,#REF!=""),"",#REF!))</f>
        <v>#REF!</v>
      </c>
      <c r="EH40" s="200" t="str">
        <f t="shared" si="75"/>
        <v/>
      </c>
      <c r="EI40" s="201" t="str">
        <f t="shared" si="75"/>
        <v>---</v>
      </c>
      <c r="EJ40" s="229"/>
    </row>
    <row r="41" spans="1:140" x14ac:dyDescent="0.3">
      <c r="A41" s="431">
        <v>8</v>
      </c>
      <c r="B41" s="272"/>
      <c r="C41" s="273">
        <f t="shared" si="0"/>
        <v>2</v>
      </c>
      <c r="D41" s="372"/>
      <c r="E41" s="274"/>
      <c r="F41" s="273" t="str">
        <f t="shared" si="1"/>
        <v/>
      </c>
      <c r="G41" s="275" t="str">
        <f t="shared" si="1"/>
        <v/>
      </c>
      <c r="H41" s="276" t="str">
        <f t="shared" si="2"/>
        <v/>
      </c>
      <c r="I41" s="277" t="str">
        <f t="shared" si="3"/>
        <v/>
      </c>
      <c r="J41" s="276" t="str">
        <f t="shared" si="4"/>
        <v/>
      </c>
      <c r="K41" s="276">
        <f t="shared" si="5"/>
        <v>0</v>
      </c>
      <c r="L41" s="278"/>
      <c r="M41" s="279">
        <f t="shared" si="6"/>
        <v>1</v>
      </c>
      <c r="N41" s="360" t="str">
        <f t="shared" si="7"/>
        <v/>
      </c>
      <c r="O41" s="117" t="str">
        <f t="shared" si="8"/>
        <v/>
      </c>
      <c r="P41" s="359" t="str">
        <f t="shared" si="9"/>
        <v/>
      </c>
      <c r="Q41" s="280" t="str">
        <f t="shared" si="24"/>
        <v/>
      </c>
      <c r="R41" s="282" t="str">
        <f t="shared" si="10"/>
        <v/>
      </c>
      <c r="S41" s="283" t="str">
        <f t="shared" si="11"/>
        <v>---</v>
      </c>
      <c r="V41" s="3" t="str">
        <f>IFERROR(VALUE(TEXT(C41,"00")&amp;TEXT(N41,"00")&amp;TEXT(P41,"00")&amp;IF(#REF!="Plato perforado",5,IF(OR(#REF!="N/A",#REF!=""),0,#REF!))),"")</f>
        <v/>
      </c>
      <c r="W41" s="3">
        <v>9</v>
      </c>
      <c r="X41" s="3">
        <v>9</v>
      </c>
      <c r="Y41" s="3">
        <v>2</v>
      </c>
      <c r="AY41" s="187"/>
      <c r="AZ41" s="175" t="str">
        <f>"Difusores de "&amp;W41&amp;""""&amp;" × "&amp;X41&amp;""""&amp;" de "&amp;Y41&amp;" vías:"</f>
        <v>Difusores de 9" × 9" de 2 vías:</v>
      </c>
      <c r="BA41" s="174">
        <f t="shared" si="25"/>
        <v>0</v>
      </c>
      <c r="BB41" s="187"/>
      <c r="BC41" s="103" t="str">
        <f t="shared" si="12"/>
        <v/>
      </c>
      <c r="BD41" s="103" t="str">
        <f t="shared" si="13"/>
        <v/>
      </c>
      <c r="BE41" s="103" t="e">
        <f t="shared" si="14"/>
        <v>#VALUE!</v>
      </c>
      <c r="BF41" s="181">
        <v>8</v>
      </c>
      <c r="BG41" s="181">
        <v>10</v>
      </c>
      <c r="BH41" s="184">
        <f t="shared" si="26"/>
        <v>0.55555555555555558</v>
      </c>
      <c r="BI41" s="185">
        <f t="shared" si="15"/>
        <v>305.55555555555554</v>
      </c>
      <c r="BJ41" s="185">
        <f t="shared" si="16"/>
        <v>0.8</v>
      </c>
      <c r="BK41" s="103">
        <f t="shared" si="27"/>
        <v>810</v>
      </c>
      <c r="BL41" s="103" t="e">
        <v>#VALUE!</v>
      </c>
      <c r="BM41" s="103">
        <v>8</v>
      </c>
      <c r="BN41" s="103">
        <v>12</v>
      </c>
      <c r="BO41" s="103">
        <v>8</v>
      </c>
      <c r="BP41" s="103">
        <f t="shared" si="28"/>
        <v>812</v>
      </c>
      <c r="BQ41" s="103">
        <f t="shared" si="28"/>
        <v>1208</v>
      </c>
      <c r="BR41" s="173" t="str">
        <f t="shared" si="29"/>
        <v>Rejillas de 8" × 12":</v>
      </c>
      <c r="BS41" s="180">
        <f t="shared" si="17"/>
        <v>0</v>
      </c>
      <c r="BT41" s="180">
        <f t="shared" si="18"/>
        <v>0</v>
      </c>
      <c r="BU41" s="180">
        <f t="shared" si="30"/>
        <v>0</v>
      </c>
      <c r="BV41" s="187"/>
      <c r="BW41" s="103">
        <f t="shared" si="19"/>
        <v>0</v>
      </c>
      <c r="BX41" s="173" t="str">
        <f t="shared" si="20"/>
        <v>Rejillas de 16" × 16":</v>
      </c>
      <c r="BY41" s="180">
        <f t="shared" si="21"/>
        <v>0</v>
      </c>
      <c r="BZ41" s="180">
        <f t="shared" si="22"/>
        <v>0</v>
      </c>
      <c r="CA41" s="180">
        <f t="shared" si="23"/>
        <v>0</v>
      </c>
      <c r="CB41" s="187"/>
      <c r="CC41" s="222" t="str">
        <f t="shared" si="31"/>
        <v/>
      </c>
      <c r="CD41" s="218" t="str">
        <f t="shared" si="32"/>
        <v/>
      </c>
      <c r="CE41" s="198" t="str">
        <f t="shared" si="33"/>
        <v/>
      </c>
      <c r="CF41" s="138" t="str">
        <f t="shared" si="34"/>
        <v/>
      </c>
      <c r="CG41" s="211" t="str">
        <f t="shared" si="35"/>
        <v/>
      </c>
      <c r="CH41" s="212" t="str">
        <f t="shared" si="36"/>
        <v/>
      </c>
      <c r="CI41" s="213" t="str">
        <f t="shared" si="37"/>
        <v/>
      </c>
      <c r="CJ41" s="138" t="str">
        <f t="shared" si="38"/>
        <v/>
      </c>
      <c r="CK41" s="199" t="e">
        <f>IF(#REF!="Plato perforado","PP",IF(OR(#REF!=0,#REF!=""),"",#REF!))</f>
        <v>#REF!</v>
      </c>
      <c r="CL41" s="200" t="str">
        <f t="shared" si="39"/>
        <v/>
      </c>
      <c r="CM41" s="201" t="str">
        <f t="shared" si="39"/>
        <v>---</v>
      </c>
      <c r="CN41" s="202"/>
      <c r="CO41" s="222" t="str">
        <f t="shared" si="40"/>
        <v/>
      </c>
      <c r="CP41" s="199" t="str">
        <f t="shared" si="41"/>
        <v/>
      </c>
      <c r="CQ41" s="198" t="str">
        <f t="shared" si="42"/>
        <v/>
      </c>
      <c r="CR41" s="138" t="str">
        <f t="shared" si="43"/>
        <v/>
      </c>
      <c r="CS41" s="211" t="str">
        <f t="shared" si="44"/>
        <v/>
      </c>
      <c r="CT41" s="212" t="str">
        <f t="shared" si="45"/>
        <v/>
      </c>
      <c r="CU41" s="213" t="str">
        <f t="shared" si="46"/>
        <v/>
      </c>
      <c r="CV41" s="138" t="str">
        <f t="shared" si="47"/>
        <v/>
      </c>
      <c r="CW41" s="199" t="e">
        <f>IF(#REF!="Plato perforado","PP",IF(OR(#REF!=0,#REF!=""),"",#REF!))</f>
        <v>#REF!</v>
      </c>
      <c r="CX41" s="200" t="str">
        <f t="shared" si="48"/>
        <v/>
      </c>
      <c r="CY41" s="201" t="str">
        <f t="shared" si="48"/>
        <v>---</v>
      </c>
      <c r="CZ41" s="202"/>
      <c r="DA41" s="222" t="str">
        <f t="shared" si="49"/>
        <v/>
      </c>
      <c r="DB41" s="199" t="str">
        <f t="shared" si="50"/>
        <v/>
      </c>
      <c r="DC41" s="198" t="str">
        <f t="shared" si="51"/>
        <v/>
      </c>
      <c r="DD41" s="138" t="str">
        <f t="shared" si="52"/>
        <v/>
      </c>
      <c r="DE41" s="211" t="str">
        <f t="shared" si="53"/>
        <v/>
      </c>
      <c r="DF41" s="212" t="str">
        <f t="shared" si="54"/>
        <v/>
      </c>
      <c r="DG41" s="213" t="str">
        <f t="shared" si="55"/>
        <v/>
      </c>
      <c r="DH41" s="138" t="str">
        <f t="shared" si="56"/>
        <v/>
      </c>
      <c r="DI41" s="199" t="e">
        <f>IF(#REF!="Plato perforado","PP",IF(OR(#REF!=0,#REF!=""),"",#REF!))</f>
        <v>#REF!</v>
      </c>
      <c r="DJ41" s="200" t="str">
        <f t="shared" si="57"/>
        <v/>
      </c>
      <c r="DK41" s="201" t="str">
        <f t="shared" si="57"/>
        <v>---</v>
      </c>
      <c r="DL41" s="202"/>
      <c r="DM41" s="222" t="str">
        <f t="shared" si="58"/>
        <v/>
      </c>
      <c r="DN41" s="199" t="str">
        <f t="shared" si="59"/>
        <v/>
      </c>
      <c r="DO41" s="198" t="str">
        <f t="shared" si="60"/>
        <v/>
      </c>
      <c r="DP41" s="138" t="str">
        <f t="shared" si="61"/>
        <v/>
      </c>
      <c r="DQ41" s="211" t="str">
        <f t="shared" si="62"/>
        <v/>
      </c>
      <c r="DR41" s="212" t="str">
        <f t="shared" si="63"/>
        <v/>
      </c>
      <c r="DS41" s="213" t="str">
        <f t="shared" si="64"/>
        <v/>
      </c>
      <c r="DT41" s="138" t="str">
        <f t="shared" si="65"/>
        <v/>
      </c>
      <c r="DU41" s="199" t="e">
        <f>IF(#REF!="Plato perforado","PP",IF(OR(#REF!=0,#REF!=""),"",#REF!))</f>
        <v>#REF!</v>
      </c>
      <c r="DV41" s="200" t="str">
        <f t="shared" si="66"/>
        <v/>
      </c>
      <c r="DW41" s="201" t="str">
        <f t="shared" si="66"/>
        <v>---</v>
      </c>
      <c r="DX41" s="202"/>
      <c r="DY41" s="222" t="str">
        <f t="shared" si="67"/>
        <v/>
      </c>
      <c r="DZ41" s="199" t="str">
        <f t="shared" si="68"/>
        <v/>
      </c>
      <c r="EA41" s="198" t="str">
        <f t="shared" si="69"/>
        <v/>
      </c>
      <c r="EB41" s="138" t="str">
        <f t="shared" si="70"/>
        <v/>
      </c>
      <c r="EC41" s="211" t="str">
        <f t="shared" si="71"/>
        <v/>
      </c>
      <c r="ED41" s="212" t="str">
        <f t="shared" si="72"/>
        <v/>
      </c>
      <c r="EE41" s="213" t="str">
        <f t="shared" si="73"/>
        <v/>
      </c>
      <c r="EF41" s="138" t="str">
        <f t="shared" si="74"/>
        <v/>
      </c>
      <c r="EG41" s="199" t="e">
        <f>IF(#REF!="Plato perforado","PP",IF(OR(#REF!=0,#REF!=""),"",#REF!))</f>
        <v>#REF!</v>
      </c>
      <c r="EH41" s="200" t="str">
        <f t="shared" si="75"/>
        <v/>
      </c>
      <c r="EI41" s="201" t="str">
        <f t="shared" si="75"/>
        <v>---</v>
      </c>
      <c r="EJ41" s="229"/>
    </row>
    <row r="42" spans="1:140" x14ac:dyDescent="0.3">
      <c r="A42" s="431">
        <v>9</v>
      </c>
      <c r="B42" s="284"/>
      <c r="C42" s="285">
        <f t="shared" si="0"/>
        <v>2</v>
      </c>
      <c r="D42" s="373"/>
      <c r="E42" s="286"/>
      <c r="F42" s="285" t="str">
        <f t="shared" si="1"/>
        <v/>
      </c>
      <c r="G42" s="287" t="str">
        <f t="shared" si="1"/>
        <v/>
      </c>
      <c r="H42" s="288" t="str">
        <f>IF(COUNTIF($E$34:$E$183,E42)=0,"",COUNTIF($E$34:$E$183,E42))</f>
        <v/>
      </c>
      <c r="I42" s="289" t="str">
        <f t="shared" si="3"/>
        <v/>
      </c>
      <c r="J42" s="288" t="str">
        <f t="shared" si="4"/>
        <v/>
      </c>
      <c r="K42" s="288">
        <f t="shared" si="5"/>
        <v>0</v>
      </c>
      <c r="L42" s="290"/>
      <c r="M42" s="291">
        <f t="shared" si="6"/>
        <v>1</v>
      </c>
      <c r="N42" s="466" t="str">
        <f t="shared" si="7"/>
        <v/>
      </c>
      <c r="O42" s="302" t="str">
        <f t="shared" si="8"/>
        <v/>
      </c>
      <c r="P42" s="468" t="str">
        <f t="shared" si="9"/>
        <v/>
      </c>
      <c r="Q42" s="292" t="str">
        <f t="shared" si="24"/>
        <v/>
      </c>
      <c r="R42" s="294" t="str">
        <f t="shared" si="10"/>
        <v/>
      </c>
      <c r="S42" s="295" t="str">
        <f t="shared" si="11"/>
        <v>---</v>
      </c>
      <c r="V42" s="3" t="str">
        <f>IFERROR(VALUE(TEXT(C42,"00")&amp;TEXT(N42,"00")&amp;TEXT(P42,"00")&amp;IF(#REF!="Plato perforado",5,IF(OR(#REF!="N/A",#REF!=""),0,#REF!))),"")</f>
        <v/>
      </c>
      <c r="W42" s="3">
        <v>9</v>
      </c>
      <c r="X42" s="3">
        <v>9</v>
      </c>
      <c r="Y42" s="3">
        <v>3</v>
      </c>
      <c r="AY42" s="187"/>
      <c r="AZ42" s="175" t="str">
        <f>"Difusores de "&amp;W42&amp;""""&amp;" × "&amp;X42&amp;""""&amp;" de "&amp;Y42&amp;" vías:"</f>
        <v>Difusores de 9" × 9" de 3 vías:</v>
      </c>
      <c r="BA42" s="174">
        <f t="shared" si="25"/>
        <v>0</v>
      </c>
      <c r="BB42" s="187"/>
      <c r="BC42" s="103" t="str">
        <f t="shared" si="12"/>
        <v/>
      </c>
      <c r="BD42" s="103" t="str">
        <f t="shared" si="13"/>
        <v/>
      </c>
      <c r="BE42" s="103" t="e">
        <f t="shared" si="14"/>
        <v>#VALUE!</v>
      </c>
      <c r="BF42" s="181">
        <v>8</v>
      </c>
      <c r="BG42" s="181">
        <v>12</v>
      </c>
      <c r="BH42" s="184">
        <f t="shared" si="26"/>
        <v>0.66666666666666663</v>
      </c>
      <c r="BI42" s="185">
        <f t="shared" si="15"/>
        <v>366.66666666666663</v>
      </c>
      <c r="BJ42" s="185">
        <f t="shared" si="16"/>
        <v>0.66666666666666663</v>
      </c>
      <c r="BK42" s="103">
        <f t="shared" si="27"/>
        <v>812</v>
      </c>
      <c r="BL42" s="103" t="e">
        <v>#VALUE!</v>
      </c>
      <c r="BM42" s="103">
        <v>8</v>
      </c>
      <c r="BN42" s="103">
        <v>14</v>
      </c>
      <c r="BO42" s="103">
        <v>8</v>
      </c>
      <c r="BP42" s="103">
        <f t="shared" si="28"/>
        <v>814</v>
      </c>
      <c r="BQ42" s="103">
        <f t="shared" si="28"/>
        <v>1408</v>
      </c>
      <c r="BR42" s="173" t="str">
        <f t="shared" si="29"/>
        <v>Rejillas de 8" × 14":</v>
      </c>
      <c r="BS42" s="180">
        <f t="shared" si="17"/>
        <v>0</v>
      </c>
      <c r="BT42" s="180">
        <f t="shared" si="18"/>
        <v>0</v>
      </c>
      <c r="BU42" s="180">
        <f t="shared" si="30"/>
        <v>0</v>
      </c>
      <c r="BV42" s="187"/>
      <c r="BW42" s="103">
        <f t="shared" si="19"/>
        <v>0</v>
      </c>
      <c r="BX42" s="173" t="str">
        <f t="shared" si="20"/>
        <v>Rejillas de 16" × 18":</v>
      </c>
      <c r="BY42" s="180">
        <f t="shared" si="21"/>
        <v>0</v>
      </c>
      <c r="BZ42" s="180">
        <f t="shared" si="22"/>
        <v>0</v>
      </c>
      <c r="CA42" s="180">
        <f t="shared" si="23"/>
        <v>0</v>
      </c>
      <c r="CB42" s="187"/>
      <c r="CC42" s="222" t="str">
        <f t="shared" si="31"/>
        <v/>
      </c>
      <c r="CD42" s="218" t="str">
        <f t="shared" si="32"/>
        <v/>
      </c>
      <c r="CE42" s="198" t="str">
        <f t="shared" si="33"/>
        <v/>
      </c>
      <c r="CF42" s="138" t="str">
        <f t="shared" si="34"/>
        <v/>
      </c>
      <c r="CG42" s="211" t="str">
        <f t="shared" si="35"/>
        <v/>
      </c>
      <c r="CH42" s="212" t="str">
        <f t="shared" si="36"/>
        <v/>
      </c>
      <c r="CI42" s="213" t="str">
        <f t="shared" si="37"/>
        <v/>
      </c>
      <c r="CJ42" s="138" t="str">
        <f t="shared" si="38"/>
        <v/>
      </c>
      <c r="CK42" s="199" t="e">
        <f>IF(#REF!="Plato perforado","PP",IF(OR(#REF!=0,#REF!=""),"",#REF!))</f>
        <v>#REF!</v>
      </c>
      <c r="CL42" s="200" t="str">
        <f t="shared" si="39"/>
        <v/>
      </c>
      <c r="CM42" s="201" t="str">
        <f t="shared" si="39"/>
        <v>---</v>
      </c>
      <c r="CN42" s="202"/>
      <c r="CO42" s="222" t="str">
        <f t="shared" si="40"/>
        <v/>
      </c>
      <c r="CP42" s="199" t="str">
        <f t="shared" si="41"/>
        <v/>
      </c>
      <c r="CQ42" s="198" t="str">
        <f t="shared" si="42"/>
        <v/>
      </c>
      <c r="CR42" s="138" t="str">
        <f t="shared" si="43"/>
        <v/>
      </c>
      <c r="CS42" s="211" t="str">
        <f t="shared" si="44"/>
        <v/>
      </c>
      <c r="CT42" s="212" t="str">
        <f t="shared" si="45"/>
        <v/>
      </c>
      <c r="CU42" s="213" t="str">
        <f t="shared" si="46"/>
        <v/>
      </c>
      <c r="CV42" s="138" t="str">
        <f t="shared" si="47"/>
        <v/>
      </c>
      <c r="CW42" s="199" t="e">
        <f>IF(#REF!="Plato perforado","PP",IF(OR(#REF!=0,#REF!=""),"",#REF!))</f>
        <v>#REF!</v>
      </c>
      <c r="CX42" s="200" t="str">
        <f t="shared" si="48"/>
        <v/>
      </c>
      <c r="CY42" s="201" t="str">
        <f t="shared" si="48"/>
        <v>---</v>
      </c>
      <c r="CZ42" s="202"/>
      <c r="DA42" s="222" t="str">
        <f t="shared" si="49"/>
        <v/>
      </c>
      <c r="DB42" s="199" t="str">
        <f t="shared" si="50"/>
        <v/>
      </c>
      <c r="DC42" s="198" t="str">
        <f t="shared" si="51"/>
        <v/>
      </c>
      <c r="DD42" s="138" t="str">
        <f t="shared" si="52"/>
        <v/>
      </c>
      <c r="DE42" s="211" t="str">
        <f t="shared" si="53"/>
        <v/>
      </c>
      <c r="DF42" s="212" t="str">
        <f t="shared" si="54"/>
        <v/>
      </c>
      <c r="DG42" s="213" t="str">
        <f t="shared" si="55"/>
        <v/>
      </c>
      <c r="DH42" s="138" t="str">
        <f t="shared" si="56"/>
        <v/>
      </c>
      <c r="DI42" s="199" t="e">
        <f>IF(#REF!="Plato perforado","PP",IF(OR(#REF!=0,#REF!=""),"",#REF!))</f>
        <v>#REF!</v>
      </c>
      <c r="DJ42" s="200" t="str">
        <f t="shared" si="57"/>
        <v/>
      </c>
      <c r="DK42" s="201" t="str">
        <f t="shared" si="57"/>
        <v>---</v>
      </c>
      <c r="DL42" s="202"/>
      <c r="DM42" s="222" t="str">
        <f t="shared" si="58"/>
        <v/>
      </c>
      <c r="DN42" s="199" t="str">
        <f t="shared" si="59"/>
        <v/>
      </c>
      <c r="DO42" s="198" t="str">
        <f t="shared" si="60"/>
        <v/>
      </c>
      <c r="DP42" s="138" t="str">
        <f t="shared" si="61"/>
        <v/>
      </c>
      <c r="DQ42" s="211" t="str">
        <f t="shared" si="62"/>
        <v/>
      </c>
      <c r="DR42" s="212" t="str">
        <f t="shared" si="63"/>
        <v/>
      </c>
      <c r="DS42" s="213" t="str">
        <f t="shared" si="64"/>
        <v/>
      </c>
      <c r="DT42" s="138" t="str">
        <f t="shared" si="65"/>
        <v/>
      </c>
      <c r="DU42" s="199" t="e">
        <f>IF(#REF!="Plato perforado","PP",IF(OR(#REF!=0,#REF!=""),"",#REF!))</f>
        <v>#REF!</v>
      </c>
      <c r="DV42" s="200" t="str">
        <f t="shared" si="66"/>
        <v/>
      </c>
      <c r="DW42" s="201" t="str">
        <f t="shared" si="66"/>
        <v>---</v>
      </c>
      <c r="DX42" s="202"/>
      <c r="DY42" s="222" t="str">
        <f t="shared" si="67"/>
        <v/>
      </c>
      <c r="DZ42" s="199" t="str">
        <f t="shared" si="68"/>
        <v/>
      </c>
      <c r="EA42" s="198" t="str">
        <f t="shared" si="69"/>
        <v/>
      </c>
      <c r="EB42" s="138" t="str">
        <f t="shared" si="70"/>
        <v/>
      </c>
      <c r="EC42" s="211" t="str">
        <f t="shared" si="71"/>
        <v/>
      </c>
      <c r="ED42" s="212" t="str">
        <f t="shared" si="72"/>
        <v/>
      </c>
      <c r="EE42" s="213" t="str">
        <f t="shared" si="73"/>
        <v/>
      </c>
      <c r="EF42" s="138" t="str">
        <f t="shared" si="74"/>
        <v/>
      </c>
      <c r="EG42" s="199" t="e">
        <f>IF(#REF!="Plato perforado","PP",IF(OR(#REF!=0,#REF!=""),"",#REF!))</f>
        <v>#REF!</v>
      </c>
      <c r="EH42" s="200" t="str">
        <f t="shared" si="75"/>
        <v/>
      </c>
      <c r="EI42" s="201" t="str">
        <f t="shared" si="75"/>
        <v>---</v>
      </c>
      <c r="EJ42" s="229"/>
    </row>
    <row r="43" spans="1:140" x14ac:dyDescent="0.3">
      <c r="A43" s="431">
        <v>10</v>
      </c>
      <c r="B43" s="260"/>
      <c r="C43" s="261">
        <f t="shared" si="0"/>
        <v>2</v>
      </c>
      <c r="D43" s="371"/>
      <c r="E43" s="262"/>
      <c r="F43" s="261" t="str">
        <f t="shared" si="1"/>
        <v/>
      </c>
      <c r="G43" s="263" t="str">
        <f t="shared" si="1"/>
        <v/>
      </c>
      <c r="H43" s="264" t="str">
        <f t="shared" si="2"/>
        <v/>
      </c>
      <c r="I43" s="265" t="str">
        <f t="shared" si="3"/>
        <v/>
      </c>
      <c r="J43" s="264" t="str">
        <f t="shared" si="4"/>
        <v/>
      </c>
      <c r="K43" s="264">
        <f t="shared" si="5"/>
        <v>0</v>
      </c>
      <c r="L43" s="266"/>
      <c r="M43" s="267">
        <f t="shared" si="6"/>
        <v>1</v>
      </c>
      <c r="N43" s="465" t="str">
        <f t="shared" si="7"/>
        <v/>
      </c>
      <c r="O43" s="297" t="str">
        <f t="shared" si="8"/>
        <v/>
      </c>
      <c r="P43" s="467" t="str">
        <f t="shared" si="9"/>
        <v/>
      </c>
      <c r="Q43" s="268" t="str">
        <f t="shared" si="24"/>
        <v/>
      </c>
      <c r="R43" s="270" t="str">
        <f t="shared" si="10"/>
        <v/>
      </c>
      <c r="S43" s="271" t="str">
        <f t="shared" si="11"/>
        <v>---</v>
      </c>
      <c r="V43" s="3" t="str">
        <f>IFERROR(VALUE(TEXT(C43,"00")&amp;TEXT(N43,"00")&amp;TEXT(P43,"00")&amp;IF(#REF!="Plato perforado",5,IF(OR(#REF!="N/A",#REF!=""),0,#REF!))),"")</f>
        <v/>
      </c>
      <c r="W43" s="3">
        <v>9</v>
      </c>
      <c r="X43" s="3">
        <v>9</v>
      </c>
      <c r="Y43" s="3">
        <v>4</v>
      </c>
      <c r="AY43" s="187"/>
      <c r="AZ43" s="175" t="str">
        <f>"Difusores de "&amp;W43&amp;""""&amp;" × "&amp;X43&amp;""""&amp;" de "&amp;Y43&amp;" vías:"</f>
        <v>Difusores de 9" × 9" de 4 vías:</v>
      </c>
      <c r="BA43" s="174">
        <f t="shared" si="25"/>
        <v>0</v>
      </c>
      <c r="BB43" s="187"/>
      <c r="BC43" s="103" t="str">
        <f t="shared" si="12"/>
        <v/>
      </c>
      <c r="BD43" s="103" t="str">
        <f t="shared" si="13"/>
        <v/>
      </c>
      <c r="BE43" s="103" t="e">
        <f t="shared" si="14"/>
        <v>#VALUE!</v>
      </c>
      <c r="BF43" s="181">
        <v>8</v>
      </c>
      <c r="BG43" s="181">
        <v>14</v>
      </c>
      <c r="BH43" s="184">
        <f t="shared" si="26"/>
        <v>0.77777777777777779</v>
      </c>
      <c r="BI43" s="185">
        <f t="shared" si="15"/>
        <v>427.77777777777777</v>
      </c>
      <c r="BJ43" s="185">
        <f t="shared" si="16"/>
        <v>0.5714285714285714</v>
      </c>
      <c r="BK43" s="103">
        <f t="shared" si="27"/>
        <v>814</v>
      </c>
      <c r="BL43" s="103" t="e">
        <v>#VALUE!</v>
      </c>
      <c r="BM43" s="103">
        <v>8</v>
      </c>
      <c r="BN43" s="103">
        <v>16</v>
      </c>
      <c r="BO43" s="103">
        <v>8</v>
      </c>
      <c r="BP43" s="103">
        <f t="shared" si="28"/>
        <v>816</v>
      </c>
      <c r="BQ43" s="103">
        <f t="shared" si="28"/>
        <v>1608</v>
      </c>
      <c r="BR43" s="173" t="str">
        <f t="shared" si="29"/>
        <v>Rejillas de 8" × 16":</v>
      </c>
      <c r="BS43" s="180">
        <f t="shared" si="17"/>
        <v>0</v>
      </c>
      <c r="BT43" s="180">
        <f t="shared" si="18"/>
        <v>0</v>
      </c>
      <c r="BU43" s="180">
        <f t="shared" si="30"/>
        <v>0</v>
      </c>
      <c r="BV43" s="187"/>
      <c r="BW43" s="103">
        <f t="shared" si="19"/>
        <v>0</v>
      </c>
      <c r="BX43" s="173" t="str">
        <f t="shared" si="20"/>
        <v>Rejillas de 16" × 20":</v>
      </c>
      <c r="BY43" s="180">
        <f t="shared" si="21"/>
        <v>0</v>
      </c>
      <c r="BZ43" s="180">
        <f t="shared" si="22"/>
        <v>0</v>
      </c>
      <c r="CA43" s="180">
        <f t="shared" si="23"/>
        <v>0</v>
      </c>
      <c r="CB43" s="187"/>
      <c r="CC43" s="222" t="str">
        <f t="shared" si="31"/>
        <v/>
      </c>
      <c r="CD43" s="218" t="str">
        <f t="shared" si="32"/>
        <v/>
      </c>
      <c r="CE43" s="198" t="str">
        <f t="shared" si="33"/>
        <v/>
      </c>
      <c r="CF43" s="138" t="str">
        <f t="shared" si="34"/>
        <v/>
      </c>
      <c r="CG43" s="211" t="str">
        <f t="shared" si="35"/>
        <v/>
      </c>
      <c r="CH43" s="212" t="str">
        <f t="shared" si="36"/>
        <v/>
      </c>
      <c r="CI43" s="213" t="str">
        <f t="shared" si="37"/>
        <v/>
      </c>
      <c r="CJ43" s="138" t="str">
        <f t="shared" si="38"/>
        <v/>
      </c>
      <c r="CK43" s="199" t="e">
        <f>IF(#REF!="Plato perforado","PP",IF(OR(#REF!=0,#REF!=""),"",#REF!))</f>
        <v>#REF!</v>
      </c>
      <c r="CL43" s="200" t="str">
        <f t="shared" si="39"/>
        <v/>
      </c>
      <c r="CM43" s="201" t="str">
        <f t="shared" si="39"/>
        <v>---</v>
      </c>
      <c r="CN43" s="202"/>
      <c r="CO43" s="222" t="str">
        <f t="shared" si="40"/>
        <v/>
      </c>
      <c r="CP43" s="199" t="str">
        <f t="shared" si="41"/>
        <v/>
      </c>
      <c r="CQ43" s="198" t="str">
        <f t="shared" si="42"/>
        <v/>
      </c>
      <c r="CR43" s="138" t="str">
        <f t="shared" si="43"/>
        <v/>
      </c>
      <c r="CS43" s="211" t="str">
        <f t="shared" si="44"/>
        <v/>
      </c>
      <c r="CT43" s="212" t="str">
        <f t="shared" si="45"/>
        <v/>
      </c>
      <c r="CU43" s="213" t="str">
        <f t="shared" si="46"/>
        <v/>
      </c>
      <c r="CV43" s="138" t="str">
        <f t="shared" si="47"/>
        <v/>
      </c>
      <c r="CW43" s="199" t="e">
        <f>IF(#REF!="Plato perforado","PP",IF(OR(#REF!=0,#REF!=""),"",#REF!))</f>
        <v>#REF!</v>
      </c>
      <c r="CX43" s="200" t="str">
        <f t="shared" si="48"/>
        <v/>
      </c>
      <c r="CY43" s="201" t="str">
        <f t="shared" si="48"/>
        <v>---</v>
      </c>
      <c r="CZ43" s="202"/>
      <c r="DA43" s="222" t="str">
        <f t="shared" si="49"/>
        <v/>
      </c>
      <c r="DB43" s="199" t="str">
        <f t="shared" si="50"/>
        <v/>
      </c>
      <c r="DC43" s="198" t="str">
        <f t="shared" si="51"/>
        <v/>
      </c>
      <c r="DD43" s="138" t="str">
        <f t="shared" si="52"/>
        <v/>
      </c>
      <c r="DE43" s="211" t="str">
        <f t="shared" si="53"/>
        <v/>
      </c>
      <c r="DF43" s="212" t="str">
        <f t="shared" si="54"/>
        <v/>
      </c>
      <c r="DG43" s="213" t="str">
        <f t="shared" si="55"/>
        <v/>
      </c>
      <c r="DH43" s="138" t="str">
        <f t="shared" si="56"/>
        <v/>
      </c>
      <c r="DI43" s="199" t="e">
        <f>IF(#REF!="Plato perforado","PP",IF(OR(#REF!=0,#REF!=""),"",#REF!))</f>
        <v>#REF!</v>
      </c>
      <c r="DJ43" s="200" t="str">
        <f t="shared" si="57"/>
        <v/>
      </c>
      <c r="DK43" s="201" t="str">
        <f t="shared" si="57"/>
        <v>---</v>
      </c>
      <c r="DL43" s="202"/>
      <c r="DM43" s="222" t="str">
        <f t="shared" si="58"/>
        <v/>
      </c>
      <c r="DN43" s="199" t="str">
        <f t="shared" si="59"/>
        <v/>
      </c>
      <c r="DO43" s="198" t="str">
        <f t="shared" si="60"/>
        <v/>
      </c>
      <c r="DP43" s="138" t="str">
        <f t="shared" si="61"/>
        <v/>
      </c>
      <c r="DQ43" s="211" t="str">
        <f t="shared" si="62"/>
        <v/>
      </c>
      <c r="DR43" s="212" t="str">
        <f t="shared" si="63"/>
        <v/>
      </c>
      <c r="DS43" s="213" t="str">
        <f t="shared" si="64"/>
        <v/>
      </c>
      <c r="DT43" s="138" t="str">
        <f t="shared" si="65"/>
        <v/>
      </c>
      <c r="DU43" s="199" t="e">
        <f>IF(#REF!="Plato perforado","PP",IF(OR(#REF!=0,#REF!=""),"",#REF!))</f>
        <v>#REF!</v>
      </c>
      <c r="DV43" s="200" t="str">
        <f t="shared" si="66"/>
        <v/>
      </c>
      <c r="DW43" s="201" t="str">
        <f t="shared" si="66"/>
        <v>---</v>
      </c>
      <c r="DX43" s="202"/>
      <c r="DY43" s="222" t="str">
        <f t="shared" si="67"/>
        <v/>
      </c>
      <c r="DZ43" s="199" t="str">
        <f t="shared" si="68"/>
        <v/>
      </c>
      <c r="EA43" s="198" t="str">
        <f t="shared" si="69"/>
        <v/>
      </c>
      <c r="EB43" s="138" t="str">
        <f t="shared" si="70"/>
        <v/>
      </c>
      <c r="EC43" s="211" t="str">
        <f t="shared" si="71"/>
        <v/>
      </c>
      <c r="ED43" s="212" t="str">
        <f t="shared" si="72"/>
        <v/>
      </c>
      <c r="EE43" s="213" t="str">
        <f t="shared" si="73"/>
        <v/>
      </c>
      <c r="EF43" s="138" t="str">
        <f t="shared" si="74"/>
        <v/>
      </c>
      <c r="EG43" s="199" t="e">
        <f>IF(#REF!="Plato perforado","PP",IF(OR(#REF!=0,#REF!=""),"",#REF!))</f>
        <v>#REF!</v>
      </c>
      <c r="EH43" s="200" t="str">
        <f t="shared" si="75"/>
        <v/>
      </c>
      <c r="EI43" s="201" t="str">
        <f t="shared" si="75"/>
        <v>---</v>
      </c>
      <c r="EJ43" s="229"/>
    </row>
    <row r="44" spans="1:140" x14ac:dyDescent="0.3">
      <c r="A44" s="431">
        <v>11</v>
      </c>
      <c r="B44" s="272"/>
      <c r="C44" s="273">
        <f t="shared" si="0"/>
        <v>2</v>
      </c>
      <c r="D44" s="372"/>
      <c r="E44" s="274"/>
      <c r="F44" s="273" t="str">
        <f t="shared" si="1"/>
        <v/>
      </c>
      <c r="G44" s="275" t="str">
        <f t="shared" si="1"/>
        <v/>
      </c>
      <c r="H44" s="276" t="str">
        <f t="shared" si="2"/>
        <v/>
      </c>
      <c r="I44" s="277" t="str">
        <f t="shared" si="3"/>
        <v/>
      </c>
      <c r="J44" s="276" t="str">
        <f t="shared" si="4"/>
        <v/>
      </c>
      <c r="K44" s="276">
        <f t="shared" si="5"/>
        <v>0</v>
      </c>
      <c r="L44" s="278"/>
      <c r="M44" s="279">
        <f t="shared" si="6"/>
        <v>1</v>
      </c>
      <c r="N44" s="360" t="str">
        <f t="shared" si="7"/>
        <v/>
      </c>
      <c r="O44" s="117" t="str">
        <f t="shared" si="8"/>
        <v/>
      </c>
      <c r="P44" s="359" t="str">
        <f t="shared" si="9"/>
        <v/>
      </c>
      <c r="Q44" s="280" t="str">
        <f t="shared" si="24"/>
        <v/>
      </c>
      <c r="R44" s="282" t="str">
        <f t="shared" si="10"/>
        <v/>
      </c>
      <c r="S44" s="283" t="str">
        <f t="shared" si="11"/>
        <v>---</v>
      </c>
      <c r="V44" s="3" t="str">
        <f>IFERROR(VALUE(TEXT(C44,"00")&amp;TEXT(N44,"00")&amp;TEXT(P44,"00")&amp;IF(#REF!="Plato perforado",5,IF(OR(#REF!="N/A",#REF!=""),0,#REF!))),"")</f>
        <v/>
      </c>
      <c r="W44" s="3">
        <v>9</v>
      </c>
      <c r="X44" s="3">
        <v>9</v>
      </c>
      <c r="Y44" s="3" t="s">
        <v>178</v>
      </c>
      <c r="AY44" s="187"/>
      <c r="AZ44" s="175" t="str">
        <f>"Difusores de "&amp;W44&amp;""""&amp;" × "&amp;X44&amp;""""&amp;" de "&amp;Y44</f>
        <v>Difusores de 9" × 9" de plato perforado:</v>
      </c>
      <c r="BA44" s="174">
        <f t="shared" si="25"/>
        <v>0</v>
      </c>
      <c r="BB44" s="187"/>
      <c r="BC44" s="103" t="str">
        <f t="shared" si="12"/>
        <v/>
      </c>
      <c r="BD44" s="103" t="str">
        <f t="shared" si="13"/>
        <v/>
      </c>
      <c r="BE44" s="103" t="e">
        <f t="shared" si="14"/>
        <v>#VALUE!</v>
      </c>
      <c r="BF44" s="181">
        <v>8</v>
      </c>
      <c r="BG44" s="181">
        <v>16</v>
      </c>
      <c r="BH44" s="184">
        <f t="shared" si="26"/>
        <v>0.88888888888888884</v>
      </c>
      <c r="BI44" s="185">
        <f t="shared" si="15"/>
        <v>488.88888888888886</v>
      </c>
      <c r="BJ44" s="185">
        <f t="shared" si="16"/>
        <v>0.5</v>
      </c>
      <c r="BK44" s="103">
        <f t="shared" si="27"/>
        <v>816</v>
      </c>
      <c r="BL44" s="103" t="e">
        <v>#VALUE!</v>
      </c>
      <c r="BM44" s="103">
        <v>8</v>
      </c>
      <c r="BN44" s="103">
        <v>18</v>
      </c>
      <c r="BO44" s="103">
        <v>8</v>
      </c>
      <c r="BP44" s="103">
        <f t="shared" si="28"/>
        <v>818</v>
      </c>
      <c r="BQ44" s="103">
        <f t="shared" si="28"/>
        <v>1808</v>
      </c>
      <c r="BR44" s="173" t="str">
        <f t="shared" si="29"/>
        <v>Rejillas de 8" × 18":</v>
      </c>
      <c r="BS44" s="180">
        <f t="shared" si="17"/>
        <v>0</v>
      </c>
      <c r="BT44" s="180">
        <f t="shared" si="18"/>
        <v>0</v>
      </c>
      <c r="BU44" s="180">
        <f t="shared" si="30"/>
        <v>0</v>
      </c>
      <c r="BV44" s="187"/>
      <c r="BW44" s="103">
        <f t="shared" si="19"/>
        <v>0</v>
      </c>
      <c r="BX44" s="173" t="str">
        <f t="shared" si="20"/>
        <v>Rejillas de 16" × 22":</v>
      </c>
      <c r="BY44" s="180">
        <f t="shared" si="21"/>
        <v>0</v>
      </c>
      <c r="BZ44" s="180">
        <f t="shared" si="22"/>
        <v>0</v>
      </c>
      <c r="CA44" s="180">
        <f t="shared" si="23"/>
        <v>0</v>
      </c>
      <c r="CB44" s="187"/>
      <c r="CC44" s="222" t="str">
        <f t="shared" si="31"/>
        <v/>
      </c>
      <c r="CD44" s="218" t="str">
        <f t="shared" si="32"/>
        <v/>
      </c>
      <c r="CE44" s="198" t="str">
        <f t="shared" si="33"/>
        <v/>
      </c>
      <c r="CF44" s="138" t="str">
        <f t="shared" si="34"/>
        <v/>
      </c>
      <c r="CG44" s="211" t="str">
        <f t="shared" si="35"/>
        <v/>
      </c>
      <c r="CH44" s="212" t="str">
        <f t="shared" si="36"/>
        <v/>
      </c>
      <c r="CI44" s="213" t="str">
        <f t="shared" si="37"/>
        <v/>
      </c>
      <c r="CJ44" s="138" t="str">
        <f t="shared" si="38"/>
        <v/>
      </c>
      <c r="CK44" s="199" t="e">
        <f>IF(#REF!="Plato perforado","PP",IF(OR(#REF!=0,#REF!=""),"",#REF!))</f>
        <v>#REF!</v>
      </c>
      <c r="CL44" s="200" t="str">
        <f t="shared" si="39"/>
        <v/>
      </c>
      <c r="CM44" s="201" t="str">
        <f t="shared" si="39"/>
        <v>---</v>
      </c>
      <c r="CN44" s="202"/>
      <c r="CO44" s="222" t="str">
        <f t="shared" si="40"/>
        <v/>
      </c>
      <c r="CP44" s="199" t="str">
        <f t="shared" si="41"/>
        <v/>
      </c>
      <c r="CQ44" s="198" t="str">
        <f t="shared" si="42"/>
        <v/>
      </c>
      <c r="CR44" s="138" t="str">
        <f t="shared" si="43"/>
        <v/>
      </c>
      <c r="CS44" s="211" t="str">
        <f t="shared" si="44"/>
        <v/>
      </c>
      <c r="CT44" s="212" t="str">
        <f t="shared" si="45"/>
        <v/>
      </c>
      <c r="CU44" s="213" t="str">
        <f t="shared" si="46"/>
        <v/>
      </c>
      <c r="CV44" s="138" t="str">
        <f t="shared" si="47"/>
        <v/>
      </c>
      <c r="CW44" s="199" t="e">
        <f>IF(#REF!="Plato perforado","PP",IF(OR(#REF!=0,#REF!=""),"",#REF!))</f>
        <v>#REF!</v>
      </c>
      <c r="CX44" s="200" t="str">
        <f t="shared" si="48"/>
        <v/>
      </c>
      <c r="CY44" s="201" t="str">
        <f t="shared" si="48"/>
        <v>---</v>
      </c>
      <c r="CZ44" s="202"/>
      <c r="DA44" s="222" t="str">
        <f t="shared" si="49"/>
        <v/>
      </c>
      <c r="DB44" s="199" t="str">
        <f t="shared" si="50"/>
        <v/>
      </c>
      <c r="DC44" s="198" t="str">
        <f t="shared" si="51"/>
        <v/>
      </c>
      <c r="DD44" s="138" t="str">
        <f t="shared" si="52"/>
        <v/>
      </c>
      <c r="DE44" s="211" t="str">
        <f t="shared" si="53"/>
        <v/>
      </c>
      <c r="DF44" s="212" t="str">
        <f t="shared" si="54"/>
        <v/>
      </c>
      <c r="DG44" s="213" t="str">
        <f t="shared" si="55"/>
        <v/>
      </c>
      <c r="DH44" s="138" t="str">
        <f t="shared" si="56"/>
        <v/>
      </c>
      <c r="DI44" s="199" t="e">
        <f>IF(#REF!="Plato perforado","PP",IF(OR(#REF!=0,#REF!=""),"",#REF!))</f>
        <v>#REF!</v>
      </c>
      <c r="DJ44" s="200" t="str">
        <f t="shared" si="57"/>
        <v/>
      </c>
      <c r="DK44" s="201" t="str">
        <f t="shared" si="57"/>
        <v>---</v>
      </c>
      <c r="DL44" s="202"/>
      <c r="DM44" s="222" t="str">
        <f t="shared" si="58"/>
        <v/>
      </c>
      <c r="DN44" s="199" t="str">
        <f t="shared" si="59"/>
        <v/>
      </c>
      <c r="DO44" s="198" t="str">
        <f t="shared" si="60"/>
        <v/>
      </c>
      <c r="DP44" s="138" t="str">
        <f t="shared" si="61"/>
        <v/>
      </c>
      <c r="DQ44" s="211" t="str">
        <f t="shared" si="62"/>
        <v/>
      </c>
      <c r="DR44" s="212" t="str">
        <f t="shared" si="63"/>
        <v/>
      </c>
      <c r="DS44" s="213" t="str">
        <f t="shared" si="64"/>
        <v/>
      </c>
      <c r="DT44" s="138" t="str">
        <f t="shared" si="65"/>
        <v/>
      </c>
      <c r="DU44" s="199" t="e">
        <f>IF(#REF!="Plato perforado","PP",IF(OR(#REF!=0,#REF!=""),"",#REF!))</f>
        <v>#REF!</v>
      </c>
      <c r="DV44" s="200" t="str">
        <f t="shared" si="66"/>
        <v/>
      </c>
      <c r="DW44" s="201" t="str">
        <f t="shared" si="66"/>
        <v>---</v>
      </c>
      <c r="DX44" s="202"/>
      <c r="DY44" s="222" t="str">
        <f t="shared" si="67"/>
        <v/>
      </c>
      <c r="DZ44" s="199" t="str">
        <f t="shared" si="68"/>
        <v/>
      </c>
      <c r="EA44" s="198" t="str">
        <f t="shared" si="69"/>
        <v/>
      </c>
      <c r="EB44" s="138" t="str">
        <f t="shared" si="70"/>
        <v/>
      </c>
      <c r="EC44" s="211" t="str">
        <f t="shared" si="71"/>
        <v/>
      </c>
      <c r="ED44" s="212" t="str">
        <f t="shared" si="72"/>
        <v/>
      </c>
      <c r="EE44" s="213" t="str">
        <f t="shared" si="73"/>
        <v/>
      </c>
      <c r="EF44" s="138" t="str">
        <f t="shared" si="74"/>
        <v/>
      </c>
      <c r="EG44" s="199" t="e">
        <f>IF(#REF!="Plato perforado","PP",IF(OR(#REF!=0,#REF!=""),"",#REF!))</f>
        <v>#REF!</v>
      </c>
      <c r="EH44" s="200" t="str">
        <f t="shared" si="75"/>
        <v/>
      </c>
      <c r="EI44" s="201" t="str">
        <f t="shared" si="75"/>
        <v>---</v>
      </c>
      <c r="EJ44" s="229"/>
    </row>
    <row r="45" spans="1:140" x14ac:dyDescent="0.3">
      <c r="A45" s="431">
        <v>12</v>
      </c>
      <c r="B45" s="284"/>
      <c r="C45" s="285">
        <f t="shared" si="0"/>
        <v>2</v>
      </c>
      <c r="D45" s="373"/>
      <c r="E45" s="286"/>
      <c r="F45" s="285" t="str">
        <f t="shared" si="1"/>
        <v/>
      </c>
      <c r="G45" s="287" t="str">
        <f t="shared" si="1"/>
        <v/>
      </c>
      <c r="H45" s="288" t="str">
        <f t="shared" si="2"/>
        <v/>
      </c>
      <c r="I45" s="289" t="str">
        <f t="shared" si="3"/>
        <v/>
      </c>
      <c r="J45" s="288" t="str">
        <f t="shared" si="4"/>
        <v/>
      </c>
      <c r="K45" s="288">
        <f t="shared" si="5"/>
        <v>0</v>
      </c>
      <c r="L45" s="290"/>
      <c r="M45" s="291">
        <f t="shared" si="6"/>
        <v>1</v>
      </c>
      <c r="N45" s="466" t="str">
        <f t="shared" si="7"/>
        <v/>
      </c>
      <c r="O45" s="302" t="str">
        <f t="shared" si="8"/>
        <v/>
      </c>
      <c r="P45" s="468" t="str">
        <f t="shared" si="9"/>
        <v/>
      </c>
      <c r="Q45" s="292" t="str">
        <f t="shared" si="24"/>
        <v/>
      </c>
      <c r="R45" s="294" t="str">
        <f t="shared" si="10"/>
        <v/>
      </c>
      <c r="S45" s="295" t="str">
        <f t="shared" si="11"/>
        <v>---</v>
      </c>
      <c r="V45" s="3" t="str">
        <f>IFERROR(VALUE(TEXT(C45,"00")&amp;TEXT(N45,"00")&amp;TEXT(P45,"00")&amp;IF(#REF!="Plato perforado",5,IF(OR(#REF!="N/A",#REF!=""),0,#REF!))),"")</f>
        <v/>
      </c>
      <c r="W45" s="3">
        <v>9</v>
      </c>
      <c r="X45" s="3">
        <v>9</v>
      </c>
      <c r="Y45" s="3" t="s">
        <v>179</v>
      </c>
      <c r="AY45" s="187"/>
      <c r="AZ45" s="176" t="str">
        <f>"Difusores de "&amp;W45&amp;""""&amp;" × "&amp;X45&amp;""""&amp;Y45</f>
        <v>Difusores de 9" × 9", número de vías por definir:</v>
      </c>
      <c r="BA45" s="174">
        <f t="shared" si="25"/>
        <v>0</v>
      </c>
      <c r="BB45" s="187"/>
      <c r="BC45" s="103" t="str">
        <f t="shared" si="12"/>
        <v/>
      </c>
      <c r="BD45" s="103" t="str">
        <f t="shared" si="13"/>
        <v/>
      </c>
      <c r="BE45" s="103" t="e">
        <f t="shared" si="14"/>
        <v>#VALUE!</v>
      </c>
      <c r="BF45" s="181">
        <v>8</v>
      </c>
      <c r="BG45" s="181">
        <v>18</v>
      </c>
      <c r="BH45" s="184">
        <f t="shared" si="26"/>
        <v>1</v>
      </c>
      <c r="BI45" s="185">
        <f t="shared" si="15"/>
        <v>550</v>
      </c>
      <c r="BJ45" s="185">
        <f t="shared" si="16"/>
        <v>0.44444444444444442</v>
      </c>
      <c r="BK45" s="103">
        <f t="shared" si="27"/>
        <v>818</v>
      </c>
      <c r="BL45" s="103" t="e">
        <v>#VALUE!</v>
      </c>
      <c r="BM45" s="103">
        <v>8</v>
      </c>
      <c r="BN45" s="103">
        <v>20</v>
      </c>
      <c r="BO45" s="103">
        <v>8</v>
      </c>
      <c r="BP45" s="103">
        <f t="shared" si="28"/>
        <v>820</v>
      </c>
      <c r="BQ45" s="103">
        <f t="shared" si="28"/>
        <v>2008</v>
      </c>
      <c r="BR45" s="173" t="str">
        <f t="shared" si="29"/>
        <v>Rejillas de 8" × 20":</v>
      </c>
      <c r="BS45" s="180">
        <f t="shared" si="17"/>
        <v>0</v>
      </c>
      <c r="BT45" s="180">
        <f t="shared" si="18"/>
        <v>0</v>
      </c>
      <c r="BU45" s="180">
        <f t="shared" si="30"/>
        <v>0</v>
      </c>
      <c r="BV45" s="187"/>
      <c r="BW45" s="103">
        <f t="shared" si="19"/>
        <v>0</v>
      </c>
      <c r="BX45" s="173" t="str">
        <f t="shared" si="20"/>
        <v>Rejillas de 16" × 24":</v>
      </c>
      <c r="BY45" s="180">
        <f t="shared" si="21"/>
        <v>0</v>
      </c>
      <c r="BZ45" s="180">
        <f t="shared" si="22"/>
        <v>0</v>
      </c>
      <c r="CA45" s="180">
        <f t="shared" si="23"/>
        <v>0</v>
      </c>
      <c r="CB45" s="187"/>
      <c r="CC45" s="222" t="str">
        <f t="shared" si="31"/>
        <v/>
      </c>
      <c r="CD45" s="218" t="str">
        <f t="shared" si="32"/>
        <v/>
      </c>
      <c r="CE45" s="198" t="str">
        <f t="shared" si="33"/>
        <v/>
      </c>
      <c r="CF45" s="138" t="str">
        <f t="shared" si="34"/>
        <v/>
      </c>
      <c r="CG45" s="211" t="str">
        <f t="shared" si="35"/>
        <v/>
      </c>
      <c r="CH45" s="212" t="str">
        <f t="shared" si="36"/>
        <v/>
      </c>
      <c r="CI45" s="213" t="str">
        <f t="shared" si="37"/>
        <v/>
      </c>
      <c r="CJ45" s="138" t="str">
        <f t="shared" si="38"/>
        <v/>
      </c>
      <c r="CK45" s="199" t="e">
        <f>IF(#REF!="Plato perforado","PP",IF(OR(#REF!=0,#REF!=""),"",#REF!))</f>
        <v>#REF!</v>
      </c>
      <c r="CL45" s="200" t="str">
        <f t="shared" si="39"/>
        <v/>
      </c>
      <c r="CM45" s="201" t="str">
        <f t="shared" si="39"/>
        <v>---</v>
      </c>
      <c r="CN45" s="202"/>
      <c r="CO45" s="222" t="str">
        <f t="shared" si="40"/>
        <v/>
      </c>
      <c r="CP45" s="199" t="str">
        <f t="shared" si="41"/>
        <v/>
      </c>
      <c r="CQ45" s="198" t="str">
        <f t="shared" si="42"/>
        <v/>
      </c>
      <c r="CR45" s="138" t="str">
        <f t="shared" si="43"/>
        <v/>
      </c>
      <c r="CS45" s="211" t="str">
        <f t="shared" si="44"/>
        <v/>
      </c>
      <c r="CT45" s="212" t="str">
        <f t="shared" si="45"/>
        <v/>
      </c>
      <c r="CU45" s="213" t="str">
        <f t="shared" si="46"/>
        <v/>
      </c>
      <c r="CV45" s="138" t="str">
        <f t="shared" si="47"/>
        <v/>
      </c>
      <c r="CW45" s="199" t="e">
        <f>IF(#REF!="Plato perforado","PP",IF(OR(#REF!=0,#REF!=""),"",#REF!))</f>
        <v>#REF!</v>
      </c>
      <c r="CX45" s="200" t="str">
        <f t="shared" si="48"/>
        <v/>
      </c>
      <c r="CY45" s="201" t="str">
        <f t="shared" si="48"/>
        <v>---</v>
      </c>
      <c r="CZ45" s="202"/>
      <c r="DA45" s="222" t="str">
        <f t="shared" si="49"/>
        <v/>
      </c>
      <c r="DB45" s="199" t="str">
        <f t="shared" si="50"/>
        <v/>
      </c>
      <c r="DC45" s="198" t="str">
        <f t="shared" si="51"/>
        <v/>
      </c>
      <c r="DD45" s="138" t="str">
        <f t="shared" si="52"/>
        <v/>
      </c>
      <c r="DE45" s="211" t="str">
        <f t="shared" si="53"/>
        <v/>
      </c>
      <c r="DF45" s="212" t="str">
        <f t="shared" si="54"/>
        <v/>
      </c>
      <c r="DG45" s="213" t="str">
        <f t="shared" si="55"/>
        <v/>
      </c>
      <c r="DH45" s="138" t="str">
        <f t="shared" si="56"/>
        <v/>
      </c>
      <c r="DI45" s="199" t="e">
        <f>IF(#REF!="Plato perforado","PP",IF(OR(#REF!=0,#REF!=""),"",#REF!))</f>
        <v>#REF!</v>
      </c>
      <c r="DJ45" s="200" t="str">
        <f t="shared" si="57"/>
        <v/>
      </c>
      <c r="DK45" s="201" t="str">
        <f t="shared" si="57"/>
        <v>---</v>
      </c>
      <c r="DL45" s="202"/>
      <c r="DM45" s="222" t="str">
        <f t="shared" si="58"/>
        <v/>
      </c>
      <c r="DN45" s="199" t="str">
        <f t="shared" si="59"/>
        <v/>
      </c>
      <c r="DO45" s="198" t="str">
        <f t="shared" si="60"/>
        <v/>
      </c>
      <c r="DP45" s="138" t="str">
        <f t="shared" si="61"/>
        <v/>
      </c>
      <c r="DQ45" s="211" t="str">
        <f t="shared" si="62"/>
        <v/>
      </c>
      <c r="DR45" s="212" t="str">
        <f t="shared" si="63"/>
        <v/>
      </c>
      <c r="DS45" s="213" t="str">
        <f t="shared" si="64"/>
        <v/>
      </c>
      <c r="DT45" s="138" t="str">
        <f t="shared" si="65"/>
        <v/>
      </c>
      <c r="DU45" s="199" t="e">
        <f>IF(#REF!="Plato perforado","PP",IF(OR(#REF!=0,#REF!=""),"",#REF!))</f>
        <v>#REF!</v>
      </c>
      <c r="DV45" s="200" t="str">
        <f t="shared" si="66"/>
        <v/>
      </c>
      <c r="DW45" s="201" t="str">
        <f t="shared" si="66"/>
        <v>---</v>
      </c>
      <c r="DX45" s="202"/>
      <c r="DY45" s="222" t="str">
        <f t="shared" si="67"/>
        <v/>
      </c>
      <c r="DZ45" s="199" t="str">
        <f t="shared" si="68"/>
        <v/>
      </c>
      <c r="EA45" s="198" t="str">
        <f t="shared" si="69"/>
        <v/>
      </c>
      <c r="EB45" s="138" t="str">
        <f t="shared" si="70"/>
        <v/>
      </c>
      <c r="EC45" s="211" t="str">
        <f t="shared" si="71"/>
        <v/>
      </c>
      <c r="ED45" s="212" t="str">
        <f t="shared" si="72"/>
        <v/>
      </c>
      <c r="EE45" s="213" t="str">
        <f t="shared" si="73"/>
        <v/>
      </c>
      <c r="EF45" s="138" t="str">
        <f t="shared" si="74"/>
        <v/>
      </c>
      <c r="EG45" s="199" t="e">
        <f>IF(#REF!="Plato perforado","PP",IF(OR(#REF!=0,#REF!=""),"",#REF!))</f>
        <v>#REF!</v>
      </c>
      <c r="EH45" s="200" t="str">
        <f t="shared" si="75"/>
        <v/>
      </c>
      <c r="EI45" s="201" t="str">
        <f t="shared" si="75"/>
        <v>---</v>
      </c>
      <c r="EJ45" s="229"/>
    </row>
    <row r="46" spans="1:140" x14ac:dyDescent="0.3">
      <c r="A46" s="431">
        <v>13</v>
      </c>
      <c r="B46" s="260"/>
      <c r="C46" s="261">
        <f t="shared" si="0"/>
        <v>2</v>
      </c>
      <c r="D46" s="371"/>
      <c r="E46" s="262"/>
      <c r="F46" s="261" t="str">
        <f t="shared" si="1"/>
        <v/>
      </c>
      <c r="G46" s="263" t="str">
        <f t="shared" si="1"/>
        <v/>
      </c>
      <c r="H46" s="264" t="str">
        <f t="shared" si="2"/>
        <v/>
      </c>
      <c r="I46" s="265" t="str">
        <f t="shared" si="3"/>
        <v/>
      </c>
      <c r="J46" s="264" t="str">
        <f t="shared" si="4"/>
        <v/>
      </c>
      <c r="K46" s="264">
        <f t="shared" si="5"/>
        <v>0</v>
      </c>
      <c r="L46" s="266"/>
      <c r="M46" s="267">
        <f t="shared" si="6"/>
        <v>1</v>
      </c>
      <c r="N46" s="465" t="str">
        <f t="shared" si="7"/>
        <v/>
      </c>
      <c r="O46" s="297" t="str">
        <f t="shared" si="8"/>
        <v/>
      </c>
      <c r="P46" s="467" t="str">
        <f t="shared" si="9"/>
        <v/>
      </c>
      <c r="Q46" s="268" t="str">
        <f t="shared" si="24"/>
        <v/>
      </c>
      <c r="R46" s="270" t="str">
        <f t="shared" si="10"/>
        <v/>
      </c>
      <c r="S46" s="271" t="str">
        <f t="shared" si="11"/>
        <v>---</v>
      </c>
      <c r="V46" s="3" t="str">
        <f>IFERROR(VALUE(TEXT(C46,"00")&amp;TEXT(N46,"00")&amp;TEXT(P46,"00")&amp;IF(#REF!="Plato perforado",5,IF(OR(#REF!="N/A",#REF!=""),0,#REF!))),"")</f>
        <v/>
      </c>
      <c r="W46" s="3">
        <v>12</v>
      </c>
      <c r="X46" s="3">
        <v>12</v>
      </c>
      <c r="Y46" s="3">
        <v>1</v>
      </c>
      <c r="AY46" s="187"/>
      <c r="AZ46" s="175" t="str">
        <f>"Difusores de "&amp;W46&amp;""""&amp;" × "&amp;X46&amp;""""&amp;" de "&amp;Y46&amp;" vía:"</f>
        <v>Difusores de 12" × 12" de 1 vía:</v>
      </c>
      <c r="BA46" s="174">
        <f t="shared" si="25"/>
        <v>0</v>
      </c>
      <c r="BB46" s="187"/>
      <c r="BC46" s="103" t="str">
        <f t="shared" si="12"/>
        <v/>
      </c>
      <c r="BD46" s="103" t="str">
        <f t="shared" si="13"/>
        <v/>
      </c>
      <c r="BE46" s="103" t="e">
        <f t="shared" si="14"/>
        <v>#VALUE!</v>
      </c>
      <c r="BF46" s="181">
        <v>8</v>
      </c>
      <c r="BG46" s="181">
        <v>20</v>
      </c>
      <c r="BH46" s="184">
        <f t="shared" si="26"/>
        <v>1.1111111111111112</v>
      </c>
      <c r="BI46" s="185">
        <f t="shared" si="15"/>
        <v>611.11111111111109</v>
      </c>
      <c r="BJ46" s="185">
        <f t="shared" si="16"/>
        <v>0.4</v>
      </c>
      <c r="BK46" s="103">
        <f t="shared" si="27"/>
        <v>820</v>
      </c>
      <c r="BL46" s="103" t="e">
        <v>#VALUE!</v>
      </c>
      <c r="BM46" s="103">
        <v>10</v>
      </c>
      <c r="BN46" s="103">
        <v>10</v>
      </c>
      <c r="BO46" s="103">
        <v>10</v>
      </c>
      <c r="BP46" s="103">
        <f t="shared" si="28"/>
        <v>1010</v>
      </c>
      <c r="BQ46" s="103">
        <f t="shared" si="28"/>
        <v>1010</v>
      </c>
      <c r="BR46" s="173" t="str">
        <f t="shared" si="29"/>
        <v>Rejillas de 10" × 10":</v>
      </c>
      <c r="BS46" s="180">
        <f t="shared" si="17"/>
        <v>0</v>
      </c>
      <c r="BT46" s="180">
        <f t="shared" si="18"/>
        <v>0</v>
      </c>
      <c r="BU46" s="180">
        <f t="shared" si="30"/>
        <v>0</v>
      </c>
      <c r="BV46" s="187"/>
      <c r="BW46" s="103">
        <f t="shared" si="19"/>
        <v>0</v>
      </c>
      <c r="BX46" s="173" t="str">
        <f t="shared" si="20"/>
        <v>Rejillas de 18" × 18":</v>
      </c>
      <c r="BY46" s="180">
        <f t="shared" si="21"/>
        <v>0</v>
      </c>
      <c r="BZ46" s="180">
        <f t="shared" si="22"/>
        <v>0</v>
      </c>
      <c r="CA46" s="180">
        <f t="shared" si="23"/>
        <v>0</v>
      </c>
      <c r="CB46" s="187"/>
      <c r="CC46" s="222" t="str">
        <f t="shared" si="31"/>
        <v/>
      </c>
      <c r="CD46" s="218" t="str">
        <f t="shared" si="32"/>
        <v/>
      </c>
      <c r="CE46" s="198" t="str">
        <f t="shared" si="33"/>
        <v/>
      </c>
      <c r="CF46" s="138" t="str">
        <f t="shared" si="34"/>
        <v/>
      </c>
      <c r="CG46" s="211" t="str">
        <f t="shared" si="35"/>
        <v/>
      </c>
      <c r="CH46" s="212" t="str">
        <f t="shared" si="36"/>
        <v/>
      </c>
      <c r="CI46" s="213" t="str">
        <f t="shared" si="37"/>
        <v/>
      </c>
      <c r="CJ46" s="138" t="str">
        <f t="shared" si="38"/>
        <v/>
      </c>
      <c r="CK46" s="199" t="e">
        <f>IF(#REF!="Plato perforado","PP",IF(OR(#REF!=0,#REF!=""),"",#REF!))</f>
        <v>#REF!</v>
      </c>
      <c r="CL46" s="200" t="str">
        <f t="shared" si="39"/>
        <v/>
      </c>
      <c r="CM46" s="201" t="str">
        <f t="shared" si="39"/>
        <v>---</v>
      </c>
      <c r="CN46" s="202"/>
      <c r="CO46" s="222" t="str">
        <f t="shared" si="40"/>
        <v/>
      </c>
      <c r="CP46" s="199" t="str">
        <f t="shared" si="41"/>
        <v/>
      </c>
      <c r="CQ46" s="198" t="str">
        <f t="shared" si="42"/>
        <v/>
      </c>
      <c r="CR46" s="138" t="str">
        <f t="shared" si="43"/>
        <v/>
      </c>
      <c r="CS46" s="211" t="str">
        <f t="shared" si="44"/>
        <v/>
      </c>
      <c r="CT46" s="212" t="str">
        <f t="shared" si="45"/>
        <v/>
      </c>
      <c r="CU46" s="213" t="str">
        <f t="shared" si="46"/>
        <v/>
      </c>
      <c r="CV46" s="138" t="str">
        <f t="shared" si="47"/>
        <v/>
      </c>
      <c r="CW46" s="199" t="e">
        <f>IF(#REF!="Plato perforado","PP",IF(OR(#REF!=0,#REF!=""),"",#REF!))</f>
        <v>#REF!</v>
      </c>
      <c r="CX46" s="200" t="str">
        <f t="shared" si="48"/>
        <v/>
      </c>
      <c r="CY46" s="201" t="str">
        <f t="shared" si="48"/>
        <v>---</v>
      </c>
      <c r="CZ46" s="202"/>
      <c r="DA46" s="222" t="str">
        <f t="shared" si="49"/>
        <v/>
      </c>
      <c r="DB46" s="199" t="str">
        <f t="shared" si="50"/>
        <v/>
      </c>
      <c r="DC46" s="198" t="str">
        <f t="shared" si="51"/>
        <v/>
      </c>
      <c r="DD46" s="138" t="str">
        <f t="shared" si="52"/>
        <v/>
      </c>
      <c r="DE46" s="211" t="str">
        <f t="shared" si="53"/>
        <v/>
      </c>
      <c r="DF46" s="212" t="str">
        <f t="shared" si="54"/>
        <v/>
      </c>
      <c r="DG46" s="213" t="str">
        <f t="shared" si="55"/>
        <v/>
      </c>
      <c r="DH46" s="138" t="str">
        <f t="shared" si="56"/>
        <v/>
      </c>
      <c r="DI46" s="199" t="e">
        <f>IF(#REF!="Plato perforado","PP",IF(OR(#REF!=0,#REF!=""),"",#REF!))</f>
        <v>#REF!</v>
      </c>
      <c r="DJ46" s="200" t="str">
        <f t="shared" si="57"/>
        <v/>
      </c>
      <c r="DK46" s="201" t="str">
        <f t="shared" si="57"/>
        <v>---</v>
      </c>
      <c r="DL46" s="202"/>
      <c r="DM46" s="222" t="str">
        <f t="shared" si="58"/>
        <v/>
      </c>
      <c r="DN46" s="199" t="str">
        <f t="shared" si="59"/>
        <v/>
      </c>
      <c r="DO46" s="198" t="str">
        <f t="shared" si="60"/>
        <v/>
      </c>
      <c r="DP46" s="138" t="str">
        <f t="shared" si="61"/>
        <v/>
      </c>
      <c r="DQ46" s="211" t="str">
        <f t="shared" si="62"/>
        <v/>
      </c>
      <c r="DR46" s="212" t="str">
        <f t="shared" si="63"/>
        <v/>
      </c>
      <c r="DS46" s="213" t="str">
        <f t="shared" si="64"/>
        <v/>
      </c>
      <c r="DT46" s="138" t="str">
        <f t="shared" si="65"/>
        <v/>
      </c>
      <c r="DU46" s="199" t="e">
        <f>IF(#REF!="Plato perforado","PP",IF(OR(#REF!=0,#REF!=""),"",#REF!))</f>
        <v>#REF!</v>
      </c>
      <c r="DV46" s="200" t="str">
        <f t="shared" si="66"/>
        <v/>
      </c>
      <c r="DW46" s="201" t="str">
        <f t="shared" si="66"/>
        <v>---</v>
      </c>
      <c r="DX46" s="202"/>
      <c r="DY46" s="222" t="str">
        <f t="shared" si="67"/>
        <v/>
      </c>
      <c r="DZ46" s="199" t="str">
        <f t="shared" si="68"/>
        <v/>
      </c>
      <c r="EA46" s="198" t="str">
        <f t="shared" si="69"/>
        <v/>
      </c>
      <c r="EB46" s="138" t="str">
        <f t="shared" si="70"/>
        <v/>
      </c>
      <c r="EC46" s="211" t="str">
        <f t="shared" si="71"/>
        <v/>
      </c>
      <c r="ED46" s="212" t="str">
        <f t="shared" si="72"/>
        <v/>
      </c>
      <c r="EE46" s="213" t="str">
        <f t="shared" si="73"/>
        <v/>
      </c>
      <c r="EF46" s="138" t="str">
        <f t="shared" si="74"/>
        <v/>
      </c>
      <c r="EG46" s="199" t="e">
        <f>IF(#REF!="Plato perforado","PP",IF(OR(#REF!=0,#REF!=""),"",#REF!))</f>
        <v>#REF!</v>
      </c>
      <c r="EH46" s="200" t="str">
        <f t="shared" si="75"/>
        <v/>
      </c>
      <c r="EI46" s="201" t="str">
        <f t="shared" si="75"/>
        <v>---</v>
      </c>
      <c r="EJ46" s="229"/>
    </row>
    <row r="47" spans="1:140" x14ac:dyDescent="0.3">
      <c r="A47" s="431">
        <v>14</v>
      </c>
      <c r="B47" s="272"/>
      <c r="C47" s="273">
        <f t="shared" si="0"/>
        <v>2</v>
      </c>
      <c r="D47" s="372"/>
      <c r="E47" s="274"/>
      <c r="F47" s="273" t="str">
        <f t="shared" si="1"/>
        <v/>
      </c>
      <c r="G47" s="275" t="str">
        <f t="shared" si="1"/>
        <v/>
      </c>
      <c r="H47" s="276" t="str">
        <f t="shared" si="2"/>
        <v/>
      </c>
      <c r="I47" s="277" t="str">
        <f t="shared" si="3"/>
        <v/>
      </c>
      <c r="J47" s="276" t="str">
        <f t="shared" si="4"/>
        <v/>
      </c>
      <c r="K47" s="276">
        <f t="shared" si="5"/>
        <v>0</v>
      </c>
      <c r="L47" s="278"/>
      <c r="M47" s="279">
        <f t="shared" si="6"/>
        <v>1</v>
      </c>
      <c r="N47" s="360" t="str">
        <f t="shared" si="7"/>
        <v/>
      </c>
      <c r="O47" s="117" t="str">
        <f t="shared" si="8"/>
        <v/>
      </c>
      <c r="P47" s="359" t="str">
        <f t="shared" si="9"/>
        <v/>
      </c>
      <c r="Q47" s="280" t="str">
        <f t="shared" si="24"/>
        <v/>
      </c>
      <c r="R47" s="282" t="str">
        <f t="shared" si="10"/>
        <v/>
      </c>
      <c r="S47" s="283" t="str">
        <f t="shared" si="11"/>
        <v>---</v>
      </c>
      <c r="V47" s="3" t="str">
        <f>IFERROR(VALUE(TEXT(C47,"00")&amp;TEXT(N47,"00")&amp;TEXT(P47,"00")&amp;IF(#REF!="Plato perforado",5,IF(OR(#REF!="N/A",#REF!=""),0,#REF!))),"")</f>
        <v/>
      </c>
      <c r="W47" s="3">
        <v>12</v>
      </c>
      <c r="X47" s="3">
        <v>12</v>
      </c>
      <c r="Y47" s="3">
        <v>2</v>
      </c>
      <c r="AY47" s="187"/>
      <c r="AZ47" s="175" t="str">
        <f>"Difusores de "&amp;W47&amp;""""&amp;" × "&amp;X47&amp;""""&amp;" de "&amp;Y47&amp;" vías:"</f>
        <v>Difusores de 12" × 12" de 2 vías:</v>
      </c>
      <c r="BA47" s="174">
        <f t="shared" si="25"/>
        <v>0</v>
      </c>
      <c r="BB47" s="187"/>
      <c r="BC47" s="103" t="str">
        <f t="shared" si="12"/>
        <v/>
      </c>
      <c r="BD47" s="103" t="str">
        <f t="shared" si="13"/>
        <v/>
      </c>
      <c r="BE47" s="103" t="e">
        <f t="shared" si="14"/>
        <v>#VALUE!</v>
      </c>
      <c r="BF47" s="181">
        <v>10</v>
      </c>
      <c r="BG47" s="181">
        <v>6</v>
      </c>
      <c r="BH47" s="184">
        <f t="shared" si="26"/>
        <v>0.41666666666666669</v>
      </c>
      <c r="BI47" s="185">
        <f t="shared" si="15"/>
        <v>229.16666666666669</v>
      </c>
      <c r="BJ47" s="185">
        <f t="shared" si="16"/>
        <v>1.6666666666666667</v>
      </c>
      <c r="BK47" s="103">
        <f t="shared" si="27"/>
        <v>1006</v>
      </c>
      <c r="BL47" s="103" t="e">
        <v>#VALUE!</v>
      </c>
      <c r="BM47" s="103">
        <v>10</v>
      </c>
      <c r="BN47" s="103">
        <v>12</v>
      </c>
      <c r="BO47" s="103">
        <v>10</v>
      </c>
      <c r="BP47" s="103">
        <f t="shared" si="28"/>
        <v>1012</v>
      </c>
      <c r="BQ47" s="103">
        <f t="shared" si="28"/>
        <v>1210</v>
      </c>
      <c r="BR47" s="173" t="str">
        <f t="shared" si="29"/>
        <v>Rejillas de 10" × 12":</v>
      </c>
      <c r="BS47" s="180">
        <f t="shared" si="17"/>
        <v>0</v>
      </c>
      <c r="BT47" s="180">
        <f t="shared" si="18"/>
        <v>0</v>
      </c>
      <c r="BU47" s="180">
        <f t="shared" si="30"/>
        <v>0</v>
      </c>
      <c r="BV47" s="187"/>
      <c r="BW47" s="103">
        <f t="shared" si="19"/>
        <v>0</v>
      </c>
      <c r="BX47" s="173" t="str">
        <f t="shared" si="20"/>
        <v>Rejillas de 18" × 20":</v>
      </c>
      <c r="BY47" s="180">
        <f t="shared" si="21"/>
        <v>0</v>
      </c>
      <c r="BZ47" s="180">
        <f t="shared" si="22"/>
        <v>0</v>
      </c>
      <c r="CA47" s="180">
        <f t="shared" si="23"/>
        <v>0</v>
      </c>
      <c r="CB47" s="187"/>
      <c r="CC47" s="222" t="str">
        <f t="shared" si="31"/>
        <v/>
      </c>
      <c r="CD47" s="218" t="str">
        <f t="shared" si="32"/>
        <v/>
      </c>
      <c r="CE47" s="198" t="str">
        <f t="shared" si="33"/>
        <v/>
      </c>
      <c r="CF47" s="138" t="str">
        <f t="shared" si="34"/>
        <v/>
      </c>
      <c r="CG47" s="211" t="str">
        <f t="shared" si="35"/>
        <v/>
      </c>
      <c r="CH47" s="212" t="str">
        <f t="shared" si="36"/>
        <v/>
      </c>
      <c r="CI47" s="213" t="str">
        <f t="shared" si="37"/>
        <v/>
      </c>
      <c r="CJ47" s="138" t="str">
        <f t="shared" si="38"/>
        <v/>
      </c>
      <c r="CK47" s="199" t="e">
        <f>IF(#REF!="Plato perforado","PP",IF(OR(#REF!=0,#REF!=""),"",#REF!))</f>
        <v>#REF!</v>
      </c>
      <c r="CL47" s="200" t="str">
        <f t="shared" si="39"/>
        <v/>
      </c>
      <c r="CM47" s="201" t="str">
        <f t="shared" si="39"/>
        <v>---</v>
      </c>
      <c r="CN47" s="202"/>
      <c r="CO47" s="222" t="str">
        <f t="shared" si="40"/>
        <v/>
      </c>
      <c r="CP47" s="199" t="str">
        <f t="shared" si="41"/>
        <v/>
      </c>
      <c r="CQ47" s="198" t="str">
        <f t="shared" si="42"/>
        <v/>
      </c>
      <c r="CR47" s="138" t="str">
        <f t="shared" si="43"/>
        <v/>
      </c>
      <c r="CS47" s="211" t="str">
        <f t="shared" si="44"/>
        <v/>
      </c>
      <c r="CT47" s="212" t="str">
        <f t="shared" si="45"/>
        <v/>
      </c>
      <c r="CU47" s="213" t="str">
        <f t="shared" si="46"/>
        <v/>
      </c>
      <c r="CV47" s="138" t="str">
        <f t="shared" si="47"/>
        <v/>
      </c>
      <c r="CW47" s="199" t="e">
        <f>IF(#REF!="Plato perforado","PP",IF(OR(#REF!=0,#REF!=""),"",#REF!))</f>
        <v>#REF!</v>
      </c>
      <c r="CX47" s="200" t="str">
        <f t="shared" si="48"/>
        <v/>
      </c>
      <c r="CY47" s="201" t="str">
        <f t="shared" si="48"/>
        <v>---</v>
      </c>
      <c r="CZ47" s="202"/>
      <c r="DA47" s="222" t="str">
        <f t="shared" si="49"/>
        <v/>
      </c>
      <c r="DB47" s="199" t="str">
        <f t="shared" si="50"/>
        <v/>
      </c>
      <c r="DC47" s="198" t="str">
        <f t="shared" si="51"/>
        <v/>
      </c>
      <c r="DD47" s="138" t="str">
        <f t="shared" si="52"/>
        <v/>
      </c>
      <c r="DE47" s="211" t="str">
        <f t="shared" si="53"/>
        <v/>
      </c>
      <c r="DF47" s="212" t="str">
        <f t="shared" si="54"/>
        <v/>
      </c>
      <c r="DG47" s="213" t="str">
        <f t="shared" si="55"/>
        <v/>
      </c>
      <c r="DH47" s="138" t="str">
        <f t="shared" si="56"/>
        <v/>
      </c>
      <c r="DI47" s="199" t="e">
        <f>IF(#REF!="Plato perforado","PP",IF(OR(#REF!=0,#REF!=""),"",#REF!))</f>
        <v>#REF!</v>
      </c>
      <c r="DJ47" s="200" t="str">
        <f t="shared" si="57"/>
        <v/>
      </c>
      <c r="DK47" s="201" t="str">
        <f t="shared" si="57"/>
        <v>---</v>
      </c>
      <c r="DL47" s="202"/>
      <c r="DM47" s="222" t="str">
        <f t="shared" si="58"/>
        <v/>
      </c>
      <c r="DN47" s="199" t="str">
        <f t="shared" si="59"/>
        <v/>
      </c>
      <c r="DO47" s="198" t="str">
        <f t="shared" si="60"/>
        <v/>
      </c>
      <c r="DP47" s="138" t="str">
        <f t="shared" si="61"/>
        <v/>
      </c>
      <c r="DQ47" s="211" t="str">
        <f t="shared" si="62"/>
        <v/>
      </c>
      <c r="DR47" s="212" t="str">
        <f t="shared" si="63"/>
        <v/>
      </c>
      <c r="DS47" s="213" t="str">
        <f t="shared" si="64"/>
        <v/>
      </c>
      <c r="DT47" s="138" t="str">
        <f t="shared" si="65"/>
        <v/>
      </c>
      <c r="DU47" s="199" t="e">
        <f>IF(#REF!="Plato perforado","PP",IF(OR(#REF!=0,#REF!=""),"",#REF!))</f>
        <v>#REF!</v>
      </c>
      <c r="DV47" s="200" t="str">
        <f t="shared" si="66"/>
        <v/>
      </c>
      <c r="DW47" s="201" t="str">
        <f t="shared" si="66"/>
        <v>---</v>
      </c>
      <c r="DX47" s="202"/>
      <c r="DY47" s="222" t="str">
        <f t="shared" si="67"/>
        <v/>
      </c>
      <c r="DZ47" s="199" t="str">
        <f t="shared" si="68"/>
        <v/>
      </c>
      <c r="EA47" s="198" t="str">
        <f t="shared" si="69"/>
        <v/>
      </c>
      <c r="EB47" s="138" t="str">
        <f t="shared" si="70"/>
        <v/>
      </c>
      <c r="EC47" s="211" t="str">
        <f t="shared" si="71"/>
        <v/>
      </c>
      <c r="ED47" s="212" t="str">
        <f t="shared" si="72"/>
        <v/>
      </c>
      <c r="EE47" s="213" t="str">
        <f t="shared" si="73"/>
        <v/>
      </c>
      <c r="EF47" s="138" t="str">
        <f t="shared" si="74"/>
        <v/>
      </c>
      <c r="EG47" s="199" t="e">
        <f>IF(#REF!="Plato perforado","PP",IF(OR(#REF!=0,#REF!=""),"",#REF!))</f>
        <v>#REF!</v>
      </c>
      <c r="EH47" s="200" t="str">
        <f t="shared" si="75"/>
        <v/>
      </c>
      <c r="EI47" s="201" t="str">
        <f t="shared" si="75"/>
        <v>---</v>
      </c>
      <c r="EJ47" s="229"/>
    </row>
    <row r="48" spans="1:140" x14ac:dyDescent="0.3">
      <c r="A48" s="431">
        <v>15</v>
      </c>
      <c r="B48" s="284"/>
      <c r="C48" s="285">
        <f t="shared" si="0"/>
        <v>2</v>
      </c>
      <c r="D48" s="373"/>
      <c r="E48" s="286"/>
      <c r="F48" s="285" t="str">
        <f t="shared" si="1"/>
        <v/>
      </c>
      <c r="G48" s="287" t="str">
        <f t="shared" si="1"/>
        <v/>
      </c>
      <c r="H48" s="288" t="str">
        <f t="shared" si="2"/>
        <v/>
      </c>
      <c r="I48" s="289" t="str">
        <f t="shared" si="3"/>
        <v/>
      </c>
      <c r="J48" s="288" t="str">
        <f t="shared" si="4"/>
        <v/>
      </c>
      <c r="K48" s="288">
        <f t="shared" si="5"/>
        <v>0</v>
      </c>
      <c r="L48" s="290"/>
      <c r="M48" s="291">
        <f t="shared" si="6"/>
        <v>1</v>
      </c>
      <c r="N48" s="466" t="str">
        <f t="shared" si="7"/>
        <v/>
      </c>
      <c r="O48" s="302" t="str">
        <f t="shared" si="8"/>
        <v/>
      </c>
      <c r="P48" s="468" t="str">
        <f t="shared" si="9"/>
        <v/>
      </c>
      <c r="Q48" s="292" t="str">
        <f t="shared" si="24"/>
        <v/>
      </c>
      <c r="R48" s="294" t="str">
        <f t="shared" si="10"/>
        <v/>
      </c>
      <c r="S48" s="295" t="str">
        <f t="shared" si="11"/>
        <v>---</v>
      </c>
      <c r="V48" s="3" t="str">
        <f>IFERROR(VALUE(TEXT(C48,"00")&amp;TEXT(N48,"00")&amp;TEXT(P48,"00")&amp;IF(#REF!="Plato perforado",5,IF(OR(#REF!="N/A",#REF!=""),0,#REF!))),"")</f>
        <v/>
      </c>
      <c r="W48" s="3">
        <v>12</v>
      </c>
      <c r="X48" s="3">
        <v>12</v>
      </c>
      <c r="Y48" s="3">
        <v>3</v>
      </c>
      <c r="AY48" s="187"/>
      <c r="AZ48" s="175" t="str">
        <f t="shared" ref="AZ48:AZ49" si="77">"Difusores de "&amp;W48&amp;""""&amp;" × "&amp;X48&amp;""""&amp;" de "&amp;Y48&amp;" vías:"</f>
        <v>Difusores de 12" × 12" de 3 vías:</v>
      </c>
      <c r="BA48" s="174">
        <f t="shared" si="25"/>
        <v>0</v>
      </c>
      <c r="BB48" s="187"/>
      <c r="BC48" s="103" t="str">
        <f t="shared" si="12"/>
        <v/>
      </c>
      <c r="BD48" s="103" t="str">
        <f t="shared" si="13"/>
        <v/>
      </c>
      <c r="BE48" s="103" t="e">
        <f t="shared" si="14"/>
        <v>#VALUE!</v>
      </c>
      <c r="BF48" s="181">
        <v>10</v>
      </c>
      <c r="BG48" s="181">
        <v>8</v>
      </c>
      <c r="BH48" s="184">
        <f t="shared" si="26"/>
        <v>0.55555555555555558</v>
      </c>
      <c r="BI48" s="185">
        <f t="shared" si="15"/>
        <v>305.55555555555554</v>
      </c>
      <c r="BJ48" s="185">
        <f t="shared" si="16"/>
        <v>1.25</v>
      </c>
      <c r="BK48" s="103">
        <f t="shared" si="27"/>
        <v>1008</v>
      </c>
      <c r="BL48" s="103" t="e">
        <v>#VALUE!</v>
      </c>
      <c r="BM48" s="103">
        <v>10</v>
      </c>
      <c r="BN48" s="103">
        <v>14</v>
      </c>
      <c r="BO48" s="103">
        <v>10</v>
      </c>
      <c r="BP48" s="103">
        <f t="shared" si="28"/>
        <v>1014</v>
      </c>
      <c r="BQ48" s="103">
        <f t="shared" si="28"/>
        <v>1410</v>
      </c>
      <c r="BR48" s="173" t="str">
        <f t="shared" si="29"/>
        <v>Rejillas de 10" × 14":</v>
      </c>
      <c r="BS48" s="180">
        <f t="shared" si="17"/>
        <v>0</v>
      </c>
      <c r="BT48" s="180">
        <f t="shared" si="18"/>
        <v>0</v>
      </c>
      <c r="BU48" s="180">
        <f t="shared" si="30"/>
        <v>0</v>
      </c>
      <c r="BV48" s="187"/>
      <c r="BW48" s="103">
        <f t="shared" si="19"/>
        <v>0</v>
      </c>
      <c r="BX48" s="248" t="str">
        <f t="shared" si="20"/>
        <v>Rejillas de 30" × 12":</v>
      </c>
      <c r="BY48" s="249">
        <f t="shared" si="21"/>
        <v>0</v>
      </c>
      <c r="BZ48" s="249">
        <f t="shared" si="22"/>
        <v>0</v>
      </c>
      <c r="CA48" s="249">
        <f t="shared" si="23"/>
        <v>0</v>
      </c>
      <c r="CB48" s="187"/>
      <c r="CC48" s="222" t="str">
        <f t="shared" si="31"/>
        <v/>
      </c>
      <c r="CD48" s="218" t="str">
        <f t="shared" si="32"/>
        <v/>
      </c>
      <c r="CE48" s="198" t="str">
        <f t="shared" si="33"/>
        <v/>
      </c>
      <c r="CF48" s="138" t="str">
        <f t="shared" si="34"/>
        <v/>
      </c>
      <c r="CG48" s="211" t="str">
        <f t="shared" si="35"/>
        <v/>
      </c>
      <c r="CH48" s="212" t="str">
        <f t="shared" si="36"/>
        <v/>
      </c>
      <c r="CI48" s="213" t="str">
        <f t="shared" si="37"/>
        <v/>
      </c>
      <c r="CJ48" s="138" t="str">
        <f t="shared" si="38"/>
        <v/>
      </c>
      <c r="CK48" s="199" t="e">
        <f>IF(#REF!="Plato perforado","PP",IF(OR(#REF!=0,#REF!=""),"",#REF!))</f>
        <v>#REF!</v>
      </c>
      <c r="CL48" s="200" t="str">
        <f t="shared" si="39"/>
        <v/>
      </c>
      <c r="CM48" s="201" t="str">
        <f t="shared" si="39"/>
        <v>---</v>
      </c>
      <c r="CN48" s="202"/>
      <c r="CO48" s="222" t="str">
        <f t="shared" si="40"/>
        <v/>
      </c>
      <c r="CP48" s="199" t="str">
        <f t="shared" si="41"/>
        <v/>
      </c>
      <c r="CQ48" s="198" t="str">
        <f t="shared" si="42"/>
        <v/>
      </c>
      <c r="CR48" s="138" t="str">
        <f t="shared" si="43"/>
        <v/>
      </c>
      <c r="CS48" s="211" t="str">
        <f t="shared" si="44"/>
        <v/>
      </c>
      <c r="CT48" s="212" t="str">
        <f t="shared" si="45"/>
        <v/>
      </c>
      <c r="CU48" s="213" t="str">
        <f t="shared" si="46"/>
        <v/>
      </c>
      <c r="CV48" s="138" t="str">
        <f t="shared" si="47"/>
        <v/>
      </c>
      <c r="CW48" s="199" t="e">
        <f>IF(#REF!="Plato perforado","PP",IF(OR(#REF!=0,#REF!=""),"",#REF!))</f>
        <v>#REF!</v>
      </c>
      <c r="CX48" s="200" t="str">
        <f t="shared" si="48"/>
        <v/>
      </c>
      <c r="CY48" s="201" t="str">
        <f t="shared" si="48"/>
        <v>---</v>
      </c>
      <c r="CZ48" s="202"/>
      <c r="DA48" s="222" t="str">
        <f t="shared" si="49"/>
        <v/>
      </c>
      <c r="DB48" s="199" t="str">
        <f t="shared" si="50"/>
        <v/>
      </c>
      <c r="DC48" s="198" t="str">
        <f t="shared" si="51"/>
        <v/>
      </c>
      <c r="DD48" s="138" t="str">
        <f t="shared" si="52"/>
        <v/>
      </c>
      <c r="DE48" s="211" t="str">
        <f t="shared" si="53"/>
        <v/>
      </c>
      <c r="DF48" s="212" t="str">
        <f t="shared" si="54"/>
        <v/>
      </c>
      <c r="DG48" s="213" t="str">
        <f t="shared" si="55"/>
        <v/>
      </c>
      <c r="DH48" s="138" t="str">
        <f t="shared" si="56"/>
        <v/>
      </c>
      <c r="DI48" s="199" t="e">
        <f>IF(#REF!="Plato perforado","PP",IF(OR(#REF!=0,#REF!=""),"",#REF!))</f>
        <v>#REF!</v>
      </c>
      <c r="DJ48" s="200" t="str">
        <f t="shared" si="57"/>
        <v/>
      </c>
      <c r="DK48" s="201" t="str">
        <f t="shared" si="57"/>
        <v>---</v>
      </c>
      <c r="DL48" s="202"/>
      <c r="DM48" s="222" t="str">
        <f t="shared" si="58"/>
        <v/>
      </c>
      <c r="DN48" s="199" t="str">
        <f t="shared" si="59"/>
        <v/>
      </c>
      <c r="DO48" s="198" t="str">
        <f t="shared" si="60"/>
        <v/>
      </c>
      <c r="DP48" s="138" t="str">
        <f t="shared" si="61"/>
        <v/>
      </c>
      <c r="DQ48" s="211" t="str">
        <f t="shared" si="62"/>
        <v/>
      </c>
      <c r="DR48" s="212" t="str">
        <f t="shared" si="63"/>
        <v/>
      </c>
      <c r="DS48" s="213" t="str">
        <f t="shared" si="64"/>
        <v/>
      </c>
      <c r="DT48" s="138" t="str">
        <f t="shared" si="65"/>
        <v/>
      </c>
      <c r="DU48" s="199" t="e">
        <f>IF(#REF!="Plato perforado","PP",IF(OR(#REF!=0,#REF!=""),"",#REF!))</f>
        <v>#REF!</v>
      </c>
      <c r="DV48" s="200" t="str">
        <f t="shared" si="66"/>
        <v/>
      </c>
      <c r="DW48" s="201" t="str">
        <f t="shared" si="66"/>
        <v>---</v>
      </c>
      <c r="DX48" s="202"/>
      <c r="DY48" s="222" t="str">
        <f t="shared" si="67"/>
        <v/>
      </c>
      <c r="DZ48" s="199" t="str">
        <f t="shared" si="68"/>
        <v/>
      </c>
      <c r="EA48" s="198" t="str">
        <f t="shared" si="69"/>
        <v/>
      </c>
      <c r="EB48" s="138" t="str">
        <f t="shared" si="70"/>
        <v/>
      </c>
      <c r="EC48" s="211" t="str">
        <f t="shared" si="71"/>
        <v/>
      </c>
      <c r="ED48" s="212" t="str">
        <f t="shared" si="72"/>
        <v/>
      </c>
      <c r="EE48" s="213" t="str">
        <f t="shared" si="73"/>
        <v/>
      </c>
      <c r="EF48" s="138" t="str">
        <f t="shared" si="74"/>
        <v/>
      </c>
      <c r="EG48" s="199" t="e">
        <f>IF(#REF!="Plato perforado","PP",IF(OR(#REF!=0,#REF!=""),"",#REF!))</f>
        <v>#REF!</v>
      </c>
      <c r="EH48" s="200" t="str">
        <f t="shared" si="75"/>
        <v/>
      </c>
      <c r="EI48" s="201" t="str">
        <f t="shared" si="75"/>
        <v>---</v>
      </c>
      <c r="EJ48" s="229"/>
    </row>
    <row r="49" spans="1:140" x14ac:dyDescent="0.3">
      <c r="A49" s="431">
        <v>16</v>
      </c>
      <c r="B49" s="260"/>
      <c r="C49" s="261">
        <f t="shared" si="0"/>
        <v>2</v>
      </c>
      <c r="D49" s="371"/>
      <c r="E49" s="262"/>
      <c r="F49" s="261" t="str">
        <f t="shared" si="1"/>
        <v/>
      </c>
      <c r="G49" s="263" t="str">
        <f t="shared" si="1"/>
        <v/>
      </c>
      <c r="H49" s="264" t="str">
        <f t="shared" si="2"/>
        <v/>
      </c>
      <c r="I49" s="265" t="str">
        <f t="shared" si="3"/>
        <v/>
      </c>
      <c r="J49" s="264" t="str">
        <f t="shared" si="4"/>
        <v/>
      </c>
      <c r="K49" s="264">
        <f t="shared" si="5"/>
        <v>0</v>
      </c>
      <c r="L49" s="266"/>
      <c r="M49" s="267">
        <f t="shared" si="6"/>
        <v>1</v>
      </c>
      <c r="N49" s="465" t="str">
        <f t="shared" si="7"/>
        <v/>
      </c>
      <c r="O49" s="297" t="str">
        <f t="shared" si="8"/>
        <v/>
      </c>
      <c r="P49" s="467" t="str">
        <f t="shared" si="9"/>
        <v/>
      </c>
      <c r="Q49" s="268" t="str">
        <f t="shared" si="24"/>
        <v/>
      </c>
      <c r="R49" s="270" t="str">
        <f t="shared" si="10"/>
        <v/>
      </c>
      <c r="S49" s="271" t="str">
        <f t="shared" si="11"/>
        <v>---</v>
      </c>
      <c r="V49" s="3" t="str">
        <f>IFERROR(VALUE(TEXT(C49,"00")&amp;TEXT(N49,"00")&amp;TEXT(P49,"00")&amp;IF(#REF!="Plato perforado",5,IF(OR(#REF!="N/A",#REF!=""),0,#REF!))),"")</f>
        <v/>
      </c>
      <c r="W49" s="3">
        <v>12</v>
      </c>
      <c r="X49" s="3">
        <v>12</v>
      </c>
      <c r="Y49" s="3">
        <v>4</v>
      </c>
      <c r="AY49" s="187"/>
      <c r="AZ49" s="175" t="str">
        <f t="shared" si="77"/>
        <v>Difusores de 12" × 12" de 4 vías:</v>
      </c>
      <c r="BA49" s="174">
        <f t="shared" si="25"/>
        <v>0</v>
      </c>
      <c r="BB49" s="187"/>
      <c r="BC49" s="103" t="str">
        <f t="shared" si="12"/>
        <v/>
      </c>
      <c r="BD49" s="103" t="str">
        <f t="shared" si="13"/>
        <v/>
      </c>
      <c r="BE49" s="103" t="e">
        <f t="shared" si="14"/>
        <v>#VALUE!</v>
      </c>
      <c r="BF49" s="181">
        <v>10</v>
      </c>
      <c r="BG49" s="181">
        <v>10</v>
      </c>
      <c r="BH49" s="184">
        <f t="shared" si="26"/>
        <v>0.69444444444444453</v>
      </c>
      <c r="BI49" s="185">
        <f t="shared" si="15"/>
        <v>381.94444444444451</v>
      </c>
      <c r="BJ49" s="185">
        <f t="shared" si="16"/>
        <v>1</v>
      </c>
      <c r="BK49" s="103">
        <f t="shared" si="27"/>
        <v>1010</v>
      </c>
      <c r="BL49" s="103" t="e">
        <v>#VALUE!</v>
      </c>
      <c r="BM49" s="103">
        <v>10</v>
      </c>
      <c r="BN49" s="103">
        <v>16</v>
      </c>
      <c r="BO49" s="103">
        <v>10</v>
      </c>
      <c r="BP49" s="103">
        <f t="shared" si="28"/>
        <v>1016</v>
      </c>
      <c r="BQ49" s="103">
        <f t="shared" si="28"/>
        <v>1610</v>
      </c>
      <c r="BR49" s="173" t="str">
        <f t="shared" si="29"/>
        <v>Rejillas de 10" × 16":</v>
      </c>
      <c r="BS49" s="180">
        <f t="shared" si="17"/>
        <v>0</v>
      </c>
      <c r="BT49" s="180">
        <f t="shared" si="18"/>
        <v>0</v>
      </c>
      <c r="BU49" s="180">
        <f t="shared" si="30"/>
        <v>0</v>
      </c>
      <c r="BV49" s="187"/>
      <c r="BW49" s="103">
        <f t="shared" si="19"/>
        <v>0</v>
      </c>
      <c r="BX49" s="187"/>
      <c r="BY49" s="187"/>
      <c r="BZ49" s="187"/>
      <c r="CA49" s="187"/>
      <c r="CB49" s="187"/>
      <c r="CC49" s="222" t="str">
        <f t="shared" si="31"/>
        <v/>
      </c>
      <c r="CD49" s="218" t="str">
        <f t="shared" si="32"/>
        <v/>
      </c>
      <c r="CE49" s="198" t="str">
        <f t="shared" si="33"/>
        <v/>
      </c>
      <c r="CF49" s="138" t="str">
        <f t="shared" si="34"/>
        <v/>
      </c>
      <c r="CG49" s="211" t="str">
        <f t="shared" si="35"/>
        <v/>
      </c>
      <c r="CH49" s="212" t="str">
        <f t="shared" si="36"/>
        <v/>
      </c>
      <c r="CI49" s="213" t="str">
        <f t="shared" si="37"/>
        <v/>
      </c>
      <c r="CJ49" s="138" t="str">
        <f t="shared" si="38"/>
        <v/>
      </c>
      <c r="CK49" s="199" t="e">
        <f>IF(#REF!="Plato perforado","PP",IF(OR(#REF!=0,#REF!=""),"",#REF!))</f>
        <v>#REF!</v>
      </c>
      <c r="CL49" s="200" t="str">
        <f t="shared" si="39"/>
        <v/>
      </c>
      <c r="CM49" s="201" t="str">
        <f t="shared" si="39"/>
        <v>---</v>
      </c>
      <c r="CN49" s="202"/>
      <c r="CO49" s="222" t="str">
        <f t="shared" si="40"/>
        <v/>
      </c>
      <c r="CP49" s="199" t="str">
        <f t="shared" si="41"/>
        <v/>
      </c>
      <c r="CQ49" s="198" t="str">
        <f t="shared" si="42"/>
        <v/>
      </c>
      <c r="CR49" s="138" t="str">
        <f t="shared" si="43"/>
        <v/>
      </c>
      <c r="CS49" s="211" t="str">
        <f t="shared" si="44"/>
        <v/>
      </c>
      <c r="CT49" s="212" t="str">
        <f t="shared" si="45"/>
        <v/>
      </c>
      <c r="CU49" s="213" t="str">
        <f t="shared" si="46"/>
        <v/>
      </c>
      <c r="CV49" s="138" t="str">
        <f t="shared" si="47"/>
        <v/>
      </c>
      <c r="CW49" s="199" t="e">
        <f>IF(#REF!="Plato perforado","PP",IF(OR(#REF!=0,#REF!=""),"",#REF!))</f>
        <v>#REF!</v>
      </c>
      <c r="CX49" s="200" t="str">
        <f t="shared" si="48"/>
        <v/>
      </c>
      <c r="CY49" s="201" t="str">
        <f t="shared" si="48"/>
        <v>---</v>
      </c>
      <c r="CZ49" s="202"/>
      <c r="DA49" s="222" t="str">
        <f t="shared" si="49"/>
        <v/>
      </c>
      <c r="DB49" s="199" t="str">
        <f t="shared" si="50"/>
        <v/>
      </c>
      <c r="DC49" s="198" t="str">
        <f t="shared" si="51"/>
        <v/>
      </c>
      <c r="DD49" s="138" t="str">
        <f t="shared" si="52"/>
        <v/>
      </c>
      <c r="DE49" s="211" t="str">
        <f t="shared" si="53"/>
        <v/>
      </c>
      <c r="DF49" s="212" t="str">
        <f t="shared" si="54"/>
        <v/>
      </c>
      <c r="DG49" s="213" t="str">
        <f t="shared" si="55"/>
        <v/>
      </c>
      <c r="DH49" s="138" t="str">
        <f t="shared" si="56"/>
        <v/>
      </c>
      <c r="DI49" s="199" t="e">
        <f>IF(#REF!="Plato perforado","PP",IF(OR(#REF!=0,#REF!=""),"",#REF!))</f>
        <v>#REF!</v>
      </c>
      <c r="DJ49" s="200" t="str">
        <f t="shared" si="57"/>
        <v/>
      </c>
      <c r="DK49" s="201" t="str">
        <f t="shared" si="57"/>
        <v>---</v>
      </c>
      <c r="DL49" s="202"/>
      <c r="DM49" s="222" t="str">
        <f t="shared" si="58"/>
        <v/>
      </c>
      <c r="DN49" s="199" t="str">
        <f t="shared" si="59"/>
        <v/>
      </c>
      <c r="DO49" s="198" t="str">
        <f t="shared" si="60"/>
        <v/>
      </c>
      <c r="DP49" s="138" t="str">
        <f t="shared" si="61"/>
        <v/>
      </c>
      <c r="DQ49" s="211" t="str">
        <f t="shared" si="62"/>
        <v/>
      </c>
      <c r="DR49" s="212" t="str">
        <f t="shared" si="63"/>
        <v/>
      </c>
      <c r="DS49" s="213" t="str">
        <f t="shared" si="64"/>
        <v/>
      </c>
      <c r="DT49" s="138" t="str">
        <f t="shared" si="65"/>
        <v/>
      </c>
      <c r="DU49" s="199" t="e">
        <f>IF(#REF!="Plato perforado","PP",IF(OR(#REF!=0,#REF!=""),"",#REF!))</f>
        <v>#REF!</v>
      </c>
      <c r="DV49" s="200" t="str">
        <f t="shared" si="66"/>
        <v/>
      </c>
      <c r="DW49" s="201" t="str">
        <f t="shared" si="66"/>
        <v>---</v>
      </c>
      <c r="DX49" s="202"/>
      <c r="DY49" s="222" t="str">
        <f t="shared" si="67"/>
        <v/>
      </c>
      <c r="DZ49" s="199" t="str">
        <f t="shared" si="68"/>
        <v/>
      </c>
      <c r="EA49" s="198" t="str">
        <f t="shared" si="69"/>
        <v/>
      </c>
      <c r="EB49" s="138" t="str">
        <f t="shared" si="70"/>
        <v/>
      </c>
      <c r="EC49" s="211" t="str">
        <f t="shared" si="71"/>
        <v/>
      </c>
      <c r="ED49" s="212" t="str">
        <f t="shared" si="72"/>
        <v/>
      </c>
      <c r="EE49" s="213" t="str">
        <f t="shared" si="73"/>
        <v/>
      </c>
      <c r="EF49" s="138" t="str">
        <f t="shared" si="74"/>
        <v/>
      </c>
      <c r="EG49" s="199" t="e">
        <f>IF(#REF!="Plato perforado","PP",IF(OR(#REF!=0,#REF!=""),"",#REF!))</f>
        <v>#REF!</v>
      </c>
      <c r="EH49" s="200" t="str">
        <f t="shared" si="75"/>
        <v/>
      </c>
      <c r="EI49" s="201" t="str">
        <f t="shared" si="75"/>
        <v>---</v>
      </c>
      <c r="EJ49" s="229"/>
    </row>
    <row r="50" spans="1:140" x14ac:dyDescent="0.3">
      <c r="A50" s="431">
        <v>17</v>
      </c>
      <c r="B50" s="272"/>
      <c r="C50" s="273">
        <f t="shared" si="0"/>
        <v>2</v>
      </c>
      <c r="D50" s="372"/>
      <c r="E50" s="274"/>
      <c r="F50" s="273" t="str">
        <f t="shared" si="1"/>
        <v/>
      </c>
      <c r="G50" s="275" t="str">
        <f t="shared" si="1"/>
        <v/>
      </c>
      <c r="H50" s="276" t="str">
        <f t="shared" si="2"/>
        <v/>
      </c>
      <c r="I50" s="277" t="str">
        <f t="shared" si="3"/>
        <v/>
      </c>
      <c r="J50" s="276" t="str">
        <f t="shared" si="4"/>
        <v/>
      </c>
      <c r="K50" s="276">
        <f t="shared" si="5"/>
        <v>0</v>
      </c>
      <c r="L50" s="278"/>
      <c r="M50" s="279">
        <f t="shared" si="6"/>
        <v>1</v>
      </c>
      <c r="N50" s="360" t="str">
        <f t="shared" si="7"/>
        <v/>
      </c>
      <c r="O50" s="117" t="str">
        <f t="shared" si="8"/>
        <v/>
      </c>
      <c r="P50" s="359" t="str">
        <f t="shared" si="9"/>
        <v/>
      </c>
      <c r="Q50" s="280" t="str">
        <f t="shared" si="24"/>
        <v/>
      </c>
      <c r="R50" s="282" t="str">
        <f t="shared" si="10"/>
        <v/>
      </c>
      <c r="S50" s="283" t="str">
        <f t="shared" si="11"/>
        <v>---</v>
      </c>
      <c r="V50" s="3" t="str">
        <f>IFERROR(VALUE(TEXT(C50,"00")&amp;TEXT(N50,"00")&amp;TEXT(P50,"00")&amp;IF(#REF!="Plato perforado",5,IF(OR(#REF!="N/A",#REF!=""),0,#REF!))),"")</f>
        <v/>
      </c>
      <c r="W50" s="3">
        <v>12</v>
      </c>
      <c r="X50" s="3">
        <v>12</v>
      </c>
      <c r="Y50" s="3" t="s">
        <v>178</v>
      </c>
      <c r="AY50" s="187"/>
      <c r="AZ50" s="175" t="str">
        <f>"Difusores de "&amp;W50&amp;""""&amp;" × "&amp;X50&amp;""""&amp;" de "&amp;Y50</f>
        <v>Difusores de 12" × 12" de plato perforado:</v>
      </c>
      <c r="BA50" s="174">
        <f t="shared" si="25"/>
        <v>0</v>
      </c>
      <c r="BB50" s="187"/>
      <c r="BC50" s="103" t="str">
        <f t="shared" si="12"/>
        <v/>
      </c>
      <c r="BD50" s="103" t="str">
        <f t="shared" si="13"/>
        <v/>
      </c>
      <c r="BE50" s="103" t="e">
        <f t="shared" si="14"/>
        <v>#VALUE!</v>
      </c>
      <c r="BF50" s="181">
        <v>10</v>
      </c>
      <c r="BG50" s="181">
        <v>12</v>
      </c>
      <c r="BH50" s="184">
        <f t="shared" si="26"/>
        <v>0.83333333333333337</v>
      </c>
      <c r="BI50" s="185">
        <f t="shared" si="15"/>
        <v>458.33333333333337</v>
      </c>
      <c r="BJ50" s="185">
        <f t="shared" si="16"/>
        <v>0.83333333333333337</v>
      </c>
      <c r="BK50" s="103">
        <f t="shared" si="27"/>
        <v>1012</v>
      </c>
      <c r="BL50" s="103" t="e">
        <v>#VALUE!</v>
      </c>
      <c r="BM50" s="103">
        <v>10</v>
      </c>
      <c r="BN50" s="103">
        <v>18</v>
      </c>
      <c r="BO50" s="103">
        <v>10</v>
      </c>
      <c r="BP50" s="103">
        <f t="shared" si="28"/>
        <v>1018</v>
      </c>
      <c r="BQ50" s="103">
        <f t="shared" si="28"/>
        <v>1810</v>
      </c>
      <c r="BR50" s="173" t="str">
        <f t="shared" si="29"/>
        <v>Rejillas de 10" × 18":</v>
      </c>
      <c r="BS50" s="180">
        <f t="shared" si="17"/>
        <v>0</v>
      </c>
      <c r="BT50" s="180">
        <f t="shared" si="18"/>
        <v>0</v>
      </c>
      <c r="BU50" s="180">
        <f t="shared" si="30"/>
        <v>0</v>
      </c>
      <c r="BV50" s="187"/>
      <c r="BW50" s="103">
        <f t="shared" si="19"/>
        <v>0</v>
      </c>
      <c r="BX50" s="187"/>
      <c r="BY50" s="187"/>
      <c r="BZ50" s="187"/>
      <c r="CA50" s="187"/>
      <c r="CB50" s="187"/>
      <c r="CC50" s="222" t="str">
        <f t="shared" si="31"/>
        <v/>
      </c>
      <c r="CD50" s="218" t="str">
        <f t="shared" si="32"/>
        <v/>
      </c>
      <c r="CE50" s="198" t="str">
        <f t="shared" si="33"/>
        <v/>
      </c>
      <c r="CF50" s="138" t="str">
        <f t="shared" si="34"/>
        <v/>
      </c>
      <c r="CG50" s="211" t="str">
        <f t="shared" si="35"/>
        <v/>
      </c>
      <c r="CH50" s="212" t="str">
        <f t="shared" si="36"/>
        <v/>
      </c>
      <c r="CI50" s="213" t="str">
        <f t="shared" si="37"/>
        <v/>
      </c>
      <c r="CJ50" s="138" t="str">
        <f t="shared" si="38"/>
        <v/>
      </c>
      <c r="CK50" s="199" t="e">
        <f>IF(#REF!="Plato perforado","PP",IF(OR(#REF!=0,#REF!=""),"",#REF!))</f>
        <v>#REF!</v>
      </c>
      <c r="CL50" s="200" t="str">
        <f t="shared" si="39"/>
        <v/>
      </c>
      <c r="CM50" s="201" t="str">
        <f t="shared" si="39"/>
        <v>---</v>
      </c>
      <c r="CN50" s="202"/>
      <c r="CO50" s="222" t="str">
        <f t="shared" si="40"/>
        <v/>
      </c>
      <c r="CP50" s="199" t="str">
        <f t="shared" si="41"/>
        <v/>
      </c>
      <c r="CQ50" s="198" t="str">
        <f t="shared" si="42"/>
        <v/>
      </c>
      <c r="CR50" s="138" t="str">
        <f t="shared" si="43"/>
        <v/>
      </c>
      <c r="CS50" s="211" t="str">
        <f t="shared" si="44"/>
        <v/>
      </c>
      <c r="CT50" s="212" t="str">
        <f t="shared" si="45"/>
        <v/>
      </c>
      <c r="CU50" s="213" t="str">
        <f t="shared" si="46"/>
        <v/>
      </c>
      <c r="CV50" s="138" t="str">
        <f t="shared" si="47"/>
        <v/>
      </c>
      <c r="CW50" s="199" t="e">
        <f>IF(#REF!="Plato perforado","PP",IF(OR(#REF!=0,#REF!=""),"",#REF!))</f>
        <v>#REF!</v>
      </c>
      <c r="CX50" s="200" t="str">
        <f t="shared" si="48"/>
        <v/>
      </c>
      <c r="CY50" s="201" t="str">
        <f t="shared" si="48"/>
        <v>---</v>
      </c>
      <c r="CZ50" s="202"/>
      <c r="DA50" s="222" t="str">
        <f t="shared" si="49"/>
        <v/>
      </c>
      <c r="DB50" s="199" t="str">
        <f t="shared" si="50"/>
        <v/>
      </c>
      <c r="DC50" s="198" t="str">
        <f t="shared" si="51"/>
        <v/>
      </c>
      <c r="DD50" s="138" t="str">
        <f t="shared" si="52"/>
        <v/>
      </c>
      <c r="DE50" s="211" t="str">
        <f t="shared" si="53"/>
        <v/>
      </c>
      <c r="DF50" s="212" t="str">
        <f t="shared" si="54"/>
        <v/>
      </c>
      <c r="DG50" s="213" t="str">
        <f t="shared" si="55"/>
        <v/>
      </c>
      <c r="DH50" s="138" t="str">
        <f t="shared" si="56"/>
        <v/>
      </c>
      <c r="DI50" s="199" t="e">
        <f>IF(#REF!="Plato perforado","PP",IF(OR(#REF!=0,#REF!=""),"",#REF!))</f>
        <v>#REF!</v>
      </c>
      <c r="DJ50" s="200" t="str">
        <f t="shared" si="57"/>
        <v/>
      </c>
      <c r="DK50" s="201" t="str">
        <f t="shared" si="57"/>
        <v>---</v>
      </c>
      <c r="DL50" s="202"/>
      <c r="DM50" s="222" t="str">
        <f t="shared" si="58"/>
        <v/>
      </c>
      <c r="DN50" s="199" t="str">
        <f t="shared" si="59"/>
        <v/>
      </c>
      <c r="DO50" s="198" t="str">
        <f t="shared" si="60"/>
        <v/>
      </c>
      <c r="DP50" s="138" t="str">
        <f t="shared" si="61"/>
        <v/>
      </c>
      <c r="DQ50" s="211" t="str">
        <f t="shared" si="62"/>
        <v/>
      </c>
      <c r="DR50" s="212" t="str">
        <f t="shared" si="63"/>
        <v/>
      </c>
      <c r="DS50" s="213" t="str">
        <f t="shared" si="64"/>
        <v/>
      </c>
      <c r="DT50" s="138" t="str">
        <f t="shared" si="65"/>
        <v/>
      </c>
      <c r="DU50" s="199" t="e">
        <f>IF(#REF!="Plato perforado","PP",IF(OR(#REF!=0,#REF!=""),"",#REF!))</f>
        <v>#REF!</v>
      </c>
      <c r="DV50" s="200" t="str">
        <f t="shared" si="66"/>
        <v/>
      </c>
      <c r="DW50" s="201" t="str">
        <f t="shared" si="66"/>
        <v>---</v>
      </c>
      <c r="DX50" s="202"/>
      <c r="DY50" s="222" t="str">
        <f t="shared" si="67"/>
        <v/>
      </c>
      <c r="DZ50" s="199" t="str">
        <f t="shared" si="68"/>
        <v/>
      </c>
      <c r="EA50" s="198" t="str">
        <f t="shared" si="69"/>
        <v/>
      </c>
      <c r="EB50" s="138" t="str">
        <f t="shared" si="70"/>
        <v/>
      </c>
      <c r="EC50" s="211" t="str">
        <f t="shared" si="71"/>
        <v/>
      </c>
      <c r="ED50" s="212" t="str">
        <f t="shared" si="72"/>
        <v/>
      </c>
      <c r="EE50" s="213" t="str">
        <f t="shared" si="73"/>
        <v/>
      </c>
      <c r="EF50" s="138" t="str">
        <f t="shared" si="74"/>
        <v/>
      </c>
      <c r="EG50" s="199" t="e">
        <f>IF(#REF!="Plato perforado","PP",IF(OR(#REF!=0,#REF!=""),"",#REF!))</f>
        <v>#REF!</v>
      </c>
      <c r="EH50" s="200" t="str">
        <f t="shared" si="75"/>
        <v/>
      </c>
      <c r="EI50" s="201" t="str">
        <f t="shared" si="75"/>
        <v>---</v>
      </c>
      <c r="EJ50" s="229"/>
    </row>
    <row r="51" spans="1:140" x14ac:dyDescent="0.3">
      <c r="A51" s="431">
        <v>18</v>
      </c>
      <c r="B51" s="284"/>
      <c r="C51" s="285">
        <f t="shared" si="0"/>
        <v>2</v>
      </c>
      <c r="D51" s="373"/>
      <c r="E51" s="286"/>
      <c r="F51" s="285" t="str">
        <f t="shared" si="1"/>
        <v/>
      </c>
      <c r="G51" s="287" t="str">
        <f t="shared" si="1"/>
        <v/>
      </c>
      <c r="H51" s="288" t="str">
        <f t="shared" si="2"/>
        <v/>
      </c>
      <c r="I51" s="289" t="str">
        <f t="shared" si="3"/>
        <v/>
      </c>
      <c r="J51" s="288" t="str">
        <f t="shared" si="4"/>
        <v/>
      </c>
      <c r="K51" s="288">
        <f t="shared" si="5"/>
        <v>0</v>
      </c>
      <c r="L51" s="290"/>
      <c r="M51" s="291">
        <f t="shared" si="6"/>
        <v>1</v>
      </c>
      <c r="N51" s="466" t="str">
        <f t="shared" si="7"/>
        <v/>
      </c>
      <c r="O51" s="302" t="str">
        <f t="shared" si="8"/>
        <v/>
      </c>
      <c r="P51" s="468" t="str">
        <f t="shared" si="9"/>
        <v/>
      </c>
      <c r="Q51" s="292" t="str">
        <f t="shared" si="24"/>
        <v/>
      </c>
      <c r="R51" s="294" t="str">
        <f t="shared" si="10"/>
        <v/>
      </c>
      <c r="S51" s="295" t="str">
        <f t="shared" si="11"/>
        <v>---</v>
      </c>
      <c r="V51" s="3" t="str">
        <f>IFERROR(VALUE(TEXT(C51,"00")&amp;TEXT(N51,"00")&amp;TEXT(P51,"00")&amp;IF(#REF!="Plato perforado",5,IF(OR(#REF!="N/A",#REF!=""),0,#REF!))),"")</f>
        <v/>
      </c>
      <c r="W51" s="3">
        <v>12</v>
      </c>
      <c r="X51" s="3">
        <v>12</v>
      </c>
      <c r="Y51" s="3" t="s">
        <v>179</v>
      </c>
      <c r="AY51" s="187"/>
      <c r="AZ51" s="176" t="str">
        <f>"Difusores de "&amp;W51&amp;""""&amp;" × "&amp;X51&amp;""""&amp;Y51</f>
        <v>Difusores de 12" × 12", número de vías por definir:</v>
      </c>
      <c r="BA51" s="174">
        <f t="shared" si="25"/>
        <v>0</v>
      </c>
      <c r="BB51" s="187"/>
      <c r="BC51" s="103" t="str">
        <f t="shared" si="12"/>
        <v/>
      </c>
      <c r="BD51" s="103" t="str">
        <f t="shared" si="13"/>
        <v/>
      </c>
      <c r="BE51" s="103" t="e">
        <f t="shared" si="14"/>
        <v>#VALUE!</v>
      </c>
      <c r="BF51" s="181">
        <v>10</v>
      </c>
      <c r="BG51" s="181">
        <v>14</v>
      </c>
      <c r="BH51" s="184">
        <f t="shared" si="26"/>
        <v>0.97222222222222232</v>
      </c>
      <c r="BI51" s="185">
        <f t="shared" si="15"/>
        <v>534.72222222222229</v>
      </c>
      <c r="BJ51" s="185">
        <f t="shared" si="16"/>
        <v>0.7142857142857143</v>
      </c>
      <c r="BK51" s="103">
        <f t="shared" si="27"/>
        <v>1014</v>
      </c>
      <c r="BL51" s="103" t="e">
        <v>#VALUE!</v>
      </c>
      <c r="BM51" s="103">
        <v>10</v>
      </c>
      <c r="BN51" s="103">
        <v>20</v>
      </c>
      <c r="BO51" s="103">
        <v>10</v>
      </c>
      <c r="BP51" s="103">
        <f t="shared" si="28"/>
        <v>1020</v>
      </c>
      <c r="BQ51" s="103">
        <f t="shared" si="28"/>
        <v>2010</v>
      </c>
      <c r="BR51" s="173" t="str">
        <f t="shared" si="29"/>
        <v>Rejillas de 10" × 20":</v>
      </c>
      <c r="BS51" s="180">
        <f t="shared" si="17"/>
        <v>0</v>
      </c>
      <c r="BT51" s="180">
        <f t="shared" si="18"/>
        <v>0</v>
      </c>
      <c r="BU51" s="180">
        <f t="shared" si="30"/>
        <v>0</v>
      </c>
      <c r="BV51" s="187"/>
      <c r="BW51" s="103">
        <f t="shared" si="19"/>
        <v>0</v>
      </c>
      <c r="BX51" s="187"/>
      <c r="BY51" s="187"/>
      <c r="BZ51" s="187"/>
      <c r="CA51" s="187"/>
      <c r="CB51" s="187"/>
      <c r="CC51" s="222" t="str">
        <f t="shared" si="31"/>
        <v/>
      </c>
      <c r="CD51" s="218" t="str">
        <f t="shared" si="32"/>
        <v/>
      </c>
      <c r="CE51" s="198" t="str">
        <f t="shared" si="33"/>
        <v/>
      </c>
      <c r="CF51" s="138" t="str">
        <f t="shared" si="34"/>
        <v/>
      </c>
      <c r="CG51" s="211" t="str">
        <f t="shared" si="35"/>
        <v/>
      </c>
      <c r="CH51" s="212" t="str">
        <f t="shared" si="36"/>
        <v/>
      </c>
      <c r="CI51" s="213" t="str">
        <f t="shared" si="37"/>
        <v/>
      </c>
      <c r="CJ51" s="138" t="str">
        <f t="shared" si="38"/>
        <v/>
      </c>
      <c r="CK51" s="199" t="e">
        <f>IF(#REF!="Plato perforado","PP",IF(OR(#REF!=0,#REF!=""),"",#REF!))</f>
        <v>#REF!</v>
      </c>
      <c r="CL51" s="200" t="str">
        <f t="shared" si="39"/>
        <v/>
      </c>
      <c r="CM51" s="201" t="str">
        <f t="shared" si="39"/>
        <v>---</v>
      </c>
      <c r="CN51" s="202"/>
      <c r="CO51" s="222" t="str">
        <f t="shared" si="40"/>
        <v/>
      </c>
      <c r="CP51" s="199" t="str">
        <f t="shared" si="41"/>
        <v/>
      </c>
      <c r="CQ51" s="198" t="str">
        <f t="shared" si="42"/>
        <v/>
      </c>
      <c r="CR51" s="138" t="str">
        <f t="shared" si="43"/>
        <v/>
      </c>
      <c r="CS51" s="211" t="str">
        <f t="shared" si="44"/>
        <v/>
      </c>
      <c r="CT51" s="212" t="str">
        <f t="shared" si="45"/>
        <v/>
      </c>
      <c r="CU51" s="213" t="str">
        <f t="shared" si="46"/>
        <v/>
      </c>
      <c r="CV51" s="138" t="str">
        <f t="shared" si="47"/>
        <v/>
      </c>
      <c r="CW51" s="199" t="e">
        <f>IF(#REF!="Plato perforado","PP",IF(OR(#REF!=0,#REF!=""),"",#REF!))</f>
        <v>#REF!</v>
      </c>
      <c r="CX51" s="200" t="str">
        <f t="shared" si="48"/>
        <v/>
      </c>
      <c r="CY51" s="201" t="str">
        <f t="shared" si="48"/>
        <v>---</v>
      </c>
      <c r="CZ51" s="202"/>
      <c r="DA51" s="222" t="str">
        <f t="shared" si="49"/>
        <v/>
      </c>
      <c r="DB51" s="199" t="str">
        <f t="shared" si="50"/>
        <v/>
      </c>
      <c r="DC51" s="198" t="str">
        <f t="shared" si="51"/>
        <v/>
      </c>
      <c r="DD51" s="138" t="str">
        <f t="shared" si="52"/>
        <v/>
      </c>
      <c r="DE51" s="211" t="str">
        <f t="shared" si="53"/>
        <v/>
      </c>
      <c r="DF51" s="212" t="str">
        <f t="shared" si="54"/>
        <v/>
      </c>
      <c r="DG51" s="213" t="str">
        <f t="shared" si="55"/>
        <v/>
      </c>
      <c r="DH51" s="138" t="str">
        <f t="shared" si="56"/>
        <v/>
      </c>
      <c r="DI51" s="199" t="e">
        <f>IF(#REF!="Plato perforado","PP",IF(OR(#REF!=0,#REF!=""),"",#REF!))</f>
        <v>#REF!</v>
      </c>
      <c r="DJ51" s="200" t="str">
        <f t="shared" si="57"/>
        <v/>
      </c>
      <c r="DK51" s="201" t="str">
        <f t="shared" si="57"/>
        <v>---</v>
      </c>
      <c r="DL51" s="202"/>
      <c r="DM51" s="222" t="str">
        <f t="shared" si="58"/>
        <v/>
      </c>
      <c r="DN51" s="199" t="str">
        <f t="shared" si="59"/>
        <v/>
      </c>
      <c r="DO51" s="198" t="str">
        <f t="shared" si="60"/>
        <v/>
      </c>
      <c r="DP51" s="138" t="str">
        <f t="shared" si="61"/>
        <v/>
      </c>
      <c r="DQ51" s="211" t="str">
        <f t="shared" si="62"/>
        <v/>
      </c>
      <c r="DR51" s="212" t="str">
        <f t="shared" si="63"/>
        <v/>
      </c>
      <c r="DS51" s="213" t="str">
        <f t="shared" si="64"/>
        <v/>
      </c>
      <c r="DT51" s="138" t="str">
        <f t="shared" si="65"/>
        <v/>
      </c>
      <c r="DU51" s="199" t="e">
        <f>IF(#REF!="Plato perforado","PP",IF(OR(#REF!=0,#REF!=""),"",#REF!))</f>
        <v>#REF!</v>
      </c>
      <c r="DV51" s="200" t="str">
        <f t="shared" si="66"/>
        <v/>
      </c>
      <c r="DW51" s="201" t="str">
        <f t="shared" si="66"/>
        <v>---</v>
      </c>
      <c r="DX51" s="202"/>
      <c r="DY51" s="222" t="str">
        <f t="shared" si="67"/>
        <v/>
      </c>
      <c r="DZ51" s="199" t="str">
        <f t="shared" si="68"/>
        <v/>
      </c>
      <c r="EA51" s="198" t="str">
        <f t="shared" si="69"/>
        <v/>
      </c>
      <c r="EB51" s="138" t="str">
        <f t="shared" si="70"/>
        <v/>
      </c>
      <c r="EC51" s="211" t="str">
        <f t="shared" si="71"/>
        <v/>
      </c>
      <c r="ED51" s="212" t="str">
        <f t="shared" si="72"/>
        <v/>
      </c>
      <c r="EE51" s="213" t="str">
        <f t="shared" si="73"/>
        <v/>
      </c>
      <c r="EF51" s="138" t="str">
        <f t="shared" si="74"/>
        <v/>
      </c>
      <c r="EG51" s="199" t="e">
        <f>IF(#REF!="Plato perforado","PP",IF(OR(#REF!=0,#REF!=""),"",#REF!))</f>
        <v>#REF!</v>
      </c>
      <c r="EH51" s="200" t="str">
        <f t="shared" si="75"/>
        <v/>
      </c>
      <c r="EI51" s="201" t="str">
        <f t="shared" si="75"/>
        <v>---</v>
      </c>
      <c r="EJ51" s="229"/>
    </row>
    <row r="52" spans="1:140" x14ac:dyDescent="0.3">
      <c r="A52" s="431">
        <v>19</v>
      </c>
      <c r="B52" s="260"/>
      <c r="C52" s="261">
        <f t="shared" si="0"/>
        <v>2</v>
      </c>
      <c r="D52" s="371"/>
      <c r="E52" s="262"/>
      <c r="F52" s="261" t="str">
        <f t="shared" si="1"/>
        <v/>
      </c>
      <c r="G52" s="263" t="str">
        <f t="shared" si="1"/>
        <v/>
      </c>
      <c r="H52" s="264" t="str">
        <f t="shared" si="2"/>
        <v/>
      </c>
      <c r="I52" s="265" t="str">
        <f t="shared" si="3"/>
        <v/>
      </c>
      <c r="J52" s="264" t="str">
        <f t="shared" si="4"/>
        <v/>
      </c>
      <c r="K52" s="264">
        <f t="shared" si="5"/>
        <v>0</v>
      </c>
      <c r="L52" s="266"/>
      <c r="M52" s="267">
        <f t="shared" si="6"/>
        <v>1</v>
      </c>
      <c r="N52" s="465" t="str">
        <f t="shared" si="7"/>
        <v/>
      </c>
      <c r="O52" s="297" t="str">
        <f t="shared" si="8"/>
        <v/>
      </c>
      <c r="P52" s="467" t="str">
        <f t="shared" si="9"/>
        <v/>
      </c>
      <c r="Q52" s="268" t="str">
        <f t="shared" si="24"/>
        <v/>
      </c>
      <c r="R52" s="270" t="str">
        <f t="shared" si="10"/>
        <v/>
      </c>
      <c r="S52" s="271" t="str">
        <f t="shared" si="11"/>
        <v>---</v>
      </c>
      <c r="V52" s="3" t="str">
        <f>IFERROR(VALUE(TEXT(C52,"00")&amp;TEXT(N52,"00")&amp;TEXT(P52,"00")&amp;IF(#REF!="Plato perforado",5,IF(OR(#REF!="N/A",#REF!=""),0,#REF!))),"")</f>
        <v/>
      </c>
      <c r="W52" s="3">
        <v>15</v>
      </c>
      <c r="X52" s="3">
        <v>15</v>
      </c>
      <c r="Y52" s="3">
        <v>1</v>
      </c>
      <c r="AY52" s="187"/>
      <c r="AZ52" s="175" t="str">
        <f>"Difusores de "&amp;W52&amp;""""&amp;" × "&amp;X52&amp;""""&amp;" de "&amp;Y52&amp;" vía:"</f>
        <v>Difusores de 15" × 15" de 1 vía:</v>
      </c>
      <c r="BA52" s="174">
        <f t="shared" si="25"/>
        <v>0</v>
      </c>
      <c r="BB52" s="187"/>
      <c r="BC52" s="103" t="str">
        <f t="shared" si="12"/>
        <v/>
      </c>
      <c r="BD52" s="103" t="str">
        <f t="shared" si="13"/>
        <v/>
      </c>
      <c r="BE52" s="103" t="e">
        <f t="shared" si="14"/>
        <v>#VALUE!</v>
      </c>
      <c r="BF52" s="181">
        <v>10</v>
      </c>
      <c r="BG52" s="181">
        <v>16</v>
      </c>
      <c r="BH52" s="184">
        <f t="shared" si="26"/>
        <v>1.1111111111111112</v>
      </c>
      <c r="BI52" s="185">
        <f t="shared" si="15"/>
        <v>611.11111111111109</v>
      </c>
      <c r="BJ52" s="185">
        <f t="shared" si="16"/>
        <v>0.625</v>
      </c>
      <c r="BK52" s="103">
        <f t="shared" si="27"/>
        <v>1016</v>
      </c>
      <c r="BL52" s="103" t="e">
        <v>#VALUE!</v>
      </c>
      <c r="BM52" s="103">
        <v>10</v>
      </c>
      <c r="BN52" s="103">
        <v>22</v>
      </c>
      <c r="BO52" s="103">
        <v>10</v>
      </c>
      <c r="BP52" s="103">
        <f t="shared" si="28"/>
        <v>1022</v>
      </c>
      <c r="BQ52" s="103">
        <f t="shared" si="28"/>
        <v>2210</v>
      </c>
      <c r="BR52" s="173" t="str">
        <f t="shared" si="29"/>
        <v>Rejillas de 10" × 22":</v>
      </c>
      <c r="BS52" s="180">
        <f t="shared" si="17"/>
        <v>0</v>
      </c>
      <c r="BT52" s="180">
        <f t="shared" si="18"/>
        <v>0</v>
      </c>
      <c r="BU52" s="180">
        <f t="shared" si="30"/>
        <v>0</v>
      </c>
      <c r="BV52" s="187"/>
      <c r="BW52" s="103">
        <f t="shared" si="19"/>
        <v>0</v>
      </c>
      <c r="BX52" s="187"/>
      <c r="BY52" s="187"/>
      <c r="BZ52" s="187"/>
      <c r="CA52" s="187"/>
      <c r="CB52" s="187"/>
      <c r="CC52" s="222" t="str">
        <f t="shared" si="31"/>
        <v/>
      </c>
      <c r="CD52" s="218" t="str">
        <f t="shared" si="32"/>
        <v/>
      </c>
      <c r="CE52" s="198" t="str">
        <f t="shared" si="33"/>
        <v/>
      </c>
      <c r="CF52" s="138" t="str">
        <f t="shared" si="34"/>
        <v/>
      </c>
      <c r="CG52" s="211" t="str">
        <f t="shared" si="35"/>
        <v/>
      </c>
      <c r="CH52" s="212" t="str">
        <f t="shared" si="36"/>
        <v/>
      </c>
      <c r="CI52" s="213" t="str">
        <f t="shared" si="37"/>
        <v/>
      </c>
      <c r="CJ52" s="138" t="str">
        <f t="shared" si="38"/>
        <v/>
      </c>
      <c r="CK52" s="199" t="e">
        <f>IF(#REF!="Plato perforado","PP",IF(OR(#REF!=0,#REF!=""),"",#REF!))</f>
        <v>#REF!</v>
      </c>
      <c r="CL52" s="200" t="str">
        <f t="shared" si="39"/>
        <v/>
      </c>
      <c r="CM52" s="201" t="str">
        <f t="shared" si="39"/>
        <v>---</v>
      </c>
      <c r="CN52" s="202"/>
      <c r="CO52" s="222" t="str">
        <f t="shared" si="40"/>
        <v/>
      </c>
      <c r="CP52" s="199" t="str">
        <f t="shared" si="41"/>
        <v/>
      </c>
      <c r="CQ52" s="198" t="str">
        <f t="shared" si="42"/>
        <v/>
      </c>
      <c r="CR52" s="138" t="str">
        <f t="shared" si="43"/>
        <v/>
      </c>
      <c r="CS52" s="211" t="str">
        <f t="shared" si="44"/>
        <v/>
      </c>
      <c r="CT52" s="212" t="str">
        <f t="shared" si="45"/>
        <v/>
      </c>
      <c r="CU52" s="213" t="str">
        <f t="shared" si="46"/>
        <v/>
      </c>
      <c r="CV52" s="138" t="str">
        <f t="shared" si="47"/>
        <v/>
      </c>
      <c r="CW52" s="199" t="e">
        <f>IF(#REF!="Plato perforado","PP",IF(OR(#REF!=0,#REF!=""),"",#REF!))</f>
        <v>#REF!</v>
      </c>
      <c r="CX52" s="200" t="str">
        <f t="shared" si="48"/>
        <v/>
      </c>
      <c r="CY52" s="201" t="str">
        <f t="shared" si="48"/>
        <v>---</v>
      </c>
      <c r="CZ52" s="202"/>
      <c r="DA52" s="222" t="str">
        <f t="shared" si="49"/>
        <v/>
      </c>
      <c r="DB52" s="199" t="str">
        <f t="shared" si="50"/>
        <v/>
      </c>
      <c r="DC52" s="198" t="str">
        <f t="shared" si="51"/>
        <v/>
      </c>
      <c r="DD52" s="138" t="str">
        <f t="shared" si="52"/>
        <v/>
      </c>
      <c r="DE52" s="211" t="str">
        <f t="shared" si="53"/>
        <v/>
      </c>
      <c r="DF52" s="212" t="str">
        <f t="shared" si="54"/>
        <v/>
      </c>
      <c r="DG52" s="213" t="str">
        <f t="shared" si="55"/>
        <v/>
      </c>
      <c r="DH52" s="138" t="str">
        <f t="shared" si="56"/>
        <v/>
      </c>
      <c r="DI52" s="199" t="e">
        <f>IF(#REF!="Plato perforado","PP",IF(OR(#REF!=0,#REF!=""),"",#REF!))</f>
        <v>#REF!</v>
      </c>
      <c r="DJ52" s="200" t="str">
        <f t="shared" si="57"/>
        <v/>
      </c>
      <c r="DK52" s="201" t="str">
        <f t="shared" si="57"/>
        <v>---</v>
      </c>
      <c r="DL52" s="202"/>
      <c r="DM52" s="222" t="str">
        <f t="shared" si="58"/>
        <v/>
      </c>
      <c r="DN52" s="199" t="str">
        <f t="shared" si="59"/>
        <v/>
      </c>
      <c r="DO52" s="198" t="str">
        <f t="shared" si="60"/>
        <v/>
      </c>
      <c r="DP52" s="138" t="str">
        <f t="shared" si="61"/>
        <v/>
      </c>
      <c r="DQ52" s="211" t="str">
        <f t="shared" si="62"/>
        <v/>
      </c>
      <c r="DR52" s="212" t="str">
        <f t="shared" si="63"/>
        <v/>
      </c>
      <c r="DS52" s="213" t="str">
        <f t="shared" si="64"/>
        <v/>
      </c>
      <c r="DT52" s="138" t="str">
        <f t="shared" si="65"/>
        <v/>
      </c>
      <c r="DU52" s="199" t="e">
        <f>IF(#REF!="Plato perforado","PP",IF(OR(#REF!=0,#REF!=""),"",#REF!))</f>
        <v>#REF!</v>
      </c>
      <c r="DV52" s="200" t="str">
        <f t="shared" si="66"/>
        <v/>
      </c>
      <c r="DW52" s="201" t="str">
        <f t="shared" si="66"/>
        <v>---</v>
      </c>
      <c r="DX52" s="202"/>
      <c r="DY52" s="222" t="str">
        <f t="shared" si="67"/>
        <v/>
      </c>
      <c r="DZ52" s="199" t="str">
        <f t="shared" si="68"/>
        <v/>
      </c>
      <c r="EA52" s="198" t="str">
        <f t="shared" si="69"/>
        <v/>
      </c>
      <c r="EB52" s="138" t="str">
        <f t="shared" si="70"/>
        <v/>
      </c>
      <c r="EC52" s="211" t="str">
        <f t="shared" si="71"/>
        <v/>
      </c>
      <c r="ED52" s="212" t="str">
        <f t="shared" si="72"/>
        <v/>
      </c>
      <c r="EE52" s="213" t="str">
        <f t="shared" si="73"/>
        <v/>
      </c>
      <c r="EF52" s="138" t="str">
        <f t="shared" si="74"/>
        <v/>
      </c>
      <c r="EG52" s="199" t="e">
        <f>IF(#REF!="Plato perforado","PP",IF(OR(#REF!=0,#REF!=""),"",#REF!))</f>
        <v>#REF!</v>
      </c>
      <c r="EH52" s="200" t="str">
        <f t="shared" si="75"/>
        <v/>
      </c>
      <c r="EI52" s="201" t="str">
        <f t="shared" si="75"/>
        <v>---</v>
      </c>
      <c r="EJ52" s="229"/>
    </row>
    <row r="53" spans="1:140" x14ac:dyDescent="0.3">
      <c r="A53" s="431">
        <v>20</v>
      </c>
      <c r="B53" s="272"/>
      <c r="C53" s="273">
        <f t="shared" si="0"/>
        <v>2</v>
      </c>
      <c r="D53" s="372"/>
      <c r="E53" s="274"/>
      <c r="F53" s="273" t="str">
        <f t="shared" si="1"/>
        <v/>
      </c>
      <c r="G53" s="275" t="str">
        <f t="shared" si="1"/>
        <v/>
      </c>
      <c r="H53" s="276" t="str">
        <f t="shared" si="2"/>
        <v/>
      </c>
      <c r="I53" s="277" t="str">
        <f t="shared" si="3"/>
        <v/>
      </c>
      <c r="J53" s="276" t="str">
        <f t="shared" si="4"/>
        <v/>
      </c>
      <c r="K53" s="276">
        <f t="shared" si="5"/>
        <v>0</v>
      </c>
      <c r="L53" s="278"/>
      <c r="M53" s="279">
        <f t="shared" si="6"/>
        <v>1</v>
      </c>
      <c r="N53" s="360" t="str">
        <f t="shared" si="7"/>
        <v/>
      </c>
      <c r="O53" s="117" t="str">
        <f t="shared" si="8"/>
        <v/>
      </c>
      <c r="P53" s="359" t="str">
        <f t="shared" si="9"/>
        <v/>
      </c>
      <c r="Q53" s="280" t="str">
        <f t="shared" si="24"/>
        <v/>
      </c>
      <c r="R53" s="282" t="str">
        <f t="shared" si="10"/>
        <v/>
      </c>
      <c r="S53" s="283" t="str">
        <f t="shared" si="11"/>
        <v>---</v>
      </c>
      <c r="V53" s="3" t="str">
        <f>IFERROR(VALUE(TEXT(C53,"00")&amp;TEXT(N53,"00")&amp;TEXT(P53,"00")&amp;IF(#REF!="Plato perforado",5,IF(OR(#REF!="N/A",#REF!=""),0,#REF!))),"")</f>
        <v/>
      </c>
      <c r="W53" s="3">
        <v>15</v>
      </c>
      <c r="X53" s="3">
        <v>15</v>
      </c>
      <c r="Y53" s="3">
        <v>2</v>
      </c>
      <c r="AY53" s="187"/>
      <c r="AZ53" s="175" t="str">
        <f>"Difusores de "&amp;W53&amp;""""&amp;" × "&amp;X53&amp;""""&amp;" de "&amp;Y53&amp;" vías:"</f>
        <v>Difusores de 15" × 15" de 2 vías:</v>
      </c>
      <c r="BA53" s="174">
        <f t="shared" si="25"/>
        <v>0</v>
      </c>
      <c r="BB53" s="187"/>
      <c r="BC53" s="103" t="str">
        <f t="shared" si="12"/>
        <v/>
      </c>
      <c r="BD53" s="103" t="str">
        <f t="shared" si="13"/>
        <v/>
      </c>
      <c r="BE53" s="103" t="e">
        <f t="shared" si="14"/>
        <v>#VALUE!</v>
      </c>
      <c r="BF53" s="181">
        <v>10</v>
      </c>
      <c r="BG53" s="181">
        <v>18</v>
      </c>
      <c r="BH53" s="184">
        <f t="shared" si="26"/>
        <v>1.25</v>
      </c>
      <c r="BI53" s="185">
        <f t="shared" si="15"/>
        <v>687.5</v>
      </c>
      <c r="BJ53" s="185">
        <f t="shared" si="16"/>
        <v>0.55555555555555558</v>
      </c>
      <c r="BK53" s="103">
        <f t="shared" si="27"/>
        <v>1018</v>
      </c>
      <c r="BL53" s="103" t="e">
        <v>#VALUE!</v>
      </c>
      <c r="BM53" s="103">
        <v>10</v>
      </c>
      <c r="BN53" s="103">
        <v>24</v>
      </c>
      <c r="BO53" s="103">
        <v>10</v>
      </c>
      <c r="BP53" s="103">
        <f t="shared" si="28"/>
        <v>1024</v>
      </c>
      <c r="BQ53" s="103">
        <f t="shared" si="28"/>
        <v>2410</v>
      </c>
      <c r="BR53" s="173" t="str">
        <f t="shared" si="29"/>
        <v>Rejillas de 10" × 24":</v>
      </c>
      <c r="BS53" s="180">
        <f t="shared" si="17"/>
        <v>0</v>
      </c>
      <c r="BT53" s="180">
        <f t="shared" si="18"/>
        <v>0</v>
      </c>
      <c r="BU53" s="180">
        <f t="shared" si="30"/>
        <v>0</v>
      </c>
      <c r="BV53" s="187"/>
      <c r="BW53" s="103">
        <f t="shared" si="19"/>
        <v>0</v>
      </c>
      <c r="BX53" s="187"/>
      <c r="BY53" s="187"/>
      <c r="BZ53" s="187"/>
      <c r="CA53" s="187"/>
      <c r="CB53" s="187"/>
      <c r="CC53" s="222" t="str">
        <f t="shared" si="31"/>
        <v/>
      </c>
      <c r="CD53" s="218" t="str">
        <f t="shared" si="32"/>
        <v/>
      </c>
      <c r="CE53" s="198" t="str">
        <f t="shared" si="33"/>
        <v/>
      </c>
      <c r="CF53" s="138" t="str">
        <f t="shared" si="34"/>
        <v/>
      </c>
      <c r="CG53" s="211" t="str">
        <f t="shared" si="35"/>
        <v/>
      </c>
      <c r="CH53" s="212" t="str">
        <f t="shared" si="36"/>
        <v/>
      </c>
      <c r="CI53" s="213" t="str">
        <f t="shared" si="37"/>
        <v/>
      </c>
      <c r="CJ53" s="138" t="str">
        <f t="shared" si="38"/>
        <v/>
      </c>
      <c r="CK53" s="199" t="e">
        <f>IF(#REF!="Plato perforado","PP",IF(OR(#REF!=0,#REF!=""),"",#REF!))</f>
        <v>#REF!</v>
      </c>
      <c r="CL53" s="200" t="str">
        <f t="shared" si="39"/>
        <v/>
      </c>
      <c r="CM53" s="201" t="str">
        <f t="shared" si="39"/>
        <v>---</v>
      </c>
      <c r="CN53" s="202"/>
      <c r="CO53" s="222" t="str">
        <f t="shared" si="40"/>
        <v/>
      </c>
      <c r="CP53" s="199" t="str">
        <f t="shared" si="41"/>
        <v/>
      </c>
      <c r="CQ53" s="198" t="str">
        <f t="shared" si="42"/>
        <v/>
      </c>
      <c r="CR53" s="138" t="str">
        <f t="shared" si="43"/>
        <v/>
      </c>
      <c r="CS53" s="211" t="str">
        <f t="shared" si="44"/>
        <v/>
      </c>
      <c r="CT53" s="212" t="str">
        <f t="shared" si="45"/>
        <v/>
      </c>
      <c r="CU53" s="213" t="str">
        <f t="shared" si="46"/>
        <v/>
      </c>
      <c r="CV53" s="138" t="str">
        <f t="shared" si="47"/>
        <v/>
      </c>
      <c r="CW53" s="199" t="e">
        <f>IF(#REF!="Plato perforado","PP",IF(OR(#REF!=0,#REF!=""),"",#REF!))</f>
        <v>#REF!</v>
      </c>
      <c r="CX53" s="200" t="str">
        <f t="shared" si="48"/>
        <v/>
      </c>
      <c r="CY53" s="201" t="str">
        <f t="shared" si="48"/>
        <v>---</v>
      </c>
      <c r="CZ53" s="202"/>
      <c r="DA53" s="222" t="str">
        <f t="shared" si="49"/>
        <v/>
      </c>
      <c r="DB53" s="199" t="str">
        <f t="shared" si="50"/>
        <v/>
      </c>
      <c r="DC53" s="198" t="str">
        <f t="shared" si="51"/>
        <v/>
      </c>
      <c r="DD53" s="138" t="str">
        <f t="shared" si="52"/>
        <v/>
      </c>
      <c r="DE53" s="211" t="str">
        <f t="shared" si="53"/>
        <v/>
      </c>
      <c r="DF53" s="212" t="str">
        <f t="shared" si="54"/>
        <v/>
      </c>
      <c r="DG53" s="213" t="str">
        <f t="shared" si="55"/>
        <v/>
      </c>
      <c r="DH53" s="138" t="str">
        <f t="shared" si="56"/>
        <v/>
      </c>
      <c r="DI53" s="199" t="e">
        <f>IF(#REF!="Plato perforado","PP",IF(OR(#REF!=0,#REF!=""),"",#REF!))</f>
        <v>#REF!</v>
      </c>
      <c r="DJ53" s="200" t="str">
        <f t="shared" si="57"/>
        <v/>
      </c>
      <c r="DK53" s="201" t="str">
        <f t="shared" si="57"/>
        <v>---</v>
      </c>
      <c r="DL53" s="202"/>
      <c r="DM53" s="222" t="str">
        <f t="shared" si="58"/>
        <v/>
      </c>
      <c r="DN53" s="199" t="str">
        <f t="shared" si="59"/>
        <v/>
      </c>
      <c r="DO53" s="198" t="str">
        <f t="shared" si="60"/>
        <v/>
      </c>
      <c r="DP53" s="138" t="str">
        <f t="shared" si="61"/>
        <v/>
      </c>
      <c r="DQ53" s="211" t="str">
        <f t="shared" si="62"/>
        <v/>
      </c>
      <c r="DR53" s="212" t="str">
        <f t="shared" si="63"/>
        <v/>
      </c>
      <c r="DS53" s="213" t="str">
        <f t="shared" si="64"/>
        <v/>
      </c>
      <c r="DT53" s="138" t="str">
        <f t="shared" si="65"/>
        <v/>
      </c>
      <c r="DU53" s="199" t="e">
        <f>IF(#REF!="Plato perforado","PP",IF(OR(#REF!=0,#REF!=""),"",#REF!))</f>
        <v>#REF!</v>
      </c>
      <c r="DV53" s="200" t="str">
        <f t="shared" si="66"/>
        <v/>
      </c>
      <c r="DW53" s="201" t="str">
        <f t="shared" si="66"/>
        <v>---</v>
      </c>
      <c r="DX53" s="202"/>
      <c r="DY53" s="222" t="str">
        <f t="shared" si="67"/>
        <v/>
      </c>
      <c r="DZ53" s="199" t="str">
        <f t="shared" si="68"/>
        <v/>
      </c>
      <c r="EA53" s="198" t="str">
        <f t="shared" si="69"/>
        <v/>
      </c>
      <c r="EB53" s="138" t="str">
        <f t="shared" si="70"/>
        <v/>
      </c>
      <c r="EC53" s="211" t="str">
        <f t="shared" si="71"/>
        <v/>
      </c>
      <c r="ED53" s="212" t="str">
        <f t="shared" si="72"/>
        <v/>
      </c>
      <c r="EE53" s="213" t="str">
        <f t="shared" si="73"/>
        <v/>
      </c>
      <c r="EF53" s="138" t="str">
        <f t="shared" si="74"/>
        <v/>
      </c>
      <c r="EG53" s="199" t="e">
        <f>IF(#REF!="Plato perforado","PP",IF(OR(#REF!=0,#REF!=""),"",#REF!))</f>
        <v>#REF!</v>
      </c>
      <c r="EH53" s="200" t="str">
        <f t="shared" si="75"/>
        <v/>
      </c>
      <c r="EI53" s="201" t="str">
        <f t="shared" si="75"/>
        <v>---</v>
      </c>
      <c r="EJ53" s="229"/>
    </row>
    <row r="54" spans="1:140" x14ac:dyDescent="0.3">
      <c r="A54" s="431">
        <v>21</v>
      </c>
      <c r="B54" s="284"/>
      <c r="C54" s="285">
        <f t="shared" si="0"/>
        <v>2</v>
      </c>
      <c r="D54" s="373"/>
      <c r="E54" s="286"/>
      <c r="F54" s="285" t="str">
        <f t="shared" ref="F54:G73" si="78">IFERROR(VLOOKUP($E54,DMFA,F$29,FALSE),"")</f>
        <v/>
      </c>
      <c r="G54" s="287" t="str">
        <f t="shared" si="78"/>
        <v/>
      </c>
      <c r="H54" s="288" t="str">
        <f t="shared" si="2"/>
        <v/>
      </c>
      <c r="I54" s="289" t="str">
        <f t="shared" si="3"/>
        <v/>
      </c>
      <c r="J54" s="288" t="str">
        <f t="shared" si="4"/>
        <v/>
      </c>
      <c r="K54" s="288">
        <f t="shared" si="5"/>
        <v>0</v>
      </c>
      <c r="L54" s="290"/>
      <c r="M54" s="291">
        <f t="shared" si="6"/>
        <v>1</v>
      </c>
      <c r="N54" s="466" t="str">
        <f t="shared" si="7"/>
        <v/>
      </c>
      <c r="O54" s="302" t="str">
        <f t="shared" si="8"/>
        <v/>
      </c>
      <c r="P54" s="468" t="str">
        <f t="shared" si="9"/>
        <v/>
      </c>
      <c r="Q54" s="292" t="str">
        <f t="shared" si="24"/>
        <v/>
      </c>
      <c r="R54" s="294" t="str">
        <f t="shared" si="10"/>
        <v/>
      </c>
      <c r="S54" s="295" t="str">
        <f t="shared" si="11"/>
        <v>---</v>
      </c>
      <c r="V54" s="3" t="str">
        <f>IFERROR(VALUE(TEXT(C54,"00")&amp;TEXT(N54,"00")&amp;TEXT(P54,"00")&amp;IF(#REF!="Plato perforado",5,IF(OR(#REF!="N/A",#REF!=""),0,#REF!))),"")</f>
        <v/>
      </c>
      <c r="W54" s="3">
        <v>15</v>
      </c>
      <c r="X54" s="3">
        <v>15</v>
      </c>
      <c r="Y54" s="3">
        <v>3</v>
      </c>
      <c r="AY54" s="187"/>
      <c r="AZ54" s="175" t="str">
        <f t="shared" ref="AZ54:AZ55" si="79">"Difusores de "&amp;W54&amp;""""&amp;" × "&amp;X54&amp;""""&amp;" de "&amp;Y54&amp;" vías:"</f>
        <v>Difusores de 15" × 15" de 3 vías:</v>
      </c>
      <c r="BA54" s="174">
        <f t="shared" si="25"/>
        <v>0</v>
      </c>
      <c r="BB54" s="187"/>
      <c r="BC54" s="103" t="str">
        <f t="shared" si="12"/>
        <v/>
      </c>
      <c r="BD54" s="103" t="str">
        <f t="shared" si="13"/>
        <v/>
      </c>
      <c r="BE54" s="103" t="e">
        <f t="shared" si="14"/>
        <v>#VALUE!</v>
      </c>
      <c r="BF54" s="181">
        <v>10</v>
      </c>
      <c r="BG54" s="181">
        <v>20</v>
      </c>
      <c r="BH54" s="184">
        <f t="shared" si="26"/>
        <v>1.3888888888888891</v>
      </c>
      <c r="BI54" s="185">
        <f t="shared" si="15"/>
        <v>763.88888888888903</v>
      </c>
      <c r="BJ54" s="185">
        <f t="shared" si="16"/>
        <v>0.5</v>
      </c>
      <c r="BK54" s="103">
        <f t="shared" si="27"/>
        <v>1020</v>
      </c>
      <c r="BL54" s="103" t="e">
        <v>#VALUE!</v>
      </c>
      <c r="BM54" s="103">
        <v>12</v>
      </c>
      <c r="BN54" s="103">
        <v>12</v>
      </c>
      <c r="BO54" s="103">
        <v>12</v>
      </c>
      <c r="BP54" s="103">
        <f t="shared" si="28"/>
        <v>1212</v>
      </c>
      <c r="BQ54" s="103">
        <f t="shared" si="28"/>
        <v>1212</v>
      </c>
      <c r="BR54" s="173" t="str">
        <f t="shared" si="29"/>
        <v>Rejillas de 12" × 12":</v>
      </c>
      <c r="BS54" s="180">
        <f t="shared" si="17"/>
        <v>0</v>
      </c>
      <c r="BT54" s="180">
        <f t="shared" si="18"/>
        <v>0</v>
      </c>
      <c r="BU54" s="180">
        <f t="shared" si="30"/>
        <v>0</v>
      </c>
      <c r="BV54" s="187"/>
      <c r="BW54" s="103">
        <f t="shared" si="19"/>
        <v>0</v>
      </c>
      <c r="BX54" s="187"/>
      <c r="BY54" s="187"/>
      <c r="BZ54" s="187"/>
      <c r="CA54" s="187"/>
      <c r="CB54" s="187"/>
      <c r="CC54" s="222" t="str">
        <f t="shared" si="31"/>
        <v/>
      </c>
      <c r="CD54" s="218" t="str">
        <f t="shared" si="32"/>
        <v/>
      </c>
      <c r="CE54" s="198" t="str">
        <f t="shared" si="33"/>
        <v/>
      </c>
      <c r="CF54" s="138" t="str">
        <f t="shared" si="34"/>
        <v/>
      </c>
      <c r="CG54" s="211" t="str">
        <f t="shared" si="35"/>
        <v/>
      </c>
      <c r="CH54" s="212" t="str">
        <f t="shared" si="36"/>
        <v/>
      </c>
      <c r="CI54" s="213" t="str">
        <f t="shared" si="37"/>
        <v/>
      </c>
      <c r="CJ54" s="138" t="str">
        <f t="shared" si="38"/>
        <v/>
      </c>
      <c r="CK54" s="199" t="e">
        <f>IF(#REF!="Plato perforado","PP",IF(OR(#REF!=0,#REF!=""),"",#REF!))</f>
        <v>#REF!</v>
      </c>
      <c r="CL54" s="200" t="str">
        <f t="shared" si="39"/>
        <v/>
      </c>
      <c r="CM54" s="201" t="str">
        <f t="shared" si="39"/>
        <v>---</v>
      </c>
      <c r="CN54" s="202"/>
      <c r="CO54" s="222" t="str">
        <f t="shared" si="40"/>
        <v/>
      </c>
      <c r="CP54" s="199" t="str">
        <f t="shared" si="41"/>
        <v/>
      </c>
      <c r="CQ54" s="198" t="str">
        <f t="shared" si="42"/>
        <v/>
      </c>
      <c r="CR54" s="138" t="str">
        <f t="shared" si="43"/>
        <v/>
      </c>
      <c r="CS54" s="211" t="str">
        <f t="shared" si="44"/>
        <v/>
      </c>
      <c r="CT54" s="212" t="str">
        <f t="shared" si="45"/>
        <v/>
      </c>
      <c r="CU54" s="213" t="str">
        <f t="shared" si="46"/>
        <v/>
      </c>
      <c r="CV54" s="138" t="str">
        <f t="shared" si="47"/>
        <v/>
      </c>
      <c r="CW54" s="199" t="e">
        <f>IF(#REF!="Plato perforado","PP",IF(OR(#REF!=0,#REF!=""),"",#REF!))</f>
        <v>#REF!</v>
      </c>
      <c r="CX54" s="200" t="str">
        <f t="shared" si="48"/>
        <v/>
      </c>
      <c r="CY54" s="201" t="str">
        <f t="shared" si="48"/>
        <v>---</v>
      </c>
      <c r="CZ54" s="202"/>
      <c r="DA54" s="222" t="str">
        <f t="shared" si="49"/>
        <v/>
      </c>
      <c r="DB54" s="199" t="str">
        <f t="shared" si="50"/>
        <v/>
      </c>
      <c r="DC54" s="198" t="str">
        <f t="shared" si="51"/>
        <v/>
      </c>
      <c r="DD54" s="138" t="str">
        <f t="shared" si="52"/>
        <v/>
      </c>
      <c r="DE54" s="211" t="str">
        <f t="shared" si="53"/>
        <v/>
      </c>
      <c r="DF54" s="212" t="str">
        <f t="shared" si="54"/>
        <v/>
      </c>
      <c r="DG54" s="213" t="str">
        <f t="shared" si="55"/>
        <v/>
      </c>
      <c r="DH54" s="138" t="str">
        <f t="shared" si="56"/>
        <v/>
      </c>
      <c r="DI54" s="199" t="e">
        <f>IF(#REF!="Plato perforado","PP",IF(OR(#REF!=0,#REF!=""),"",#REF!))</f>
        <v>#REF!</v>
      </c>
      <c r="DJ54" s="200" t="str">
        <f t="shared" si="57"/>
        <v/>
      </c>
      <c r="DK54" s="201" t="str">
        <f t="shared" si="57"/>
        <v>---</v>
      </c>
      <c r="DL54" s="202"/>
      <c r="DM54" s="222" t="str">
        <f t="shared" si="58"/>
        <v/>
      </c>
      <c r="DN54" s="199" t="str">
        <f t="shared" si="59"/>
        <v/>
      </c>
      <c r="DO54" s="198" t="str">
        <f t="shared" si="60"/>
        <v/>
      </c>
      <c r="DP54" s="138" t="str">
        <f t="shared" si="61"/>
        <v/>
      </c>
      <c r="DQ54" s="211" t="str">
        <f t="shared" si="62"/>
        <v/>
      </c>
      <c r="DR54" s="212" t="str">
        <f t="shared" si="63"/>
        <v/>
      </c>
      <c r="DS54" s="213" t="str">
        <f t="shared" si="64"/>
        <v/>
      </c>
      <c r="DT54" s="138" t="str">
        <f t="shared" si="65"/>
        <v/>
      </c>
      <c r="DU54" s="199" t="e">
        <f>IF(#REF!="Plato perforado","PP",IF(OR(#REF!=0,#REF!=""),"",#REF!))</f>
        <v>#REF!</v>
      </c>
      <c r="DV54" s="200" t="str">
        <f t="shared" si="66"/>
        <v/>
      </c>
      <c r="DW54" s="201" t="str">
        <f t="shared" si="66"/>
        <v>---</v>
      </c>
      <c r="DX54" s="202"/>
      <c r="DY54" s="222" t="str">
        <f t="shared" si="67"/>
        <v/>
      </c>
      <c r="DZ54" s="199" t="str">
        <f t="shared" si="68"/>
        <v/>
      </c>
      <c r="EA54" s="198" t="str">
        <f t="shared" si="69"/>
        <v/>
      </c>
      <c r="EB54" s="138" t="str">
        <f t="shared" si="70"/>
        <v/>
      </c>
      <c r="EC54" s="211" t="str">
        <f t="shared" si="71"/>
        <v/>
      </c>
      <c r="ED54" s="212" t="str">
        <f t="shared" si="72"/>
        <v/>
      </c>
      <c r="EE54" s="213" t="str">
        <f t="shared" si="73"/>
        <v/>
      </c>
      <c r="EF54" s="138" t="str">
        <f t="shared" si="74"/>
        <v/>
      </c>
      <c r="EG54" s="199" t="e">
        <f>IF(#REF!="Plato perforado","PP",IF(OR(#REF!=0,#REF!=""),"",#REF!))</f>
        <v>#REF!</v>
      </c>
      <c r="EH54" s="200" t="str">
        <f t="shared" si="75"/>
        <v/>
      </c>
      <c r="EI54" s="201" t="str">
        <f t="shared" si="75"/>
        <v>---</v>
      </c>
      <c r="EJ54" s="229"/>
    </row>
    <row r="55" spans="1:140" x14ac:dyDescent="0.3">
      <c r="A55" s="431">
        <v>22</v>
      </c>
      <c r="B55" s="260"/>
      <c r="C55" s="261">
        <f t="shared" si="0"/>
        <v>2</v>
      </c>
      <c r="D55" s="371"/>
      <c r="E55" s="262"/>
      <c r="F55" s="261" t="str">
        <f t="shared" si="78"/>
        <v/>
      </c>
      <c r="G55" s="263" t="str">
        <f t="shared" si="78"/>
        <v/>
      </c>
      <c r="H55" s="264" t="str">
        <f t="shared" si="2"/>
        <v/>
      </c>
      <c r="I55" s="265" t="str">
        <f t="shared" si="3"/>
        <v/>
      </c>
      <c r="J55" s="264" t="str">
        <f t="shared" si="4"/>
        <v/>
      </c>
      <c r="K55" s="264">
        <f t="shared" si="5"/>
        <v>0</v>
      </c>
      <c r="L55" s="266"/>
      <c r="M55" s="267">
        <f t="shared" si="6"/>
        <v>1</v>
      </c>
      <c r="N55" s="465" t="str">
        <f t="shared" si="7"/>
        <v/>
      </c>
      <c r="O55" s="297" t="str">
        <f t="shared" si="8"/>
        <v/>
      </c>
      <c r="P55" s="467" t="str">
        <f t="shared" si="9"/>
        <v/>
      </c>
      <c r="Q55" s="268" t="str">
        <f t="shared" si="24"/>
        <v/>
      </c>
      <c r="R55" s="270" t="str">
        <f t="shared" si="10"/>
        <v/>
      </c>
      <c r="S55" s="271" t="str">
        <f t="shared" si="11"/>
        <v>---</v>
      </c>
      <c r="V55" s="3" t="str">
        <f>IFERROR(VALUE(TEXT(C55,"00")&amp;TEXT(N55,"00")&amp;TEXT(P55,"00")&amp;IF(#REF!="Plato perforado",5,IF(OR(#REF!="N/A",#REF!=""),0,#REF!))),"")</f>
        <v/>
      </c>
      <c r="W55" s="3">
        <v>15</v>
      </c>
      <c r="X55" s="3">
        <v>15</v>
      </c>
      <c r="Y55" s="3">
        <v>4</v>
      </c>
      <c r="AY55" s="187"/>
      <c r="AZ55" s="175" t="str">
        <f t="shared" si="79"/>
        <v>Difusores de 15" × 15" de 4 vías:</v>
      </c>
      <c r="BA55" s="174">
        <f t="shared" si="25"/>
        <v>0</v>
      </c>
      <c r="BB55" s="187"/>
      <c r="BC55" s="103" t="str">
        <f t="shared" si="12"/>
        <v/>
      </c>
      <c r="BD55" s="103" t="str">
        <f t="shared" si="13"/>
        <v/>
      </c>
      <c r="BE55" s="103" t="e">
        <f t="shared" si="14"/>
        <v>#VALUE!</v>
      </c>
      <c r="BF55" s="181">
        <v>10</v>
      </c>
      <c r="BG55" s="181">
        <v>22</v>
      </c>
      <c r="BH55" s="184">
        <f t="shared" si="26"/>
        <v>1.5277777777777777</v>
      </c>
      <c r="BI55" s="185">
        <f t="shared" si="15"/>
        <v>840.27777777777771</v>
      </c>
      <c r="BJ55" s="185">
        <f t="shared" si="16"/>
        <v>0.45454545454545453</v>
      </c>
      <c r="BK55" s="103">
        <f t="shared" si="27"/>
        <v>1022</v>
      </c>
      <c r="BL55" s="103" t="e">
        <v>#VALUE!</v>
      </c>
      <c r="BM55" s="103">
        <v>12</v>
      </c>
      <c r="BN55" s="103">
        <v>14</v>
      </c>
      <c r="BO55" s="103">
        <v>12</v>
      </c>
      <c r="BP55" s="103">
        <f t="shared" si="28"/>
        <v>1214</v>
      </c>
      <c r="BQ55" s="103">
        <f t="shared" si="28"/>
        <v>1412</v>
      </c>
      <c r="BR55" s="173" t="str">
        <f t="shared" si="29"/>
        <v>Rejillas de 12" × 14":</v>
      </c>
      <c r="BS55" s="180">
        <f t="shared" si="17"/>
        <v>0</v>
      </c>
      <c r="BT55" s="180">
        <f t="shared" si="18"/>
        <v>0</v>
      </c>
      <c r="BU55" s="180">
        <f t="shared" si="30"/>
        <v>0</v>
      </c>
      <c r="BV55" s="187"/>
      <c r="BW55" s="103">
        <f t="shared" si="19"/>
        <v>0</v>
      </c>
      <c r="BX55" s="187"/>
      <c r="BY55" s="187"/>
      <c r="BZ55" s="187"/>
      <c r="CA55" s="187"/>
      <c r="CB55" s="187"/>
      <c r="CC55" s="222" t="str">
        <f t="shared" si="31"/>
        <v/>
      </c>
      <c r="CD55" s="218" t="str">
        <f t="shared" si="32"/>
        <v/>
      </c>
      <c r="CE55" s="198" t="str">
        <f t="shared" si="33"/>
        <v/>
      </c>
      <c r="CF55" s="138" t="str">
        <f t="shared" si="34"/>
        <v/>
      </c>
      <c r="CG55" s="211" t="str">
        <f t="shared" si="35"/>
        <v/>
      </c>
      <c r="CH55" s="212" t="str">
        <f t="shared" si="36"/>
        <v/>
      </c>
      <c r="CI55" s="213" t="str">
        <f t="shared" si="37"/>
        <v/>
      </c>
      <c r="CJ55" s="138" t="str">
        <f t="shared" si="38"/>
        <v/>
      </c>
      <c r="CK55" s="199" t="e">
        <f>IF(#REF!="Plato perforado","PP",IF(OR(#REF!=0,#REF!=""),"",#REF!))</f>
        <v>#REF!</v>
      </c>
      <c r="CL55" s="200" t="str">
        <f t="shared" si="39"/>
        <v/>
      </c>
      <c r="CM55" s="201" t="str">
        <f t="shared" si="39"/>
        <v>---</v>
      </c>
      <c r="CN55" s="202"/>
      <c r="CO55" s="222" t="str">
        <f t="shared" si="40"/>
        <v/>
      </c>
      <c r="CP55" s="199" t="str">
        <f t="shared" si="41"/>
        <v/>
      </c>
      <c r="CQ55" s="198" t="str">
        <f t="shared" si="42"/>
        <v/>
      </c>
      <c r="CR55" s="138" t="str">
        <f t="shared" si="43"/>
        <v/>
      </c>
      <c r="CS55" s="211" t="str">
        <f t="shared" si="44"/>
        <v/>
      </c>
      <c r="CT55" s="212" t="str">
        <f t="shared" si="45"/>
        <v/>
      </c>
      <c r="CU55" s="213" t="str">
        <f t="shared" si="46"/>
        <v/>
      </c>
      <c r="CV55" s="138" t="str">
        <f t="shared" si="47"/>
        <v/>
      </c>
      <c r="CW55" s="199" t="e">
        <f>IF(#REF!="Plato perforado","PP",IF(OR(#REF!=0,#REF!=""),"",#REF!))</f>
        <v>#REF!</v>
      </c>
      <c r="CX55" s="200" t="str">
        <f t="shared" si="48"/>
        <v/>
      </c>
      <c r="CY55" s="201" t="str">
        <f t="shared" si="48"/>
        <v>---</v>
      </c>
      <c r="CZ55" s="202"/>
      <c r="DA55" s="222" t="str">
        <f t="shared" si="49"/>
        <v/>
      </c>
      <c r="DB55" s="199" t="str">
        <f t="shared" si="50"/>
        <v/>
      </c>
      <c r="DC55" s="198" t="str">
        <f t="shared" si="51"/>
        <v/>
      </c>
      <c r="DD55" s="138" t="str">
        <f t="shared" si="52"/>
        <v/>
      </c>
      <c r="DE55" s="211" t="str">
        <f t="shared" si="53"/>
        <v/>
      </c>
      <c r="DF55" s="212" t="str">
        <f t="shared" si="54"/>
        <v/>
      </c>
      <c r="DG55" s="213" t="str">
        <f t="shared" si="55"/>
        <v/>
      </c>
      <c r="DH55" s="138" t="str">
        <f t="shared" si="56"/>
        <v/>
      </c>
      <c r="DI55" s="199" t="e">
        <f>IF(#REF!="Plato perforado","PP",IF(OR(#REF!=0,#REF!=""),"",#REF!))</f>
        <v>#REF!</v>
      </c>
      <c r="DJ55" s="200" t="str">
        <f t="shared" si="57"/>
        <v/>
      </c>
      <c r="DK55" s="201" t="str">
        <f t="shared" si="57"/>
        <v>---</v>
      </c>
      <c r="DL55" s="202"/>
      <c r="DM55" s="222" t="str">
        <f t="shared" si="58"/>
        <v/>
      </c>
      <c r="DN55" s="199" t="str">
        <f t="shared" si="59"/>
        <v/>
      </c>
      <c r="DO55" s="198" t="str">
        <f t="shared" si="60"/>
        <v/>
      </c>
      <c r="DP55" s="138" t="str">
        <f t="shared" si="61"/>
        <v/>
      </c>
      <c r="DQ55" s="211" t="str">
        <f t="shared" si="62"/>
        <v/>
      </c>
      <c r="DR55" s="212" t="str">
        <f t="shared" si="63"/>
        <v/>
      </c>
      <c r="DS55" s="213" t="str">
        <f t="shared" si="64"/>
        <v/>
      </c>
      <c r="DT55" s="138" t="str">
        <f t="shared" si="65"/>
        <v/>
      </c>
      <c r="DU55" s="199" t="e">
        <f>IF(#REF!="Plato perforado","PP",IF(OR(#REF!=0,#REF!=""),"",#REF!))</f>
        <v>#REF!</v>
      </c>
      <c r="DV55" s="200" t="str">
        <f t="shared" si="66"/>
        <v/>
      </c>
      <c r="DW55" s="201" t="str">
        <f t="shared" si="66"/>
        <v>---</v>
      </c>
      <c r="DX55" s="202"/>
      <c r="DY55" s="222" t="str">
        <f t="shared" si="67"/>
        <v/>
      </c>
      <c r="DZ55" s="199" t="str">
        <f t="shared" si="68"/>
        <v/>
      </c>
      <c r="EA55" s="198" t="str">
        <f t="shared" si="69"/>
        <v/>
      </c>
      <c r="EB55" s="138" t="str">
        <f t="shared" si="70"/>
        <v/>
      </c>
      <c r="EC55" s="211" t="str">
        <f t="shared" si="71"/>
        <v/>
      </c>
      <c r="ED55" s="212" t="str">
        <f t="shared" si="72"/>
        <v/>
      </c>
      <c r="EE55" s="213" t="str">
        <f t="shared" si="73"/>
        <v/>
      </c>
      <c r="EF55" s="138" t="str">
        <f t="shared" si="74"/>
        <v/>
      </c>
      <c r="EG55" s="199" t="e">
        <f>IF(#REF!="Plato perforado","PP",IF(OR(#REF!=0,#REF!=""),"",#REF!))</f>
        <v>#REF!</v>
      </c>
      <c r="EH55" s="200" t="str">
        <f t="shared" si="75"/>
        <v/>
      </c>
      <c r="EI55" s="201" t="str">
        <f t="shared" si="75"/>
        <v>---</v>
      </c>
      <c r="EJ55" s="229"/>
    </row>
    <row r="56" spans="1:140" x14ac:dyDescent="0.3">
      <c r="A56" s="431">
        <v>23</v>
      </c>
      <c r="B56" s="272"/>
      <c r="C56" s="273">
        <f t="shared" si="0"/>
        <v>2</v>
      </c>
      <c r="D56" s="372"/>
      <c r="E56" s="274"/>
      <c r="F56" s="273" t="str">
        <f t="shared" si="78"/>
        <v/>
      </c>
      <c r="G56" s="275" t="str">
        <f t="shared" si="78"/>
        <v/>
      </c>
      <c r="H56" s="276" t="str">
        <f t="shared" si="2"/>
        <v/>
      </c>
      <c r="I56" s="277" t="str">
        <f t="shared" si="3"/>
        <v/>
      </c>
      <c r="J56" s="276" t="str">
        <f t="shared" si="4"/>
        <v/>
      </c>
      <c r="K56" s="276">
        <f t="shared" si="5"/>
        <v>0</v>
      </c>
      <c r="L56" s="278"/>
      <c r="M56" s="279">
        <f t="shared" si="6"/>
        <v>1</v>
      </c>
      <c r="N56" s="360" t="str">
        <f t="shared" si="7"/>
        <v/>
      </c>
      <c r="O56" s="117" t="str">
        <f t="shared" si="8"/>
        <v/>
      </c>
      <c r="P56" s="359" t="str">
        <f t="shared" si="9"/>
        <v/>
      </c>
      <c r="Q56" s="280" t="str">
        <f t="shared" si="24"/>
        <v/>
      </c>
      <c r="R56" s="282" t="str">
        <f t="shared" si="10"/>
        <v/>
      </c>
      <c r="S56" s="283" t="str">
        <f t="shared" si="11"/>
        <v>---</v>
      </c>
      <c r="V56" s="3" t="str">
        <f>IFERROR(VALUE(TEXT(C56,"00")&amp;TEXT(N56,"00")&amp;TEXT(P56,"00")&amp;IF(#REF!="Plato perforado",5,IF(OR(#REF!="N/A",#REF!=""),0,#REF!))),"")</f>
        <v/>
      </c>
      <c r="W56" s="3">
        <v>15</v>
      </c>
      <c r="X56" s="3">
        <v>15</v>
      </c>
      <c r="Y56" s="3" t="s">
        <v>178</v>
      </c>
      <c r="AY56" s="187"/>
      <c r="AZ56" s="175" t="str">
        <f>"Difusores de "&amp;W56&amp;""""&amp;" × "&amp;X56&amp;""""&amp;" de "&amp;Y56</f>
        <v>Difusores de 15" × 15" de plato perforado:</v>
      </c>
      <c r="BA56" s="174">
        <f t="shared" si="25"/>
        <v>0</v>
      </c>
      <c r="BB56" s="187"/>
      <c r="BC56" s="103" t="str">
        <f t="shared" si="12"/>
        <v/>
      </c>
      <c r="BD56" s="103" t="str">
        <f t="shared" si="13"/>
        <v/>
      </c>
      <c r="BE56" s="103" t="e">
        <f t="shared" si="14"/>
        <v>#VALUE!</v>
      </c>
      <c r="BF56" s="181">
        <v>10</v>
      </c>
      <c r="BG56" s="181">
        <v>24</v>
      </c>
      <c r="BH56" s="184">
        <f t="shared" si="26"/>
        <v>1.6666666666666667</v>
      </c>
      <c r="BI56" s="185">
        <f t="shared" si="15"/>
        <v>916.66666666666674</v>
      </c>
      <c r="BJ56" s="185">
        <f t="shared" si="16"/>
        <v>0.41666666666666669</v>
      </c>
      <c r="BK56" s="103">
        <f t="shared" si="27"/>
        <v>1024</v>
      </c>
      <c r="BL56" s="103" t="e">
        <v>#VALUE!</v>
      </c>
      <c r="BM56" s="103">
        <v>12</v>
      </c>
      <c r="BN56" s="103">
        <v>16</v>
      </c>
      <c r="BO56" s="103">
        <v>12</v>
      </c>
      <c r="BP56" s="103">
        <f t="shared" si="28"/>
        <v>1216</v>
      </c>
      <c r="BQ56" s="103">
        <f t="shared" si="28"/>
        <v>1612</v>
      </c>
      <c r="BR56" s="173" t="str">
        <f t="shared" si="29"/>
        <v>Rejillas de 12" × 16":</v>
      </c>
      <c r="BS56" s="180">
        <f t="shared" si="17"/>
        <v>0</v>
      </c>
      <c r="BT56" s="180">
        <f t="shared" si="18"/>
        <v>0</v>
      </c>
      <c r="BU56" s="180">
        <f t="shared" si="30"/>
        <v>0</v>
      </c>
      <c r="BV56" s="187"/>
      <c r="BW56" s="3">
        <f t="shared" si="19"/>
        <v>0</v>
      </c>
      <c r="BX56" s="647" t="s">
        <v>228</v>
      </c>
      <c r="BY56" s="647"/>
      <c r="BZ56" s="647"/>
      <c r="CA56" s="182" t="s">
        <v>208</v>
      </c>
      <c r="CB56" s="187"/>
      <c r="CC56" s="222" t="str">
        <f t="shared" si="31"/>
        <v/>
      </c>
      <c r="CD56" s="218" t="str">
        <f t="shared" si="32"/>
        <v/>
      </c>
      <c r="CE56" s="198" t="str">
        <f t="shared" si="33"/>
        <v/>
      </c>
      <c r="CF56" s="138" t="str">
        <f t="shared" si="34"/>
        <v/>
      </c>
      <c r="CG56" s="211" t="str">
        <f t="shared" si="35"/>
        <v/>
      </c>
      <c r="CH56" s="212" t="str">
        <f t="shared" si="36"/>
        <v/>
      </c>
      <c r="CI56" s="213" t="str">
        <f t="shared" si="37"/>
        <v/>
      </c>
      <c r="CJ56" s="138" t="str">
        <f t="shared" si="38"/>
        <v/>
      </c>
      <c r="CK56" s="199" t="e">
        <f>IF(#REF!="Plato perforado","PP",IF(OR(#REF!=0,#REF!=""),"",#REF!))</f>
        <v>#REF!</v>
      </c>
      <c r="CL56" s="200" t="str">
        <f t="shared" si="39"/>
        <v/>
      </c>
      <c r="CM56" s="201" t="str">
        <f t="shared" si="39"/>
        <v>---</v>
      </c>
      <c r="CN56" s="202"/>
      <c r="CO56" s="222" t="str">
        <f t="shared" si="40"/>
        <v/>
      </c>
      <c r="CP56" s="199" t="str">
        <f t="shared" si="41"/>
        <v/>
      </c>
      <c r="CQ56" s="198" t="str">
        <f t="shared" si="42"/>
        <v/>
      </c>
      <c r="CR56" s="138" t="str">
        <f t="shared" si="43"/>
        <v/>
      </c>
      <c r="CS56" s="211" t="str">
        <f t="shared" si="44"/>
        <v/>
      </c>
      <c r="CT56" s="212" t="str">
        <f t="shared" si="45"/>
        <v/>
      </c>
      <c r="CU56" s="213" t="str">
        <f t="shared" si="46"/>
        <v/>
      </c>
      <c r="CV56" s="138" t="str">
        <f t="shared" si="47"/>
        <v/>
      </c>
      <c r="CW56" s="199" t="e">
        <f>IF(#REF!="Plato perforado","PP",IF(OR(#REF!=0,#REF!=""),"",#REF!))</f>
        <v>#REF!</v>
      </c>
      <c r="CX56" s="200" t="str">
        <f t="shared" si="48"/>
        <v/>
      </c>
      <c r="CY56" s="201" t="str">
        <f t="shared" si="48"/>
        <v>---</v>
      </c>
      <c r="CZ56" s="202"/>
      <c r="DA56" s="222" t="str">
        <f t="shared" si="49"/>
        <v/>
      </c>
      <c r="DB56" s="199" t="str">
        <f t="shared" si="50"/>
        <v/>
      </c>
      <c r="DC56" s="198" t="str">
        <f t="shared" si="51"/>
        <v/>
      </c>
      <c r="DD56" s="138" t="str">
        <f t="shared" si="52"/>
        <v/>
      </c>
      <c r="DE56" s="211" t="str">
        <f t="shared" si="53"/>
        <v/>
      </c>
      <c r="DF56" s="212" t="str">
        <f t="shared" si="54"/>
        <v/>
      </c>
      <c r="DG56" s="213" t="str">
        <f t="shared" si="55"/>
        <v/>
      </c>
      <c r="DH56" s="138" t="str">
        <f t="shared" si="56"/>
        <v/>
      </c>
      <c r="DI56" s="199" t="e">
        <f>IF(#REF!="Plato perforado","PP",IF(OR(#REF!=0,#REF!=""),"",#REF!))</f>
        <v>#REF!</v>
      </c>
      <c r="DJ56" s="200" t="str">
        <f t="shared" si="57"/>
        <v/>
      </c>
      <c r="DK56" s="201" t="str">
        <f t="shared" si="57"/>
        <v>---</v>
      </c>
      <c r="DL56" s="202"/>
      <c r="DM56" s="222" t="str">
        <f t="shared" si="58"/>
        <v/>
      </c>
      <c r="DN56" s="199" t="str">
        <f t="shared" si="59"/>
        <v/>
      </c>
      <c r="DO56" s="198" t="str">
        <f t="shared" si="60"/>
        <v/>
      </c>
      <c r="DP56" s="138" t="str">
        <f t="shared" si="61"/>
        <v/>
      </c>
      <c r="DQ56" s="211" t="str">
        <f t="shared" si="62"/>
        <v/>
      </c>
      <c r="DR56" s="212" t="str">
        <f t="shared" si="63"/>
        <v/>
      </c>
      <c r="DS56" s="213" t="str">
        <f t="shared" si="64"/>
        <v/>
      </c>
      <c r="DT56" s="138" t="str">
        <f t="shared" si="65"/>
        <v/>
      </c>
      <c r="DU56" s="199" t="e">
        <f>IF(#REF!="Plato perforado","PP",IF(OR(#REF!=0,#REF!=""),"",#REF!))</f>
        <v>#REF!</v>
      </c>
      <c r="DV56" s="200" t="str">
        <f t="shared" si="66"/>
        <v/>
      </c>
      <c r="DW56" s="201" t="str">
        <f t="shared" si="66"/>
        <v>---</v>
      </c>
      <c r="DX56" s="202"/>
      <c r="DY56" s="222" t="str">
        <f t="shared" si="67"/>
        <v/>
      </c>
      <c r="DZ56" s="199" t="str">
        <f t="shared" si="68"/>
        <v/>
      </c>
      <c r="EA56" s="198" t="str">
        <f t="shared" si="69"/>
        <v/>
      </c>
      <c r="EB56" s="138" t="str">
        <f t="shared" si="70"/>
        <v/>
      </c>
      <c r="EC56" s="211" t="str">
        <f t="shared" si="71"/>
        <v/>
      </c>
      <c r="ED56" s="212" t="str">
        <f t="shared" si="72"/>
        <v/>
      </c>
      <c r="EE56" s="213" t="str">
        <f t="shared" si="73"/>
        <v/>
      </c>
      <c r="EF56" s="138" t="str">
        <f t="shared" si="74"/>
        <v/>
      </c>
      <c r="EG56" s="199" t="e">
        <f>IF(#REF!="Plato perforado","PP",IF(OR(#REF!=0,#REF!=""),"",#REF!))</f>
        <v>#REF!</v>
      </c>
      <c r="EH56" s="200" t="str">
        <f t="shared" si="75"/>
        <v/>
      </c>
      <c r="EI56" s="201" t="str">
        <f t="shared" si="75"/>
        <v>---</v>
      </c>
      <c r="EJ56" s="229"/>
    </row>
    <row r="57" spans="1:140" x14ac:dyDescent="0.3">
      <c r="A57" s="431">
        <v>24</v>
      </c>
      <c r="B57" s="284"/>
      <c r="C57" s="285">
        <f t="shared" si="0"/>
        <v>2</v>
      </c>
      <c r="D57" s="373"/>
      <c r="E57" s="286"/>
      <c r="F57" s="285" t="str">
        <f t="shared" si="78"/>
        <v/>
      </c>
      <c r="G57" s="287" t="str">
        <f t="shared" si="78"/>
        <v/>
      </c>
      <c r="H57" s="288" t="str">
        <f t="shared" si="2"/>
        <v/>
      </c>
      <c r="I57" s="289" t="str">
        <f t="shared" si="3"/>
        <v/>
      </c>
      <c r="J57" s="288" t="str">
        <f t="shared" si="4"/>
        <v/>
      </c>
      <c r="K57" s="288">
        <f t="shared" si="5"/>
        <v>0</v>
      </c>
      <c r="L57" s="290"/>
      <c r="M57" s="291">
        <f t="shared" si="6"/>
        <v>1</v>
      </c>
      <c r="N57" s="466" t="str">
        <f t="shared" si="7"/>
        <v/>
      </c>
      <c r="O57" s="302" t="str">
        <f t="shared" si="8"/>
        <v/>
      </c>
      <c r="P57" s="468" t="str">
        <f t="shared" si="9"/>
        <v/>
      </c>
      <c r="Q57" s="292" t="str">
        <f t="shared" si="24"/>
        <v/>
      </c>
      <c r="R57" s="294" t="str">
        <f t="shared" si="10"/>
        <v/>
      </c>
      <c r="S57" s="295" t="str">
        <f t="shared" si="11"/>
        <v>---</v>
      </c>
      <c r="V57" s="3" t="str">
        <f>IFERROR(VALUE(TEXT(C57,"00")&amp;TEXT(N57,"00")&amp;TEXT(P57,"00")&amp;IF(#REF!="Plato perforado",5,IF(OR(#REF!="N/A",#REF!=""),0,#REF!))),"")</f>
        <v/>
      </c>
      <c r="W57" s="3">
        <v>15</v>
      </c>
      <c r="X57" s="3">
        <v>15</v>
      </c>
      <c r="Y57" s="3" t="s">
        <v>179</v>
      </c>
      <c r="AY57" s="187"/>
      <c r="AZ57" s="176" t="str">
        <f>"Difusores de "&amp;W57&amp;""""&amp;" × "&amp;X57&amp;""""&amp;Y57</f>
        <v>Difusores de 15" × 15", número de vías por definir:</v>
      </c>
      <c r="BA57" s="174">
        <f t="shared" si="25"/>
        <v>0</v>
      </c>
      <c r="BB57" s="187"/>
      <c r="BC57" s="103" t="str">
        <f t="shared" si="12"/>
        <v/>
      </c>
      <c r="BD57" s="103" t="str">
        <f t="shared" si="13"/>
        <v/>
      </c>
      <c r="BE57" s="103" t="e">
        <f t="shared" si="14"/>
        <v>#VALUE!</v>
      </c>
      <c r="BF57" s="181">
        <v>12</v>
      </c>
      <c r="BG57" s="181">
        <v>6</v>
      </c>
      <c r="BH57" s="184">
        <f t="shared" si="26"/>
        <v>0.5</v>
      </c>
      <c r="BI57" s="185">
        <f t="shared" si="15"/>
        <v>275</v>
      </c>
      <c r="BJ57" s="185">
        <f t="shared" si="16"/>
        <v>2</v>
      </c>
      <c r="BK57" s="103">
        <f t="shared" si="27"/>
        <v>1206</v>
      </c>
      <c r="BL57" s="103" t="e">
        <v>#VALUE!</v>
      </c>
      <c r="BM57" s="103">
        <v>12</v>
      </c>
      <c r="BN57" s="103">
        <v>18</v>
      </c>
      <c r="BO57" s="103">
        <v>12</v>
      </c>
      <c r="BP57" s="103">
        <f t="shared" si="28"/>
        <v>1218</v>
      </c>
      <c r="BQ57" s="103">
        <f t="shared" si="28"/>
        <v>1812</v>
      </c>
      <c r="BR57" s="173" t="str">
        <f t="shared" si="29"/>
        <v>Rejillas de 12" × 18":</v>
      </c>
      <c r="BS57" s="180">
        <f t="shared" si="17"/>
        <v>0</v>
      </c>
      <c r="BT57" s="180">
        <f t="shared" si="18"/>
        <v>0</v>
      </c>
      <c r="BU57" s="180">
        <f t="shared" si="30"/>
        <v>0</v>
      </c>
      <c r="BV57" s="187"/>
      <c r="BW57" s="3">
        <f t="shared" si="19"/>
        <v>0</v>
      </c>
      <c r="BX57" s="647"/>
      <c r="BY57" s="647"/>
      <c r="BZ57" s="647"/>
      <c r="CA57" s="182">
        <f>SUM(CA58:CA60)</f>
        <v>450</v>
      </c>
      <c r="CB57" s="187"/>
      <c r="CC57" s="222" t="str">
        <f t="shared" si="31"/>
        <v/>
      </c>
      <c r="CD57" s="218" t="str">
        <f t="shared" si="32"/>
        <v/>
      </c>
      <c r="CE57" s="198" t="str">
        <f t="shared" si="33"/>
        <v/>
      </c>
      <c r="CF57" s="138" t="str">
        <f t="shared" si="34"/>
        <v/>
      </c>
      <c r="CG57" s="211" t="str">
        <f t="shared" si="35"/>
        <v/>
      </c>
      <c r="CH57" s="212" t="str">
        <f t="shared" si="36"/>
        <v/>
      </c>
      <c r="CI57" s="213" t="str">
        <f t="shared" si="37"/>
        <v/>
      </c>
      <c r="CJ57" s="138" t="str">
        <f t="shared" si="38"/>
        <v/>
      </c>
      <c r="CK57" s="199" t="e">
        <f>IF(#REF!="Plato perforado","PP",IF(OR(#REF!=0,#REF!=""),"",#REF!))</f>
        <v>#REF!</v>
      </c>
      <c r="CL57" s="200" t="str">
        <f t="shared" si="39"/>
        <v/>
      </c>
      <c r="CM57" s="201" t="str">
        <f t="shared" si="39"/>
        <v>---</v>
      </c>
      <c r="CN57" s="202"/>
      <c r="CO57" s="222" t="str">
        <f t="shared" si="40"/>
        <v/>
      </c>
      <c r="CP57" s="199" t="str">
        <f t="shared" si="41"/>
        <v/>
      </c>
      <c r="CQ57" s="198" t="str">
        <f t="shared" si="42"/>
        <v/>
      </c>
      <c r="CR57" s="138" t="str">
        <f t="shared" si="43"/>
        <v/>
      </c>
      <c r="CS57" s="211" t="str">
        <f t="shared" si="44"/>
        <v/>
      </c>
      <c r="CT57" s="212" t="str">
        <f t="shared" si="45"/>
        <v/>
      </c>
      <c r="CU57" s="213" t="str">
        <f t="shared" si="46"/>
        <v/>
      </c>
      <c r="CV57" s="138" t="str">
        <f t="shared" si="47"/>
        <v/>
      </c>
      <c r="CW57" s="199" t="e">
        <f>IF(#REF!="Plato perforado","PP",IF(OR(#REF!=0,#REF!=""),"",#REF!))</f>
        <v>#REF!</v>
      </c>
      <c r="CX57" s="200" t="str">
        <f t="shared" si="48"/>
        <v/>
      </c>
      <c r="CY57" s="201" t="str">
        <f t="shared" si="48"/>
        <v>---</v>
      </c>
      <c r="CZ57" s="202"/>
      <c r="DA57" s="222" t="str">
        <f t="shared" si="49"/>
        <v/>
      </c>
      <c r="DB57" s="199" t="str">
        <f t="shared" si="50"/>
        <v/>
      </c>
      <c r="DC57" s="198" t="str">
        <f t="shared" si="51"/>
        <v/>
      </c>
      <c r="DD57" s="138" t="str">
        <f t="shared" si="52"/>
        <v/>
      </c>
      <c r="DE57" s="211" t="str">
        <f t="shared" si="53"/>
        <v/>
      </c>
      <c r="DF57" s="212" t="str">
        <f t="shared" si="54"/>
        <v/>
      </c>
      <c r="DG57" s="213" t="str">
        <f t="shared" si="55"/>
        <v/>
      </c>
      <c r="DH57" s="138" t="str">
        <f t="shared" si="56"/>
        <v/>
      </c>
      <c r="DI57" s="199" t="e">
        <f>IF(#REF!="Plato perforado","PP",IF(OR(#REF!=0,#REF!=""),"",#REF!))</f>
        <v>#REF!</v>
      </c>
      <c r="DJ57" s="200" t="str">
        <f t="shared" si="57"/>
        <v/>
      </c>
      <c r="DK57" s="201" t="str">
        <f t="shared" si="57"/>
        <v>---</v>
      </c>
      <c r="DL57" s="202"/>
      <c r="DM57" s="222" t="str">
        <f t="shared" si="58"/>
        <v/>
      </c>
      <c r="DN57" s="199" t="str">
        <f t="shared" si="59"/>
        <v/>
      </c>
      <c r="DO57" s="198" t="str">
        <f t="shared" si="60"/>
        <v/>
      </c>
      <c r="DP57" s="138" t="str">
        <f t="shared" si="61"/>
        <v/>
      </c>
      <c r="DQ57" s="211" t="str">
        <f t="shared" si="62"/>
        <v/>
      </c>
      <c r="DR57" s="212" t="str">
        <f t="shared" si="63"/>
        <v/>
      </c>
      <c r="DS57" s="213" t="str">
        <f t="shared" si="64"/>
        <v/>
      </c>
      <c r="DT57" s="138" t="str">
        <f t="shared" si="65"/>
        <v/>
      </c>
      <c r="DU57" s="199" t="e">
        <f>IF(#REF!="Plato perforado","PP",IF(OR(#REF!=0,#REF!=""),"",#REF!))</f>
        <v>#REF!</v>
      </c>
      <c r="DV57" s="200" t="str">
        <f t="shared" si="66"/>
        <v/>
      </c>
      <c r="DW57" s="201" t="str">
        <f t="shared" si="66"/>
        <v>---</v>
      </c>
      <c r="DX57" s="202"/>
      <c r="DY57" s="222" t="str">
        <f t="shared" si="67"/>
        <v/>
      </c>
      <c r="DZ57" s="199" t="str">
        <f t="shared" si="68"/>
        <v/>
      </c>
      <c r="EA57" s="198" t="str">
        <f t="shared" si="69"/>
        <v/>
      </c>
      <c r="EB57" s="138" t="str">
        <f t="shared" si="70"/>
        <v/>
      </c>
      <c r="EC57" s="211" t="str">
        <f t="shared" si="71"/>
        <v/>
      </c>
      <c r="ED57" s="212" t="str">
        <f t="shared" si="72"/>
        <v/>
      </c>
      <c r="EE57" s="213" t="str">
        <f t="shared" si="73"/>
        <v/>
      </c>
      <c r="EF57" s="138" t="str">
        <f t="shared" si="74"/>
        <v/>
      </c>
      <c r="EG57" s="199" t="e">
        <f>IF(#REF!="Plato perforado","PP",IF(OR(#REF!=0,#REF!=""),"",#REF!))</f>
        <v>#REF!</v>
      </c>
      <c r="EH57" s="200" t="str">
        <f t="shared" si="75"/>
        <v/>
      </c>
      <c r="EI57" s="201" t="str">
        <f t="shared" si="75"/>
        <v>---</v>
      </c>
      <c r="EJ57" s="229"/>
    </row>
    <row r="58" spans="1:140" x14ac:dyDescent="0.3">
      <c r="A58" s="431">
        <v>25</v>
      </c>
      <c r="B58" s="260"/>
      <c r="C58" s="261">
        <f t="shared" si="0"/>
        <v>2</v>
      </c>
      <c r="D58" s="371"/>
      <c r="E58" s="262"/>
      <c r="F58" s="261" t="str">
        <f t="shared" si="78"/>
        <v/>
      </c>
      <c r="G58" s="263" t="str">
        <f t="shared" si="78"/>
        <v/>
      </c>
      <c r="H58" s="264" t="str">
        <f t="shared" si="2"/>
        <v/>
      </c>
      <c r="I58" s="265" t="str">
        <f t="shared" si="3"/>
        <v/>
      </c>
      <c r="J58" s="264" t="str">
        <f t="shared" si="4"/>
        <v/>
      </c>
      <c r="K58" s="264">
        <f t="shared" si="5"/>
        <v>0</v>
      </c>
      <c r="L58" s="266"/>
      <c r="M58" s="267">
        <f t="shared" si="6"/>
        <v>1</v>
      </c>
      <c r="N58" s="465" t="str">
        <f t="shared" si="7"/>
        <v/>
      </c>
      <c r="O58" s="297" t="str">
        <f t="shared" si="8"/>
        <v/>
      </c>
      <c r="P58" s="467" t="str">
        <f t="shared" si="9"/>
        <v/>
      </c>
      <c r="Q58" s="268" t="str">
        <f t="shared" si="24"/>
        <v/>
      </c>
      <c r="R58" s="270" t="str">
        <f t="shared" si="10"/>
        <v/>
      </c>
      <c r="S58" s="271" t="str">
        <f t="shared" si="11"/>
        <v>---</v>
      </c>
      <c r="V58" s="3" t="str">
        <f>IFERROR(VALUE(TEXT(C58,"00")&amp;TEXT(N58,"00")&amp;TEXT(P58,"00")&amp;IF(#REF!="Plato perforado",5,IF(OR(#REF!="N/A",#REF!=""),0,#REF!))),"")</f>
        <v/>
      </c>
      <c r="W58" s="3">
        <v>18</v>
      </c>
      <c r="X58" s="3">
        <v>18</v>
      </c>
      <c r="Y58" s="3">
        <v>1</v>
      </c>
      <c r="AY58" s="187"/>
      <c r="AZ58" s="175" t="str">
        <f>"Difusores de "&amp;W58&amp;""""&amp;" × "&amp;X58&amp;""""&amp;" de "&amp;Y58&amp;" vía:"</f>
        <v>Difusores de 18" × 18" de 1 vía:</v>
      </c>
      <c r="BA58" s="174">
        <f t="shared" si="25"/>
        <v>0</v>
      </c>
      <c r="BB58" s="187"/>
      <c r="BC58" s="103" t="str">
        <f t="shared" si="12"/>
        <v/>
      </c>
      <c r="BD58" s="103" t="str">
        <f t="shared" si="13"/>
        <v/>
      </c>
      <c r="BE58" s="103" t="e">
        <f t="shared" si="14"/>
        <v>#VALUE!</v>
      </c>
      <c r="BF58" s="181">
        <v>12</v>
      </c>
      <c r="BG58" s="181">
        <v>8</v>
      </c>
      <c r="BH58" s="184">
        <f t="shared" si="26"/>
        <v>0.66666666666666663</v>
      </c>
      <c r="BI58" s="185">
        <f t="shared" si="15"/>
        <v>366.66666666666663</v>
      </c>
      <c r="BJ58" s="185">
        <f t="shared" si="16"/>
        <v>1.5</v>
      </c>
      <c r="BK58" s="103">
        <f t="shared" si="27"/>
        <v>1208</v>
      </c>
      <c r="BL58" s="103" t="e">
        <v>#VALUE!</v>
      </c>
      <c r="BM58" s="103">
        <v>12</v>
      </c>
      <c r="BN58" s="103">
        <v>20</v>
      </c>
      <c r="BO58" s="103">
        <v>12</v>
      </c>
      <c r="BP58" s="103">
        <f t="shared" si="28"/>
        <v>1220</v>
      </c>
      <c r="BQ58" s="103">
        <f t="shared" si="28"/>
        <v>2012</v>
      </c>
      <c r="BR58" s="173" t="str">
        <f t="shared" si="29"/>
        <v>Rejillas de 12" × 20":</v>
      </c>
      <c r="BS58" s="180">
        <f t="shared" si="17"/>
        <v>0</v>
      </c>
      <c r="BT58" s="180">
        <f t="shared" si="18"/>
        <v>0</v>
      </c>
      <c r="BU58" s="180">
        <f t="shared" si="30"/>
        <v>0</v>
      </c>
      <c r="BV58" s="187"/>
      <c r="BW58" s="183">
        <f t="shared" si="19"/>
        <v>0</v>
      </c>
      <c r="BX58" s="240" t="e">
        <f>"Filtros HEPA de "&amp;#REF!&amp;":"</f>
        <v>#REF!</v>
      </c>
      <c r="BY58" s="241"/>
      <c r="BZ58" s="241"/>
      <c r="CA58" s="242">
        <f>COUNTIF($BW$34:$BW$183,R16)</f>
        <v>150</v>
      </c>
      <c r="CB58" s="187"/>
      <c r="CC58" s="222" t="str">
        <f t="shared" si="31"/>
        <v/>
      </c>
      <c r="CD58" s="218" t="str">
        <f t="shared" si="32"/>
        <v/>
      </c>
      <c r="CE58" s="198" t="str">
        <f t="shared" si="33"/>
        <v/>
      </c>
      <c r="CF58" s="138" t="str">
        <f t="shared" si="34"/>
        <v/>
      </c>
      <c r="CG58" s="211" t="str">
        <f t="shared" si="35"/>
        <v/>
      </c>
      <c r="CH58" s="212" t="str">
        <f t="shared" si="36"/>
        <v/>
      </c>
      <c r="CI58" s="213" t="str">
        <f t="shared" si="37"/>
        <v/>
      </c>
      <c r="CJ58" s="138" t="str">
        <f t="shared" si="38"/>
        <v/>
      </c>
      <c r="CK58" s="199" t="e">
        <f>IF(#REF!="Plato perforado","PP",IF(OR(#REF!=0,#REF!=""),"",#REF!))</f>
        <v>#REF!</v>
      </c>
      <c r="CL58" s="200" t="str">
        <f t="shared" si="39"/>
        <v/>
      </c>
      <c r="CM58" s="201" t="str">
        <f t="shared" si="39"/>
        <v>---</v>
      </c>
      <c r="CN58" s="202"/>
      <c r="CO58" s="222" t="str">
        <f t="shared" si="40"/>
        <v/>
      </c>
      <c r="CP58" s="199" t="str">
        <f t="shared" si="41"/>
        <v/>
      </c>
      <c r="CQ58" s="198" t="str">
        <f t="shared" si="42"/>
        <v/>
      </c>
      <c r="CR58" s="138" t="str">
        <f t="shared" si="43"/>
        <v/>
      </c>
      <c r="CS58" s="211" t="str">
        <f t="shared" si="44"/>
        <v/>
      </c>
      <c r="CT58" s="212" t="str">
        <f t="shared" si="45"/>
        <v/>
      </c>
      <c r="CU58" s="213" t="str">
        <f t="shared" si="46"/>
        <v/>
      </c>
      <c r="CV58" s="138" t="str">
        <f t="shared" si="47"/>
        <v/>
      </c>
      <c r="CW58" s="199" t="e">
        <f>IF(#REF!="Plato perforado","PP",IF(OR(#REF!=0,#REF!=""),"",#REF!))</f>
        <v>#REF!</v>
      </c>
      <c r="CX58" s="200" t="str">
        <f t="shared" si="48"/>
        <v/>
      </c>
      <c r="CY58" s="201" t="str">
        <f t="shared" si="48"/>
        <v>---</v>
      </c>
      <c r="CZ58" s="202"/>
      <c r="DA58" s="222" t="str">
        <f t="shared" si="49"/>
        <v/>
      </c>
      <c r="DB58" s="199" t="str">
        <f t="shared" si="50"/>
        <v/>
      </c>
      <c r="DC58" s="198" t="str">
        <f t="shared" si="51"/>
        <v/>
      </c>
      <c r="DD58" s="138" t="str">
        <f t="shared" si="52"/>
        <v/>
      </c>
      <c r="DE58" s="211" t="str">
        <f t="shared" si="53"/>
        <v/>
      </c>
      <c r="DF58" s="212" t="str">
        <f t="shared" si="54"/>
        <v/>
      </c>
      <c r="DG58" s="213" t="str">
        <f t="shared" si="55"/>
        <v/>
      </c>
      <c r="DH58" s="138" t="str">
        <f t="shared" si="56"/>
        <v/>
      </c>
      <c r="DI58" s="199" t="e">
        <f>IF(#REF!="Plato perforado","PP",IF(OR(#REF!=0,#REF!=""),"",#REF!))</f>
        <v>#REF!</v>
      </c>
      <c r="DJ58" s="200" t="str">
        <f t="shared" si="57"/>
        <v/>
      </c>
      <c r="DK58" s="201" t="str">
        <f t="shared" si="57"/>
        <v>---</v>
      </c>
      <c r="DL58" s="202"/>
      <c r="DM58" s="222" t="str">
        <f t="shared" si="58"/>
        <v/>
      </c>
      <c r="DN58" s="199" t="str">
        <f t="shared" si="59"/>
        <v/>
      </c>
      <c r="DO58" s="198" t="str">
        <f t="shared" si="60"/>
        <v/>
      </c>
      <c r="DP58" s="138" t="str">
        <f t="shared" si="61"/>
        <v/>
      </c>
      <c r="DQ58" s="211" t="str">
        <f t="shared" si="62"/>
        <v/>
      </c>
      <c r="DR58" s="212" t="str">
        <f t="shared" si="63"/>
        <v/>
      </c>
      <c r="DS58" s="213" t="str">
        <f t="shared" si="64"/>
        <v/>
      </c>
      <c r="DT58" s="138" t="str">
        <f t="shared" si="65"/>
        <v/>
      </c>
      <c r="DU58" s="199" t="e">
        <f>IF(#REF!="Plato perforado","PP",IF(OR(#REF!=0,#REF!=""),"",#REF!))</f>
        <v>#REF!</v>
      </c>
      <c r="DV58" s="200" t="str">
        <f t="shared" si="66"/>
        <v/>
      </c>
      <c r="DW58" s="201" t="str">
        <f t="shared" si="66"/>
        <v>---</v>
      </c>
      <c r="DX58" s="202"/>
      <c r="DY58" s="222" t="str">
        <f t="shared" si="67"/>
        <v/>
      </c>
      <c r="DZ58" s="199" t="str">
        <f t="shared" si="68"/>
        <v/>
      </c>
      <c r="EA58" s="198" t="str">
        <f t="shared" si="69"/>
        <v/>
      </c>
      <c r="EB58" s="138" t="str">
        <f t="shared" si="70"/>
        <v/>
      </c>
      <c r="EC58" s="211" t="str">
        <f t="shared" si="71"/>
        <v/>
      </c>
      <c r="ED58" s="212" t="str">
        <f t="shared" si="72"/>
        <v/>
      </c>
      <c r="EE58" s="213" t="str">
        <f t="shared" si="73"/>
        <v/>
      </c>
      <c r="EF58" s="138" t="str">
        <f t="shared" si="74"/>
        <v/>
      </c>
      <c r="EG58" s="199" t="e">
        <f>IF(#REF!="Plato perforado","PP",IF(OR(#REF!=0,#REF!=""),"",#REF!))</f>
        <v>#REF!</v>
      </c>
      <c r="EH58" s="200" t="str">
        <f t="shared" si="75"/>
        <v/>
      </c>
      <c r="EI58" s="201" t="str">
        <f t="shared" si="75"/>
        <v>---</v>
      </c>
      <c r="EJ58" s="229"/>
    </row>
    <row r="59" spans="1:140" x14ac:dyDescent="0.3">
      <c r="A59" s="431">
        <v>26</v>
      </c>
      <c r="B59" s="272"/>
      <c r="C59" s="273">
        <f t="shared" si="0"/>
        <v>2</v>
      </c>
      <c r="D59" s="372"/>
      <c r="E59" s="274"/>
      <c r="F59" s="273" t="str">
        <f t="shared" si="78"/>
        <v/>
      </c>
      <c r="G59" s="275" t="str">
        <f t="shared" si="78"/>
        <v/>
      </c>
      <c r="H59" s="276" t="str">
        <f t="shared" si="2"/>
        <v/>
      </c>
      <c r="I59" s="277" t="str">
        <f t="shared" si="3"/>
        <v/>
      </c>
      <c r="J59" s="276" t="str">
        <f t="shared" si="4"/>
        <v/>
      </c>
      <c r="K59" s="276">
        <f t="shared" si="5"/>
        <v>0</v>
      </c>
      <c r="L59" s="278"/>
      <c r="M59" s="279">
        <f t="shared" si="6"/>
        <v>1</v>
      </c>
      <c r="N59" s="360" t="str">
        <f t="shared" si="7"/>
        <v/>
      </c>
      <c r="O59" s="117" t="str">
        <f t="shared" si="8"/>
        <v/>
      </c>
      <c r="P59" s="359" t="str">
        <f t="shared" si="9"/>
        <v/>
      </c>
      <c r="Q59" s="280" t="str">
        <f t="shared" si="24"/>
        <v/>
      </c>
      <c r="R59" s="282" t="str">
        <f t="shared" si="10"/>
        <v/>
      </c>
      <c r="S59" s="283" t="str">
        <f t="shared" si="11"/>
        <v>---</v>
      </c>
      <c r="V59" s="3" t="str">
        <f>IFERROR(VALUE(TEXT(C59,"00")&amp;TEXT(N59,"00")&amp;TEXT(P59,"00")&amp;IF(#REF!="Plato perforado",5,IF(OR(#REF!="N/A",#REF!=""),0,#REF!))),"")</f>
        <v/>
      </c>
      <c r="W59" s="3">
        <v>18</v>
      </c>
      <c r="X59" s="3">
        <v>18</v>
      </c>
      <c r="Y59" s="3">
        <v>2</v>
      </c>
      <c r="AY59" s="187"/>
      <c r="AZ59" s="175" t="str">
        <f>"Difusores de "&amp;W59&amp;""""&amp;" × "&amp;X59&amp;""""&amp;" de "&amp;Y59&amp;" vías:"</f>
        <v>Difusores de 18" × 18" de 2 vías:</v>
      </c>
      <c r="BA59" s="174">
        <f t="shared" si="25"/>
        <v>0</v>
      </c>
      <c r="BB59" s="187"/>
      <c r="BC59" s="103" t="str">
        <f t="shared" si="12"/>
        <v/>
      </c>
      <c r="BD59" s="103" t="str">
        <f t="shared" si="13"/>
        <v/>
      </c>
      <c r="BE59" s="103" t="e">
        <f t="shared" si="14"/>
        <v>#VALUE!</v>
      </c>
      <c r="BF59" s="181">
        <v>12</v>
      </c>
      <c r="BG59" s="181">
        <v>10</v>
      </c>
      <c r="BH59" s="184">
        <f t="shared" si="26"/>
        <v>0.83333333333333337</v>
      </c>
      <c r="BI59" s="185">
        <f t="shared" si="15"/>
        <v>458.33333333333337</v>
      </c>
      <c r="BJ59" s="185">
        <f t="shared" si="16"/>
        <v>1.2</v>
      </c>
      <c r="BK59" s="103">
        <f t="shared" si="27"/>
        <v>1210</v>
      </c>
      <c r="BL59" s="103" t="e">
        <v>#VALUE!</v>
      </c>
      <c r="BM59" s="103">
        <v>12</v>
      </c>
      <c r="BN59" s="103">
        <v>22</v>
      </c>
      <c r="BO59" s="103">
        <v>12</v>
      </c>
      <c r="BP59" s="103">
        <f t="shared" si="28"/>
        <v>1222</v>
      </c>
      <c r="BQ59" s="103">
        <f t="shared" si="28"/>
        <v>2212</v>
      </c>
      <c r="BR59" s="173" t="str">
        <f t="shared" si="29"/>
        <v>Rejillas de 12" × 22":</v>
      </c>
      <c r="BS59" s="180">
        <f t="shared" si="17"/>
        <v>0</v>
      </c>
      <c r="BT59" s="180">
        <f t="shared" si="18"/>
        <v>0</v>
      </c>
      <c r="BU59" s="180">
        <f t="shared" si="30"/>
        <v>0</v>
      </c>
      <c r="BV59" s="187"/>
      <c r="BW59" s="183">
        <f t="shared" si="19"/>
        <v>0</v>
      </c>
      <c r="BX59" s="172" t="e">
        <f>"Filtros HEPA de "&amp;#REF!&amp;":"</f>
        <v>#REF!</v>
      </c>
      <c r="BY59" s="239"/>
      <c r="BZ59" s="239"/>
      <c r="CA59" s="174">
        <f>COUNTIF($BW$34:$BW$183,R17)</f>
        <v>150</v>
      </c>
      <c r="CB59" s="187"/>
      <c r="CC59" s="222" t="str">
        <f t="shared" si="31"/>
        <v/>
      </c>
      <c r="CD59" s="218" t="str">
        <f t="shared" si="32"/>
        <v/>
      </c>
      <c r="CE59" s="198" t="str">
        <f t="shared" si="33"/>
        <v/>
      </c>
      <c r="CF59" s="138" t="str">
        <f t="shared" si="34"/>
        <v/>
      </c>
      <c r="CG59" s="211" t="str">
        <f t="shared" si="35"/>
        <v/>
      </c>
      <c r="CH59" s="212" t="str">
        <f t="shared" si="36"/>
        <v/>
      </c>
      <c r="CI59" s="213" t="str">
        <f t="shared" si="37"/>
        <v/>
      </c>
      <c r="CJ59" s="138" t="str">
        <f t="shared" si="38"/>
        <v/>
      </c>
      <c r="CK59" s="199" t="e">
        <f>IF(#REF!="Plato perforado","PP",IF(OR(#REF!=0,#REF!=""),"",#REF!))</f>
        <v>#REF!</v>
      </c>
      <c r="CL59" s="200" t="str">
        <f t="shared" si="39"/>
        <v/>
      </c>
      <c r="CM59" s="201" t="str">
        <f t="shared" si="39"/>
        <v>---</v>
      </c>
      <c r="CN59" s="202"/>
      <c r="CO59" s="222" t="str">
        <f t="shared" si="40"/>
        <v/>
      </c>
      <c r="CP59" s="199" t="str">
        <f t="shared" si="41"/>
        <v/>
      </c>
      <c r="CQ59" s="198" t="str">
        <f t="shared" si="42"/>
        <v/>
      </c>
      <c r="CR59" s="138" t="str">
        <f t="shared" si="43"/>
        <v/>
      </c>
      <c r="CS59" s="211" t="str">
        <f t="shared" si="44"/>
        <v/>
      </c>
      <c r="CT59" s="212" t="str">
        <f t="shared" si="45"/>
        <v/>
      </c>
      <c r="CU59" s="213" t="str">
        <f t="shared" si="46"/>
        <v/>
      </c>
      <c r="CV59" s="138" t="str">
        <f t="shared" si="47"/>
        <v/>
      </c>
      <c r="CW59" s="199" t="e">
        <f>IF(#REF!="Plato perforado","PP",IF(OR(#REF!=0,#REF!=""),"",#REF!))</f>
        <v>#REF!</v>
      </c>
      <c r="CX59" s="200" t="str">
        <f t="shared" si="48"/>
        <v/>
      </c>
      <c r="CY59" s="201" t="str">
        <f t="shared" si="48"/>
        <v>---</v>
      </c>
      <c r="CZ59" s="202"/>
      <c r="DA59" s="222" t="str">
        <f t="shared" si="49"/>
        <v/>
      </c>
      <c r="DB59" s="199" t="str">
        <f t="shared" si="50"/>
        <v/>
      </c>
      <c r="DC59" s="198" t="str">
        <f t="shared" si="51"/>
        <v/>
      </c>
      <c r="DD59" s="138" t="str">
        <f t="shared" si="52"/>
        <v/>
      </c>
      <c r="DE59" s="211" t="str">
        <f t="shared" si="53"/>
        <v/>
      </c>
      <c r="DF59" s="212" t="str">
        <f t="shared" si="54"/>
        <v/>
      </c>
      <c r="DG59" s="213" t="str">
        <f t="shared" si="55"/>
        <v/>
      </c>
      <c r="DH59" s="138" t="str">
        <f t="shared" si="56"/>
        <v/>
      </c>
      <c r="DI59" s="199" t="e">
        <f>IF(#REF!="Plato perforado","PP",IF(OR(#REF!=0,#REF!=""),"",#REF!))</f>
        <v>#REF!</v>
      </c>
      <c r="DJ59" s="200" t="str">
        <f t="shared" si="57"/>
        <v/>
      </c>
      <c r="DK59" s="201" t="str">
        <f t="shared" si="57"/>
        <v>---</v>
      </c>
      <c r="DL59" s="202"/>
      <c r="DM59" s="222" t="str">
        <f t="shared" si="58"/>
        <v/>
      </c>
      <c r="DN59" s="199" t="str">
        <f t="shared" si="59"/>
        <v/>
      </c>
      <c r="DO59" s="198" t="str">
        <f t="shared" si="60"/>
        <v/>
      </c>
      <c r="DP59" s="138" t="str">
        <f t="shared" si="61"/>
        <v/>
      </c>
      <c r="DQ59" s="211" t="str">
        <f t="shared" si="62"/>
        <v/>
      </c>
      <c r="DR59" s="212" t="str">
        <f t="shared" si="63"/>
        <v/>
      </c>
      <c r="DS59" s="213" t="str">
        <f t="shared" si="64"/>
        <v/>
      </c>
      <c r="DT59" s="138" t="str">
        <f t="shared" si="65"/>
        <v/>
      </c>
      <c r="DU59" s="199" t="e">
        <f>IF(#REF!="Plato perforado","PP",IF(OR(#REF!=0,#REF!=""),"",#REF!))</f>
        <v>#REF!</v>
      </c>
      <c r="DV59" s="200" t="str">
        <f t="shared" si="66"/>
        <v/>
      </c>
      <c r="DW59" s="201" t="str">
        <f t="shared" si="66"/>
        <v>---</v>
      </c>
      <c r="DX59" s="202"/>
      <c r="DY59" s="222" t="str">
        <f t="shared" si="67"/>
        <v/>
      </c>
      <c r="DZ59" s="199" t="str">
        <f t="shared" si="68"/>
        <v/>
      </c>
      <c r="EA59" s="198" t="str">
        <f t="shared" si="69"/>
        <v/>
      </c>
      <c r="EB59" s="138" t="str">
        <f t="shared" si="70"/>
        <v/>
      </c>
      <c r="EC59" s="211" t="str">
        <f t="shared" si="71"/>
        <v/>
      </c>
      <c r="ED59" s="212" t="str">
        <f t="shared" si="72"/>
        <v/>
      </c>
      <c r="EE59" s="213" t="str">
        <f t="shared" si="73"/>
        <v/>
      </c>
      <c r="EF59" s="138" t="str">
        <f t="shared" si="74"/>
        <v/>
      </c>
      <c r="EG59" s="199" t="e">
        <f>IF(#REF!="Plato perforado","PP",IF(OR(#REF!=0,#REF!=""),"",#REF!))</f>
        <v>#REF!</v>
      </c>
      <c r="EH59" s="200" t="str">
        <f t="shared" si="75"/>
        <v/>
      </c>
      <c r="EI59" s="201" t="str">
        <f t="shared" si="75"/>
        <v>---</v>
      </c>
      <c r="EJ59" s="229"/>
    </row>
    <row r="60" spans="1:140" x14ac:dyDescent="0.3">
      <c r="A60" s="431">
        <v>27</v>
      </c>
      <c r="B60" s="284"/>
      <c r="C60" s="285">
        <f t="shared" si="0"/>
        <v>2</v>
      </c>
      <c r="D60" s="373"/>
      <c r="E60" s="286"/>
      <c r="F60" s="285" t="str">
        <f t="shared" si="78"/>
        <v/>
      </c>
      <c r="G60" s="287" t="str">
        <f t="shared" si="78"/>
        <v/>
      </c>
      <c r="H60" s="288" t="str">
        <f t="shared" si="2"/>
        <v/>
      </c>
      <c r="I60" s="289" t="str">
        <f t="shared" si="3"/>
        <v/>
      </c>
      <c r="J60" s="288" t="str">
        <f t="shared" si="4"/>
        <v/>
      </c>
      <c r="K60" s="288">
        <f t="shared" si="5"/>
        <v>0</v>
      </c>
      <c r="L60" s="290"/>
      <c r="M60" s="291">
        <f t="shared" si="6"/>
        <v>1</v>
      </c>
      <c r="N60" s="466" t="str">
        <f t="shared" si="7"/>
        <v/>
      </c>
      <c r="O60" s="302" t="str">
        <f t="shared" si="8"/>
        <v/>
      </c>
      <c r="P60" s="468" t="str">
        <f t="shared" si="9"/>
        <v/>
      </c>
      <c r="Q60" s="292" t="str">
        <f t="shared" si="24"/>
        <v/>
      </c>
      <c r="R60" s="294" t="str">
        <f t="shared" si="10"/>
        <v/>
      </c>
      <c r="S60" s="295" t="str">
        <f t="shared" si="11"/>
        <v>---</v>
      </c>
      <c r="V60" s="3" t="str">
        <f>IFERROR(VALUE(TEXT(C60,"00")&amp;TEXT(N60,"00")&amp;TEXT(P60,"00")&amp;IF(#REF!="Plato perforado",5,IF(OR(#REF!="N/A",#REF!=""),0,#REF!))),"")</f>
        <v/>
      </c>
      <c r="W60" s="3">
        <v>18</v>
      </c>
      <c r="X60" s="3">
        <v>18</v>
      </c>
      <c r="Y60" s="3">
        <v>3</v>
      </c>
      <c r="AY60" s="187"/>
      <c r="AZ60" s="175" t="str">
        <f t="shared" ref="AZ60:AZ61" si="80">"Difusores de "&amp;W60&amp;""""&amp;" × "&amp;X60&amp;""""&amp;" de "&amp;Y60&amp;" vías:"</f>
        <v>Difusores de 18" × 18" de 3 vías:</v>
      </c>
      <c r="BA60" s="174">
        <f t="shared" si="25"/>
        <v>0</v>
      </c>
      <c r="BB60" s="187"/>
      <c r="BC60" s="103" t="str">
        <f t="shared" si="12"/>
        <v/>
      </c>
      <c r="BD60" s="103" t="str">
        <f t="shared" si="13"/>
        <v/>
      </c>
      <c r="BE60" s="103" t="e">
        <f t="shared" si="14"/>
        <v>#VALUE!</v>
      </c>
      <c r="BF60" s="181">
        <v>12</v>
      </c>
      <c r="BG60" s="181">
        <v>12</v>
      </c>
      <c r="BH60" s="184">
        <f t="shared" si="26"/>
        <v>1</v>
      </c>
      <c r="BI60" s="185">
        <f t="shared" si="15"/>
        <v>550</v>
      </c>
      <c r="BJ60" s="185">
        <f t="shared" si="16"/>
        <v>1</v>
      </c>
      <c r="BK60" s="103">
        <f t="shared" si="27"/>
        <v>1212</v>
      </c>
      <c r="BL60" s="103" t="e">
        <v>#VALUE!</v>
      </c>
      <c r="BM60" s="103">
        <v>12</v>
      </c>
      <c r="BN60" s="103">
        <v>24</v>
      </c>
      <c r="BO60" s="103">
        <v>12</v>
      </c>
      <c r="BP60" s="103">
        <f t="shared" si="28"/>
        <v>1224</v>
      </c>
      <c r="BQ60" s="103">
        <f t="shared" si="28"/>
        <v>2412</v>
      </c>
      <c r="BR60" s="173" t="str">
        <f t="shared" si="29"/>
        <v>Rejillas de 12" × 24":</v>
      </c>
      <c r="BS60" s="180">
        <f t="shared" si="17"/>
        <v>0</v>
      </c>
      <c r="BT60" s="180">
        <f t="shared" si="18"/>
        <v>0</v>
      </c>
      <c r="BU60" s="180">
        <f t="shared" si="30"/>
        <v>0</v>
      </c>
      <c r="BV60" s="187"/>
      <c r="BW60" s="183">
        <f t="shared" si="19"/>
        <v>0</v>
      </c>
      <c r="BX60" s="243" t="e">
        <f>"Filtros HEPA de "&amp;#REF!&amp;":"</f>
        <v>#REF!</v>
      </c>
      <c r="BY60" s="244"/>
      <c r="BZ60" s="244"/>
      <c r="CA60" s="245">
        <f>COUNTIF($BW$34:$BW$183,R18)</f>
        <v>150</v>
      </c>
      <c r="CB60" s="187"/>
      <c r="CC60" s="222" t="str">
        <f t="shared" si="31"/>
        <v/>
      </c>
      <c r="CD60" s="218" t="str">
        <f t="shared" si="32"/>
        <v/>
      </c>
      <c r="CE60" s="198" t="str">
        <f t="shared" si="33"/>
        <v/>
      </c>
      <c r="CF60" s="138" t="str">
        <f t="shared" si="34"/>
        <v/>
      </c>
      <c r="CG60" s="211" t="str">
        <f t="shared" si="35"/>
        <v/>
      </c>
      <c r="CH60" s="212" t="str">
        <f t="shared" si="36"/>
        <v/>
      </c>
      <c r="CI60" s="213" t="str">
        <f t="shared" si="37"/>
        <v/>
      </c>
      <c r="CJ60" s="138" t="str">
        <f t="shared" si="38"/>
        <v/>
      </c>
      <c r="CK60" s="199" t="e">
        <f>IF(#REF!="Plato perforado","PP",IF(OR(#REF!=0,#REF!=""),"",#REF!))</f>
        <v>#REF!</v>
      </c>
      <c r="CL60" s="200" t="str">
        <f t="shared" si="39"/>
        <v/>
      </c>
      <c r="CM60" s="201" t="str">
        <f t="shared" si="39"/>
        <v>---</v>
      </c>
      <c r="CN60" s="202"/>
      <c r="CO60" s="222" t="str">
        <f t="shared" si="40"/>
        <v/>
      </c>
      <c r="CP60" s="199" t="str">
        <f t="shared" si="41"/>
        <v/>
      </c>
      <c r="CQ60" s="198" t="str">
        <f t="shared" si="42"/>
        <v/>
      </c>
      <c r="CR60" s="138" t="str">
        <f t="shared" si="43"/>
        <v/>
      </c>
      <c r="CS60" s="211" t="str">
        <f t="shared" si="44"/>
        <v/>
      </c>
      <c r="CT60" s="212" t="str">
        <f t="shared" si="45"/>
        <v/>
      </c>
      <c r="CU60" s="213" t="str">
        <f t="shared" si="46"/>
        <v/>
      </c>
      <c r="CV60" s="138" t="str">
        <f t="shared" si="47"/>
        <v/>
      </c>
      <c r="CW60" s="199" t="e">
        <f>IF(#REF!="Plato perforado","PP",IF(OR(#REF!=0,#REF!=""),"",#REF!))</f>
        <v>#REF!</v>
      </c>
      <c r="CX60" s="200" t="str">
        <f t="shared" si="48"/>
        <v/>
      </c>
      <c r="CY60" s="201" t="str">
        <f t="shared" si="48"/>
        <v>---</v>
      </c>
      <c r="CZ60" s="202"/>
      <c r="DA60" s="222" t="str">
        <f t="shared" si="49"/>
        <v/>
      </c>
      <c r="DB60" s="199" t="str">
        <f t="shared" si="50"/>
        <v/>
      </c>
      <c r="DC60" s="198" t="str">
        <f t="shared" si="51"/>
        <v/>
      </c>
      <c r="DD60" s="138" t="str">
        <f t="shared" si="52"/>
        <v/>
      </c>
      <c r="DE60" s="211" t="str">
        <f t="shared" si="53"/>
        <v/>
      </c>
      <c r="DF60" s="212" t="str">
        <f t="shared" si="54"/>
        <v/>
      </c>
      <c r="DG60" s="213" t="str">
        <f t="shared" si="55"/>
        <v/>
      </c>
      <c r="DH60" s="138" t="str">
        <f t="shared" si="56"/>
        <v/>
      </c>
      <c r="DI60" s="199" t="e">
        <f>IF(#REF!="Plato perforado","PP",IF(OR(#REF!=0,#REF!=""),"",#REF!))</f>
        <v>#REF!</v>
      </c>
      <c r="DJ60" s="200" t="str">
        <f t="shared" si="57"/>
        <v/>
      </c>
      <c r="DK60" s="201" t="str">
        <f t="shared" si="57"/>
        <v>---</v>
      </c>
      <c r="DL60" s="202"/>
      <c r="DM60" s="222" t="str">
        <f t="shared" si="58"/>
        <v/>
      </c>
      <c r="DN60" s="199" t="str">
        <f t="shared" si="59"/>
        <v/>
      </c>
      <c r="DO60" s="198" t="str">
        <f t="shared" si="60"/>
        <v/>
      </c>
      <c r="DP60" s="138" t="str">
        <f t="shared" si="61"/>
        <v/>
      </c>
      <c r="DQ60" s="211" t="str">
        <f t="shared" si="62"/>
        <v/>
      </c>
      <c r="DR60" s="212" t="str">
        <f t="shared" si="63"/>
        <v/>
      </c>
      <c r="DS60" s="213" t="str">
        <f t="shared" si="64"/>
        <v/>
      </c>
      <c r="DT60" s="138" t="str">
        <f t="shared" si="65"/>
        <v/>
      </c>
      <c r="DU60" s="199" t="e">
        <f>IF(#REF!="Plato perforado","PP",IF(OR(#REF!=0,#REF!=""),"",#REF!))</f>
        <v>#REF!</v>
      </c>
      <c r="DV60" s="200" t="str">
        <f t="shared" si="66"/>
        <v/>
      </c>
      <c r="DW60" s="201" t="str">
        <f t="shared" si="66"/>
        <v>---</v>
      </c>
      <c r="DX60" s="202"/>
      <c r="DY60" s="222" t="str">
        <f t="shared" si="67"/>
        <v/>
      </c>
      <c r="DZ60" s="199" t="str">
        <f t="shared" si="68"/>
        <v/>
      </c>
      <c r="EA60" s="198" t="str">
        <f t="shared" si="69"/>
        <v/>
      </c>
      <c r="EB60" s="138" t="str">
        <f t="shared" si="70"/>
        <v/>
      </c>
      <c r="EC60" s="211" t="str">
        <f t="shared" si="71"/>
        <v/>
      </c>
      <c r="ED60" s="212" t="str">
        <f t="shared" si="72"/>
        <v/>
      </c>
      <c r="EE60" s="213" t="str">
        <f t="shared" si="73"/>
        <v/>
      </c>
      <c r="EF60" s="138" t="str">
        <f t="shared" si="74"/>
        <v/>
      </c>
      <c r="EG60" s="199" t="e">
        <f>IF(#REF!="Plato perforado","PP",IF(OR(#REF!=0,#REF!=""),"",#REF!))</f>
        <v>#REF!</v>
      </c>
      <c r="EH60" s="200" t="str">
        <f t="shared" si="75"/>
        <v/>
      </c>
      <c r="EI60" s="201" t="str">
        <f t="shared" si="75"/>
        <v>---</v>
      </c>
      <c r="EJ60" s="229"/>
    </row>
    <row r="61" spans="1:140" x14ac:dyDescent="0.3">
      <c r="A61" s="431">
        <v>28</v>
      </c>
      <c r="B61" s="260"/>
      <c r="C61" s="261">
        <f t="shared" si="0"/>
        <v>2</v>
      </c>
      <c r="D61" s="371"/>
      <c r="E61" s="262"/>
      <c r="F61" s="261" t="str">
        <f t="shared" si="78"/>
        <v/>
      </c>
      <c r="G61" s="263" t="str">
        <f t="shared" si="78"/>
        <v/>
      </c>
      <c r="H61" s="264" t="str">
        <f t="shared" si="2"/>
        <v/>
      </c>
      <c r="I61" s="265" t="str">
        <f t="shared" si="3"/>
        <v/>
      </c>
      <c r="J61" s="264" t="str">
        <f t="shared" si="4"/>
        <v/>
      </c>
      <c r="K61" s="264">
        <f t="shared" si="5"/>
        <v>0</v>
      </c>
      <c r="L61" s="266"/>
      <c r="M61" s="267">
        <f t="shared" si="6"/>
        <v>1</v>
      </c>
      <c r="N61" s="465" t="str">
        <f t="shared" si="7"/>
        <v/>
      </c>
      <c r="O61" s="297" t="str">
        <f t="shared" si="8"/>
        <v/>
      </c>
      <c r="P61" s="467" t="str">
        <f t="shared" si="9"/>
        <v/>
      </c>
      <c r="Q61" s="268" t="str">
        <f t="shared" si="24"/>
        <v/>
      </c>
      <c r="R61" s="270" t="str">
        <f t="shared" si="10"/>
        <v/>
      </c>
      <c r="S61" s="271" t="str">
        <f t="shared" si="11"/>
        <v>---</v>
      </c>
      <c r="V61" s="3" t="str">
        <f>IFERROR(VALUE(TEXT(C61,"00")&amp;TEXT(N61,"00")&amp;TEXT(P61,"00")&amp;IF(#REF!="Plato perforado",5,IF(OR(#REF!="N/A",#REF!=""),0,#REF!))),"")</f>
        <v/>
      </c>
      <c r="W61" s="3">
        <v>18</v>
      </c>
      <c r="X61" s="3">
        <v>18</v>
      </c>
      <c r="Y61" s="3">
        <v>4</v>
      </c>
      <c r="AY61" s="187"/>
      <c r="AZ61" s="175" t="str">
        <f t="shared" si="80"/>
        <v>Difusores de 18" × 18" de 4 vías:</v>
      </c>
      <c r="BA61" s="174">
        <f t="shared" si="25"/>
        <v>0</v>
      </c>
      <c r="BB61" s="187"/>
      <c r="BC61" s="103" t="str">
        <f t="shared" si="12"/>
        <v/>
      </c>
      <c r="BD61" s="103" t="str">
        <f t="shared" si="13"/>
        <v/>
      </c>
      <c r="BE61" s="103" t="e">
        <f t="shared" si="14"/>
        <v>#VALUE!</v>
      </c>
      <c r="BF61" s="181">
        <v>12</v>
      </c>
      <c r="BG61" s="181">
        <v>14</v>
      </c>
      <c r="BH61" s="184">
        <f t="shared" si="26"/>
        <v>1.1666666666666667</v>
      </c>
      <c r="BI61" s="185">
        <f t="shared" si="15"/>
        <v>641.66666666666674</v>
      </c>
      <c r="BJ61" s="185">
        <f t="shared" si="16"/>
        <v>0.8571428571428571</v>
      </c>
      <c r="BK61" s="103">
        <f t="shared" si="27"/>
        <v>1214</v>
      </c>
      <c r="BL61" s="103" t="e">
        <v>#VALUE!</v>
      </c>
      <c r="BM61" s="103">
        <v>12</v>
      </c>
      <c r="BN61" s="103">
        <v>26</v>
      </c>
      <c r="BO61" s="103">
        <v>12</v>
      </c>
      <c r="BP61" s="103">
        <f t="shared" si="28"/>
        <v>1226</v>
      </c>
      <c r="BQ61" s="103">
        <f t="shared" si="28"/>
        <v>2612</v>
      </c>
      <c r="BR61" s="173" t="str">
        <f t="shared" si="29"/>
        <v>Rejillas de 12" × 26":</v>
      </c>
      <c r="BS61" s="180">
        <f t="shared" si="17"/>
        <v>0</v>
      </c>
      <c r="BT61" s="180">
        <f t="shared" si="18"/>
        <v>0</v>
      </c>
      <c r="BU61" s="180">
        <f t="shared" si="30"/>
        <v>0</v>
      </c>
      <c r="BV61" s="187"/>
      <c r="BW61" s="183">
        <f t="shared" si="19"/>
        <v>0</v>
      </c>
      <c r="BX61" s="187"/>
      <c r="BY61" s="187"/>
      <c r="BZ61" s="187"/>
      <c r="CA61" s="187"/>
      <c r="CB61" s="187"/>
      <c r="CC61" s="222" t="str">
        <f t="shared" si="31"/>
        <v/>
      </c>
      <c r="CD61" s="218" t="str">
        <f t="shared" si="32"/>
        <v/>
      </c>
      <c r="CE61" s="198" t="str">
        <f t="shared" si="33"/>
        <v/>
      </c>
      <c r="CF61" s="138" t="str">
        <f t="shared" si="34"/>
        <v/>
      </c>
      <c r="CG61" s="211" t="str">
        <f t="shared" si="35"/>
        <v/>
      </c>
      <c r="CH61" s="212" t="str">
        <f t="shared" si="36"/>
        <v/>
      </c>
      <c r="CI61" s="213" t="str">
        <f t="shared" si="37"/>
        <v/>
      </c>
      <c r="CJ61" s="138" t="str">
        <f t="shared" si="38"/>
        <v/>
      </c>
      <c r="CK61" s="199" t="e">
        <f>IF(#REF!="Plato perforado","PP",IF(OR(#REF!=0,#REF!=""),"",#REF!))</f>
        <v>#REF!</v>
      </c>
      <c r="CL61" s="200" t="str">
        <f t="shared" si="39"/>
        <v/>
      </c>
      <c r="CM61" s="201" t="str">
        <f t="shared" si="39"/>
        <v>---</v>
      </c>
      <c r="CN61" s="202"/>
      <c r="CO61" s="222" t="str">
        <f t="shared" si="40"/>
        <v/>
      </c>
      <c r="CP61" s="199" t="str">
        <f t="shared" si="41"/>
        <v/>
      </c>
      <c r="CQ61" s="198" t="str">
        <f t="shared" si="42"/>
        <v/>
      </c>
      <c r="CR61" s="138" t="str">
        <f t="shared" si="43"/>
        <v/>
      </c>
      <c r="CS61" s="211" t="str">
        <f t="shared" si="44"/>
        <v/>
      </c>
      <c r="CT61" s="212" t="str">
        <f t="shared" si="45"/>
        <v/>
      </c>
      <c r="CU61" s="213" t="str">
        <f t="shared" si="46"/>
        <v/>
      </c>
      <c r="CV61" s="138" t="str">
        <f t="shared" si="47"/>
        <v/>
      </c>
      <c r="CW61" s="199" t="e">
        <f>IF(#REF!="Plato perforado","PP",IF(OR(#REF!=0,#REF!=""),"",#REF!))</f>
        <v>#REF!</v>
      </c>
      <c r="CX61" s="200" t="str">
        <f t="shared" si="48"/>
        <v/>
      </c>
      <c r="CY61" s="201" t="str">
        <f t="shared" si="48"/>
        <v>---</v>
      </c>
      <c r="CZ61" s="202"/>
      <c r="DA61" s="222" t="str">
        <f t="shared" si="49"/>
        <v/>
      </c>
      <c r="DB61" s="199" t="str">
        <f t="shared" si="50"/>
        <v/>
      </c>
      <c r="DC61" s="198" t="str">
        <f t="shared" si="51"/>
        <v/>
      </c>
      <c r="DD61" s="138" t="str">
        <f t="shared" si="52"/>
        <v/>
      </c>
      <c r="DE61" s="211" t="str">
        <f t="shared" si="53"/>
        <v/>
      </c>
      <c r="DF61" s="212" t="str">
        <f t="shared" si="54"/>
        <v/>
      </c>
      <c r="DG61" s="213" t="str">
        <f t="shared" si="55"/>
        <v/>
      </c>
      <c r="DH61" s="138" t="str">
        <f t="shared" si="56"/>
        <v/>
      </c>
      <c r="DI61" s="199" t="e">
        <f>IF(#REF!="Plato perforado","PP",IF(OR(#REF!=0,#REF!=""),"",#REF!))</f>
        <v>#REF!</v>
      </c>
      <c r="DJ61" s="200" t="str">
        <f t="shared" si="57"/>
        <v/>
      </c>
      <c r="DK61" s="201" t="str">
        <f t="shared" si="57"/>
        <v>---</v>
      </c>
      <c r="DL61" s="202"/>
      <c r="DM61" s="222" t="str">
        <f t="shared" si="58"/>
        <v/>
      </c>
      <c r="DN61" s="199" t="str">
        <f t="shared" si="59"/>
        <v/>
      </c>
      <c r="DO61" s="198" t="str">
        <f t="shared" si="60"/>
        <v/>
      </c>
      <c r="DP61" s="138" t="str">
        <f t="shared" si="61"/>
        <v/>
      </c>
      <c r="DQ61" s="211" t="str">
        <f t="shared" si="62"/>
        <v/>
      </c>
      <c r="DR61" s="212" t="str">
        <f t="shared" si="63"/>
        <v/>
      </c>
      <c r="DS61" s="213" t="str">
        <f t="shared" si="64"/>
        <v/>
      </c>
      <c r="DT61" s="138" t="str">
        <f t="shared" si="65"/>
        <v/>
      </c>
      <c r="DU61" s="199" t="e">
        <f>IF(#REF!="Plato perforado","PP",IF(OR(#REF!=0,#REF!=""),"",#REF!))</f>
        <v>#REF!</v>
      </c>
      <c r="DV61" s="200" t="str">
        <f t="shared" si="66"/>
        <v/>
      </c>
      <c r="DW61" s="201" t="str">
        <f t="shared" si="66"/>
        <v>---</v>
      </c>
      <c r="DX61" s="202"/>
      <c r="DY61" s="222" t="str">
        <f t="shared" si="67"/>
        <v/>
      </c>
      <c r="DZ61" s="199" t="str">
        <f t="shared" si="68"/>
        <v/>
      </c>
      <c r="EA61" s="198" t="str">
        <f t="shared" si="69"/>
        <v/>
      </c>
      <c r="EB61" s="138" t="str">
        <f t="shared" si="70"/>
        <v/>
      </c>
      <c r="EC61" s="211" t="str">
        <f t="shared" si="71"/>
        <v/>
      </c>
      <c r="ED61" s="212" t="str">
        <f t="shared" si="72"/>
        <v/>
      </c>
      <c r="EE61" s="213" t="str">
        <f t="shared" si="73"/>
        <v/>
      </c>
      <c r="EF61" s="138" t="str">
        <f t="shared" si="74"/>
        <v/>
      </c>
      <c r="EG61" s="199" t="e">
        <f>IF(#REF!="Plato perforado","PP",IF(OR(#REF!=0,#REF!=""),"",#REF!))</f>
        <v>#REF!</v>
      </c>
      <c r="EH61" s="200" t="str">
        <f t="shared" si="75"/>
        <v/>
      </c>
      <c r="EI61" s="201" t="str">
        <f t="shared" si="75"/>
        <v>---</v>
      </c>
      <c r="EJ61" s="229"/>
    </row>
    <row r="62" spans="1:140" x14ac:dyDescent="0.3">
      <c r="A62" s="431">
        <v>29</v>
      </c>
      <c r="B62" s="272"/>
      <c r="C62" s="273">
        <f t="shared" si="0"/>
        <v>2</v>
      </c>
      <c r="D62" s="372"/>
      <c r="E62" s="274"/>
      <c r="F62" s="273" t="str">
        <f t="shared" si="78"/>
        <v/>
      </c>
      <c r="G62" s="275" t="str">
        <f t="shared" si="78"/>
        <v/>
      </c>
      <c r="H62" s="276" t="str">
        <f t="shared" si="2"/>
        <v/>
      </c>
      <c r="I62" s="277" t="str">
        <f t="shared" si="3"/>
        <v/>
      </c>
      <c r="J62" s="276" t="str">
        <f t="shared" si="4"/>
        <v/>
      </c>
      <c r="K62" s="276">
        <f t="shared" si="5"/>
        <v>0</v>
      </c>
      <c r="L62" s="278"/>
      <c r="M62" s="279">
        <f t="shared" si="6"/>
        <v>1</v>
      </c>
      <c r="N62" s="360" t="str">
        <f t="shared" si="7"/>
        <v/>
      </c>
      <c r="O62" s="117" t="str">
        <f t="shared" si="8"/>
        <v/>
      </c>
      <c r="P62" s="359" t="str">
        <f t="shared" si="9"/>
        <v/>
      </c>
      <c r="Q62" s="280" t="str">
        <f t="shared" si="24"/>
        <v/>
      </c>
      <c r="R62" s="282" t="str">
        <f t="shared" si="10"/>
        <v/>
      </c>
      <c r="S62" s="283" t="str">
        <f t="shared" si="11"/>
        <v>---</v>
      </c>
      <c r="V62" s="3" t="str">
        <f>IFERROR(VALUE(TEXT(C62,"00")&amp;TEXT(N62,"00")&amp;TEXT(P62,"00")&amp;IF(#REF!="Plato perforado",5,IF(OR(#REF!="N/A",#REF!=""),0,#REF!))),"")</f>
        <v/>
      </c>
      <c r="W62" s="3">
        <v>18</v>
      </c>
      <c r="X62" s="3">
        <v>18</v>
      </c>
      <c r="Y62" s="3" t="s">
        <v>178</v>
      </c>
      <c r="AY62" s="187"/>
      <c r="AZ62" s="175" t="str">
        <f>"Difusores de "&amp;W62&amp;""""&amp;" × "&amp;X62&amp;""""&amp;" de "&amp;Y62</f>
        <v>Difusores de 18" × 18" de plato perforado:</v>
      </c>
      <c r="BA62" s="174">
        <f t="shared" si="25"/>
        <v>0</v>
      </c>
      <c r="BB62" s="187"/>
      <c r="BC62" s="103" t="str">
        <f t="shared" si="12"/>
        <v/>
      </c>
      <c r="BD62" s="103" t="str">
        <f t="shared" si="13"/>
        <v/>
      </c>
      <c r="BE62" s="103" t="e">
        <f t="shared" si="14"/>
        <v>#VALUE!</v>
      </c>
      <c r="BF62" s="181">
        <v>12</v>
      </c>
      <c r="BG62" s="181">
        <v>16</v>
      </c>
      <c r="BH62" s="184">
        <f t="shared" si="26"/>
        <v>1.3333333333333333</v>
      </c>
      <c r="BI62" s="185">
        <f t="shared" si="15"/>
        <v>733.33333333333326</v>
      </c>
      <c r="BJ62" s="185">
        <f t="shared" si="16"/>
        <v>0.75</v>
      </c>
      <c r="BK62" s="103">
        <f t="shared" si="27"/>
        <v>1216</v>
      </c>
      <c r="BL62" s="103" t="e">
        <v>#VALUE!</v>
      </c>
      <c r="BM62" s="103">
        <v>12</v>
      </c>
      <c r="BN62" s="103">
        <v>28</v>
      </c>
      <c r="BO62" s="103">
        <v>12</v>
      </c>
      <c r="BP62" s="103">
        <f t="shared" si="28"/>
        <v>1228</v>
      </c>
      <c r="BQ62" s="103">
        <f t="shared" si="28"/>
        <v>2812</v>
      </c>
      <c r="BR62" s="173" t="str">
        <f t="shared" si="29"/>
        <v>Rejillas de 12" × 28":</v>
      </c>
      <c r="BS62" s="180">
        <f t="shared" si="17"/>
        <v>0</v>
      </c>
      <c r="BT62" s="180">
        <f t="shared" si="18"/>
        <v>0</v>
      </c>
      <c r="BU62" s="180">
        <f t="shared" si="30"/>
        <v>0</v>
      </c>
      <c r="BV62" s="187"/>
      <c r="BW62" s="183">
        <f t="shared" si="19"/>
        <v>0</v>
      </c>
      <c r="BX62" s="187"/>
      <c r="BY62" s="187"/>
      <c r="BZ62" s="187"/>
      <c r="CA62" s="187"/>
      <c r="CB62" s="187"/>
      <c r="CC62" s="222" t="str">
        <f t="shared" si="31"/>
        <v/>
      </c>
      <c r="CD62" s="218" t="str">
        <f t="shared" si="32"/>
        <v/>
      </c>
      <c r="CE62" s="198" t="str">
        <f t="shared" si="33"/>
        <v/>
      </c>
      <c r="CF62" s="138" t="str">
        <f t="shared" si="34"/>
        <v/>
      </c>
      <c r="CG62" s="211" t="str">
        <f t="shared" si="35"/>
        <v/>
      </c>
      <c r="CH62" s="212" t="str">
        <f t="shared" si="36"/>
        <v/>
      </c>
      <c r="CI62" s="213" t="str">
        <f t="shared" si="37"/>
        <v/>
      </c>
      <c r="CJ62" s="138" t="str">
        <f t="shared" si="38"/>
        <v/>
      </c>
      <c r="CK62" s="199" t="e">
        <f>IF(#REF!="Plato perforado","PP",IF(OR(#REF!=0,#REF!=""),"",#REF!))</f>
        <v>#REF!</v>
      </c>
      <c r="CL62" s="200" t="str">
        <f t="shared" si="39"/>
        <v/>
      </c>
      <c r="CM62" s="201" t="str">
        <f t="shared" si="39"/>
        <v>---</v>
      </c>
      <c r="CN62" s="202"/>
      <c r="CO62" s="222" t="str">
        <f t="shared" si="40"/>
        <v/>
      </c>
      <c r="CP62" s="199" t="str">
        <f t="shared" si="41"/>
        <v/>
      </c>
      <c r="CQ62" s="198" t="str">
        <f t="shared" si="42"/>
        <v/>
      </c>
      <c r="CR62" s="138" t="str">
        <f t="shared" si="43"/>
        <v/>
      </c>
      <c r="CS62" s="211" t="str">
        <f t="shared" si="44"/>
        <v/>
      </c>
      <c r="CT62" s="212" t="str">
        <f t="shared" si="45"/>
        <v/>
      </c>
      <c r="CU62" s="213" t="str">
        <f t="shared" si="46"/>
        <v/>
      </c>
      <c r="CV62" s="138" t="str">
        <f t="shared" si="47"/>
        <v/>
      </c>
      <c r="CW62" s="199" t="e">
        <f>IF(#REF!="Plato perforado","PP",IF(OR(#REF!=0,#REF!=""),"",#REF!))</f>
        <v>#REF!</v>
      </c>
      <c r="CX62" s="200" t="str">
        <f t="shared" si="48"/>
        <v/>
      </c>
      <c r="CY62" s="201" t="str">
        <f t="shared" si="48"/>
        <v>---</v>
      </c>
      <c r="CZ62" s="202"/>
      <c r="DA62" s="222" t="str">
        <f t="shared" si="49"/>
        <v/>
      </c>
      <c r="DB62" s="199" t="str">
        <f t="shared" si="50"/>
        <v/>
      </c>
      <c r="DC62" s="198" t="str">
        <f t="shared" si="51"/>
        <v/>
      </c>
      <c r="DD62" s="138" t="str">
        <f t="shared" si="52"/>
        <v/>
      </c>
      <c r="DE62" s="211" t="str">
        <f t="shared" si="53"/>
        <v/>
      </c>
      <c r="DF62" s="212" t="str">
        <f t="shared" si="54"/>
        <v/>
      </c>
      <c r="DG62" s="213" t="str">
        <f t="shared" si="55"/>
        <v/>
      </c>
      <c r="DH62" s="138" t="str">
        <f t="shared" si="56"/>
        <v/>
      </c>
      <c r="DI62" s="199" t="e">
        <f>IF(#REF!="Plato perforado","PP",IF(OR(#REF!=0,#REF!=""),"",#REF!))</f>
        <v>#REF!</v>
      </c>
      <c r="DJ62" s="200" t="str">
        <f t="shared" si="57"/>
        <v/>
      </c>
      <c r="DK62" s="201" t="str">
        <f t="shared" si="57"/>
        <v>---</v>
      </c>
      <c r="DL62" s="202"/>
      <c r="DM62" s="222" t="str">
        <f t="shared" si="58"/>
        <v/>
      </c>
      <c r="DN62" s="199" t="str">
        <f t="shared" si="59"/>
        <v/>
      </c>
      <c r="DO62" s="198" t="str">
        <f t="shared" si="60"/>
        <v/>
      </c>
      <c r="DP62" s="138" t="str">
        <f t="shared" si="61"/>
        <v/>
      </c>
      <c r="DQ62" s="211" t="str">
        <f t="shared" si="62"/>
        <v/>
      </c>
      <c r="DR62" s="212" t="str">
        <f t="shared" si="63"/>
        <v/>
      </c>
      <c r="DS62" s="213" t="str">
        <f t="shared" si="64"/>
        <v/>
      </c>
      <c r="DT62" s="138" t="str">
        <f t="shared" si="65"/>
        <v/>
      </c>
      <c r="DU62" s="199" t="e">
        <f>IF(#REF!="Plato perforado","PP",IF(OR(#REF!=0,#REF!=""),"",#REF!))</f>
        <v>#REF!</v>
      </c>
      <c r="DV62" s="200" t="str">
        <f t="shared" si="66"/>
        <v/>
      </c>
      <c r="DW62" s="201" t="str">
        <f t="shared" si="66"/>
        <v>---</v>
      </c>
      <c r="DX62" s="202"/>
      <c r="DY62" s="222" t="str">
        <f t="shared" si="67"/>
        <v/>
      </c>
      <c r="DZ62" s="199" t="str">
        <f t="shared" si="68"/>
        <v/>
      </c>
      <c r="EA62" s="198" t="str">
        <f t="shared" si="69"/>
        <v/>
      </c>
      <c r="EB62" s="138" t="str">
        <f t="shared" si="70"/>
        <v/>
      </c>
      <c r="EC62" s="211" t="str">
        <f t="shared" si="71"/>
        <v/>
      </c>
      <c r="ED62" s="212" t="str">
        <f t="shared" si="72"/>
        <v/>
      </c>
      <c r="EE62" s="213" t="str">
        <f t="shared" si="73"/>
        <v/>
      </c>
      <c r="EF62" s="138" t="str">
        <f t="shared" si="74"/>
        <v/>
      </c>
      <c r="EG62" s="199" t="e">
        <f>IF(#REF!="Plato perforado","PP",IF(OR(#REF!=0,#REF!=""),"",#REF!))</f>
        <v>#REF!</v>
      </c>
      <c r="EH62" s="200" t="str">
        <f t="shared" si="75"/>
        <v/>
      </c>
      <c r="EI62" s="201" t="str">
        <f t="shared" si="75"/>
        <v>---</v>
      </c>
      <c r="EJ62" s="229"/>
    </row>
    <row r="63" spans="1:140" x14ac:dyDescent="0.3">
      <c r="A63" s="431">
        <v>30</v>
      </c>
      <c r="B63" s="284"/>
      <c r="C63" s="285">
        <f t="shared" si="0"/>
        <v>2</v>
      </c>
      <c r="D63" s="373"/>
      <c r="E63" s="286"/>
      <c r="F63" s="285" t="str">
        <f t="shared" si="78"/>
        <v/>
      </c>
      <c r="G63" s="287" t="str">
        <f t="shared" si="78"/>
        <v/>
      </c>
      <c r="H63" s="288" t="str">
        <f t="shared" si="2"/>
        <v/>
      </c>
      <c r="I63" s="289" t="str">
        <f t="shared" si="3"/>
        <v/>
      </c>
      <c r="J63" s="288" t="str">
        <f t="shared" si="4"/>
        <v/>
      </c>
      <c r="K63" s="288">
        <f t="shared" si="5"/>
        <v>0</v>
      </c>
      <c r="L63" s="290"/>
      <c r="M63" s="291">
        <f t="shared" si="6"/>
        <v>1</v>
      </c>
      <c r="N63" s="466" t="str">
        <f t="shared" si="7"/>
        <v/>
      </c>
      <c r="O63" s="302" t="str">
        <f t="shared" si="8"/>
        <v/>
      </c>
      <c r="P63" s="468" t="str">
        <f t="shared" si="9"/>
        <v/>
      </c>
      <c r="Q63" s="292" t="str">
        <f t="shared" si="24"/>
        <v/>
      </c>
      <c r="R63" s="294" t="str">
        <f t="shared" si="10"/>
        <v/>
      </c>
      <c r="S63" s="295" t="str">
        <f t="shared" si="11"/>
        <v>---</v>
      </c>
      <c r="V63" s="3" t="str">
        <f>IFERROR(VALUE(TEXT(C63,"00")&amp;TEXT(N63,"00")&amp;TEXT(P63,"00")&amp;IF(#REF!="Plato perforado",5,IF(OR(#REF!="N/A",#REF!=""),0,#REF!))),"")</f>
        <v/>
      </c>
      <c r="W63" s="3">
        <v>18</v>
      </c>
      <c r="X63" s="3">
        <v>18</v>
      </c>
      <c r="Y63" s="3" t="s">
        <v>179</v>
      </c>
      <c r="AY63" s="187"/>
      <c r="AZ63" s="250" t="str">
        <f>"Difusores de "&amp;W63&amp;""""&amp;" × "&amp;X63&amp;""""&amp;Y63</f>
        <v>Difusores de 18" × 18", número de vías por definir:</v>
      </c>
      <c r="BA63" s="245">
        <f t="shared" si="25"/>
        <v>0</v>
      </c>
      <c r="BB63" s="187"/>
      <c r="BC63" s="103" t="str">
        <f t="shared" si="12"/>
        <v/>
      </c>
      <c r="BD63" s="103" t="str">
        <f t="shared" si="13"/>
        <v/>
      </c>
      <c r="BE63" s="103" t="e">
        <f t="shared" si="14"/>
        <v>#VALUE!</v>
      </c>
      <c r="BF63" s="181">
        <v>12</v>
      </c>
      <c r="BG63" s="181">
        <v>18</v>
      </c>
      <c r="BH63" s="184">
        <f t="shared" si="26"/>
        <v>1.5</v>
      </c>
      <c r="BI63" s="185">
        <f t="shared" si="15"/>
        <v>825</v>
      </c>
      <c r="BJ63" s="185">
        <f t="shared" si="16"/>
        <v>0.66666666666666663</v>
      </c>
      <c r="BK63" s="103">
        <f t="shared" si="27"/>
        <v>1218</v>
      </c>
      <c r="BL63" s="103" t="e">
        <v>#VALUE!</v>
      </c>
      <c r="BM63" s="103">
        <v>14</v>
      </c>
      <c r="BN63" s="103">
        <v>14</v>
      </c>
      <c r="BO63" s="103">
        <v>14</v>
      </c>
      <c r="BP63" s="103">
        <f t="shared" si="28"/>
        <v>1414</v>
      </c>
      <c r="BQ63" s="103">
        <f t="shared" si="28"/>
        <v>1414</v>
      </c>
      <c r="BR63" s="248" t="str">
        <f t="shared" si="29"/>
        <v>Rejillas de 14" × 14":</v>
      </c>
      <c r="BS63" s="249">
        <f t="shared" si="17"/>
        <v>0</v>
      </c>
      <c r="BT63" s="249">
        <f t="shared" si="18"/>
        <v>0</v>
      </c>
      <c r="BU63" s="249">
        <f t="shared" si="30"/>
        <v>0</v>
      </c>
      <c r="BV63" s="187"/>
      <c r="BW63" s="183">
        <f t="shared" si="19"/>
        <v>0</v>
      </c>
      <c r="BX63" s="187"/>
      <c r="BY63" s="187"/>
      <c r="BZ63" s="187"/>
      <c r="CA63" s="187"/>
      <c r="CB63" s="187"/>
      <c r="CC63" s="222" t="str">
        <f t="shared" si="31"/>
        <v/>
      </c>
      <c r="CD63" s="218" t="str">
        <f t="shared" si="32"/>
        <v/>
      </c>
      <c r="CE63" s="198" t="str">
        <f t="shared" si="33"/>
        <v/>
      </c>
      <c r="CF63" s="138" t="str">
        <f t="shared" si="34"/>
        <v/>
      </c>
      <c r="CG63" s="211" t="str">
        <f t="shared" si="35"/>
        <v/>
      </c>
      <c r="CH63" s="212" t="str">
        <f t="shared" si="36"/>
        <v/>
      </c>
      <c r="CI63" s="213" t="str">
        <f t="shared" si="37"/>
        <v/>
      </c>
      <c r="CJ63" s="138" t="str">
        <f t="shared" si="38"/>
        <v/>
      </c>
      <c r="CK63" s="199" t="e">
        <f>IF(#REF!="Plato perforado","PP",IF(OR(#REF!=0,#REF!=""),"",#REF!))</f>
        <v>#REF!</v>
      </c>
      <c r="CL63" s="200" t="str">
        <f t="shared" si="39"/>
        <v/>
      </c>
      <c r="CM63" s="201" t="str">
        <f t="shared" si="39"/>
        <v>---</v>
      </c>
      <c r="CN63" s="202"/>
      <c r="CO63" s="222" t="str">
        <f t="shared" si="40"/>
        <v/>
      </c>
      <c r="CP63" s="199" t="str">
        <f t="shared" si="41"/>
        <v/>
      </c>
      <c r="CQ63" s="198" t="str">
        <f t="shared" si="42"/>
        <v/>
      </c>
      <c r="CR63" s="138" t="str">
        <f t="shared" si="43"/>
        <v/>
      </c>
      <c r="CS63" s="211" t="str">
        <f t="shared" si="44"/>
        <v/>
      </c>
      <c r="CT63" s="212" t="str">
        <f t="shared" si="45"/>
        <v/>
      </c>
      <c r="CU63" s="213" t="str">
        <f t="shared" si="46"/>
        <v/>
      </c>
      <c r="CV63" s="138" t="str">
        <f t="shared" si="47"/>
        <v/>
      </c>
      <c r="CW63" s="199" t="e">
        <f>IF(#REF!="Plato perforado","PP",IF(OR(#REF!=0,#REF!=""),"",#REF!))</f>
        <v>#REF!</v>
      </c>
      <c r="CX63" s="200" t="str">
        <f t="shared" si="48"/>
        <v/>
      </c>
      <c r="CY63" s="201" t="str">
        <f t="shared" si="48"/>
        <v>---</v>
      </c>
      <c r="CZ63" s="202"/>
      <c r="DA63" s="222" t="str">
        <f t="shared" si="49"/>
        <v/>
      </c>
      <c r="DB63" s="199" t="str">
        <f t="shared" si="50"/>
        <v/>
      </c>
      <c r="DC63" s="198" t="str">
        <f t="shared" si="51"/>
        <v/>
      </c>
      <c r="DD63" s="138" t="str">
        <f t="shared" si="52"/>
        <v/>
      </c>
      <c r="DE63" s="211" t="str">
        <f t="shared" si="53"/>
        <v/>
      </c>
      <c r="DF63" s="212" t="str">
        <f t="shared" si="54"/>
        <v/>
      </c>
      <c r="DG63" s="213" t="str">
        <f t="shared" si="55"/>
        <v/>
      </c>
      <c r="DH63" s="138" t="str">
        <f t="shared" si="56"/>
        <v/>
      </c>
      <c r="DI63" s="199" t="e">
        <f>IF(#REF!="Plato perforado","PP",IF(OR(#REF!=0,#REF!=""),"",#REF!))</f>
        <v>#REF!</v>
      </c>
      <c r="DJ63" s="200" t="str">
        <f t="shared" si="57"/>
        <v/>
      </c>
      <c r="DK63" s="201" t="str">
        <f t="shared" si="57"/>
        <v>---</v>
      </c>
      <c r="DL63" s="202"/>
      <c r="DM63" s="222" t="str">
        <f t="shared" si="58"/>
        <v/>
      </c>
      <c r="DN63" s="199" t="str">
        <f t="shared" si="59"/>
        <v/>
      </c>
      <c r="DO63" s="198" t="str">
        <f t="shared" si="60"/>
        <v/>
      </c>
      <c r="DP63" s="138" t="str">
        <f t="shared" si="61"/>
        <v/>
      </c>
      <c r="DQ63" s="211" t="str">
        <f t="shared" si="62"/>
        <v/>
      </c>
      <c r="DR63" s="212" t="str">
        <f t="shared" si="63"/>
        <v/>
      </c>
      <c r="DS63" s="213" t="str">
        <f t="shared" si="64"/>
        <v/>
      </c>
      <c r="DT63" s="138" t="str">
        <f t="shared" si="65"/>
        <v/>
      </c>
      <c r="DU63" s="199" t="e">
        <f>IF(#REF!="Plato perforado","PP",IF(OR(#REF!=0,#REF!=""),"",#REF!))</f>
        <v>#REF!</v>
      </c>
      <c r="DV63" s="200" t="str">
        <f t="shared" si="66"/>
        <v/>
      </c>
      <c r="DW63" s="201" t="str">
        <f t="shared" si="66"/>
        <v>---</v>
      </c>
      <c r="DX63" s="202"/>
      <c r="DY63" s="222" t="str">
        <f t="shared" si="67"/>
        <v/>
      </c>
      <c r="DZ63" s="199" t="str">
        <f t="shared" si="68"/>
        <v/>
      </c>
      <c r="EA63" s="198" t="str">
        <f t="shared" si="69"/>
        <v/>
      </c>
      <c r="EB63" s="138" t="str">
        <f t="shared" si="70"/>
        <v/>
      </c>
      <c r="EC63" s="211" t="str">
        <f t="shared" si="71"/>
        <v/>
      </c>
      <c r="ED63" s="212" t="str">
        <f t="shared" si="72"/>
        <v/>
      </c>
      <c r="EE63" s="213" t="str">
        <f t="shared" si="73"/>
        <v/>
      </c>
      <c r="EF63" s="138" t="str">
        <f t="shared" si="74"/>
        <v/>
      </c>
      <c r="EG63" s="199" t="e">
        <f>IF(#REF!="Plato perforado","PP",IF(OR(#REF!=0,#REF!=""),"",#REF!))</f>
        <v>#REF!</v>
      </c>
      <c r="EH63" s="200" t="str">
        <f t="shared" si="75"/>
        <v/>
      </c>
      <c r="EI63" s="201" t="str">
        <f t="shared" si="75"/>
        <v>---</v>
      </c>
      <c r="EJ63" s="229"/>
    </row>
    <row r="64" spans="1:140" x14ac:dyDescent="0.3">
      <c r="A64" s="431">
        <v>31</v>
      </c>
      <c r="B64" s="260"/>
      <c r="C64" s="261">
        <f t="shared" si="0"/>
        <v>2</v>
      </c>
      <c r="D64" s="371"/>
      <c r="E64" s="262"/>
      <c r="F64" s="261" t="str">
        <f t="shared" si="78"/>
        <v/>
      </c>
      <c r="G64" s="263" t="str">
        <f t="shared" si="78"/>
        <v/>
      </c>
      <c r="H64" s="264" t="str">
        <f t="shared" si="2"/>
        <v/>
      </c>
      <c r="I64" s="265" t="str">
        <f t="shared" si="3"/>
        <v/>
      </c>
      <c r="J64" s="264" t="str">
        <f t="shared" si="4"/>
        <v/>
      </c>
      <c r="K64" s="264">
        <f t="shared" si="5"/>
        <v>0</v>
      </c>
      <c r="L64" s="266"/>
      <c r="M64" s="267">
        <f t="shared" si="6"/>
        <v>1</v>
      </c>
      <c r="N64" s="465" t="str">
        <f t="shared" si="7"/>
        <v/>
      </c>
      <c r="O64" s="297" t="str">
        <f t="shared" si="8"/>
        <v/>
      </c>
      <c r="P64" s="467" t="str">
        <f t="shared" si="9"/>
        <v/>
      </c>
      <c r="Q64" s="268" t="str">
        <f t="shared" si="24"/>
        <v/>
      </c>
      <c r="R64" s="270" t="str">
        <f t="shared" si="10"/>
        <v/>
      </c>
      <c r="S64" s="271" t="str">
        <f t="shared" si="11"/>
        <v>---</v>
      </c>
      <c r="V64" s="3" t="str">
        <f>IFERROR(VALUE(TEXT(C64,"00")&amp;TEXT(N64,"00")&amp;TEXT(P64,"00")&amp;IF(#REF!="Plato perforado",5,IF(OR(#REF!="N/A",#REF!=""),0,#REF!))),"")</f>
        <v/>
      </c>
      <c r="AY64" s="187"/>
      <c r="AZ64" s="187"/>
      <c r="BA64" s="187"/>
      <c r="BB64" s="187"/>
      <c r="BC64" s="187" t="str">
        <f t="shared" si="12"/>
        <v/>
      </c>
      <c r="BD64" s="187" t="str">
        <f t="shared" si="13"/>
        <v/>
      </c>
      <c r="BE64" s="187" t="e">
        <f t="shared" si="14"/>
        <v>#VALUE!</v>
      </c>
      <c r="BF64" s="186">
        <v>12</v>
      </c>
      <c r="BG64" s="186">
        <v>20</v>
      </c>
      <c r="BH64" s="188">
        <f t="shared" si="26"/>
        <v>1.6666666666666667</v>
      </c>
      <c r="BI64" s="189">
        <f t="shared" si="15"/>
        <v>916.66666666666674</v>
      </c>
      <c r="BJ64" s="189">
        <f t="shared" si="16"/>
        <v>0.6</v>
      </c>
      <c r="BK64" s="187">
        <f t="shared" si="27"/>
        <v>1220</v>
      </c>
      <c r="BL64" s="187" t="e">
        <v>#VALUE!</v>
      </c>
      <c r="BM64" s="187">
        <v>14</v>
      </c>
      <c r="BN64" s="187">
        <v>16</v>
      </c>
      <c r="BO64" s="187">
        <v>14</v>
      </c>
      <c r="BP64" s="187">
        <f t="shared" si="28"/>
        <v>1416</v>
      </c>
      <c r="BQ64" s="187">
        <f t="shared" si="28"/>
        <v>1614</v>
      </c>
      <c r="BR64" s="187"/>
      <c r="BS64" s="187"/>
      <c r="BT64" s="187"/>
      <c r="BU64" s="187"/>
      <c r="BV64" s="187"/>
      <c r="BW64" s="187">
        <f t="shared" si="19"/>
        <v>0</v>
      </c>
      <c r="BX64" s="187"/>
      <c r="BY64" s="187"/>
      <c r="BZ64" s="187"/>
      <c r="CA64" s="187"/>
      <c r="CB64" s="187"/>
      <c r="CC64" s="223" t="str">
        <f t="shared" si="31"/>
        <v/>
      </c>
      <c r="CD64" s="219" t="str">
        <f t="shared" si="32"/>
        <v/>
      </c>
      <c r="CE64" s="203" t="str">
        <f t="shared" si="33"/>
        <v/>
      </c>
      <c r="CF64" s="144" t="str">
        <f t="shared" si="34"/>
        <v/>
      </c>
      <c r="CG64" s="214" t="str">
        <f t="shared" si="35"/>
        <v/>
      </c>
      <c r="CH64" s="215" t="str">
        <f t="shared" si="36"/>
        <v/>
      </c>
      <c r="CI64" s="216" t="str">
        <f t="shared" si="37"/>
        <v/>
      </c>
      <c r="CJ64" s="144" t="str">
        <f t="shared" si="38"/>
        <v/>
      </c>
      <c r="CK64" s="204" t="e">
        <f>IF(#REF!="Plato perforado","PP",IF(OR(#REF!=0,#REF!=""),"",#REF!))</f>
        <v>#REF!</v>
      </c>
      <c r="CL64" s="205" t="str">
        <f t="shared" si="39"/>
        <v/>
      </c>
      <c r="CM64" s="206" t="str">
        <f t="shared" si="39"/>
        <v>---</v>
      </c>
      <c r="CN64" s="207"/>
      <c r="CO64" s="223" t="str">
        <f t="shared" si="40"/>
        <v/>
      </c>
      <c r="CP64" s="204" t="str">
        <f t="shared" si="41"/>
        <v/>
      </c>
      <c r="CQ64" s="203" t="str">
        <f t="shared" si="42"/>
        <v/>
      </c>
      <c r="CR64" s="144" t="str">
        <f t="shared" si="43"/>
        <v/>
      </c>
      <c r="CS64" s="214" t="str">
        <f t="shared" si="44"/>
        <v/>
      </c>
      <c r="CT64" s="215" t="str">
        <f t="shared" si="45"/>
        <v/>
      </c>
      <c r="CU64" s="216" t="str">
        <f t="shared" si="46"/>
        <v/>
      </c>
      <c r="CV64" s="144" t="str">
        <f t="shared" si="47"/>
        <v/>
      </c>
      <c r="CW64" s="204" t="e">
        <f>IF(#REF!="Plato perforado","PP",IF(OR(#REF!=0,#REF!=""),"",#REF!))</f>
        <v>#REF!</v>
      </c>
      <c r="CX64" s="205" t="str">
        <f t="shared" si="48"/>
        <v/>
      </c>
      <c r="CY64" s="206" t="str">
        <f t="shared" si="48"/>
        <v>---</v>
      </c>
      <c r="CZ64" s="207"/>
      <c r="DA64" s="223" t="str">
        <f t="shared" si="49"/>
        <v/>
      </c>
      <c r="DB64" s="204" t="str">
        <f t="shared" si="50"/>
        <v/>
      </c>
      <c r="DC64" s="203" t="str">
        <f t="shared" si="51"/>
        <v/>
      </c>
      <c r="DD64" s="144" t="str">
        <f t="shared" si="52"/>
        <v/>
      </c>
      <c r="DE64" s="214" t="str">
        <f t="shared" si="53"/>
        <v/>
      </c>
      <c r="DF64" s="215" t="str">
        <f t="shared" si="54"/>
        <v/>
      </c>
      <c r="DG64" s="216" t="str">
        <f t="shared" si="55"/>
        <v/>
      </c>
      <c r="DH64" s="144" t="str">
        <f t="shared" si="56"/>
        <v/>
      </c>
      <c r="DI64" s="204" t="e">
        <f>IF(#REF!="Plato perforado","PP",IF(OR(#REF!=0,#REF!=""),"",#REF!))</f>
        <v>#REF!</v>
      </c>
      <c r="DJ64" s="205" t="str">
        <f t="shared" si="57"/>
        <v/>
      </c>
      <c r="DK64" s="206" t="str">
        <f t="shared" si="57"/>
        <v>---</v>
      </c>
      <c r="DL64" s="207"/>
      <c r="DM64" s="223" t="str">
        <f t="shared" si="58"/>
        <v/>
      </c>
      <c r="DN64" s="204" t="str">
        <f t="shared" si="59"/>
        <v/>
      </c>
      <c r="DO64" s="203" t="str">
        <f t="shared" si="60"/>
        <v/>
      </c>
      <c r="DP64" s="144" t="str">
        <f t="shared" si="61"/>
        <v/>
      </c>
      <c r="DQ64" s="214" t="str">
        <f t="shared" si="62"/>
        <v/>
      </c>
      <c r="DR64" s="215" t="str">
        <f t="shared" si="63"/>
        <v/>
      </c>
      <c r="DS64" s="216" t="str">
        <f t="shared" si="64"/>
        <v/>
      </c>
      <c r="DT64" s="144" t="str">
        <f t="shared" si="65"/>
        <v/>
      </c>
      <c r="DU64" s="204" t="e">
        <f>IF(#REF!="Plato perforado","PP",IF(OR(#REF!=0,#REF!=""),"",#REF!))</f>
        <v>#REF!</v>
      </c>
      <c r="DV64" s="205" t="str">
        <f t="shared" si="66"/>
        <v/>
      </c>
      <c r="DW64" s="206" t="str">
        <f t="shared" si="66"/>
        <v>---</v>
      </c>
      <c r="DX64" s="207"/>
      <c r="DY64" s="223" t="str">
        <f t="shared" si="67"/>
        <v/>
      </c>
      <c r="DZ64" s="204" t="str">
        <f t="shared" si="68"/>
        <v/>
      </c>
      <c r="EA64" s="203" t="str">
        <f t="shared" si="69"/>
        <v/>
      </c>
      <c r="EB64" s="144" t="str">
        <f t="shared" si="70"/>
        <v/>
      </c>
      <c r="EC64" s="214" t="str">
        <f t="shared" si="71"/>
        <v/>
      </c>
      <c r="ED64" s="215" t="str">
        <f t="shared" si="72"/>
        <v/>
      </c>
      <c r="EE64" s="216" t="str">
        <f t="shared" si="73"/>
        <v/>
      </c>
      <c r="EF64" s="144" t="str">
        <f t="shared" si="74"/>
        <v/>
      </c>
      <c r="EG64" s="204" t="e">
        <f>IF(#REF!="Plato perforado","PP",IF(OR(#REF!=0,#REF!=""),"",#REF!))</f>
        <v>#REF!</v>
      </c>
      <c r="EH64" s="205" t="str">
        <f t="shared" si="75"/>
        <v/>
      </c>
      <c r="EI64" s="206" t="str">
        <f t="shared" si="75"/>
        <v>---</v>
      </c>
      <c r="EJ64" s="230"/>
    </row>
    <row r="65" spans="1:80" x14ac:dyDescent="0.3">
      <c r="A65" s="431">
        <v>32</v>
      </c>
      <c r="B65" s="272"/>
      <c r="C65" s="273">
        <f t="shared" si="0"/>
        <v>2</v>
      </c>
      <c r="D65" s="372"/>
      <c r="E65" s="274"/>
      <c r="F65" s="273" t="str">
        <f t="shared" si="78"/>
        <v/>
      </c>
      <c r="G65" s="275" t="str">
        <f t="shared" si="78"/>
        <v/>
      </c>
      <c r="H65" s="276" t="str">
        <f t="shared" si="2"/>
        <v/>
      </c>
      <c r="I65" s="277" t="str">
        <f t="shared" si="3"/>
        <v/>
      </c>
      <c r="J65" s="276" t="str">
        <f t="shared" si="4"/>
        <v/>
      </c>
      <c r="K65" s="276">
        <f t="shared" si="5"/>
        <v>0</v>
      </c>
      <c r="L65" s="278"/>
      <c r="M65" s="279">
        <f t="shared" si="6"/>
        <v>1</v>
      </c>
      <c r="N65" s="360" t="str">
        <f t="shared" si="7"/>
        <v/>
      </c>
      <c r="O65" s="117" t="str">
        <f t="shared" si="8"/>
        <v/>
      </c>
      <c r="P65" s="359" t="str">
        <f t="shared" si="9"/>
        <v/>
      </c>
      <c r="Q65" s="280" t="str">
        <f t="shared" si="24"/>
        <v/>
      </c>
      <c r="R65" s="282" t="str">
        <f t="shared" si="10"/>
        <v/>
      </c>
      <c r="S65" s="283" t="str">
        <f t="shared" si="11"/>
        <v>---</v>
      </c>
      <c r="V65" s="3" t="str">
        <f>IFERROR(VALUE(TEXT(C65,"00")&amp;TEXT(N65,"00")&amp;TEXT(P65,"00")&amp;IF(#REF!="Plato perforado",5,IF(OR(#REF!="N/A",#REF!=""),0,#REF!))),"")</f>
        <v/>
      </c>
      <c r="AZ65" s="103"/>
      <c r="BA65" s="103"/>
      <c r="BB65" s="103"/>
      <c r="BC65" s="103" t="str">
        <f t="shared" si="12"/>
        <v/>
      </c>
      <c r="BD65" s="103" t="str">
        <f t="shared" si="13"/>
        <v/>
      </c>
      <c r="BE65" s="103" t="e">
        <f t="shared" si="14"/>
        <v>#VALUE!</v>
      </c>
      <c r="BF65" s="181">
        <v>12</v>
      </c>
      <c r="BG65" s="181">
        <v>22</v>
      </c>
      <c r="BH65" s="184">
        <f t="shared" si="26"/>
        <v>1.8333333333333333</v>
      </c>
      <c r="BI65" s="185">
        <f t="shared" si="15"/>
        <v>1008.3333333333333</v>
      </c>
      <c r="BJ65" s="185">
        <f t="shared" si="16"/>
        <v>0.54545454545454541</v>
      </c>
      <c r="BK65" s="103">
        <f t="shared" si="27"/>
        <v>1222</v>
      </c>
      <c r="BL65" s="103" t="e">
        <v>#VALUE!</v>
      </c>
      <c r="BM65" s="103">
        <v>14</v>
      </c>
      <c r="BN65" s="103">
        <v>18</v>
      </c>
      <c r="BO65" s="103">
        <v>14</v>
      </c>
      <c r="BP65" s="103">
        <f t="shared" si="28"/>
        <v>1418</v>
      </c>
      <c r="BQ65" s="103">
        <f t="shared" si="28"/>
        <v>1814</v>
      </c>
      <c r="BR65" s="103"/>
      <c r="BS65" s="103"/>
      <c r="BT65" s="103"/>
      <c r="BU65" s="103"/>
      <c r="BV65" s="103"/>
      <c r="BW65" s="183">
        <f t="shared" si="19"/>
        <v>0</v>
      </c>
      <c r="BX65" s="103"/>
      <c r="BY65" s="103"/>
      <c r="BZ65" s="103"/>
      <c r="CA65" s="103"/>
      <c r="CB65" s="103"/>
    </row>
    <row r="66" spans="1:80" x14ac:dyDescent="0.3">
      <c r="A66" s="431">
        <v>33</v>
      </c>
      <c r="B66" s="284"/>
      <c r="C66" s="285">
        <f t="shared" si="0"/>
        <v>2</v>
      </c>
      <c r="D66" s="373"/>
      <c r="E66" s="286"/>
      <c r="F66" s="285" t="str">
        <f t="shared" si="78"/>
        <v/>
      </c>
      <c r="G66" s="287" t="str">
        <f t="shared" si="78"/>
        <v/>
      </c>
      <c r="H66" s="288" t="str">
        <f t="shared" si="2"/>
        <v/>
      </c>
      <c r="I66" s="289" t="str">
        <f t="shared" si="3"/>
        <v/>
      </c>
      <c r="J66" s="288" t="str">
        <f t="shared" si="4"/>
        <v/>
      </c>
      <c r="K66" s="288">
        <f t="shared" si="5"/>
        <v>0</v>
      </c>
      <c r="L66" s="290"/>
      <c r="M66" s="291">
        <f t="shared" si="6"/>
        <v>1</v>
      </c>
      <c r="N66" s="466" t="str">
        <f t="shared" si="7"/>
        <v/>
      </c>
      <c r="O66" s="302" t="str">
        <f t="shared" si="8"/>
        <v/>
      </c>
      <c r="P66" s="468" t="str">
        <f t="shared" si="9"/>
        <v/>
      </c>
      <c r="Q66" s="292" t="str">
        <f t="shared" si="24"/>
        <v/>
      </c>
      <c r="R66" s="294" t="str">
        <f t="shared" si="10"/>
        <v/>
      </c>
      <c r="S66" s="295" t="str">
        <f t="shared" si="11"/>
        <v>---</v>
      </c>
      <c r="V66" s="3" t="str">
        <f>IFERROR(VALUE(TEXT(C66,"00")&amp;TEXT(N66,"00")&amp;TEXT(P66,"00")&amp;IF(#REF!="Plato perforado",5,IF(OR(#REF!="N/A",#REF!=""),0,#REF!))),"")</f>
        <v/>
      </c>
      <c r="AZ66" s="103"/>
      <c r="BA66" s="103"/>
      <c r="BB66" s="103"/>
      <c r="BC66" s="103" t="str">
        <f t="shared" ref="BC66:BC97" si="81">IF(C66=2,N66,0)</f>
        <v/>
      </c>
      <c r="BD66" s="103" t="str">
        <f t="shared" ref="BD66:BD97" si="82">IF(C66=2,P66,0)</f>
        <v/>
      </c>
      <c r="BE66" s="103" t="e">
        <f t="shared" si="14"/>
        <v>#VALUE!</v>
      </c>
      <c r="BF66" s="181">
        <v>12</v>
      </c>
      <c r="BG66" s="181">
        <v>24</v>
      </c>
      <c r="BH66" s="184">
        <f t="shared" si="26"/>
        <v>2</v>
      </c>
      <c r="BI66" s="185">
        <f t="shared" si="15"/>
        <v>1100</v>
      </c>
      <c r="BJ66" s="185">
        <f t="shared" si="16"/>
        <v>0.5</v>
      </c>
      <c r="BK66" s="103">
        <f t="shared" si="27"/>
        <v>1224</v>
      </c>
      <c r="BL66" s="103" t="e">
        <v>#VALUE!</v>
      </c>
      <c r="BM66" s="103">
        <v>14</v>
      </c>
      <c r="BN66" s="103">
        <v>20</v>
      </c>
      <c r="BO66" s="103">
        <v>14</v>
      </c>
      <c r="BP66" s="103">
        <f t="shared" si="28"/>
        <v>1420</v>
      </c>
      <c r="BQ66" s="103">
        <f t="shared" si="28"/>
        <v>2014</v>
      </c>
      <c r="BR66" s="103"/>
      <c r="BS66" s="103"/>
      <c r="BT66" s="103"/>
      <c r="BU66" s="103"/>
      <c r="BV66" s="103"/>
      <c r="BW66" s="183">
        <f t="shared" ref="BW66:BW97" si="83">IF(C66=3,R66,0)</f>
        <v>0</v>
      </c>
      <c r="BX66" s="103"/>
      <c r="BY66" s="103"/>
      <c r="BZ66" s="103"/>
      <c r="CA66" s="103"/>
      <c r="CB66" s="103"/>
    </row>
    <row r="67" spans="1:80" x14ac:dyDescent="0.3">
      <c r="A67" s="431">
        <v>34</v>
      </c>
      <c r="B67" s="260"/>
      <c r="C67" s="261">
        <f t="shared" si="0"/>
        <v>2</v>
      </c>
      <c r="D67" s="371"/>
      <c r="E67" s="262"/>
      <c r="F67" s="261" t="str">
        <f t="shared" si="78"/>
        <v/>
      </c>
      <c r="G67" s="263" t="str">
        <f t="shared" si="78"/>
        <v/>
      </c>
      <c r="H67" s="264" t="str">
        <f t="shared" si="2"/>
        <v/>
      </c>
      <c r="I67" s="265" t="str">
        <f t="shared" si="3"/>
        <v/>
      </c>
      <c r="J67" s="264" t="str">
        <f t="shared" si="4"/>
        <v/>
      </c>
      <c r="K67" s="264">
        <f t="shared" si="5"/>
        <v>0</v>
      </c>
      <c r="L67" s="266"/>
      <c r="M67" s="267">
        <f t="shared" si="6"/>
        <v>1</v>
      </c>
      <c r="N67" s="465" t="str">
        <f t="shared" si="7"/>
        <v/>
      </c>
      <c r="O67" s="297" t="str">
        <f t="shared" si="8"/>
        <v/>
      </c>
      <c r="P67" s="467" t="str">
        <f t="shared" si="9"/>
        <v/>
      </c>
      <c r="Q67" s="268" t="str">
        <f t="shared" si="24"/>
        <v/>
      </c>
      <c r="R67" s="270" t="str">
        <f t="shared" si="10"/>
        <v/>
      </c>
      <c r="S67" s="271" t="str">
        <f t="shared" si="11"/>
        <v>---</v>
      </c>
      <c r="V67" s="3" t="str">
        <f>IFERROR(VALUE(TEXT(C67,"00")&amp;TEXT(N67,"00")&amp;TEXT(P67,"00")&amp;IF(#REF!="Plato perforado",5,IF(OR(#REF!="N/A",#REF!=""),0,#REF!))),"")</f>
        <v/>
      </c>
      <c r="AZ67" s="103"/>
      <c r="BA67" s="103"/>
      <c r="BB67" s="103"/>
      <c r="BC67" s="103" t="str">
        <f t="shared" si="81"/>
        <v/>
      </c>
      <c r="BD67" s="103" t="str">
        <f t="shared" si="82"/>
        <v/>
      </c>
      <c r="BE67" s="103" t="e">
        <f t="shared" si="14"/>
        <v>#VALUE!</v>
      </c>
      <c r="BF67" s="181">
        <v>12</v>
      </c>
      <c r="BG67" s="181">
        <v>26</v>
      </c>
      <c r="BH67" s="184">
        <f t="shared" si="26"/>
        <v>2.1666666666666665</v>
      </c>
      <c r="BI67" s="185">
        <f t="shared" si="15"/>
        <v>1191.6666666666665</v>
      </c>
      <c r="BJ67" s="185">
        <f t="shared" si="16"/>
        <v>0.46153846153846156</v>
      </c>
      <c r="BK67" s="103">
        <f t="shared" si="27"/>
        <v>1226</v>
      </c>
      <c r="BL67" s="103" t="e">
        <v>#VALUE!</v>
      </c>
      <c r="BM67" s="103">
        <v>14</v>
      </c>
      <c r="BN67" s="103">
        <v>22</v>
      </c>
      <c r="BO67" s="103">
        <v>14</v>
      </c>
      <c r="BP67" s="103">
        <f t="shared" si="28"/>
        <v>1422</v>
      </c>
      <c r="BQ67" s="103">
        <f t="shared" si="28"/>
        <v>2214</v>
      </c>
      <c r="BR67" s="103"/>
      <c r="BS67" s="103"/>
      <c r="BT67" s="103"/>
      <c r="BU67" s="103"/>
      <c r="BV67" s="103"/>
      <c r="BW67" s="183">
        <f t="shared" si="83"/>
        <v>0</v>
      </c>
      <c r="BX67" s="103"/>
      <c r="BY67" s="103"/>
      <c r="BZ67" s="103"/>
      <c r="CA67" s="103"/>
      <c r="CB67" s="103"/>
    </row>
    <row r="68" spans="1:80" x14ac:dyDescent="0.3">
      <c r="A68" s="431">
        <v>35</v>
      </c>
      <c r="B68" s="272"/>
      <c r="C68" s="273">
        <f t="shared" si="0"/>
        <v>2</v>
      </c>
      <c r="D68" s="372"/>
      <c r="E68" s="274"/>
      <c r="F68" s="273" t="str">
        <f t="shared" si="78"/>
        <v/>
      </c>
      <c r="G68" s="275" t="str">
        <f t="shared" si="78"/>
        <v/>
      </c>
      <c r="H68" s="276" t="str">
        <f t="shared" si="2"/>
        <v/>
      </c>
      <c r="I68" s="277" t="str">
        <f t="shared" si="3"/>
        <v/>
      </c>
      <c r="J68" s="276" t="str">
        <f t="shared" si="4"/>
        <v/>
      </c>
      <c r="K68" s="276">
        <f t="shared" si="5"/>
        <v>0</v>
      </c>
      <c r="L68" s="278"/>
      <c r="M68" s="279">
        <f t="shared" si="6"/>
        <v>1</v>
      </c>
      <c r="N68" s="360" t="str">
        <f t="shared" si="7"/>
        <v/>
      </c>
      <c r="O68" s="117" t="str">
        <f t="shared" si="8"/>
        <v/>
      </c>
      <c r="P68" s="359" t="str">
        <f t="shared" si="9"/>
        <v/>
      </c>
      <c r="Q68" s="280" t="str">
        <f t="shared" si="24"/>
        <v/>
      </c>
      <c r="R68" s="282" t="str">
        <f t="shared" si="10"/>
        <v/>
      </c>
      <c r="S68" s="283" t="str">
        <f t="shared" si="11"/>
        <v>---</v>
      </c>
      <c r="V68" s="3" t="str">
        <f>IFERROR(VALUE(TEXT(C68,"00")&amp;TEXT(N68,"00")&amp;TEXT(P68,"00")&amp;IF(#REF!="Plato perforado",5,IF(OR(#REF!="N/A",#REF!=""),0,#REF!))),"")</f>
        <v/>
      </c>
      <c r="BC68" s="3" t="str">
        <f t="shared" si="81"/>
        <v/>
      </c>
      <c r="BD68" s="3" t="str">
        <f t="shared" si="82"/>
        <v/>
      </c>
      <c r="BE68" s="3" t="e">
        <f t="shared" si="14"/>
        <v>#VALUE!</v>
      </c>
      <c r="BF68" s="430">
        <v>12</v>
      </c>
      <c r="BG68" s="430">
        <v>28</v>
      </c>
      <c r="BH68" s="121">
        <f t="shared" si="26"/>
        <v>2.3333333333333335</v>
      </c>
      <c r="BI68" s="8">
        <f t="shared" si="15"/>
        <v>1283.3333333333335</v>
      </c>
      <c r="BJ68" s="8">
        <f t="shared" si="16"/>
        <v>0.42857142857142855</v>
      </c>
      <c r="BK68" s="3">
        <f t="shared" si="27"/>
        <v>1228</v>
      </c>
      <c r="BL68" s="3" t="e">
        <v>#VALUE!</v>
      </c>
      <c r="BM68" s="3">
        <v>14</v>
      </c>
      <c r="BN68" s="3">
        <v>24</v>
      </c>
      <c r="BO68" s="3">
        <v>14</v>
      </c>
      <c r="BP68" s="3">
        <f t="shared" si="28"/>
        <v>1424</v>
      </c>
      <c r="BQ68" s="3">
        <f t="shared" si="28"/>
        <v>2414</v>
      </c>
      <c r="BV68" s="103"/>
      <c r="BW68" s="3">
        <f t="shared" si="83"/>
        <v>0</v>
      </c>
      <c r="BX68" s="103"/>
      <c r="BY68" s="103"/>
      <c r="BZ68" s="103"/>
      <c r="CA68" s="103"/>
      <c r="CB68" s="103"/>
    </row>
    <row r="69" spans="1:80" x14ac:dyDescent="0.3">
      <c r="A69" s="431">
        <v>36</v>
      </c>
      <c r="B69" s="284"/>
      <c r="C69" s="285">
        <f t="shared" si="0"/>
        <v>2</v>
      </c>
      <c r="D69" s="373"/>
      <c r="E69" s="286"/>
      <c r="F69" s="285" t="str">
        <f t="shared" si="78"/>
        <v/>
      </c>
      <c r="G69" s="287" t="str">
        <f t="shared" si="78"/>
        <v/>
      </c>
      <c r="H69" s="288" t="str">
        <f t="shared" si="2"/>
        <v/>
      </c>
      <c r="I69" s="289" t="str">
        <f t="shared" si="3"/>
        <v/>
      </c>
      <c r="J69" s="288" t="str">
        <f t="shared" si="4"/>
        <v/>
      </c>
      <c r="K69" s="288">
        <f t="shared" si="5"/>
        <v>0</v>
      </c>
      <c r="L69" s="290"/>
      <c r="M69" s="291">
        <f t="shared" si="6"/>
        <v>1</v>
      </c>
      <c r="N69" s="466" t="str">
        <f t="shared" si="7"/>
        <v/>
      </c>
      <c r="O69" s="302" t="str">
        <f t="shared" si="8"/>
        <v/>
      </c>
      <c r="P69" s="468" t="str">
        <f t="shared" si="9"/>
        <v/>
      </c>
      <c r="Q69" s="292" t="str">
        <f t="shared" si="24"/>
        <v/>
      </c>
      <c r="R69" s="294" t="str">
        <f t="shared" si="10"/>
        <v/>
      </c>
      <c r="S69" s="295" t="str">
        <f t="shared" si="11"/>
        <v>---</v>
      </c>
      <c r="V69" s="3" t="str">
        <f>IFERROR(VALUE(TEXT(C69,"00")&amp;TEXT(N69,"00")&amp;TEXT(P69,"00")&amp;IF(#REF!="Plato perforado",5,IF(OR(#REF!="N/A",#REF!=""),0,#REF!))),"")</f>
        <v/>
      </c>
      <c r="BC69" s="3" t="str">
        <f t="shared" si="81"/>
        <v/>
      </c>
      <c r="BD69" s="3" t="str">
        <f t="shared" si="82"/>
        <v/>
      </c>
      <c r="BE69" s="3" t="e">
        <f t="shared" si="14"/>
        <v>#VALUE!</v>
      </c>
      <c r="BF69" s="430">
        <v>14</v>
      </c>
      <c r="BG69" s="430">
        <v>6</v>
      </c>
      <c r="BH69" s="121">
        <f t="shared" si="26"/>
        <v>0.58333333333333337</v>
      </c>
      <c r="BI69" s="8">
        <f t="shared" si="15"/>
        <v>320.83333333333337</v>
      </c>
      <c r="BJ69" s="8">
        <f t="shared" si="16"/>
        <v>2.3333333333333335</v>
      </c>
      <c r="BK69" s="3">
        <f t="shared" si="27"/>
        <v>1406</v>
      </c>
      <c r="BL69" s="3" t="e">
        <v>#VALUE!</v>
      </c>
      <c r="BM69" s="3">
        <v>14</v>
      </c>
      <c r="BN69" s="3">
        <v>26</v>
      </c>
      <c r="BO69" s="3">
        <v>14</v>
      </c>
      <c r="BP69" s="3">
        <f t="shared" si="28"/>
        <v>1426</v>
      </c>
      <c r="BQ69" s="3">
        <f t="shared" si="28"/>
        <v>2614</v>
      </c>
      <c r="BV69" s="103"/>
      <c r="BW69" s="3">
        <f t="shared" si="83"/>
        <v>0</v>
      </c>
    </row>
    <row r="70" spans="1:80" x14ac:dyDescent="0.3">
      <c r="A70" s="431">
        <v>37</v>
      </c>
      <c r="B70" s="260"/>
      <c r="C70" s="261">
        <f t="shared" si="0"/>
        <v>2</v>
      </c>
      <c r="D70" s="371"/>
      <c r="E70" s="262"/>
      <c r="F70" s="261" t="str">
        <f t="shared" si="78"/>
        <v/>
      </c>
      <c r="G70" s="263" t="str">
        <f t="shared" si="78"/>
        <v/>
      </c>
      <c r="H70" s="264" t="str">
        <f t="shared" si="2"/>
        <v/>
      </c>
      <c r="I70" s="265" t="str">
        <f t="shared" si="3"/>
        <v/>
      </c>
      <c r="J70" s="264" t="str">
        <f t="shared" si="4"/>
        <v/>
      </c>
      <c r="K70" s="264">
        <f t="shared" si="5"/>
        <v>0</v>
      </c>
      <c r="L70" s="266"/>
      <c r="M70" s="267">
        <f t="shared" si="6"/>
        <v>1</v>
      </c>
      <c r="N70" s="465" t="str">
        <f t="shared" si="7"/>
        <v/>
      </c>
      <c r="O70" s="297" t="str">
        <f t="shared" si="8"/>
        <v/>
      </c>
      <c r="P70" s="467" t="str">
        <f t="shared" si="9"/>
        <v/>
      </c>
      <c r="Q70" s="268" t="str">
        <f t="shared" si="24"/>
        <v/>
      </c>
      <c r="R70" s="270" t="str">
        <f t="shared" si="10"/>
        <v/>
      </c>
      <c r="S70" s="271" t="str">
        <f t="shared" si="11"/>
        <v>---</v>
      </c>
      <c r="V70" s="3" t="str">
        <f>IFERROR(VALUE(TEXT(C70,"00")&amp;TEXT(N70,"00")&amp;TEXT(P70,"00")&amp;IF(#REF!="Plato perforado",5,IF(OR(#REF!="N/A",#REF!=""),0,#REF!))),"")</f>
        <v/>
      </c>
      <c r="BC70" s="3" t="str">
        <f t="shared" si="81"/>
        <v/>
      </c>
      <c r="BD70" s="3" t="str">
        <f t="shared" si="82"/>
        <v/>
      </c>
      <c r="BE70" s="3" t="e">
        <f t="shared" si="14"/>
        <v>#VALUE!</v>
      </c>
      <c r="BF70" s="430">
        <v>14</v>
      </c>
      <c r="BG70" s="430">
        <v>8</v>
      </c>
      <c r="BH70" s="121">
        <f t="shared" si="26"/>
        <v>0.77777777777777779</v>
      </c>
      <c r="BI70" s="8">
        <f t="shared" si="15"/>
        <v>427.77777777777777</v>
      </c>
      <c r="BJ70" s="8">
        <f t="shared" si="16"/>
        <v>1.75</v>
      </c>
      <c r="BK70" s="3">
        <f t="shared" si="27"/>
        <v>1408</v>
      </c>
      <c r="BL70" s="3" t="e">
        <v>#VALUE!</v>
      </c>
      <c r="BM70" s="3">
        <v>14</v>
      </c>
      <c r="BN70" s="3">
        <v>28</v>
      </c>
      <c r="BO70" s="3">
        <v>14</v>
      </c>
      <c r="BP70" s="3">
        <f t="shared" si="28"/>
        <v>1428</v>
      </c>
      <c r="BQ70" s="3">
        <f t="shared" si="28"/>
        <v>2814</v>
      </c>
      <c r="BW70" s="3">
        <f t="shared" si="83"/>
        <v>0</v>
      </c>
    </row>
    <row r="71" spans="1:80" x14ac:dyDescent="0.3">
      <c r="A71" s="431">
        <v>38</v>
      </c>
      <c r="B71" s="272"/>
      <c r="C71" s="273">
        <f t="shared" si="0"/>
        <v>2</v>
      </c>
      <c r="D71" s="372"/>
      <c r="E71" s="274"/>
      <c r="F71" s="273" t="str">
        <f t="shared" si="78"/>
        <v/>
      </c>
      <c r="G71" s="275" t="str">
        <f t="shared" si="78"/>
        <v/>
      </c>
      <c r="H71" s="276" t="str">
        <f t="shared" si="2"/>
        <v/>
      </c>
      <c r="I71" s="277" t="str">
        <f t="shared" si="3"/>
        <v/>
      </c>
      <c r="J71" s="276" t="str">
        <f t="shared" si="4"/>
        <v/>
      </c>
      <c r="K71" s="276">
        <f t="shared" si="5"/>
        <v>0</v>
      </c>
      <c r="L71" s="278"/>
      <c r="M71" s="279">
        <f t="shared" si="6"/>
        <v>1</v>
      </c>
      <c r="N71" s="360" t="str">
        <f t="shared" si="7"/>
        <v/>
      </c>
      <c r="O71" s="117" t="str">
        <f t="shared" si="8"/>
        <v/>
      </c>
      <c r="P71" s="359" t="str">
        <f t="shared" si="9"/>
        <v/>
      </c>
      <c r="Q71" s="280" t="str">
        <f t="shared" si="24"/>
        <v/>
      </c>
      <c r="R71" s="282" t="str">
        <f t="shared" si="10"/>
        <v/>
      </c>
      <c r="S71" s="283" t="str">
        <f t="shared" si="11"/>
        <v>---</v>
      </c>
      <c r="V71" s="3" t="str">
        <f>IFERROR(VALUE(TEXT(C71,"00")&amp;TEXT(N71,"00")&amp;TEXT(P71,"00")&amp;IF(#REF!="Plato perforado",5,IF(OR(#REF!="N/A",#REF!=""),0,#REF!))),"")</f>
        <v/>
      </c>
      <c r="BC71" s="3" t="str">
        <f t="shared" si="81"/>
        <v/>
      </c>
      <c r="BD71" s="3" t="str">
        <f t="shared" si="82"/>
        <v/>
      </c>
      <c r="BE71" s="3" t="e">
        <f t="shared" si="14"/>
        <v>#VALUE!</v>
      </c>
      <c r="BF71" s="430">
        <v>14</v>
      </c>
      <c r="BG71" s="430">
        <v>10</v>
      </c>
      <c r="BH71" s="121">
        <f t="shared" si="26"/>
        <v>0.97222222222222232</v>
      </c>
      <c r="BI71" s="8">
        <f t="shared" si="15"/>
        <v>534.72222222222229</v>
      </c>
      <c r="BJ71" s="8">
        <f t="shared" si="16"/>
        <v>1.4</v>
      </c>
      <c r="BK71" s="3">
        <f t="shared" si="27"/>
        <v>1410</v>
      </c>
      <c r="BL71" s="3" t="e">
        <v>#VALUE!</v>
      </c>
      <c r="BM71" s="3">
        <v>16</v>
      </c>
      <c r="BN71" s="3">
        <v>16</v>
      </c>
      <c r="BO71" s="3">
        <v>16</v>
      </c>
      <c r="BP71" s="3">
        <f t="shared" si="28"/>
        <v>1616</v>
      </c>
      <c r="BQ71" s="3">
        <f t="shared" si="28"/>
        <v>1616</v>
      </c>
      <c r="BW71" s="3">
        <f t="shared" si="83"/>
        <v>0</v>
      </c>
    </row>
    <row r="72" spans="1:80" x14ac:dyDescent="0.3">
      <c r="A72" s="431">
        <v>39</v>
      </c>
      <c r="B72" s="284"/>
      <c r="C72" s="285">
        <f t="shared" si="0"/>
        <v>2</v>
      </c>
      <c r="D72" s="373"/>
      <c r="E72" s="286"/>
      <c r="F72" s="285" t="str">
        <f t="shared" si="78"/>
        <v/>
      </c>
      <c r="G72" s="287" t="str">
        <f t="shared" si="78"/>
        <v/>
      </c>
      <c r="H72" s="288" t="str">
        <f t="shared" si="2"/>
        <v/>
      </c>
      <c r="I72" s="289" t="str">
        <f t="shared" si="3"/>
        <v/>
      </c>
      <c r="J72" s="288" t="str">
        <f t="shared" si="4"/>
        <v/>
      </c>
      <c r="K72" s="288">
        <f t="shared" si="5"/>
        <v>0</v>
      </c>
      <c r="L72" s="290"/>
      <c r="M72" s="291">
        <f t="shared" si="6"/>
        <v>1</v>
      </c>
      <c r="N72" s="466" t="str">
        <f t="shared" si="7"/>
        <v/>
      </c>
      <c r="O72" s="302" t="str">
        <f t="shared" si="8"/>
        <v/>
      </c>
      <c r="P72" s="468" t="str">
        <f t="shared" si="9"/>
        <v/>
      </c>
      <c r="Q72" s="292" t="str">
        <f t="shared" si="24"/>
        <v/>
      </c>
      <c r="R72" s="294" t="str">
        <f t="shared" si="10"/>
        <v/>
      </c>
      <c r="S72" s="295" t="str">
        <f t="shared" si="11"/>
        <v>---</v>
      </c>
      <c r="V72" s="3" t="str">
        <f>IFERROR(VALUE(TEXT(C72,"00")&amp;TEXT(N72,"00")&amp;TEXT(P72,"00")&amp;IF(#REF!="Plato perforado",5,IF(OR(#REF!="N/A",#REF!=""),0,#REF!))),"")</f>
        <v/>
      </c>
      <c r="BC72" s="3" t="str">
        <f t="shared" si="81"/>
        <v/>
      </c>
      <c r="BD72" s="3" t="str">
        <f t="shared" si="82"/>
        <v/>
      </c>
      <c r="BE72" s="3" t="e">
        <f t="shared" si="14"/>
        <v>#VALUE!</v>
      </c>
      <c r="BF72" s="430">
        <v>14</v>
      </c>
      <c r="BG72" s="430">
        <v>12</v>
      </c>
      <c r="BH72" s="121">
        <f t="shared" si="26"/>
        <v>1.1666666666666667</v>
      </c>
      <c r="BI72" s="8">
        <f t="shared" si="15"/>
        <v>641.66666666666674</v>
      </c>
      <c r="BJ72" s="8">
        <f t="shared" si="16"/>
        <v>1.1666666666666667</v>
      </c>
      <c r="BK72" s="3">
        <f t="shared" si="27"/>
        <v>1412</v>
      </c>
      <c r="BL72" s="3" t="e">
        <v>#VALUE!</v>
      </c>
      <c r="BM72" s="3">
        <v>16</v>
      </c>
      <c r="BN72" s="3">
        <v>18</v>
      </c>
      <c r="BO72" s="3">
        <v>16</v>
      </c>
      <c r="BP72" s="3">
        <f t="shared" si="28"/>
        <v>1618</v>
      </c>
      <c r="BQ72" s="3">
        <f t="shared" si="28"/>
        <v>1816</v>
      </c>
      <c r="BW72" s="3">
        <f t="shared" si="83"/>
        <v>0</v>
      </c>
    </row>
    <row r="73" spans="1:80" x14ac:dyDescent="0.3">
      <c r="A73" s="431">
        <v>40</v>
      </c>
      <c r="B73" s="260"/>
      <c r="C73" s="261">
        <f t="shared" si="0"/>
        <v>2</v>
      </c>
      <c r="D73" s="371"/>
      <c r="E73" s="262"/>
      <c r="F73" s="261" t="str">
        <f t="shared" si="78"/>
        <v/>
      </c>
      <c r="G73" s="263" t="str">
        <f t="shared" si="78"/>
        <v/>
      </c>
      <c r="H73" s="264" t="str">
        <f t="shared" si="2"/>
        <v/>
      </c>
      <c r="I73" s="265" t="str">
        <f t="shared" si="3"/>
        <v/>
      </c>
      <c r="J73" s="264" t="str">
        <f t="shared" si="4"/>
        <v/>
      </c>
      <c r="K73" s="264">
        <f t="shared" si="5"/>
        <v>0</v>
      </c>
      <c r="L73" s="266"/>
      <c r="M73" s="267">
        <f t="shared" si="6"/>
        <v>1</v>
      </c>
      <c r="N73" s="465" t="str">
        <f t="shared" si="7"/>
        <v/>
      </c>
      <c r="O73" s="297" t="str">
        <f t="shared" si="8"/>
        <v/>
      </c>
      <c r="P73" s="467" t="str">
        <f t="shared" si="9"/>
        <v/>
      </c>
      <c r="Q73" s="268" t="str">
        <f t="shared" si="24"/>
        <v/>
      </c>
      <c r="R73" s="270" t="str">
        <f t="shared" si="10"/>
        <v/>
      </c>
      <c r="S73" s="271" t="str">
        <f t="shared" si="11"/>
        <v>---</v>
      </c>
      <c r="V73" s="3" t="str">
        <f>IFERROR(VALUE(TEXT(C73,"00")&amp;TEXT(N73,"00")&amp;TEXT(P73,"00")&amp;IF(#REF!="Plato perforado",5,IF(OR(#REF!="N/A",#REF!=""),0,#REF!))),"")</f>
        <v/>
      </c>
      <c r="BC73" s="3" t="str">
        <f t="shared" si="81"/>
        <v/>
      </c>
      <c r="BD73" s="3" t="str">
        <f t="shared" si="82"/>
        <v/>
      </c>
      <c r="BE73" s="3" t="e">
        <f t="shared" si="14"/>
        <v>#VALUE!</v>
      </c>
      <c r="BF73" s="430">
        <v>14</v>
      </c>
      <c r="BG73" s="430">
        <v>14</v>
      </c>
      <c r="BH73" s="121">
        <f t="shared" si="26"/>
        <v>1.3611111111111114</v>
      </c>
      <c r="BI73" s="8">
        <f t="shared" si="15"/>
        <v>748.61111111111131</v>
      </c>
      <c r="BJ73" s="8">
        <f t="shared" si="16"/>
        <v>1</v>
      </c>
      <c r="BK73" s="3">
        <f t="shared" si="27"/>
        <v>1414</v>
      </c>
      <c r="BL73" s="3" t="e">
        <v>#VALUE!</v>
      </c>
      <c r="BM73" s="3">
        <v>16</v>
      </c>
      <c r="BN73" s="3">
        <v>20</v>
      </c>
      <c r="BO73" s="3">
        <v>16</v>
      </c>
      <c r="BP73" s="3">
        <f t="shared" si="28"/>
        <v>1620</v>
      </c>
      <c r="BQ73" s="3">
        <f t="shared" si="28"/>
        <v>2016</v>
      </c>
      <c r="BW73" s="3">
        <f t="shared" si="83"/>
        <v>0</v>
      </c>
    </row>
    <row r="74" spans="1:80" x14ac:dyDescent="0.3">
      <c r="A74" s="431">
        <v>41</v>
      </c>
      <c r="B74" s="272"/>
      <c r="C74" s="273">
        <f t="shared" si="0"/>
        <v>2</v>
      </c>
      <c r="D74" s="372"/>
      <c r="E74" s="274"/>
      <c r="F74" s="273" t="str">
        <f t="shared" ref="F74:G93" si="84">IFERROR(VLOOKUP($E74,DMFA,F$29,FALSE),"")</f>
        <v/>
      </c>
      <c r="G74" s="275" t="str">
        <f t="shared" si="84"/>
        <v/>
      </c>
      <c r="H74" s="276" t="str">
        <f t="shared" si="2"/>
        <v/>
      </c>
      <c r="I74" s="277" t="str">
        <f t="shared" si="3"/>
        <v/>
      </c>
      <c r="J74" s="276" t="str">
        <f t="shared" si="4"/>
        <v/>
      </c>
      <c r="K74" s="276">
        <f t="shared" si="5"/>
        <v>0</v>
      </c>
      <c r="L74" s="278"/>
      <c r="M74" s="279">
        <f t="shared" si="6"/>
        <v>1</v>
      </c>
      <c r="N74" s="360" t="str">
        <f t="shared" si="7"/>
        <v/>
      </c>
      <c r="O74" s="117" t="str">
        <f t="shared" si="8"/>
        <v/>
      </c>
      <c r="P74" s="359" t="str">
        <f t="shared" si="9"/>
        <v/>
      </c>
      <c r="Q74" s="280" t="str">
        <f t="shared" si="24"/>
        <v/>
      </c>
      <c r="R74" s="282" t="str">
        <f t="shared" si="10"/>
        <v/>
      </c>
      <c r="S74" s="283" t="str">
        <f t="shared" si="11"/>
        <v>---</v>
      </c>
      <c r="V74" s="3" t="str">
        <f>IFERROR(VALUE(TEXT(C74,"00")&amp;TEXT(N74,"00")&amp;TEXT(P74,"00")&amp;IF(#REF!="Plato perforado",5,IF(OR(#REF!="N/A",#REF!=""),0,#REF!))),"")</f>
        <v/>
      </c>
      <c r="BC74" s="3" t="str">
        <f t="shared" si="81"/>
        <v/>
      </c>
      <c r="BD74" s="3" t="str">
        <f t="shared" si="82"/>
        <v/>
      </c>
      <c r="BE74" s="3" t="e">
        <f t="shared" si="14"/>
        <v>#VALUE!</v>
      </c>
      <c r="BF74" s="430">
        <v>14</v>
      </c>
      <c r="BG74" s="430">
        <v>16</v>
      </c>
      <c r="BH74" s="121">
        <f t="shared" si="26"/>
        <v>1.5555555555555556</v>
      </c>
      <c r="BI74" s="8">
        <f t="shared" si="15"/>
        <v>855.55555555555554</v>
      </c>
      <c r="BJ74" s="8">
        <f t="shared" si="16"/>
        <v>0.875</v>
      </c>
      <c r="BK74" s="3">
        <f t="shared" si="27"/>
        <v>1416</v>
      </c>
      <c r="BL74" s="3" t="e">
        <v>#VALUE!</v>
      </c>
      <c r="BM74" s="3">
        <v>16</v>
      </c>
      <c r="BN74" s="3">
        <v>22</v>
      </c>
      <c r="BO74" s="3">
        <v>16</v>
      </c>
      <c r="BP74" s="3">
        <f t="shared" si="28"/>
        <v>1622</v>
      </c>
      <c r="BQ74" s="3">
        <f t="shared" si="28"/>
        <v>2216</v>
      </c>
      <c r="BW74" s="3">
        <f t="shared" si="83"/>
        <v>0</v>
      </c>
    </row>
    <row r="75" spans="1:80" x14ac:dyDescent="0.3">
      <c r="A75" s="431">
        <v>42</v>
      </c>
      <c r="B75" s="284"/>
      <c r="C75" s="285">
        <f t="shared" si="0"/>
        <v>2</v>
      </c>
      <c r="D75" s="373"/>
      <c r="E75" s="286"/>
      <c r="F75" s="285" t="str">
        <f t="shared" si="84"/>
        <v/>
      </c>
      <c r="G75" s="287" t="str">
        <f t="shared" si="84"/>
        <v/>
      </c>
      <c r="H75" s="288" t="str">
        <f t="shared" si="2"/>
        <v/>
      </c>
      <c r="I75" s="289" t="str">
        <f t="shared" si="3"/>
        <v/>
      </c>
      <c r="J75" s="288" t="str">
        <f t="shared" si="4"/>
        <v/>
      </c>
      <c r="K75" s="288">
        <f t="shared" si="5"/>
        <v>0</v>
      </c>
      <c r="L75" s="290"/>
      <c r="M75" s="291">
        <f t="shared" si="6"/>
        <v>1</v>
      </c>
      <c r="N75" s="466" t="str">
        <f t="shared" si="7"/>
        <v/>
      </c>
      <c r="O75" s="302" t="str">
        <f t="shared" si="8"/>
        <v/>
      </c>
      <c r="P75" s="468" t="str">
        <f t="shared" si="9"/>
        <v/>
      </c>
      <c r="Q75" s="292" t="str">
        <f t="shared" si="24"/>
        <v/>
      </c>
      <c r="R75" s="294" t="str">
        <f t="shared" si="10"/>
        <v/>
      </c>
      <c r="S75" s="295" t="str">
        <f t="shared" si="11"/>
        <v>---</v>
      </c>
      <c r="V75" s="3" t="str">
        <f>IFERROR(VALUE(TEXT(C75,"00")&amp;TEXT(N75,"00")&amp;TEXT(P75,"00")&amp;IF(#REF!="Plato perforado",5,IF(OR(#REF!="N/A",#REF!=""),0,#REF!))),"")</f>
        <v/>
      </c>
      <c r="BC75" s="3" t="str">
        <f t="shared" si="81"/>
        <v/>
      </c>
      <c r="BD75" s="3" t="str">
        <f t="shared" si="82"/>
        <v/>
      </c>
      <c r="BE75" s="3" t="e">
        <f t="shared" si="14"/>
        <v>#VALUE!</v>
      </c>
      <c r="BF75" s="430">
        <v>14</v>
      </c>
      <c r="BG75" s="430">
        <v>18</v>
      </c>
      <c r="BH75" s="121">
        <f t="shared" si="26"/>
        <v>1.75</v>
      </c>
      <c r="BI75" s="8">
        <f t="shared" si="15"/>
        <v>962.5</v>
      </c>
      <c r="BJ75" s="8">
        <f t="shared" si="16"/>
        <v>0.77777777777777779</v>
      </c>
      <c r="BK75" s="3">
        <f t="shared" si="27"/>
        <v>1418</v>
      </c>
      <c r="BL75" s="3" t="e">
        <v>#VALUE!</v>
      </c>
      <c r="BM75" s="3">
        <v>16</v>
      </c>
      <c r="BN75" s="3">
        <v>24</v>
      </c>
      <c r="BO75" s="3">
        <v>16</v>
      </c>
      <c r="BP75" s="3">
        <f t="shared" si="28"/>
        <v>1624</v>
      </c>
      <c r="BQ75" s="3">
        <f t="shared" si="28"/>
        <v>2416</v>
      </c>
      <c r="BW75" s="3">
        <f t="shared" si="83"/>
        <v>0</v>
      </c>
    </row>
    <row r="76" spans="1:80" x14ac:dyDescent="0.3">
      <c r="A76" s="431">
        <v>43</v>
      </c>
      <c r="B76" s="260"/>
      <c r="C76" s="261">
        <f t="shared" si="0"/>
        <v>2</v>
      </c>
      <c r="D76" s="371"/>
      <c r="E76" s="262"/>
      <c r="F76" s="261" t="str">
        <f t="shared" si="84"/>
        <v/>
      </c>
      <c r="G76" s="263" t="str">
        <f t="shared" si="84"/>
        <v/>
      </c>
      <c r="H76" s="264" t="str">
        <f t="shared" si="2"/>
        <v/>
      </c>
      <c r="I76" s="265" t="str">
        <f t="shared" si="3"/>
        <v/>
      </c>
      <c r="J76" s="264" t="str">
        <f t="shared" si="4"/>
        <v/>
      </c>
      <c r="K76" s="264">
        <f t="shared" si="5"/>
        <v>0</v>
      </c>
      <c r="L76" s="266"/>
      <c r="M76" s="267">
        <f t="shared" si="6"/>
        <v>1</v>
      </c>
      <c r="N76" s="465" t="str">
        <f t="shared" si="7"/>
        <v/>
      </c>
      <c r="O76" s="297" t="str">
        <f t="shared" si="8"/>
        <v/>
      </c>
      <c r="P76" s="467" t="str">
        <f t="shared" si="9"/>
        <v/>
      </c>
      <c r="Q76" s="268" t="str">
        <f t="shared" si="24"/>
        <v/>
      </c>
      <c r="R76" s="270" t="str">
        <f t="shared" si="10"/>
        <v/>
      </c>
      <c r="S76" s="271" t="str">
        <f t="shared" si="11"/>
        <v>---</v>
      </c>
      <c r="V76" s="3" t="str">
        <f>IFERROR(VALUE(TEXT(C76,"00")&amp;TEXT(N76,"00")&amp;TEXT(P76,"00")&amp;IF(#REF!="Plato perforado",5,IF(OR(#REF!="N/A",#REF!=""),0,#REF!))),"")</f>
        <v/>
      </c>
      <c r="BC76" s="3" t="str">
        <f t="shared" si="81"/>
        <v/>
      </c>
      <c r="BD76" s="3" t="str">
        <f t="shared" si="82"/>
        <v/>
      </c>
      <c r="BE76" s="3" t="e">
        <f t="shared" si="14"/>
        <v>#VALUE!</v>
      </c>
      <c r="BF76" s="430">
        <v>14</v>
      </c>
      <c r="BG76" s="430">
        <v>20</v>
      </c>
      <c r="BH76" s="121">
        <f t="shared" si="26"/>
        <v>1.9444444444444446</v>
      </c>
      <c r="BI76" s="8">
        <f t="shared" si="15"/>
        <v>1069.4444444444446</v>
      </c>
      <c r="BJ76" s="8">
        <f t="shared" si="16"/>
        <v>0.7</v>
      </c>
      <c r="BK76" s="3">
        <f t="shared" si="27"/>
        <v>1420</v>
      </c>
      <c r="BL76" s="3" t="e">
        <v>#VALUE!</v>
      </c>
      <c r="BM76" s="3">
        <v>18</v>
      </c>
      <c r="BN76" s="3">
        <v>18</v>
      </c>
      <c r="BO76" s="3">
        <v>18</v>
      </c>
      <c r="BP76" s="3">
        <f t="shared" si="28"/>
        <v>1818</v>
      </c>
      <c r="BQ76" s="3">
        <f t="shared" si="28"/>
        <v>1818</v>
      </c>
      <c r="BW76" s="3">
        <f t="shared" si="83"/>
        <v>0</v>
      </c>
    </row>
    <row r="77" spans="1:80" x14ac:dyDescent="0.3">
      <c r="A77" s="431">
        <v>44</v>
      </c>
      <c r="B77" s="272"/>
      <c r="C77" s="273">
        <f t="shared" si="0"/>
        <v>2</v>
      </c>
      <c r="D77" s="372"/>
      <c r="E77" s="274"/>
      <c r="F77" s="273" t="str">
        <f t="shared" si="84"/>
        <v/>
      </c>
      <c r="G77" s="275" t="str">
        <f t="shared" si="84"/>
        <v/>
      </c>
      <c r="H77" s="276" t="str">
        <f t="shared" si="2"/>
        <v/>
      </c>
      <c r="I77" s="277" t="str">
        <f t="shared" si="3"/>
        <v/>
      </c>
      <c r="J77" s="276" t="str">
        <f t="shared" si="4"/>
        <v/>
      </c>
      <c r="K77" s="276">
        <f t="shared" si="5"/>
        <v>0</v>
      </c>
      <c r="L77" s="278"/>
      <c r="M77" s="279">
        <f t="shared" si="6"/>
        <v>1</v>
      </c>
      <c r="N77" s="360" t="str">
        <f t="shared" si="7"/>
        <v/>
      </c>
      <c r="O77" s="117" t="str">
        <f t="shared" si="8"/>
        <v/>
      </c>
      <c r="P77" s="359" t="str">
        <f t="shared" si="9"/>
        <v/>
      </c>
      <c r="Q77" s="280" t="str">
        <f t="shared" si="24"/>
        <v/>
      </c>
      <c r="R77" s="282" t="str">
        <f t="shared" si="10"/>
        <v/>
      </c>
      <c r="S77" s="283" t="str">
        <f t="shared" si="11"/>
        <v>---</v>
      </c>
      <c r="V77" s="3" t="str">
        <f>IFERROR(VALUE(TEXT(C77,"00")&amp;TEXT(N77,"00")&amp;TEXT(P77,"00")&amp;IF(#REF!="Plato perforado",5,IF(OR(#REF!="N/A",#REF!=""),0,#REF!))),"")</f>
        <v/>
      </c>
      <c r="BC77" s="3" t="str">
        <f t="shared" si="81"/>
        <v/>
      </c>
      <c r="BD77" s="3" t="str">
        <f t="shared" si="82"/>
        <v/>
      </c>
      <c r="BE77" s="3" t="e">
        <f t="shared" si="14"/>
        <v>#VALUE!</v>
      </c>
      <c r="BF77" s="430">
        <v>14</v>
      </c>
      <c r="BG77" s="430">
        <v>22</v>
      </c>
      <c r="BH77" s="121">
        <f t="shared" si="26"/>
        <v>2.1388888888888888</v>
      </c>
      <c r="BI77" s="8">
        <f t="shared" si="15"/>
        <v>1176.3888888888889</v>
      </c>
      <c r="BJ77" s="8">
        <f t="shared" si="16"/>
        <v>0.63636363636363635</v>
      </c>
      <c r="BK77" s="3">
        <f t="shared" si="27"/>
        <v>1422</v>
      </c>
      <c r="BL77" s="3" t="e">
        <v>#VALUE!</v>
      </c>
      <c r="BM77" s="3">
        <v>18</v>
      </c>
      <c r="BN77" s="3">
        <v>20</v>
      </c>
      <c r="BO77" s="3">
        <v>18</v>
      </c>
      <c r="BP77" s="3">
        <f t="shared" si="28"/>
        <v>1820</v>
      </c>
      <c r="BQ77" s="3">
        <f t="shared" si="28"/>
        <v>2018</v>
      </c>
      <c r="BW77" s="3">
        <f t="shared" si="83"/>
        <v>0</v>
      </c>
    </row>
    <row r="78" spans="1:80" x14ac:dyDescent="0.3">
      <c r="A78" s="431">
        <v>45</v>
      </c>
      <c r="B78" s="284"/>
      <c r="C78" s="285">
        <f t="shared" si="0"/>
        <v>2</v>
      </c>
      <c r="D78" s="373"/>
      <c r="E78" s="286"/>
      <c r="F78" s="285" t="str">
        <f t="shared" si="84"/>
        <v/>
      </c>
      <c r="G78" s="287" t="str">
        <f t="shared" si="84"/>
        <v/>
      </c>
      <c r="H78" s="288" t="str">
        <f t="shared" si="2"/>
        <v/>
      </c>
      <c r="I78" s="289" t="str">
        <f t="shared" si="3"/>
        <v/>
      </c>
      <c r="J78" s="288" t="str">
        <f t="shared" si="4"/>
        <v/>
      </c>
      <c r="K78" s="288">
        <f t="shared" si="5"/>
        <v>0</v>
      </c>
      <c r="L78" s="290"/>
      <c r="M78" s="291">
        <f t="shared" si="6"/>
        <v>1</v>
      </c>
      <c r="N78" s="466" t="str">
        <f t="shared" si="7"/>
        <v/>
      </c>
      <c r="O78" s="302" t="str">
        <f t="shared" si="8"/>
        <v/>
      </c>
      <c r="P78" s="468" t="str">
        <f t="shared" si="9"/>
        <v/>
      </c>
      <c r="Q78" s="292" t="str">
        <f t="shared" si="24"/>
        <v/>
      </c>
      <c r="R78" s="294" t="str">
        <f t="shared" si="10"/>
        <v/>
      </c>
      <c r="S78" s="295" t="str">
        <f t="shared" si="11"/>
        <v>---</v>
      </c>
      <c r="V78" s="3" t="str">
        <f>IFERROR(VALUE(TEXT(C78,"00")&amp;TEXT(N78,"00")&amp;TEXT(P78,"00")&amp;IF(#REF!="Plato perforado",5,IF(OR(#REF!="N/A",#REF!=""),0,#REF!))),"")</f>
        <v/>
      </c>
      <c r="BC78" s="3" t="str">
        <f t="shared" si="81"/>
        <v/>
      </c>
      <c r="BD78" s="3" t="str">
        <f t="shared" si="82"/>
        <v/>
      </c>
      <c r="BE78" s="3" t="e">
        <f t="shared" si="14"/>
        <v>#VALUE!</v>
      </c>
      <c r="BF78" s="430">
        <v>14</v>
      </c>
      <c r="BG78" s="430">
        <v>24</v>
      </c>
      <c r="BH78" s="121">
        <f t="shared" si="26"/>
        <v>2.3333333333333335</v>
      </c>
      <c r="BI78" s="8">
        <f t="shared" si="15"/>
        <v>1283.3333333333335</v>
      </c>
      <c r="BJ78" s="8">
        <f t="shared" si="16"/>
        <v>0.58333333333333337</v>
      </c>
      <c r="BK78" s="3">
        <f t="shared" si="27"/>
        <v>1424</v>
      </c>
      <c r="BL78" s="3" t="e">
        <v>#VALUE!</v>
      </c>
      <c r="BM78" s="3">
        <v>30</v>
      </c>
      <c r="BN78" s="3">
        <v>12</v>
      </c>
      <c r="BO78" s="3">
        <v>30</v>
      </c>
      <c r="BP78" s="3">
        <f t="shared" si="28"/>
        <v>3012</v>
      </c>
      <c r="BQ78" s="3">
        <f t="shared" si="28"/>
        <v>1230</v>
      </c>
      <c r="BW78" s="3">
        <f t="shared" si="83"/>
        <v>0</v>
      </c>
    </row>
    <row r="79" spans="1:80" x14ac:dyDescent="0.3">
      <c r="A79" s="431">
        <v>46</v>
      </c>
      <c r="B79" s="260"/>
      <c r="C79" s="261">
        <f t="shared" si="0"/>
        <v>2</v>
      </c>
      <c r="D79" s="371"/>
      <c r="E79" s="262"/>
      <c r="F79" s="261" t="str">
        <f t="shared" si="84"/>
        <v/>
      </c>
      <c r="G79" s="263" t="str">
        <f t="shared" si="84"/>
        <v/>
      </c>
      <c r="H79" s="264" t="str">
        <f t="shared" si="2"/>
        <v/>
      </c>
      <c r="I79" s="265" t="str">
        <f t="shared" si="3"/>
        <v/>
      </c>
      <c r="J79" s="264" t="str">
        <f t="shared" si="4"/>
        <v/>
      </c>
      <c r="K79" s="264">
        <f t="shared" si="5"/>
        <v>0</v>
      </c>
      <c r="L79" s="266"/>
      <c r="M79" s="267">
        <f t="shared" si="6"/>
        <v>1</v>
      </c>
      <c r="N79" s="465" t="str">
        <f t="shared" si="7"/>
        <v/>
      </c>
      <c r="O79" s="297" t="str">
        <f t="shared" si="8"/>
        <v/>
      </c>
      <c r="P79" s="467" t="str">
        <f t="shared" si="9"/>
        <v/>
      </c>
      <c r="Q79" s="268" t="str">
        <f t="shared" si="24"/>
        <v/>
      </c>
      <c r="R79" s="270" t="str">
        <f t="shared" si="10"/>
        <v/>
      </c>
      <c r="S79" s="271" t="str">
        <f t="shared" si="11"/>
        <v>---</v>
      </c>
      <c r="V79" s="3" t="str">
        <f>IFERROR(VALUE(TEXT(C79,"00")&amp;TEXT(N79,"00")&amp;TEXT(P79,"00")&amp;IF(#REF!="Plato perforado",5,IF(OR(#REF!="N/A",#REF!=""),0,#REF!))),"")</f>
        <v/>
      </c>
      <c r="BC79" s="3" t="str">
        <f t="shared" si="81"/>
        <v/>
      </c>
      <c r="BD79" s="3" t="str">
        <f t="shared" si="82"/>
        <v/>
      </c>
      <c r="BE79" s="3" t="e">
        <f t="shared" si="14"/>
        <v>#VALUE!</v>
      </c>
      <c r="BF79" s="430">
        <v>14</v>
      </c>
      <c r="BG79" s="430">
        <v>26</v>
      </c>
      <c r="BH79" s="121">
        <f t="shared" si="26"/>
        <v>2.5277777777777777</v>
      </c>
      <c r="BI79" s="8">
        <f t="shared" si="15"/>
        <v>1390.2777777777778</v>
      </c>
      <c r="BJ79" s="8">
        <f t="shared" si="16"/>
        <v>0.53846153846153844</v>
      </c>
      <c r="BK79" s="3">
        <f t="shared" si="27"/>
        <v>1426</v>
      </c>
      <c r="BL79" s="3" t="e">
        <v>#VALUE!</v>
      </c>
      <c r="BW79" s="3">
        <f t="shared" si="83"/>
        <v>0</v>
      </c>
    </row>
    <row r="80" spans="1:80" x14ac:dyDescent="0.3">
      <c r="A80" s="431">
        <v>47</v>
      </c>
      <c r="B80" s="272"/>
      <c r="C80" s="273">
        <f t="shared" si="0"/>
        <v>2</v>
      </c>
      <c r="D80" s="372"/>
      <c r="E80" s="274"/>
      <c r="F80" s="273" t="str">
        <f t="shared" si="84"/>
        <v/>
      </c>
      <c r="G80" s="275" t="str">
        <f t="shared" si="84"/>
        <v/>
      </c>
      <c r="H80" s="276" t="str">
        <f t="shared" si="2"/>
        <v/>
      </c>
      <c r="I80" s="277" t="str">
        <f t="shared" si="3"/>
        <v/>
      </c>
      <c r="J80" s="276" t="str">
        <f t="shared" si="4"/>
        <v/>
      </c>
      <c r="K80" s="276">
        <f t="shared" si="5"/>
        <v>0</v>
      </c>
      <c r="L80" s="278"/>
      <c r="M80" s="279">
        <f t="shared" si="6"/>
        <v>1</v>
      </c>
      <c r="N80" s="360" t="str">
        <f t="shared" si="7"/>
        <v/>
      </c>
      <c r="O80" s="117" t="str">
        <f t="shared" si="8"/>
        <v/>
      </c>
      <c r="P80" s="359" t="str">
        <f t="shared" si="9"/>
        <v/>
      </c>
      <c r="Q80" s="280" t="str">
        <f t="shared" si="24"/>
        <v/>
      </c>
      <c r="R80" s="282" t="str">
        <f t="shared" si="10"/>
        <v/>
      </c>
      <c r="S80" s="283" t="str">
        <f t="shared" si="11"/>
        <v>---</v>
      </c>
      <c r="V80" s="3" t="str">
        <f>IFERROR(VALUE(TEXT(C80,"00")&amp;TEXT(N80,"00")&amp;TEXT(P80,"00")&amp;IF(#REF!="Plato perforado",5,IF(OR(#REF!="N/A",#REF!=""),0,#REF!))),"")</f>
        <v/>
      </c>
      <c r="BC80" s="3" t="str">
        <f t="shared" si="81"/>
        <v/>
      </c>
      <c r="BD80" s="3" t="str">
        <f t="shared" si="82"/>
        <v/>
      </c>
      <c r="BE80" s="3" t="e">
        <f t="shared" si="14"/>
        <v>#VALUE!</v>
      </c>
      <c r="BF80" s="430">
        <v>14</v>
      </c>
      <c r="BG80" s="430">
        <v>28</v>
      </c>
      <c r="BH80" s="121">
        <f t="shared" si="26"/>
        <v>2.7222222222222228</v>
      </c>
      <c r="BI80" s="8">
        <f t="shared" si="15"/>
        <v>1497.2222222222226</v>
      </c>
      <c r="BJ80" s="8">
        <f t="shared" si="16"/>
        <v>0.5</v>
      </c>
      <c r="BK80" s="3">
        <f t="shared" si="27"/>
        <v>1428</v>
      </c>
      <c r="BL80" s="3" t="e">
        <v>#VALUE!</v>
      </c>
      <c r="BW80" s="3">
        <f t="shared" si="83"/>
        <v>0</v>
      </c>
    </row>
    <row r="81" spans="1:75" x14ac:dyDescent="0.3">
      <c r="A81" s="431">
        <v>48</v>
      </c>
      <c r="B81" s="284"/>
      <c r="C81" s="285">
        <f t="shared" si="0"/>
        <v>2</v>
      </c>
      <c r="D81" s="373"/>
      <c r="E81" s="286"/>
      <c r="F81" s="285" t="str">
        <f t="shared" si="84"/>
        <v/>
      </c>
      <c r="G81" s="287" t="str">
        <f t="shared" si="84"/>
        <v/>
      </c>
      <c r="H81" s="288" t="str">
        <f t="shared" si="2"/>
        <v/>
      </c>
      <c r="I81" s="289" t="str">
        <f t="shared" si="3"/>
        <v/>
      </c>
      <c r="J81" s="288" t="str">
        <f t="shared" si="4"/>
        <v/>
      </c>
      <c r="K81" s="288">
        <f t="shared" si="5"/>
        <v>0</v>
      </c>
      <c r="L81" s="290"/>
      <c r="M81" s="291">
        <f t="shared" si="6"/>
        <v>1</v>
      </c>
      <c r="N81" s="466" t="str">
        <f t="shared" si="7"/>
        <v/>
      </c>
      <c r="O81" s="302" t="str">
        <f t="shared" si="8"/>
        <v/>
      </c>
      <c r="P81" s="468" t="str">
        <f t="shared" si="9"/>
        <v/>
      </c>
      <c r="Q81" s="292" t="str">
        <f t="shared" si="24"/>
        <v/>
      </c>
      <c r="R81" s="294" t="str">
        <f t="shared" si="10"/>
        <v/>
      </c>
      <c r="S81" s="295" t="str">
        <f t="shared" si="11"/>
        <v>---</v>
      </c>
      <c r="V81" s="3" t="str">
        <f>IFERROR(VALUE(TEXT(C81,"00")&amp;TEXT(N81,"00")&amp;TEXT(P81,"00")&amp;IF(#REF!="Plato perforado",5,IF(OR(#REF!="N/A",#REF!=""),0,#REF!))),"")</f>
        <v/>
      </c>
      <c r="BC81" s="3" t="str">
        <f t="shared" si="81"/>
        <v/>
      </c>
      <c r="BD81" s="3" t="str">
        <f t="shared" si="82"/>
        <v/>
      </c>
      <c r="BE81" s="3" t="e">
        <f t="shared" si="14"/>
        <v>#VALUE!</v>
      </c>
      <c r="BF81" s="430">
        <v>16</v>
      </c>
      <c r="BG81" s="430">
        <v>8</v>
      </c>
      <c r="BH81" s="121">
        <f t="shared" si="26"/>
        <v>0.88888888888888884</v>
      </c>
      <c r="BI81" s="8">
        <f t="shared" si="15"/>
        <v>488.88888888888886</v>
      </c>
      <c r="BJ81" s="8">
        <f t="shared" si="16"/>
        <v>2</v>
      </c>
      <c r="BK81" s="3">
        <f t="shared" si="27"/>
        <v>1608</v>
      </c>
      <c r="BL81" s="3" t="e">
        <v>#VALUE!</v>
      </c>
      <c r="BW81" s="3">
        <f t="shared" si="83"/>
        <v>0</v>
      </c>
    </row>
    <row r="82" spans="1:75" x14ac:dyDescent="0.3">
      <c r="A82" s="431">
        <v>49</v>
      </c>
      <c r="B82" s="260"/>
      <c r="C82" s="261">
        <f t="shared" si="0"/>
        <v>2</v>
      </c>
      <c r="D82" s="371"/>
      <c r="E82" s="262"/>
      <c r="F82" s="261" t="str">
        <f t="shared" si="84"/>
        <v/>
      </c>
      <c r="G82" s="263" t="str">
        <f t="shared" si="84"/>
        <v/>
      </c>
      <c r="H82" s="264" t="str">
        <f t="shared" si="2"/>
        <v/>
      </c>
      <c r="I82" s="265" t="str">
        <f t="shared" si="3"/>
        <v/>
      </c>
      <c r="J82" s="264" t="str">
        <f t="shared" si="4"/>
        <v/>
      </c>
      <c r="K82" s="264">
        <f t="shared" si="5"/>
        <v>0</v>
      </c>
      <c r="L82" s="266"/>
      <c r="M82" s="267">
        <f t="shared" si="6"/>
        <v>1</v>
      </c>
      <c r="N82" s="465" t="str">
        <f t="shared" si="7"/>
        <v/>
      </c>
      <c r="O82" s="297" t="str">
        <f t="shared" si="8"/>
        <v/>
      </c>
      <c r="P82" s="467" t="str">
        <f t="shared" si="9"/>
        <v/>
      </c>
      <c r="Q82" s="268" t="str">
        <f t="shared" si="24"/>
        <v/>
      </c>
      <c r="R82" s="270" t="str">
        <f t="shared" si="10"/>
        <v/>
      </c>
      <c r="S82" s="271" t="str">
        <f t="shared" si="11"/>
        <v>---</v>
      </c>
      <c r="V82" s="3" t="str">
        <f>IFERROR(VALUE(TEXT(C82,"00")&amp;TEXT(N82,"00")&amp;TEXT(P82,"00")&amp;IF(#REF!="Plato perforado",5,IF(OR(#REF!="N/A",#REF!=""),0,#REF!))),"")</f>
        <v/>
      </c>
      <c r="BC82" s="3" t="str">
        <f t="shared" si="81"/>
        <v/>
      </c>
      <c r="BD82" s="3" t="str">
        <f t="shared" si="82"/>
        <v/>
      </c>
      <c r="BE82" s="3" t="e">
        <f t="shared" si="14"/>
        <v>#VALUE!</v>
      </c>
      <c r="BF82" s="430">
        <v>16</v>
      </c>
      <c r="BG82" s="430">
        <v>10</v>
      </c>
      <c r="BH82" s="121">
        <f t="shared" si="26"/>
        <v>1.1111111111111112</v>
      </c>
      <c r="BI82" s="8">
        <f t="shared" si="15"/>
        <v>611.11111111111109</v>
      </c>
      <c r="BJ82" s="8">
        <f t="shared" si="16"/>
        <v>1.6</v>
      </c>
      <c r="BK82" s="3">
        <f t="shared" si="27"/>
        <v>1610</v>
      </c>
      <c r="BL82" s="3" t="e">
        <v>#VALUE!</v>
      </c>
      <c r="BW82" s="3">
        <f t="shared" si="83"/>
        <v>0</v>
      </c>
    </row>
    <row r="83" spans="1:75" x14ac:dyDescent="0.3">
      <c r="A83" s="431">
        <v>50</v>
      </c>
      <c r="B83" s="272"/>
      <c r="C83" s="273">
        <f t="shared" si="0"/>
        <v>2</v>
      </c>
      <c r="D83" s="372"/>
      <c r="E83" s="274"/>
      <c r="F83" s="273" t="str">
        <f t="shared" si="84"/>
        <v/>
      </c>
      <c r="G83" s="275" t="str">
        <f t="shared" si="84"/>
        <v/>
      </c>
      <c r="H83" s="276" t="str">
        <f t="shared" si="2"/>
        <v/>
      </c>
      <c r="I83" s="277" t="str">
        <f t="shared" si="3"/>
        <v/>
      </c>
      <c r="J83" s="276" t="str">
        <f t="shared" si="4"/>
        <v/>
      </c>
      <c r="K83" s="276">
        <f t="shared" si="5"/>
        <v>0</v>
      </c>
      <c r="L83" s="278"/>
      <c r="M83" s="279">
        <f t="shared" si="6"/>
        <v>1</v>
      </c>
      <c r="N83" s="360" t="str">
        <f t="shared" si="7"/>
        <v/>
      </c>
      <c r="O83" s="117" t="str">
        <f t="shared" si="8"/>
        <v/>
      </c>
      <c r="P83" s="359" t="str">
        <f t="shared" si="9"/>
        <v/>
      </c>
      <c r="Q83" s="280" t="str">
        <f t="shared" si="24"/>
        <v/>
      </c>
      <c r="R83" s="282" t="str">
        <f t="shared" si="10"/>
        <v/>
      </c>
      <c r="S83" s="283" t="str">
        <f t="shared" si="11"/>
        <v>---</v>
      </c>
      <c r="V83" s="3" t="str">
        <f>IFERROR(VALUE(TEXT(C83,"00")&amp;TEXT(N83,"00")&amp;TEXT(P83,"00")&amp;IF(#REF!="Plato perforado",5,IF(OR(#REF!="N/A",#REF!=""),0,#REF!))),"")</f>
        <v/>
      </c>
      <c r="BC83" s="3" t="str">
        <f t="shared" si="81"/>
        <v/>
      </c>
      <c r="BD83" s="3" t="str">
        <f t="shared" si="82"/>
        <v/>
      </c>
      <c r="BE83" s="3" t="e">
        <f t="shared" si="14"/>
        <v>#VALUE!</v>
      </c>
      <c r="BF83" s="430">
        <v>16</v>
      </c>
      <c r="BG83" s="430">
        <v>12</v>
      </c>
      <c r="BH83" s="121">
        <f t="shared" si="26"/>
        <v>1.3333333333333333</v>
      </c>
      <c r="BI83" s="8">
        <f t="shared" si="15"/>
        <v>733.33333333333326</v>
      </c>
      <c r="BJ83" s="8">
        <f t="shared" si="16"/>
        <v>1.3333333333333333</v>
      </c>
      <c r="BK83" s="3">
        <f t="shared" si="27"/>
        <v>1612</v>
      </c>
      <c r="BL83" s="3" t="e">
        <v>#VALUE!</v>
      </c>
      <c r="BW83" s="3">
        <f t="shared" si="83"/>
        <v>0</v>
      </c>
    </row>
    <row r="84" spans="1:75" x14ac:dyDescent="0.3">
      <c r="A84" s="431">
        <v>51</v>
      </c>
      <c r="B84" s="284"/>
      <c r="C84" s="285">
        <f t="shared" si="0"/>
        <v>2</v>
      </c>
      <c r="D84" s="373"/>
      <c r="E84" s="286"/>
      <c r="F84" s="285" t="str">
        <f t="shared" si="84"/>
        <v/>
      </c>
      <c r="G84" s="287" t="str">
        <f t="shared" si="84"/>
        <v/>
      </c>
      <c r="H84" s="288" t="str">
        <f t="shared" si="2"/>
        <v/>
      </c>
      <c r="I84" s="289" t="str">
        <f t="shared" si="3"/>
        <v/>
      </c>
      <c r="J84" s="288" t="str">
        <f t="shared" si="4"/>
        <v/>
      </c>
      <c r="K84" s="288">
        <f t="shared" si="5"/>
        <v>0</v>
      </c>
      <c r="L84" s="290"/>
      <c r="M84" s="291">
        <f t="shared" si="6"/>
        <v>1</v>
      </c>
      <c r="N84" s="466" t="str">
        <f t="shared" si="7"/>
        <v/>
      </c>
      <c r="O84" s="302" t="str">
        <f t="shared" si="8"/>
        <v/>
      </c>
      <c r="P84" s="468" t="str">
        <f t="shared" si="9"/>
        <v/>
      </c>
      <c r="Q84" s="292" t="str">
        <f t="shared" si="24"/>
        <v/>
      </c>
      <c r="R84" s="294" t="str">
        <f t="shared" si="10"/>
        <v/>
      </c>
      <c r="S84" s="295" t="str">
        <f t="shared" si="11"/>
        <v>---</v>
      </c>
      <c r="V84" s="3" t="str">
        <f>IFERROR(VALUE(TEXT(C84,"00")&amp;TEXT(N84,"00")&amp;TEXT(P84,"00")&amp;IF(#REF!="Plato perforado",5,IF(OR(#REF!="N/A",#REF!=""),0,#REF!))),"")</f>
        <v/>
      </c>
      <c r="BC84" s="3" t="str">
        <f t="shared" si="81"/>
        <v/>
      </c>
      <c r="BD84" s="3" t="str">
        <f t="shared" si="82"/>
        <v/>
      </c>
      <c r="BE84" s="3" t="e">
        <f t="shared" si="14"/>
        <v>#VALUE!</v>
      </c>
      <c r="BF84" s="430">
        <v>16</v>
      </c>
      <c r="BG84" s="430">
        <v>14</v>
      </c>
      <c r="BH84" s="121">
        <f t="shared" si="26"/>
        <v>1.5555555555555556</v>
      </c>
      <c r="BI84" s="8">
        <f t="shared" si="15"/>
        <v>855.55555555555554</v>
      </c>
      <c r="BJ84" s="8">
        <f t="shared" si="16"/>
        <v>1.1428571428571428</v>
      </c>
      <c r="BK84" s="3">
        <f t="shared" si="27"/>
        <v>1614</v>
      </c>
      <c r="BL84" s="3" t="e">
        <v>#VALUE!</v>
      </c>
      <c r="BW84" s="3">
        <f t="shared" si="83"/>
        <v>0</v>
      </c>
    </row>
    <row r="85" spans="1:75" x14ac:dyDescent="0.3">
      <c r="A85" s="431">
        <v>52</v>
      </c>
      <c r="B85" s="260"/>
      <c r="C85" s="261">
        <f t="shared" si="0"/>
        <v>2</v>
      </c>
      <c r="D85" s="371"/>
      <c r="E85" s="262"/>
      <c r="F85" s="261" t="str">
        <f t="shared" si="84"/>
        <v/>
      </c>
      <c r="G85" s="263" t="str">
        <f t="shared" si="84"/>
        <v/>
      </c>
      <c r="H85" s="264" t="str">
        <f t="shared" si="2"/>
        <v/>
      </c>
      <c r="I85" s="265" t="str">
        <f t="shared" si="3"/>
        <v/>
      </c>
      <c r="J85" s="264" t="str">
        <f t="shared" si="4"/>
        <v/>
      </c>
      <c r="K85" s="264">
        <f t="shared" si="5"/>
        <v>0</v>
      </c>
      <c r="L85" s="266"/>
      <c r="M85" s="267">
        <f t="shared" si="6"/>
        <v>1</v>
      </c>
      <c r="N85" s="465" t="str">
        <f t="shared" si="7"/>
        <v/>
      </c>
      <c r="O85" s="297" t="str">
        <f t="shared" si="8"/>
        <v/>
      </c>
      <c r="P85" s="467" t="str">
        <f t="shared" si="9"/>
        <v/>
      </c>
      <c r="Q85" s="268" t="str">
        <f t="shared" si="24"/>
        <v/>
      </c>
      <c r="R85" s="270" t="str">
        <f t="shared" si="10"/>
        <v/>
      </c>
      <c r="S85" s="271" t="str">
        <f t="shared" si="11"/>
        <v>---</v>
      </c>
      <c r="V85" s="3" t="str">
        <f>IFERROR(VALUE(TEXT(C85,"00")&amp;TEXT(N85,"00")&amp;TEXT(P85,"00")&amp;IF(#REF!="Plato perforado",5,IF(OR(#REF!="N/A",#REF!=""),0,#REF!))),"")</f>
        <v/>
      </c>
      <c r="BC85" s="3" t="str">
        <f t="shared" si="81"/>
        <v/>
      </c>
      <c r="BD85" s="3" t="str">
        <f t="shared" si="82"/>
        <v/>
      </c>
      <c r="BE85" s="3" t="e">
        <f t="shared" si="14"/>
        <v>#VALUE!</v>
      </c>
      <c r="BF85" s="430">
        <v>16</v>
      </c>
      <c r="BG85" s="430">
        <v>16</v>
      </c>
      <c r="BH85" s="121">
        <f t="shared" si="26"/>
        <v>1.7777777777777777</v>
      </c>
      <c r="BI85" s="8">
        <f t="shared" si="15"/>
        <v>977.77777777777771</v>
      </c>
      <c r="BJ85" s="8">
        <f t="shared" si="16"/>
        <v>1</v>
      </c>
      <c r="BK85" s="3">
        <f t="shared" si="27"/>
        <v>1616</v>
      </c>
      <c r="BL85" s="3" t="e">
        <v>#VALUE!</v>
      </c>
      <c r="BW85" s="3">
        <f t="shared" si="83"/>
        <v>0</v>
      </c>
    </row>
    <row r="86" spans="1:75" x14ac:dyDescent="0.3">
      <c r="A86" s="431">
        <v>53</v>
      </c>
      <c r="B86" s="272"/>
      <c r="C86" s="273">
        <f t="shared" si="0"/>
        <v>2</v>
      </c>
      <c r="D86" s="372"/>
      <c r="E86" s="274"/>
      <c r="F86" s="273" t="str">
        <f t="shared" si="84"/>
        <v/>
      </c>
      <c r="G86" s="275" t="str">
        <f t="shared" si="84"/>
        <v/>
      </c>
      <c r="H86" s="276" t="str">
        <f t="shared" si="2"/>
        <v/>
      </c>
      <c r="I86" s="277" t="str">
        <f t="shared" si="3"/>
        <v/>
      </c>
      <c r="J86" s="276" t="str">
        <f t="shared" si="4"/>
        <v/>
      </c>
      <c r="K86" s="276">
        <f t="shared" si="5"/>
        <v>0</v>
      </c>
      <c r="L86" s="278"/>
      <c r="M86" s="279">
        <f t="shared" si="6"/>
        <v>1</v>
      </c>
      <c r="N86" s="360" t="str">
        <f t="shared" si="7"/>
        <v/>
      </c>
      <c r="O86" s="117" t="str">
        <f t="shared" si="8"/>
        <v/>
      </c>
      <c r="P86" s="359" t="str">
        <f t="shared" si="9"/>
        <v/>
      </c>
      <c r="Q86" s="280" t="str">
        <f t="shared" si="24"/>
        <v/>
      </c>
      <c r="R86" s="282" t="str">
        <f t="shared" si="10"/>
        <v/>
      </c>
      <c r="S86" s="283" t="str">
        <f t="shared" si="11"/>
        <v>---</v>
      </c>
      <c r="V86" s="3" t="str">
        <f>IFERROR(VALUE(TEXT(C86,"00")&amp;TEXT(N86,"00")&amp;TEXT(P86,"00")&amp;IF(#REF!="Plato perforado",5,IF(OR(#REF!="N/A",#REF!=""),0,#REF!))),"")</f>
        <v/>
      </c>
      <c r="BC86" s="3" t="str">
        <f t="shared" si="81"/>
        <v/>
      </c>
      <c r="BD86" s="3" t="str">
        <f t="shared" si="82"/>
        <v/>
      </c>
      <c r="BE86" s="3" t="e">
        <f t="shared" si="14"/>
        <v>#VALUE!</v>
      </c>
      <c r="BF86" s="430">
        <v>16</v>
      </c>
      <c r="BG86" s="430">
        <v>18</v>
      </c>
      <c r="BH86" s="121">
        <f t="shared" si="26"/>
        <v>2</v>
      </c>
      <c r="BI86" s="8">
        <f t="shared" si="15"/>
        <v>1100</v>
      </c>
      <c r="BJ86" s="8">
        <f t="shared" si="16"/>
        <v>0.88888888888888884</v>
      </c>
      <c r="BK86" s="3">
        <f t="shared" si="27"/>
        <v>1618</v>
      </c>
      <c r="BL86" s="3" t="e">
        <v>#VALUE!</v>
      </c>
      <c r="BW86" s="3">
        <f t="shared" si="83"/>
        <v>0</v>
      </c>
    </row>
    <row r="87" spans="1:75" x14ac:dyDescent="0.3">
      <c r="A87" s="431">
        <v>54</v>
      </c>
      <c r="B87" s="284"/>
      <c r="C87" s="285">
        <f t="shared" si="0"/>
        <v>2</v>
      </c>
      <c r="D87" s="373"/>
      <c r="E87" s="286"/>
      <c r="F87" s="285" t="str">
        <f t="shared" si="84"/>
        <v/>
      </c>
      <c r="G87" s="287" t="str">
        <f t="shared" si="84"/>
        <v/>
      </c>
      <c r="H87" s="288" t="str">
        <f t="shared" si="2"/>
        <v/>
      </c>
      <c r="I87" s="289" t="str">
        <f t="shared" si="3"/>
        <v/>
      </c>
      <c r="J87" s="288" t="str">
        <f t="shared" si="4"/>
        <v/>
      </c>
      <c r="K87" s="288">
        <f t="shared" si="5"/>
        <v>0</v>
      </c>
      <c r="L87" s="290"/>
      <c r="M87" s="291">
        <f t="shared" si="6"/>
        <v>1</v>
      </c>
      <c r="N87" s="466" t="str">
        <f t="shared" si="7"/>
        <v/>
      </c>
      <c r="O87" s="302" t="str">
        <f t="shared" si="8"/>
        <v/>
      </c>
      <c r="P87" s="468" t="str">
        <f t="shared" si="9"/>
        <v/>
      </c>
      <c r="Q87" s="292" t="str">
        <f t="shared" si="24"/>
        <v/>
      </c>
      <c r="R87" s="294" t="str">
        <f t="shared" si="10"/>
        <v/>
      </c>
      <c r="S87" s="295" t="str">
        <f t="shared" si="11"/>
        <v>---</v>
      </c>
      <c r="V87" s="3" t="str">
        <f>IFERROR(VALUE(TEXT(C87,"00")&amp;TEXT(N87,"00")&amp;TEXT(P87,"00")&amp;IF(#REF!="Plato perforado",5,IF(OR(#REF!="N/A",#REF!=""),0,#REF!))),"")</f>
        <v/>
      </c>
      <c r="BC87" s="3" t="str">
        <f t="shared" si="81"/>
        <v/>
      </c>
      <c r="BD87" s="3" t="str">
        <f t="shared" si="82"/>
        <v/>
      </c>
      <c r="BE87" s="3" t="e">
        <f t="shared" si="14"/>
        <v>#VALUE!</v>
      </c>
      <c r="BF87" s="430">
        <v>16</v>
      </c>
      <c r="BG87" s="430">
        <v>20</v>
      </c>
      <c r="BH87" s="121">
        <f t="shared" si="26"/>
        <v>2.2222222222222223</v>
      </c>
      <c r="BI87" s="8">
        <f t="shared" si="15"/>
        <v>1222.2222222222222</v>
      </c>
      <c r="BJ87" s="8">
        <f t="shared" si="16"/>
        <v>0.8</v>
      </c>
      <c r="BK87" s="3">
        <f t="shared" si="27"/>
        <v>1620</v>
      </c>
      <c r="BL87" s="3" t="e">
        <v>#VALUE!</v>
      </c>
      <c r="BW87" s="3">
        <f t="shared" si="83"/>
        <v>0</v>
      </c>
    </row>
    <row r="88" spans="1:75" x14ac:dyDescent="0.3">
      <c r="A88" s="431">
        <v>55</v>
      </c>
      <c r="B88" s="260"/>
      <c r="C88" s="261">
        <f t="shared" si="0"/>
        <v>2</v>
      </c>
      <c r="D88" s="371"/>
      <c r="E88" s="262"/>
      <c r="F88" s="261" t="str">
        <f t="shared" si="84"/>
        <v/>
      </c>
      <c r="G88" s="263" t="str">
        <f t="shared" si="84"/>
        <v/>
      </c>
      <c r="H88" s="264" t="str">
        <f t="shared" si="2"/>
        <v/>
      </c>
      <c r="I88" s="265" t="str">
        <f t="shared" si="3"/>
        <v/>
      </c>
      <c r="J88" s="264" t="str">
        <f t="shared" si="4"/>
        <v/>
      </c>
      <c r="K88" s="264">
        <f t="shared" si="5"/>
        <v>0</v>
      </c>
      <c r="L88" s="266"/>
      <c r="M88" s="267">
        <f t="shared" si="6"/>
        <v>1</v>
      </c>
      <c r="N88" s="465" t="str">
        <f t="shared" si="7"/>
        <v/>
      </c>
      <c r="O88" s="297" t="str">
        <f t="shared" si="8"/>
        <v/>
      </c>
      <c r="P88" s="467" t="str">
        <f t="shared" si="9"/>
        <v/>
      </c>
      <c r="Q88" s="268" t="str">
        <f t="shared" si="24"/>
        <v/>
      </c>
      <c r="R88" s="270" t="str">
        <f t="shared" si="10"/>
        <v/>
      </c>
      <c r="S88" s="271" t="str">
        <f t="shared" si="11"/>
        <v>---</v>
      </c>
      <c r="V88" s="3" t="str">
        <f>IFERROR(VALUE(TEXT(C88,"00")&amp;TEXT(N88,"00")&amp;TEXT(P88,"00")&amp;IF(#REF!="Plato perforado",5,IF(OR(#REF!="N/A",#REF!=""),0,#REF!))),"")</f>
        <v/>
      </c>
      <c r="BC88" s="3" t="str">
        <f t="shared" si="81"/>
        <v/>
      </c>
      <c r="BD88" s="3" t="str">
        <f t="shared" si="82"/>
        <v/>
      </c>
      <c r="BE88" s="3" t="e">
        <f t="shared" si="14"/>
        <v>#VALUE!</v>
      </c>
      <c r="BF88" s="430">
        <v>16</v>
      </c>
      <c r="BG88" s="430">
        <v>22</v>
      </c>
      <c r="BH88" s="121">
        <f t="shared" si="26"/>
        <v>2.4444444444444442</v>
      </c>
      <c r="BI88" s="8">
        <f t="shared" si="15"/>
        <v>1344.4444444444443</v>
      </c>
      <c r="BJ88" s="8">
        <f t="shared" si="16"/>
        <v>0.72727272727272729</v>
      </c>
      <c r="BK88" s="3">
        <f t="shared" si="27"/>
        <v>1622</v>
      </c>
      <c r="BL88" s="3" t="e">
        <v>#VALUE!</v>
      </c>
      <c r="BW88" s="3">
        <f t="shared" si="83"/>
        <v>0</v>
      </c>
    </row>
    <row r="89" spans="1:75" x14ac:dyDescent="0.3">
      <c r="A89" s="431">
        <v>56</v>
      </c>
      <c r="B89" s="272"/>
      <c r="C89" s="273">
        <f t="shared" si="0"/>
        <v>2</v>
      </c>
      <c r="D89" s="372"/>
      <c r="E89" s="274"/>
      <c r="F89" s="273" t="str">
        <f t="shared" si="84"/>
        <v/>
      </c>
      <c r="G89" s="275" t="str">
        <f t="shared" si="84"/>
        <v/>
      </c>
      <c r="H89" s="276" t="str">
        <f t="shared" si="2"/>
        <v/>
      </c>
      <c r="I89" s="277" t="str">
        <f t="shared" si="3"/>
        <v/>
      </c>
      <c r="J89" s="276" t="str">
        <f t="shared" si="4"/>
        <v/>
      </c>
      <c r="K89" s="276">
        <f t="shared" si="5"/>
        <v>0</v>
      </c>
      <c r="L89" s="278"/>
      <c r="M89" s="279">
        <f t="shared" si="6"/>
        <v>1</v>
      </c>
      <c r="N89" s="360" t="str">
        <f t="shared" si="7"/>
        <v/>
      </c>
      <c r="O89" s="117" t="str">
        <f t="shared" si="8"/>
        <v/>
      </c>
      <c r="P89" s="359" t="str">
        <f t="shared" si="9"/>
        <v/>
      </c>
      <c r="Q89" s="280" t="str">
        <f t="shared" si="24"/>
        <v/>
      </c>
      <c r="R89" s="282" t="str">
        <f t="shared" si="10"/>
        <v/>
      </c>
      <c r="S89" s="283" t="str">
        <f t="shared" si="11"/>
        <v>---</v>
      </c>
      <c r="V89" s="3" t="str">
        <f>IFERROR(VALUE(TEXT(C89,"00")&amp;TEXT(N89,"00")&amp;TEXT(P89,"00")&amp;IF(#REF!="Plato perforado",5,IF(OR(#REF!="N/A",#REF!=""),0,#REF!))),"")</f>
        <v/>
      </c>
      <c r="BC89" s="3" t="str">
        <f t="shared" si="81"/>
        <v/>
      </c>
      <c r="BD89" s="3" t="str">
        <f t="shared" si="82"/>
        <v/>
      </c>
      <c r="BE89" s="3" t="e">
        <f t="shared" si="14"/>
        <v>#VALUE!</v>
      </c>
      <c r="BF89" s="430">
        <v>16</v>
      </c>
      <c r="BG89" s="430">
        <v>24</v>
      </c>
      <c r="BH89" s="121">
        <f t="shared" si="26"/>
        <v>2.6666666666666665</v>
      </c>
      <c r="BI89" s="8">
        <f t="shared" si="15"/>
        <v>1466.6666666666665</v>
      </c>
      <c r="BJ89" s="8">
        <f t="shared" si="16"/>
        <v>0.66666666666666663</v>
      </c>
      <c r="BK89" s="3">
        <f t="shared" si="27"/>
        <v>1624</v>
      </c>
      <c r="BL89" s="3" t="e">
        <v>#VALUE!</v>
      </c>
      <c r="BW89" s="3">
        <f t="shared" si="83"/>
        <v>0</v>
      </c>
    </row>
    <row r="90" spans="1:75" x14ac:dyDescent="0.3">
      <c r="A90" s="431">
        <v>57</v>
      </c>
      <c r="B90" s="284"/>
      <c r="C90" s="285">
        <f t="shared" si="0"/>
        <v>2</v>
      </c>
      <c r="D90" s="373"/>
      <c r="E90" s="286"/>
      <c r="F90" s="285" t="str">
        <f t="shared" si="84"/>
        <v/>
      </c>
      <c r="G90" s="287" t="str">
        <f t="shared" si="84"/>
        <v/>
      </c>
      <c r="H90" s="288" t="str">
        <f t="shared" si="2"/>
        <v/>
      </c>
      <c r="I90" s="289" t="str">
        <f t="shared" si="3"/>
        <v/>
      </c>
      <c r="J90" s="288" t="str">
        <f t="shared" si="4"/>
        <v/>
      </c>
      <c r="K90" s="288">
        <f t="shared" si="5"/>
        <v>0</v>
      </c>
      <c r="L90" s="290"/>
      <c r="M90" s="291">
        <f t="shared" si="6"/>
        <v>1</v>
      </c>
      <c r="N90" s="466" t="str">
        <f t="shared" si="7"/>
        <v/>
      </c>
      <c r="O90" s="302" t="str">
        <f t="shared" si="8"/>
        <v/>
      </c>
      <c r="P90" s="468" t="str">
        <f t="shared" si="9"/>
        <v/>
      </c>
      <c r="Q90" s="292" t="str">
        <f t="shared" si="24"/>
        <v/>
      </c>
      <c r="R90" s="294" t="str">
        <f t="shared" si="10"/>
        <v/>
      </c>
      <c r="S90" s="295" t="str">
        <f t="shared" si="11"/>
        <v>---</v>
      </c>
      <c r="V90" s="3" t="str">
        <f>IFERROR(VALUE(TEXT(C90,"00")&amp;TEXT(N90,"00")&amp;TEXT(P90,"00")&amp;IF(#REF!="Plato perforado",5,IF(OR(#REF!="N/A",#REF!=""),0,#REF!))),"")</f>
        <v/>
      </c>
      <c r="BC90" s="3" t="str">
        <f t="shared" si="81"/>
        <v/>
      </c>
      <c r="BD90" s="3" t="str">
        <f t="shared" si="82"/>
        <v/>
      </c>
      <c r="BE90" s="3" t="e">
        <f t="shared" si="14"/>
        <v>#VALUE!</v>
      </c>
      <c r="BF90" s="430">
        <v>18</v>
      </c>
      <c r="BG90" s="430">
        <v>8</v>
      </c>
      <c r="BH90" s="121">
        <f t="shared" si="26"/>
        <v>1</v>
      </c>
      <c r="BI90" s="8">
        <f t="shared" si="15"/>
        <v>550</v>
      </c>
      <c r="BJ90" s="8">
        <f t="shared" si="16"/>
        <v>2.25</v>
      </c>
      <c r="BK90" s="3">
        <f t="shared" si="27"/>
        <v>1808</v>
      </c>
      <c r="BL90" s="3" t="e">
        <v>#VALUE!</v>
      </c>
      <c r="BW90" s="3">
        <f t="shared" si="83"/>
        <v>0</v>
      </c>
    </row>
    <row r="91" spans="1:75" x14ac:dyDescent="0.3">
      <c r="A91" s="431">
        <v>58</v>
      </c>
      <c r="B91" s="260"/>
      <c r="C91" s="261">
        <f t="shared" si="0"/>
        <v>2</v>
      </c>
      <c r="D91" s="371"/>
      <c r="E91" s="262"/>
      <c r="F91" s="261" t="str">
        <f t="shared" si="84"/>
        <v/>
      </c>
      <c r="G91" s="263" t="str">
        <f t="shared" si="84"/>
        <v/>
      </c>
      <c r="H91" s="264" t="str">
        <f t="shared" si="2"/>
        <v/>
      </c>
      <c r="I91" s="265" t="str">
        <f t="shared" si="3"/>
        <v/>
      </c>
      <c r="J91" s="264" t="str">
        <f t="shared" si="4"/>
        <v/>
      </c>
      <c r="K91" s="264">
        <f t="shared" si="5"/>
        <v>0</v>
      </c>
      <c r="L91" s="266"/>
      <c r="M91" s="267">
        <f t="shared" si="6"/>
        <v>1</v>
      </c>
      <c r="N91" s="465" t="str">
        <f t="shared" si="7"/>
        <v/>
      </c>
      <c r="O91" s="297" t="str">
        <f t="shared" si="8"/>
        <v/>
      </c>
      <c r="P91" s="467" t="str">
        <f t="shared" si="9"/>
        <v/>
      </c>
      <c r="Q91" s="268" t="str">
        <f t="shared" si="24"/>
        <v/>
      </c>
      <c r="R91" s="270" t="str">
        <f t="shared" si="10"/>
        <v/>
      </c>
      <c r="S91" s="271" t="str">
        <f t="shared" si="11"/>
        <v>---</v>
      </c>
      <c r="V91" s="3" t="str">
        <f>IFERROR(VALUE(TEXT(C91,"00")&amp;TEXT(N91,"00")&amp;TEXT(P91,"00")&amp;IF(#REF!="Plato perforado",5,IF(OR(#REF!="N/A",#REF!=""),0,#REF!))),"")</f>
        <v/>
      </c>
      <c r="BC91" s="3" t="str">
        <f t="shared" si="81"/>
        <v/>
      </c>
      <c r="BD91" s="3" t="str">
        <f t="shared" si="82"/>
        <v/>
      </c>
      <c r="BE91" s="3" t="e">
        <f t="shared" si="14"/>
        <v>#VALUE!</v>
      </c>
      <c r="BF91" s="430">
        <v>18</v>
      </c>
      <c r="BG91" s="430">
        <v>10</v>
      </c>
      <c r="BH91" s="121">
        <f t="shared" si="26"/>
        <v>1.25</v>
      </c>
      <c r="BI91" s="8">
        <f t="shared" si="15"/>
        <v>687.5</v>
      </c>
      <c r="BJ91" s="8">
        <f t="shared" si="16"/>
        <v>1.8</v>
      </c>
      <c r="BK91" s="3">
        <f t="shared" si="27"/>
        <v>1810</v>
      </c>
      <c r="BL91" s="3" t="e">
        <v>#VALUE!</v>
      </c>
      <c r="BW91" s="3">
        <f t="shared" si="83"/>
        <v>0</v>
      </c>
    </row>
    <row r="92" spans="1:75" x14ac:dyDescent="0.3">
      <c r="A92" s="431">
        <v>59</v>
      </c>
      <c r="B92" s="272"/>
      <c r="C92" s="273">
        <f t="shared" si="0"/>
        <v>2</v>
      </c>
      <c r="D92" s="372"/>
      <c r="E92" s="274"/>
      <c r="F92" s="273" t="str">
        <f t="shared" si="84"/>
        <v/>
      </c>
      <c r="G92" s="275" t="str">
        <f t="shared" si="84"/>
        <v/>
      </c>
      <c r="H92" s="276" t="str">
        <f t="shared" si="2"/>
        <v/>
      </c>
      <c r="I92" s="277" t="str">
        <f t="shared" si="3"/>
        <v/>
      </c>
      <c r="J92" s="276" t="str">
        <f t="shared" si="4"/>
        <v/>
      </c>
      <c r="K92" s="276">
        <f t="shared" si="5"/>
        <v>0</v>
      </c>
      <c r="L92" s="278"/>
      <c r="M92" s="279">
        <f t="shared" si="6"/>
        <v>1</v>
      </c>
      <c r="N92" s="360" t="str">
        <f t="shared" si="7"/>
        <v/>
      </c>
      <c r="O92" s="117" t="str">
        <f t="shared" si="8"/>
        <v/>
      </c>
      <c r="P92" s="359" t="str">
        <f t="shared" si="9"/>
        <v/>
      </c>
      <c r="Q92" s="280" t="str">
        <f t="shared" si="24"/>
        <v/>
      </c>
      <c r="R92" s="282" t="str">
        <f t="shared" si="10"/>
        <v/>
      </c>
      <c r="S92" s="283" t="str">
        <f t="shared" si="11"/>
        <v>---</v>
      </c>
      <c r="V92" s="3" t="str">
        <f>IFERROR(VALUE(TEXT(C92,"00")&amp;TEXT(N92,"00")&amp;TEXT(P92,"00")&amp;IF(#REF!="Plato perforado",5,IF(OR(#REF!="N/A",#REF!=""),0,#REF!))),"")</f>
        <v/>
      </c>
      <c r="BC92" s="3" t="str">
        <f t="shared" si="81"/>
        <v/>
      </c>
      <c r="BD92" s="3" t="str">
        <f t="shared" si="82"/>
        <v/>
      </c>
      <c r="BE92" s="3" t="e">
        <f t="shared" si="14"/>
        <v>#VALUE!</v>
      </c>
      <c r="BF92" s="430">
        <v>18</v>
      </c>
      <c r="BG92" s="430">
        <v>12</v>
      </c>
      <c r="BH92" s="121">
        <f t="shared" si="26"/>
        <v>1.5</v>
      </c>
      <c r="BI92" s="8">
        <f t="shared" si="15"/>
        <v>825</v>
      </c>
      <c r="BJ92" s="8">
        <f t="shared" si="16"/>
        <v>1.5</v>
      </c>
      <c r="BK92" s="3">
        <f t="shared" si="27"/>
        <v>1812</v>
      </c>
      <c r="BL92" s="3" t="e">
        <v>#VALUE!</v>
      </c>
      <c r="BW92" s="3">
        <f t="shared" si="83"/>
        <v>0</v>
      </c>
    </row>
    <row r="93" spans="1:75" x14ac:dyDescent="0.3">
      <c r="A93" s="431">
        <v>60</v>
      </c>
      <c r="B93" s="284"/>
      <c r="C93" s="285">
        <f t="shared" si="0"/>
        <v>2</v>
      </c>
      <c r="D93" s="373"/>
      <c r="E93" s="286"/>
      <c r="F93" s="285" t="str">
        <f t="shared" si="84"/>
        <v/>
      </c>
      <c r="G93" s="287" t="str">
        <f t="shared" si="84"/>
        <v/>
      </c>
      <c r="H93" s="288" t="str">
        <f t="shared" si="2"/>
        <v/>
      </c>
      <c r="I93" s="289" t="str">
        <f t="shared" si="3"/>
        <v/>
      </c>
      <c r="J93" s="288" t="str">
        <f t="shared" si="4"/>
        <v/>
      </c>
      <c r="K93" s="288">
        <f t="shared" si="5"/>
        <v>0</v>
      </c>
      <c r="L93" s="290"/>
      <c r="M93" s="291">
        <f t="shared" si="6"/>
        <v>1</v>
      </c>
      <c r="N93" s="466" t="str">
        <f t="shared" si="7"/>
        <v/>
      </c>
      <c r="O93" s="302" t="str">
        <f t="shared" si="8"/>
        <v/>
      </c>
      <c r="P93" s="468" t="str">
        <f t="shared" si="9"/>
        <v/>
      </c>
      <c r="Q93" s="292" t="str">
        <f t="shared" si="24"/>
        <v/>
      </c>
      <c r="R93" s="294" t="str">
        <f t="shared" si="10"/>
        <v/>
      </c>
      <c r="S93" s="295" t="str">
        <f t="shared" si="11"/>
        <v>---</v>
      </c>
      <c r="V93" s="3" t="str">
        <f>IFERROR(VALUE(TEXT(C93,"00")&amp;TEXT(N93,"00")&amp;TEXT(P93,"00")&amp;IF(#REF!="Plato perforado",5,IF(OR(#REF!="N/A",#REF!=""),0,#REF!))),"")</f>
        <v/>
      </c>
      <c r="BC93" s="3" t="str">
        <f t="shared" si="81"/>
        <v/>
      </c>
      <c r="BD93" s="3" t="str">
        <f t="shared" si="82"/>
        <v/>
      </c>
      <c r="BE93" s="3" t="e">
        <f t="shared" si="14"/>
        <v>#VALUE!</v>
      </c>
      <c r="BF93" s="430">
        <v>18</v>
      </c>
      <c r="BG93" s="430">
        <v>14</v>
      </c>
      <c r="BH93" s="121">
        <f t="shared" si="26"/>
        <v>1.75</v>
      </c>
      <c r="BI93" s="8">
        <f t="shared" si="15"/>
        <v>962.5</v>
      </c>
      <c r="BJ93" s="8">
        <f t="shared" si="16"/>
        <v>1.2857142857142858</v>
      </c>
      <c r="BK93" s="3">
        <f t="shared" si="27"/>
        <v>1814</v>
      </c>
      <c r="BL93" s="3" t="e">
        <v>#VALUE!</v>
      </c>
      <c r="BW93" s="3">
        <f t="shared" si="83"/>
        <v>0</v>
      </c>
    </row>
    <row r="94" spans="1:75" x14ac:dyDescent="0.3">
      <c r="A94" s="431">
        <v>61</v>
      </c>
      <c r="B94" s="260"/>
      <c r="C94" s="261">
        <f t="shared" si="0"/>
        <v>2</v>
      </c>
      <c r="D94" s="371"/>
      <c r="E94" s="262"/>
      <c r="F94" s="261" t="str">
        <f t="shared" ref="F94:G113" si="85">IFERROR(VLOOKUP($E94,DMFA,F$29,FALSE),"")</f>
        <v/>
      </c>
      <c r="G94" s="263" t="str">
        <f t="shared" si="85"/>
        <v/>
      </c>
      <c r="H94" s="264" t="str">
        <f t="shared" si="2"/>
        <v/>
      </c>
      <c r="I94" s="265" t="str">
        <f t="shared" si="3"/>
        <v/>
      </c>
      <c r="J94" s="264" t="str">
        <f t="shared" si="4"/>
        <v/>
      </c>
      <c r="K94" s="264">
        <f t="shared" si="5"/>
        <v>0</v>
      </c>
      <c r="L94" s="266"/>
      <c r="M94" s="267">
        <f t="shared" si="6"/>
        <v>1</v>
      </c>
      <c r="N94" s="465" t="str">
        <f t="shared" si="7"/>
        <v/>
      </c>
      <c r="O94" s="297" t="str">
        <f t="shared" si="8"/>
        <v/>
      </c>
      <c r="P94" s="467" t="str">
        <f t="shared" si="9"/>
        <v/>
      </c>
      <c r="Q94" s="268" t="str">
        <f t="shared" si="24"/>
        <v/>
      </c>
      <c r="R94" s="270" t="str">
        <f t="shared" si="10"/>
        <v/>
      </c>
      <c r="S94" s="271" t="str">
        <f t="shared" si="11"/>
        <v>---</v>
      </c>
      <c r="V94" s="3" t="str">
        <f>IFERROR(VALUE(TEXT(C94,"00")&amp;TEXT(N94,"00")&amp;TEXT(P94,"00")&amp;IF(#REF!="Plato perforado",5,IF(OR(#REF!="N/A",#REF!=""),0,#REF!))),"")</f>
        <v/>
      </c>
      <c r="BC94" s="3" t="str">
        <f t="shared" si="81"/>
        <v/>
      </c>
      <c r="BD94" s="3" t="str">
        <f t="shared" si="82"/>
        <v/>
      </c>
      <c r="BE94" s="3" t="e">
        <f t="shared" si="14"/>
        <v>#VALUE!</v>
      </c>
      <c r="BF94" s="430">
        <v>18</v>
      </c>
      <c r="BG94" s="430">
        <v>16</v>
      </c>
      <c r="BH94" s="121">
        <f t="shared" si="26"/>
        <v>2</v>
      </c>
      <c r="BI94" s="8">
        <f t="shared" si="15"/>
        <v>1100</v>
      </c>
      <c r="BJ94" s="8">
        <f t="shared" si="16"/>
        <v>1.125</v>
      </c>
      <c r="BK94" s="3">
        <f t="shared" si="27"/>
        <v>1816</v>
      </c>
      <c r="BL94" s="3" t="e">
        <v>#VALUE!</v>
      </c>
      <c r="BW94" s="3">
        <f t="shared" si="83"/>
        <v>0</v>
      </c>
    </row>
    <row r="95" spans="1:75" x14ac:dyDescent="0.3">
      <c r="A95" s="431">
        <v>62</v>
      </c>
      <c r="B95" s="272"/>
      <c r="C95" s="273">
        <f t="shared" si="0"/>
        <v>2</v>
      </c>
      <c r="D95" s="372"/>
      <c r="E95" s="274"/>
      <c r="F95" s="273" t="str">
        <f t="shared" si="85"/>
        <v/>
      </c>
      <c r="G95" s="275" t="str">
        <f t="shared" si="85"/>
        <v/>
      </c>
      <c r="H95" s="276" t="str">
        <f t="shared" si="2"/>
        <v/>
      </c>
      <c r="I95" s="277" t="str">
        <f t="shared" si="3"/>
        <v/>
      </c>
      <c r="J95" s="276" t="str">
        <f t="shared" si="4"/>
        <v/>
      </c>
      <c r="K95" s="276">
        <f t="shared" si="5"/>
        <v>0</v>
      </c>
      <c r="L95" s="278"/>
      <c r="M95" s="279">
        <f t="shared" si="6"/>
        <v>1</v>
      </c>
      <c r="N95" s="360" t="str">
        <f t="shared" si="7"/>
        <v/>
      </c>
      <c r="O95" s="117" t="str">
        <f t="shared" si="8"/>
        <v/>
      </c>
      <c r="P95" s="359" t="str">
        <f t="shared" si="9"/>
        <v/>
      </c>
      <c r="Q95" s="280" t="str">
        <f t="shared" si="24"/>
        <v/>
      </c>
      <c r="R95" s="282" t="str">
        <f t="shared" si="10"/>
        <v/>
      </c>
      <c r="S95" s="283" t="str">
        <f t="shared" si="11"/>
        <v>---</v>
      </c>
      <c r="V95" s="3" t="str">
        <f>IFERROR(VALUE(TEXT(C95,"00")&amp;TEXT(N95,"00")&amp;TEXT(P95,"00")&amp;IF(#REF!="Plato perforado",5,IF(OR(#REF!="N/A",#REF!=""),0,#REF!))),"")</f>
        <v/>
      </c>
      <c r="BC95" s="3" t="str">
        <f t="shared" si="81"/>
        <v/>
      </c>
      <c r="BD95" s="3" t="str">
        <f t="shared" si="82"/>
        <v/>
      </c>
      <c r="BE95" s="3" t="e">
        <f t="shared" si="14"/>
        <v>#VALUE!</v>
      </c>
      <c r="BF95" s="430">
        <v>18</v>
      </c>
      <c r="BG95" s="430">
        <v>18</v>
      </c>
      <c r="BH95" s="121">
        <f t="shared" si="26"/>
        <v>2.25</v>
      </c>
      <c r="BI95" s="8">
        <f t="shared" si="15"/>
        <v>1237.5</v>
      </c>
      <c r="BJ95" s="8">
        <f t="shared" si="16"/>
        <v>1</v>
      </c>
      <c r="BK95" s="3">
        <f t="shared" si="27"/>
        <v>1818</v>
      </c>
      <c r="BL95" s="3" t="e">
        <v>#VALUE!</v>
      </c>
      <c r="BW95" s="3">
        <f t="shared" si="83"/>
        <v>0</v>
      </c>
    </row>
    <row r="96" spans="1:75" x14ac:dyDescent="0.3">
      <c r="A96" s="431">
        <v>63</v>
      </c>
      <c r="B96" s="284"/>
      <c r="C96" s="285">
        <f t="shared" si="0"/>
        <v>2</v>
      </c>
      <c r="D96" s="373"/>
      <c r="E96" s="286"/>
      <c r="F96" s="285" t="str">
        <f t="shared" si="85"/>
        <v/>
      </c>
      <c r="G96" s="287" t="str">
        <f t="shared" si="85"/>
        <v/>
      </c>
      <c r="H96" s="288" t="str">
        <f t="shared" si="2"/>
        <v/>
      </c>
      <c r="I96" s="289" t="str">
        <f t="shared" si="3"/>
        <v/>
      </c>
      <c r="J96" s="288" t="str">
        <f t="shared" si="4"/>
        <v/>
      </c>
      <c r="K96" s="288">
        <f t="shared" si="5"/>
        <v>0</v>
      </c>
      <c r="L96" s="290"/>
      <c r="M96" s="291">
        <f t="shared" si="6"/>
        <v>1</v>
      </c>
      <c r="N96" s="466" t="str">
        <f t="shared" si="7"/>
        <v/>
      </c>
      <c r="O96" s="302" t="str">
        <f t="shared" si="8"/>
        <v/>
      </c>
      <c r="P96" s="468" t="str">
        <f t="shared" si="9"/>
        <v/>
      </c>
      <c r="Q96" s="292" t="str">
        <f t="shared" si="24"/>
        <v/>
      </c>
      <c r="R96" s="294" t="str">
        <f t="shared" si="10"/>
        <v/>
      </c>
      <c r="S96" s="295" t="str">
        <f t="shared" si="11"/>
        <v>---</v>
      </c>
      <c r="V96" s="3" t="str">
        <f>IFERROR(VALUE(TEXT(C96,"00")&amp;TEXT(N96,"00")&amp;TEXT(P96,"00")&amp;IF(#REF!="Plato perforado",5,IF(OR(#REF!="N/A",#REF!=""),0,#REF!))),"")</f>
        <v/>
      </c>
      <c r="BC96" s="3" t="str">
        <f t="shared" si="81"/>
        <v/>
      </c>
      <c r="BD96" s="3" t="str">
        <f t="shared" si="82"/>
        <v/>
      </c>
      <c r="BE96" s="3" t="e">
        <f t="shared" si="14"/>
        <v>#VALUE!</v>
      </c>
      <c r="BF96" s="430">
        <v>18</v>
      </c>
      <c r="BG96" s="430">
        <v>20</v>
      </c>
      <c r="BH96" s="121">
        <f t="shared" si="26"/>
        <v>2.5</v>
      </c>
      <c r="BI96" s="8">
        <f t="shared" si="15"/>
        <v>1375</v>
      </c>
      <c r="BJ96" s="8">
        <f t="shared" si="16"/>
        <v>0.9</v>
      </c>
      <c r="BK96" s="3">
        <f t="shared" si="27"/>
        <v>1820</v>
      </c>
      <c r="BL96" s="3" t="e">
        <v>#VALUE!</v>
      </c>
      <c r="BW96" s="3">
        <f t="shared" si="83"/>
        <v>0</v>
      </c>
    </row>
    <row r="97" spans="1:75" x14ac:dyDescent="0.3">
      <c r="A97" s="431">
        <v>64</v>
      </c>
      <c r="B97" s="260"/>
      <c r="C97" s="261">
        <f t="shared" si="0"/>
        <v>2</v>
      </c>
      <c r="D97" s="371"/>
      <c r="E97" s="262"/>
      <c r="F97" s="261" t="str">
        <f t="shared" si="85"/>
        <v/>
      </c>
      <c r="G97" s="263" t="str">
        <f t="shared" si="85"/>
        <v/>
      </c>
      <c r="H97" s="264" t="str">
        <f t="shared" si="2"/>
        <v/>
      </c>
      <c r="I97" s="265" t="str">
        <f t="shared" si="3"/>
        <v/>
      </c>
      <c r="J97" s="264" t="str">
        <f t="shared" si="4"/>
        <v/>
      </c>
      <c r="K97" s="264">
        <f t="shared" si="5"/>
        <v>0</v>
      </c>
      <c r="L97" s="266"/>
      <c r="M97" s="267">
        <f t="shared" si="6"/>
        <v>1</v>
      </c>
      <c r="N97" s="465" t="str">
        <f t="shared" si="7"/>
        <v/>
      </c>
      <c r="O97" s="297" t="str">
        <f t="shared" si="8"/>
        <v/>
      </c>
      <c r="P97" s="467" t="str">
        <f t="shared" si="9"/>
        <v/>
      </c>
      <c r="Q97" s="268" t="str">
        <f t="shared" si="24"/>
        <v/>
      </c>
      <c r="R97" s="270" t="str">
        <f t="shared" si="10"/>
        <v/>
      </c>
      <c r="S97" s="271" t="str">
        <f t="shared" si="11"/>
        <v>---</v>
      </c>
      <c r="V97" s="3" t="str">
        <f>IFERROR(VALUE(TEXT(C97,"00")&amp;TEXT(N97,"00")&amp;TEXT(P97,"00")&amp;IF(#REF!="Plato perforado",5,IF(OR(#REF!="N/A",#REF!=""),0,#REF!))),"")</f>
        <v/>
      </c>
      <c r="BC97" s="3" t="str">
        <f t="shared" si="81"/>
        <v/>
      </c>
      <c r="BD97" s="3" t="str">
        <f t="shared" si="82"/>
        <v/>
      </c>
      <c r="BE97" s="3" t="e">
        <f t="shared" si="14"/>
        <v>#VALUE!</v>
      </c>
      <c r="BF97" s="430">
        <v>20</v>
      </c>
      <c r="BG97" s="430">
        <v>10</v>
      </c>
      <c r="BH97" s="121">
        <f t="shared" si="26"/>
        <v>1.3888888888888891</v>
      </c>
      <c r="BI97" s="8">
        <f t="shared" si="15"/>
        <v>763.88888888888903</v>
      </c>
      <c r="BJ97" s="8">
        <f t="shared" si="16"/>
        <v>2</v>
      </c>
      <c r="BK97" s="3">
        <f t="shared" si="27"/>
        <v>2010</v>
      </c>
      <c r="BL97" s="3" t="e">
        <v>#VALUE!</v>
      </c>
      <c r="BW97" s="3">
        <f t="shared" si="83"/>
        <v>0</v>
      </c>
    </row>
    <row r="98" spans="1:75" x14ac:dyDescent="0.3">
      <c r="A98" s="431">
        <v>65</v>
      </c>
      <c r="B98" s="272"/>
      <c r="C98" s="273">
        <f t="shared" ref="C98:C161" si="86">IF(B98="RR",1,2)</f>
        <v>2</v>
      </c>
      <c r="D98" s="372"/>
      <c r="E98" s="274"/>
      <c r="F98" s="273" t="str">
        <f t="shared" si="85"/>
        <v/>
      </c>
      <c r="G98" s="275" t="str">
        <f t="shared" si="85"/>
        <v/>
      </c>
      <c r="H98" s="276" t="str">
        <f t="shared" ref="H98:H161" si="87">IF(COUNTIF($E$34:$E$183,E98)=0,"",COUNTIF($E$34:$E$183,E98))</f>
        <v/>
      </c>
      <c r="I98" s="277" t="str">
        <f t="shared" si="3"/>
        <v/>
      </c>
      <c r="J98" s="276" t="str">
        <f t="shared" ref="J98:J161" si="88">IF(I98="","",TEXT(I98/G98,"0.0 %"))</f>
        <v/>
      </c>
      <c r="K98" s="276">
        <f t="shared" ref="K98:K161" si="89">IF(C98=1,$J$16,IF(C98=2,$J$17,IF(C98=3,$J$18,0)))</f>
        <v>0</v>
      </c>
      <c r="L98" s="278"/>
      <c r="M98" s="279">
        <f t="shared" ref="M98:M161" si="90">IF(OR(L98=0,C98=2),1,L98)</f>
        <v>1</v>
      </c>
      <c r="N98" s="360" t="str">
        <f t="shared" ref="N98:N161" si="91">IFERROR(MAX(_xlfn.CEILING.MATH(SQRT(I98/(M98*INDEX($D$16:$D$18,C98)))*12,INDEX($J$16:$J$18,C98)),INDEX($L$16:$L$18,C98)),"")</f>
        <v/>
      </c>
      <c r="O98" s="117" t="str">
        <f t="shared" ref="O98:O161" si="92">IF(I98="","","×")</f>
        <v/>
      </c>
      <c r="P98" s="359" t="str">
        <f t="shared" ref="P98:P161" si="93">IFERROR(MAX(_xlfn.CEILING.MATH(SQRT((I98*M98)/INDEX($D$16:$D$18,C98))*12,INDEX($J$16:$J$18,C98)),INDEX($L$16:$L$18,C98)),"")</f>
        <v/>
      </c>
      <c r="Q98" s="280" t="str">
        <f t="shared" si="24"/>
        <v/>
      </c>
      <c r="R98" s="282" t="str">
        <f t="shared" ref="R98:R161" si="94">IF(C98=1,IF(N98&gt;=P98,"FL","FS"),IF(I98="","","N/A"))</f>
        <v/>
      </c>
      <c r="S98" s="283" t="str">
        <f t="shared" ref="S98:S161" si="95">IFERROR(IF(C98=1,(0.000000275)*Q98^1.993,"---"),"")</f>
        <v>---</v>
      </c>
      <c r="V98" s="3" t="str">
        <f>IFERROR(VALUE(TEXT(C98,"00")&amp;TEXT(N98,"00")&amp;TEXT(P98,"00")&amp;IF(#REF!="Plato perforado",5,IF(OR(#REF!="N/A",#REF!=""),0,#REF!))),"")</f>
        <v/>
      </c>
      <c r="BC98" s="3" t="str">
        <f t="shared" ref="BC98:BC129" si="96">IF(C98=2,N98,0)</f>
        <v/>
      </c>
      <c r="BD98" s="3" t="str">
        <f t="shared" ref="BD98:BD129" si="97">IF(C98=2,P98,0)</f>
        <v/>
      </c>
      <c r="BE98" s="3" t="e">
        <f t="shared" ref="BE98:BE161" si="98">VALUE(TEXT(BC98,"00")&amp;TEXT(BD98,"00"))</f>
        <v>#VALUE!</v>
      </c>
      <c r="BF98" s="430">
        <v>20</v>
      </c>
      <c r="BG98" s="430">
        <v>12</v>
      </c>
      <c r="BH98" s="121">
        <f t="shared" si="26"/>
        <v>1.6666666666666667</v>
      </c>
      <c r="BI98" s="8">
        <f t="shared" ref="BI98:BI114" si="99">BH98*$BI$31</f>
        <v>916.66666666666674</v>
      </c>
      <c r="BJ98" s="8">
        <f t="shared" ref="BJ98:BJ109" si="100">BF98/BG98</f>
        <v>1.6666666666666667</v>
      </c>
      <c r="BK98" s="3">
        <f t="shared" si="27"/>
        <v>2012</v>
      </c>
      <c r="BL98" s="3" t="e">
        <v>#VALUE!</v>
      </c>
      <c r="BW98" s="3">
        <f t="shared" ref="BW98:BW129" si="101">IF(C98=3,R98,0)</f>
        <v>0</v>
      </c>
    </row>
    <row r="99" spans="1:75" x14ac:dyDescent="0.3">
      <c r="A99" s="431">
        <v>66</v>
      </c>
      <c r="B99" s="284"/>
      <c r="C99" s="285">
        <f t="shared" si="86"/>
        <v>2</v>
      </c>
      <c r="D99" s="373"/>
      <c r="E99" s="286"/>
      <c r="F99" s="285" t="str">
        <f t="shared" si="85"/>
        <v/>
      </c>
      <c r="G99" s="287" t="str">
        <f t="shared" si="85"/>
        <v/>
      </c>
      <c r="H99" s="288" t="str">
        <f t="shared" si="87"/>
        <v/>
      </c>
      <c r="I99" s="289" t="str">
        <f t="shared" ref="I99:I162" si="102">IF(OR(G99="",H99=""),"",G99/H99)</f>
        <v/>
      </c>
      <c r="J99" s="288" t="str">
        <f t="shared" si="88"/>
        <v/>
      </c>
      <c r="K99" s="288">
        <f t="shared" si="89"/>
        <v>0</v>
      </c>
      <c r="L99" s="290"/>
      <c r="M99" s="291">
        <f t="shared" si="90"/>
        <v>1</v>
      </c>
      <c r="N99" s="466" t="str">
        <f t="shared" si="91"/>
        <v/>
      </c>
      <c r="O99" s="302" t="str">
        <f t="shared" si="92"/>
        <v/>
      </c>
      <c r="P99" s="468" t="str">
        <f t="shared" si="93"/>
        <v/>
      </c>
      <c r="Q99" s="292" t="str">
        <f t="shared" ref="Q99:Q162" si="103">IF(I99="","",IF(N99="---","---",I99/(N99/12*P99/12)))</f>
        <v/>
      </c>
      <c r="R99" s="294" t="str">
        <f t="shared" si="94"/>
        <v/>
      </c>
      <c r="S99" s="295" t="str">
        <f t="shared" si="95"/>
        <v>---</v>
      </c>
      <c r="V99" s="3" t="str">
        <f>IFERROR(VALUE(TEXT(C99,"00")&amp;TEXT(N99,"00")&amp;TEXT(P99,"00")&amp;IF(#REF!="Plato perforado",5,IF(OR(#REF!="N/A",#REF!=""),0,#REF!))),"")</f>
        <v/>
      </c>
      <c r="BC99" s="3" t="str">
        <f t="shared" si="96"/>
        <v/>
      </c>
      <c r="BD99" s="3" t="str">
        <f t="shared" si="97"/>
        <v/>
      </c>
      <c r="BE99" s="3" t="e">
        <f t="shared" si="98"/>
        <v>#VALUE!</v>
      </c>
      <c r="BF99" s="430">
        <v>20</v>
      </c>
      <c r="BG99" s="430">
        <v>14</v>
      </c>
      <c r="BH99" s="121">
        <f t="shared" ref="BH99:BH109" si="104">(BF99/12)*(BG99/12)</f>
        <v>1.9444444444444446</v>
      </c>
      <c r="BI99" s="8">
        <f t="shared" si="99"/>
        <v>1069.4444444444446</v>
      </c>
      <c r="BJ99" s="8">
        <f t="shared" si="100"/>
        <v>1.4285714285714286</v>
      </c>
      <c r="BK99" s="3">
        <f t="shared" ref="BK99:BK114" si="105">VALUE(TEXT(BF99,"00")&amp;TEXT(BG99,"00"))</f>
        <v>2014</v>
      </c>
      <c r="BL99" s="3" t="e">
        <v>#VALUE!</v>
      </c>
      <c r="BW99" s="3">
        <f t="shared" si="101"/>
        <v>0</v>
      </c>
    </row>
    <row r="100" spans="1:75" x14ac:dyDescent="0.3">
      <c r="A100" s="431">
        <v>67</v>
      </c>
      <c r="B100" s="260"/>
      <c r="C100" s="261">
        <f t="shared" si="86"/>
        <v>2</v>
      </c>
      <c r="D100" s="371"/>
      <c r="E100" s="262"/>
      <c r="F100" s="261" t="str">
        <f t="shared" si="85"/>
        <v/>
      </c>
      <c r="G100" s="263" t="str">
        <f t="shared" si="85"/>
        <v/>
      </c>
      <c r="H100" s="264" t="str">
        <f t="shared" si="87"/>
        <v/>
      </c>
      <c r="I100" s="265" t="str">
        <f t="shared" si="102"/>
        <v/>
      </c>
      <c r="J100" s="264" t="str">
        <f t="shared" si="88"/>
        <v/>
      </c>
      <c r="K100" s="264">
        <f t="shared" si="89"/>
        <v>0</v>
      </c>
      <c r="L100" s="266"/>
      <c r="M100" s="267">
        <f t="shared" si="90"/>
        <v>1</v>
      </c>
      <c r="N100" s="465" t="str">
        <f t="shared" si="91"/>
        <v/>
      </c>
      <c r="O100" s="297" t="str">
        <f t="shared" si="92"/>
        <v/>
      </c>
      <c r="P100" s="467" t="str">
        <f t="shared" si="93"/>
        <v/>
      </c>
      <c r="Q100" s="268" t="str">
        <f t="shared" si="103"/>
        <v/>
      </c>
      <c r="R100" s="270" t="str">
        <f t="shared" si="94"/>
        <v/>
      </c>
      <c r="S100" s="271" t="str">
        <f t="shared" si="95"/>
        <v>---</v>
      </c>
      <c r="V100" s="3" t="str">
        <f>IFERROR(VALUE(TEXT(C100,"00")&amp;TEXT(N100,"00")&amp;TEXT(P100,"00")&amp;IF(#REF!="Plato perforado",5,IF(OR(#REF!="N/A",#REF!=""),0,#REF!))),"")</f>
        <v/>
      </c>
      <c r="BC100" s="3" t="str">
        <f t="shared" si="96"/>
        <v/>
      </c>
      <c r="BD100" s="3" t="str">
        <f t="shared" si="97"/>
        <v/>
      </c>
      <c r="BE100" s="3" t="e">
        <f t="shared" si="98"/>
        <v>#VALUE!</v>
      </c>
      <c r="BF100" s="430">
        <v>20</v>
      </c>
      <c r="BG100" s="430">
        <v>16</v>
      </c>
      <c r="BH100" s="121">
        <f t="shared" si="104"/>
        <v>2.2222222222222223</v>
      </c>
      <c r="BI100" s="8">
        <f t="shared" si="99"/>
        <v>1222.2222222222222</v>
      </c>
      <c r="BJ100" s="8">
        <f t="shared" si="100"/>
        <v>1.25</v>
      </c>
      <c r="BK100" s="3">
        <f t="shared" si="105"/>
        <v>2016</v>
      </c>
      <c r="BL100" s="3" t="e">
        <v>#VALUE!</v>
      </c>
      <c r="BW100" s="3">
        <f t="shared" si="101"/>
        <v>0</v>
      </c>
    </row>
    <row r="101" spans="1:75" x14ac:dyDescent="0.3">
      <c r="A101" s="431">
        <v>68</v>
      </c>
      <c r="B101" s="272"/>
      <c r="C101" s="273">
        <f t="shared" si="86"/>
        <v>2</v>
      </c>
      <c r="D101" s="372"/>
      <c r="E101" s="274"/>
      <c r="F101" s="273" t="str">
        <f t="shared" si="85"/>
        <v/>
      </c>
      <c r="G101" s="275" t="str">
        <f t="shared" si="85"/>
        <v/>
      </c>
      <c r="H101" s="276" t="str">
        <f t="shared" si="87"/>
        <v/>
      </c>
      <c r="I101" s="277" t="str">
        <f t="shared" si="102"/>
        <v/>
      </c>
      <c r="J101" s="276" t="str">
        <f t="shared" si="88"/>
        <v/>
      </c>
      <c r="K101" s="276">
        <f t="shared" si="89"/>
        <v>0</v>
      </c>
      <c r="L101" s="278"/>
      <c r="M101" s="279">
        <f t="shared" si="90"/>
        <v>1</v>
      </c>
      <c r="N101" s="360" t="str">
        <f t="shared" si="91"/>
        <v/>
      </c>
      <c r="O101" s="117" t="str">
        <f t="shared" si="92"/>
        <v/>
      </c>
      <c r="P101" s="359" t="str">
        <f t="shared" si="93"/>
        <v/>
      </c>
      <c r="Q101" s="280" t="str">
        <f t="shared" si="103"/>
        <v/>
      </c>
      <c r="R101" s="282" t="str">
        <f t="shared" si="94"/>
        <v/>
      </c>
      <c r="S101" s="283" t="str">
        <f t="shared" si="95"/>
        <v>---</v>
      </c>
      <c r="V101" s="3" t="str">
        <f>IFERROR(VALUE(TEXT(C101,"00")&amp;TEXT(N101,"00")&amp;TEXT(P101,"00")&amp;IF(#REF!="Plato perforado",5,IF(OR(#REF!="N/A",#REF!=""),0,#REF!))),"")</f>
        <v/>
      </c>
      <c r="BC101" s="3" t="str">
        <f t="shared" si="96"/>
        <v/>
      </c>
      <c r="BD101" s="3" t="str">
        <f t="shared" si="97"/>
        <v/>
      </c>
      <c r="BE101" s="3" t="e">
        <f t="shared" si="98"/>
        <v>#VALUE!</v>
      </c>
      <c r="BF101" s="430">
        <v>20</v>
      </c>
      <c r="BG101" s="430">
        <v>18</v>
      </c>
      <c r="BH101" s="121">
        <f t="shared" si="104"/>
        <v>2.5</v>
      </c>
      <c r="BI101" s="8">
        <f t="shared" si="99"/>
        <v>1375</v>
      </c>
      <c r="BJ101" s="8">
        <f t="shared" si="100"/>
        <v>1.1111111111111112</v>
      </c>
      <c r="BK101" s="3">
        <f t="shared" si="105"/>
        <v>2018</v>
      </c>
      <c r="BL101" s="3" t="e">
        <v>#VALUE!</v>
      </c>
      <c r="BW101" s="3">
        <f t="shared" si="101"/>
        <v>0</v>
      </c>
    </row>
    <row r="102" spans="1:75" x14ac:dyDescent="0.3">
      <c r="A102" s="431">
        <v>69</v>
      </c>
      <c r="B102" s="284"/>
      <c r="C102" s="285">
        <f t="shared" si="86"/>
        <v>2</v>
      </c>
      <c r="D102" s="373"/>
      <c r="E102" s="286"/>
      <c r="F102" s="285" t="str">
        <f t="shared" si="85"/>
        <v/>
      </c>
      <c r="G102" s="287" t="str">
        <f t="shared" si="85"/>
        <v/>
      </c>
      <c r="H102" s="288" t="str">
        <f t="shared" si="87"/>
        <v/>
      </c>
      <c r="I102" s="289" t="str">
        <f t="shared" si="102"/>
        <v/>
      </c>
      <c r="J102" s="288" t="str">
        <f t="shared" si="88"/>
        <v/>
      </c>
      <c r="K102" s="288">
        <f t="shared" si="89"/>
        <v>0</v>
      </c>
      <c r="L102" s="290"/>
      <c r="M102" s="291">
        <f t="shared" si="90"/>
        <v>1</v>
      </c>
      <c r="N102" s="466" t="str">
        <f t="shared" si="91"/>
        <v/>
      </c>
      <c r="O102" s="302" t="str">
        <f t="shared" si="92"/>
        <v/>
      </c>
      <c r="P102" s="468" t="str">
        <f t="shared" si="93"/>
        <v/>
      </c>
      <c r="Q102" s="292" t="str">
        <f t="shared" si="103"/>
        <v/>
      </c>
      <c r="R102" s="294" t="str">
        <f t="shared" si="94"/>
        <v/>
      </c>
      <c r="S102" s="295" t="str">
        <f t="shared" si="95"/>
        <v>---</v>
      </c>
      <c r="V102" s="3" t="str">
        <f>IFERROR(VALUE(TEXT(C102,"00")&amp;TEXT(N102,"00")&amp;TEXT(P102,"00")&amp;IF(#REF!="Plato perforado",5,IF(OR(#REF!="N/A",#REF!=""),0,#REF!))),"")</f>
        <v/>
      </c>
      <c r="BC102" s="3" t="str">
        <f t="shared" si="96"/>
        <v/>
      </c>
      <c r="BD102" s="3" t="str">
        <f t="shared" si="97"/>
        <v/>
      </c>
      <c r="BE102" s="3" t="e">
        <f t="shared" si="98"/>
        <v>#VALUE!</v>
      </c>
      <c r="BF102" s="430">
        <v>22</v>
      </c>
      <c r="BG102" s="430">
        <v>10</v>
      </c>
      <c r="BH102" s="121">
        <f t="shared" si="104"/>
        <v>1.5277777777777777</v>
      </c>
      <c r="BI102" s="8">
        <f t="shared" si="99"/>
        <v>840.27777777777771</v>
      </c>
      <c r="BJ102" s="8">
        <f t="shared" si="100"/>
        <v>2.2000000000000002</v>
      </c>
      <c r="BK102" s="3">
        <f t="shared" si="105"/>
        <v>2210</v>
      </c>
      <c r="BL102" s="3" t="e">
        <v>#VALUE!</v>
      </c>
      <c r="BW102" s="3">
        <f t="shared" si="101"/>
        <v>0</v>
      </c>
    </row>
    <row r="103" spans="1:75" x14ac:dyDescent="0.3">
      <c r="A103" s="431">
        <v>70</v>
      </c>
      <c r="B103" s="260"/>
      <c r="C103" s="261">
        <f t="shared" si="86"/>
        <v>2</v>
      </c>
      <c r="D103" s="371"/>
      <c r="E103" s="262"/>
      <c r="F103" s="261" t="str">
        <f t="shared" si="85"/>
        <v/>
      </c>
      <c r="G103" s="263" t="str">
        <f t="shared" si="85"/>
        <v/>
      </c>
      <c r="H103" s="264" t="str">
        <f t="shared" si="87"/>
        <v/>
      </c>
      <c r="I103" s="265" t="str">
        <f t="shared" si="102"/>
        <v/>
      </c>
      <c r="J103" s="264" t="str">
        <f t="shared" si="88"/>
        <v/>
      </c>
      <c r="K103" s="264">
        <f t="shared" si="89"/>
        <v>0</v>
      </c>
      <c r="L103" s="266"/>
      <c r="M103" s="267">
        <f t="shared" si="90"/>
        <v>1</v>
      </c>
      <c r="N103" s="465" t="str">
        <f t="shared" si="91"/>
        <v/>
      </c>
      <c r="O103" s="297" t="str">
        <f t="shared" si="92"/>
        <v/>
      </c>
      <c r="P103" s="467" t="str">
        <f t="shared" si="93"/>
        <v/>
      </c>
      <c r="Q103" s="268" t="str">
        <f t="shared" si="103"/>
        <v/>
      </c>
      <c r="R103" s="270" t="str">
        <f t="shared" si="94"/>
        <v/>
      </c>
      <c r="S103" s="271" t="str">
        <f t="shared" si="95"/>
        <v>---</v>
      </c>
      <c r="V103" s="3" t="str">
        <f>IFERROR(VALUE(TEXT(C103,"00")&amp;TEXT(N103,"00")&amp;TEXT(P103,"00")&amp;IF(#REF!="Plato perforado",5,IF(OR(#REF!="N/A",#REF!=""),0,#REF!))),"")</f>
        <v/>
      </c>
      <c r="BC103" s="3" t="str">
        <f t="shared" si="96"/>
        <v/>
      </c>
      <c r="BD103" s="3" t="str">
        <f t="shared" si="97"/>
        <v/>
      </c>
      <c r="BE103" s="3" t="e">
        <f t="shared" si="98"/>
        <v>#VALUE!</v>
      </c>
      <c r="BF103" s="430">
        <v>22</v>
      </c>
      <c r="BG103" s="430">
        <v>12</v>
      </c>
      <c r="BH103" s="121">
        <f t="shared" si="104"/>
        <v>1.8333333333333333</v>
      </c>
      <c r="BI103" s="8">
        <f t="shared" si="99"/>
        <v>1008.3333333333333</v>
      </c>
      <c r="BJ103" s="8">
        <f t="shared" si="100"/>
        <v>1.8333333333333333</v>
      </c>
      <c r="BK103" s="3">
        <f t="shared" si="105"/>
        <v>2212</v>
      </c>
      <c r="BL103" s="3" t="e">
        <v>#VALUE!</v>
      </c>
      <c r="BW103" s="3">
        <f t="shared" si="101"/>
        <v>0</v>
      </c>
    </row>
    <row r="104" spans="1:75" x14ac:dyDescent="0.3">
      <c r="A104" s="431">
        <v>71</v>
      </c>
      <c r="B104" s="272"/>
      <c r="C104" s="273">
        <f t="shared" si="86"/>
        <v>2</v>
      </c>
      <c r="D104" s="372"/>
      <c r="E104" s="274"/>
      <c r="F104" s="273" t="str">
        <f t="shared" si="85"/>
        <v/>
      </c>
      <c r="G104" s="275" t="str">
        <f t="shared" si="85"/>
        <v/>
      </c>
      <c r="H104" s="276" t="str">
        <f t="shared" si="87"/>
        <v/>
      </c>
      <c r="I104" s="277" t="str">
        <f t="shared" si="102"/>
        <v/>
      </c>
      <c r="J104" s="276" t="str">
        <f t="shared" si="88"/>
        <v/>
      </c>
      <c r="K104" s="276">
        <f t="shared" si="89"/>
        <v>0</v>
      </c>
      <c r="L104" s="278"/>
      <c r="M104" s="279">
        <f t="shared" si="90"/>
        <v>1</v>
      </c>
      <c r="N104" s="360" t="str">
        <f t="shared" si="91"/>
        <v/>
      </c>
      <c r="O104" s="117" t="str">
        <f t="shared" si="92"/>
        <v/>
      </c>
      <c r="P104" s="359" t="str">
        <f t="shared" si="93"/>
        <v/>
      </c>
      <c r="Q104" s="280" t="str">
        <f t="shared" si="103"/>
        <v/>
      </c>
      <c r="R104" s="282" t="str">
        <f t="shared" si="94"/>
        <v/>
      </c>
      <c r="S104" s="283" t="str">
        <f t="shared" si="95"/>
        <v>---</v>
      </c>
      <c r="V104" s="3" t="str">
        <f>IFERROR(VALUE(TEXT(C104,"00")&amp;TEXT(N104,"00")&amp;TEXT(P104,"00")&amp;IF(#REF!="Plato perforado",5,IF(OR(#REF!="N/A",#REF!=""),0,#REF!))),"")</f>
        <v/>
      </c>
      <c r="BC104" s="3" t="str">
        <f t="shared" si="96"/>
        <v/>
      </c>
      <c r="BD104" s="3" t="str">
        <f t="shared" si="97"/>
        <v/>
      </c>
      <c r="BE104" s="3" t="e">
        <f t="shared" si="98"/>
        <v>#VALUE!</v>
      </c>
      <c r="BF104" s="430">
        <v>22</v>
      </c>
      <c r="BG104" s="430">
        <v>14</v>
      </c>
      <c r="BH104" s="121">
        <f t="shared" si="104"/>
        <v>2.1388888888888888</v>
      </c>
      <c r="BI104" s="8">
        <f t="shared" si="99"/>
        <v>1176.3888888888889</v>
      </c>
      <c r="BJ104" s="8">
        <f t="shared" si="100"/>
        <v>1.5714285714285714</v>
      </c>
      <c r="BK104" s="3">
        <f t="shared" si="105"/>
        <v>2214</v>
      </c>
      <c r="BL104" s="3" t="e">
        <v>#VALUE!</v>
      </c>
      <c r="BW104" s="3">
        <f t="shared" si="101"/>
        <v>0</v>
      </c>
    </row>
    <row r="105" spans="1:75" x14ac:dyDescent="0.3">
      <c r="A105" s="431">
        <v>72</v>
      </c>
      <c r="B105" s="284"/>
      <c r="C105" s="285">
        <f t="shared" si="86"/>
        <v>2</v>
      </c>
      <c r="D105" s="373"/>
      <c r="E105" s="286"/>
      <c r="F105" s="285" t="str">
        <f t="shared" si="85"/>
        <v/>
      </c>
      <c r="G105" s="287" t="str">
        <f t="shared" si="85"/>
        <v/>
      </c>
      <c r="H105" s="288" t="str">
        <f t="shared" si="87"/>
        <v/>
      </c>
      <c r="I105" s="289" t="str">
        <f t="shared" si="102"/>
        <v/>
      </c>
      <c r="J105" s="288" t="str">
        <f t="shared" si="88"/>
        <v/>
      </c>
      <c r="K105" s="288">
        <f t="shared" si="89"/>
        <v>0</v>
      </c>
      <c r="L105" s="290"/>
      <c r="M105" s="291">
        <f t="shared" si="90"/>
        <v>1</v>
      </c>
      <c r="N105" s="466" t="str">
        <f t="shared" si="91"/>
        <v/>
      </c>
      <c r="O105" s="302" t="str">
        <f t="shared" si="92"/>
        <v/>
      </c>
      <c r="P105" s="468" t="str">
        <f t="shared" si="93"/>
        <v/>
      </c>
      <c r="Q105" s="292" t="str">
        <f t="shared" si="103"/>
        <v/>
      </c>
      <c r="R105" s="294" t="str">
        <f t="shared" si="94"/>
        <v/>
      </c>
      <c r="S105" s="295" t="str">
        <f t="shared" si="95"/>
        <v>---</v>
      </c>
      <c r="V105" s="3" t="str">
        <f>IFERROR(VALUE(TEXT(C105,"00")&amp;TEXT(N105,"00")&amp;TEXT(P105,"00")&amp;IF(#REF!="Plato perforado",5,IF(OR(#REF!="N/A",#REF!=""),0,#REF!))),"")</f>
        <v/>
      </c>
      <c r="BC105" s="3" t="str">
        <f t="shared" si="96"/>
        <v/>
      </c>
      <c r="BD105" s="3" t="str">
        <f t="shared" si="97"/>
        <v/>
      </c>
      <c r="BE105" s="3" t="e">
        <f t="shared" si="98"/>
        <v>#VALUE!</v>
      </c>
      <c r="BF105" s="430">
        <v>22</v>
      </c>
      <c r="BG105" s="430">
        <v>16</v>
      </c>
      <c r="BH105" s="121">
        <f t="shared" si="104"/>
        <v>2.4444444444444442</v>
      </c>
      <c r="BI105" s="8">
        <f t="shared" si="99"/>
        <v>1344.4444444444443</v>
      </c>
      <c r="BJ105" s="8">
        <f t="shared" si="100"/>
        <v>1.375</v>
      </c>
      <c r="BK105" s="3">
        <f t="shared" si="105"/>
        <v>2216</v>
      </c>
      <c r="BL105" s="3" t="e">
        <v>#VALUE!</v>
      </c>
      <c r="BW105" s="3">
        <f t="shared" si="101"/>
        <v>0</v>
      </c>
    </row>
    <row r="106" spans="1:75" x14ac:dyDescent="0.3">
      <c r="A106" s="431">
        <v>73</v>
      </c>
      <c r="B106" s="260"/>
      <c r="C106" s="261">
        <f t="shared" si="86"/>
        <v>2</v>
      </c>
      <c r="D106" s="371"/>
      <c r="E106" s="262"/>
      <c r="F106" s="261" t="str">
        <f t="shared" si="85"/>
        <v/>
      </c>
      <c r="G106" s="263" t="str">
        <f t="shared" si="85"/>
        <v/>
      </c>
      <c r="H106" s="264" t="str">
        <f t="shared" si="87"/>
        <v/>
      </c>
      <c r="I106" s="265" t="str">
        <f t="shared" si="102"/>
        <v/>
      </c>
      <c r="J106" s="264" t="str">
        <f t="shared" si="88"/>
        <v/>
      </c>
      <c r="K106" s="264">
        <f t="shared" si="89"/>
        <v>0</v>
      </c>
      <c r="L106" s="266"/>
      <c r="M106" s="267">
        <f t="shared" si="90"/>
        <v>1</v>
      </c>
      <c r="N106" s="465" t="str">
        <f t="shared" si="91"/>
        <v/>
      </c>
      <c r="O106" s="297" t="str">
        <f t="shared" si="92"/>
        <v/>
      </c>
      <c r="P106" s="467" t="str">
        <f t="shared" si="93"/>
        <v/>
      </c>
      <c r="Q106" s="268" t="str">
        <f t="shared" si="103"/>
        <v/>
      </c>
      <c r="R106" s="270" t="str">
        <f t="shared" si="94"/>
        <v/>
      </c>
      <c r="S106" s="271" t="str">
        <f t="shared" si="95"/>
        <v>---</v>
      </c>
      <c r="V106" s="3" t="str">
        <f>IFERROR(VALUE(TEXT(C106,"00")&amp;TEXT(N106,"00")&amp;TEXT(P106,"00")&amp;IF(#REF!="Plato perforado",5,IF(OR(#REF!="N/A",#REF!=""),0,#REF!))),"")</f>
        <v/>
      </c>
      <c r="BC106" s="3" t="str">
        <f t="shared" si="96"/>
        <v/>
      </c>
      <c r="BD106" s="3" t="str">
        <f t="shared" si="97"/>
        <v/>
      </c>
      <c r="BE106" s="3" t="e">
        <f t="shared" si="98"/>
        <v>#VALUE!</v>
      </c>
      <c r="BF106" s="430">
        <v>24</v>
      </c>
      <c r="BG106" s="430">
        <v>10</v>
      </c>
      <c r="BH106" s="121">
        <f t="shared" si="104"/>
        <v>1.6666666666666667</v>
      </c>
      <c r="BI106" s="8">
        <f t="shared" si="99"/>
        <v>916.66666666666674</v>
      </c>
      <c r="BJ106" s="8">
        <f t="shared" si="100"/>
        <v>2.4</v>
      </c>
      <c r="BK106" s="3">
        <f t="shared" si="105"/>
        <v>2410</v>
      </c>
      <c r="BL106" s="3" t="e">
        <v>#VALUE!</v>
      </c>
      <c r="BW106" s="3">
        <f t="shared" si="101"/>
        <v>0</v>
      </c>
    </row>
    <row r="107" spans="1:75" x14ac:dyDescent="0.3">
      <c r="A107" s="431">
        <v>74</v>
      </c>
      <c r="B107" s="272"/>
      <c r="C107" s="273">
        <f t="shared" si="86"/>
        <v>2</v>
      </c>
      <c r="D107" s="372"/>
      <c r="E107" s="274"/>
      <c r="F107" s="273" t="str">
        <f t="shared" si="85"/>
        <v/>
      </c>
      <c r="G107" s="275" t="str">
        <f t="shared" si="85"/>
        <v/>
      </c>
      <c r="H107" s="276" t="str">
        <f t="shared" si="87"/>
        <v/>
      </c>
      <c r="I107" s="277" t="str">
        <f t="shared" si="102"/>
        <v/>
      </c>
      <c r="J107" s="276" t="str">
        <f t="shared" si="88"/>
        <v/>
      </c>
      <c r="K107" s="276">
        <f t="shared" si="89"/>
        <v>0</v>
      </c>
      <c r="L107" s="278"/>
      <c r="M107" s="279">
        <f t="shared" si="90"/>
        <v>1</v>
      </c>
      <c r="N107" s="360" t="str">
        <f t="shared" si="91"/>
        <v/>
      </c>
      <c r="O107" s="117" t="str">
        <f t="shared" si="92"/>
        <v/>
      </c>
      <c r="P107" s="359" t="str">
        <f t="shared" si="93"/>
        <v/>
      </c>
      <c r="Q107" s="280" t="str">
        <f t="shared" si="103"/>
        <v/>
      </c>
      <c r="R107" s="282" t="str">
        <f t="shared" si="94"/>
        <v/>
      </c>
      <c r="S107" s="283" t="str">
        <f t="shared" si="95"/>
        <v>---</v>
      </c>
      <c r="V107" s="3" t="str">
        <f>IFERROR(VALUE(TEXT(C107,"00")&amp;TEXT(N107,"00")&amp;TEXT(P107,"00")&amp;IF(#REF!="Plato perforado",5,IF(OR(#REF!="N/A",#REF!=""),0,#REF!))),"")</f>
        <v/>
      </c>
      <c r="BC107" s="3" t="str">
        <f t="shared" si="96"/>
        <v/>
      </c>
      <c r="BD107" s="3" t="str">
        <f t="shared" si="97"/>
        <v/>
      </c>
      <c r="BE107" s="3" t="e">
        <f t="shared" si="98"/>
        <v>#VALUE!</v>
      </c>
      <c r="BF107" s="430">
        <v>24</v>
      </c>
      <c r="BG107" s="430">
        <v>12</v>
      </c>
      <c r="BH107" s="121">
        <f t="shared" si="104"/>
        <v>2</v>
      </c>
      <c r="BI107" s="8">
        <f t="shared" si="99"/>
        <v>1100</v>
      </c>
      <c r="BJ107" s="8">
        <f t="shared" si="100"/>
        <v>2</v>
      </c>
      <c r="BK107" s="3">
        <f t="shared" si="105"/>
        <v>2412</v>
      </c>
      <c r="BL107" s="3" t="e">
        <v>#VALUE!</v>
      </c>
      <c r="BW107" s="3">
        <f t="shared" si="101"/>
        <v>0</v>
      </c>
    </row>
    <row r="108" spans="1:75" x14ac:dyDescent="0.3">
      <c r="A108" s="431">
        <v>75</v>
      </c>
      <c r="B108" s="284"/>
      <c r="C108" s="285">
        <f t="shared" si="86"/>
        <v>2</v>
      </c>
      <c r="D108" s="373"/>
      <c r="E108" s="286"/>
      <c r="F108" s="285" t="str">
        <f t="shared" si="85"/>
        <v/>
      </c>
      <c r="G108" s="287" t="str">
        <f t="shared" si="85"/>
        <v/>
      </c>
      <c r="H108" s="288" t="str">
        <f t="shared" si="87"/>
        <v/>
      </c>
      <c r="I108" s="289" t="str">
        <f t="shared" si="102"/>
        <v/>
      </c>
      <c r="J108" s="288" t="str">
        <f t="shared" si="88"/>
        <v/>
      </c>
      <c r="K108" s="288">
        <f t="shared" si="89"/>
        <v>0</v>
      </c>
      <c r="L108" s="290"/>
      <c r="M108" s="291">
        <f t="shared" si="90"/>
        <v>1</v>
      </c>
      <c r="N108" s="466" t="str">
        <f t="shared" si="91"/>
        <v/>
      </c>
      <c r="O108" s="302" t="str">
        <f t="shared" si="92"/>
        <v/>
      </c>
      <c r="P108" s="468" t="str">
        <f t="shared" si="93"/>
        <v/>
      </c>
      <c r="Q108" s="292" t="str">
        <f t="shared" si="103"/>
        <v/>
      </c>
      <c r="R108" s="294" t="str">
        <f t="shared" si="94"/>
        <v/>
      </c>
      <c r="S108" s="295" t="str">
        <f t="shared" si="95"/>
        <v>---</v>
      </c>
      <c r="V108" s="3" t="str">
        <f>IFERROR(VALUE(TEXT(C108,"00")&amp;TEXT(N108,"00")&amp;TEXT(P108,"00")&amp;IF(#REF!="Plato perforado",5,IF(OR(#REF!="N/A",#REF!=""),0,#REF!))),"")</f>
        <v/>
      </c>
      <c r="BC108" s="3" t="str">
        <f t="shared" si="96"/>
        <v/>
      </c>
      <c r="BD108" s="3" t="str">
        <f t="shared" si="97"/>
        <v/>
      </c>
      <c r="BE108" s="3" t="e">
        <f t="shared" si="98"/>
        <v>#VALUE!</v>
      </c>
      <c r="BF108" s="430">
        <v>24</v>
      </c>
      <c r="BG108" s="430">
        <v>14</v>
      </c>
      <c r="BH108" s="121">
        <f t="shared" si="104"/>
        <v>2.3333333333333335</v>
      </c>
      <c r="BI108" s="8">
        <f t="shared" si="99"/>
        <v>1283.3333333333335</v>
      </c>
      <c r="BJ108" s="8">
        <f t="shared" si="100"/>
        <v>1.7142857142857142</v>
      </c>
      <c r="BK108" s="3">
        <f t="shared" si="105"/>
        <v>2414</v>
      </c>
      <c r="BL108" s="3" t="e">
        <v>#VALUE!</v>
      </c>
      <c r="BW108" s="3">
        <f t="shared" si="101"/>
        <v>0</v>
      </c>
    </row>
    <row r="109" spans="1:75" x14ac:dyDescent="0.3">
      <c r="A109" s="431">
        <v>76</v>
      </c>
      <c r="B109" s="260"/>
      <c r="C109" s="261">
        <f t="shared" si="86"/>
        <v>2</v>
      </c>
      <c r="D109" s="371"/>
      <c r="E109" s="262"/>
      <c r="F109" s="261" t="str">
        <f t="shared" si="85"/>
        <v/>
      </c>
      <c r="G109" s="263" t="str">
        <f t="shared" si="85"/>
        <v/>
      </c>
      <c r="H109" s="264" t="str">
        <f t="shared" si="87"/>
        <v/>
      </c>
      <c r="I109" s="265" t="str">
        <f t="shared" si="102"/>
        <v/>
      </c>
      <c r="J109" s="264" t="str">
        <f t="shared" si="88"/>
        <v/>
      </c>
      <c r="K109" s="264">
        <f t="shared" si="89"/>
        <v>0</v>
      </c>
      <c r="L109" s="266"/>
      <c r="M109" s="267">
        <f t="shared" si="90"/>
        <v>1</v>
      </c>
      <c r="N109" s="465" t="str">
        <f t="shared" si="91"/>
        <v/>
      </c>
      <c r="O109" s="297" t="str">
        <f t="shared" si="92"/>
        <v/>
      </c>
      <c r="P109" s="467" t="str">
        <f t="shared" si="93"/>
        <v/>
      </c>
      <c r="Q109" s="268" t="str">
        <f t="shared" si="103"/>
        <v/>
      </c>
      <c r="R109" s="270" t="str">
        <f t="shared" si="94"/>
        <v/>
      </c>
      <c r="S109" s="271" t="str">
        <f t="shared" si="95"/>
        <v>---</v>
      </c>
      <c r="V109" s="3" t="str">
        <f>IFERROR(VALUE(TEXT(C109,"00")&amp;TEXT(N109,"00")&amp;TEXT(P109,"00")&amp;IF(#REF!="Plato perforado",5,IF(OR(#REF!="N/A",#REF!=""),0,#REF!))),"")</f>
        <v/>
      </c>
      <c r="BC109" s="3" t="str">
        <f t="shared" si="96"/>
        <v/>
      </c>
      <c r="BD109" s="3" t="str">
        <f t="shared" si="97"/>
        <v/>
      </c>
      <c r="BE109" s="3" t="e">
        <f t="shared" si="98"/>
        <v>#VALUE!</v>
      </c>
      <c r="BF109" s="430">
        <v>24</v>
      </c>
      <c r="BG109" s="430">
        <v>16</v>
      </c>
      <c r="BH109" s="121">
        <f t="shared" si="104"/>
        <v>2.6666666666666665</v>
      </c>
      <c r="BI109" s="8">
        <f t="shared" si="99"/>
        <v>1466.6666666666665</v>
      </c>
      <c r="BJ109" s="8">
        <f t="shared" si="100"/>
        <v>1.5</v>
      </c>
      <c r="BK109" s="3">
        <f t="shared" si="105"/>
        <v>2416</v>
      </c>
      <c r="BL109" s="3" t="e">
        <v>#VALUE!</v>
      </c>
      <c r="BW109" s="3">
        <f t="shared" si="101"/>
        <v>0</v>
      </c>
    </row>
    <row r="110" spans="1:75" x14ac:dyDescent="0.3">
      <c r="A110" s="431">
        <v>77</v>
      </c>
      <c r="B110" s="272"/>
      <c r="C110" s="273">
        <f t="shared" si="86"/>
        <v>2</v>
      </c>
      <c r="D110" s="372"/>
      <c r="E110" s="274"/>
      <c r="F110" s="273" t="str">
        <f t="shared" si="85"/>
        <v/>
      </c>
      <c r="G110" s="275" t="str">
        <f t="shared" si="85"/>
        <v/>
      </c>
      <c r="H110" s="276" t="str">
        <f t="shared" si="87"/>
        <v/>
      </c>
      <c r="I110" s="277" t="str">
        <f t="shared" si="102"/>
        <v/>
      </c>
      <c r="J110" s="276" t="str">
        <f t="shared" si="88"/>
        <v/>
      </c>
      <c r="K110" s="276">
        <f t="shared" si="89"/>
        <v>0</v>
      </c>
      <c r="L110" s="278"/>
      <c r="M110" s="279">
        <f t="shared" si="90"/>
        <v>1</v>
      </c>
      <c r="N110" s="360" t="str">
        <f t="shared" si="91"/>
        <v/>
      </c>
      <c r="O110" s="117" t="str">
        <f t="shared" si="92"/>
        <v/>
      </c>
      <c r="P110" s="359" t="str">
        <f t="shared" si="93"/>
        <v/>
      </c>
      <c r="Q110" s="280" t="str">
        <f t="shared" si="103"/>
        <v/>
      </c>
      <c r="R110" s="282" t="str">
        <f t="shared" si="94"/>
        <v/>
      </c>
      <c r="S110" s="283" t="str">
        <f t="shared" si="95"/>
        <v>---</v>
      </c>
      <c r="V110" s="3" t="str">
        <f>IFERROR(VALUE(TEXT(C110,"00")&amp;TEXT(N110,"00")&amp;TEXT(P110,"00")&amp;IF(#REF!="Plato perforado",5,IF(OR(#REF!="N/A",#REF!=""),0,#REF!))),"")</f>
        <v/>
      </c>
      <c r="BC110" s="3" t="str">
        <f t="shared" si="96"/>
        <v/>
      </c>
      <c r="BD110" s="3" t="str">
        <f t="shared" si="97"/>
        <v/>
      </c>
      <c r="BE110" s="3" t="e">
        <f t="shared" si="98"/>
        <v>#VALUE!</v>
      </c>
      <c r="BF110" s="430">
        <v>26</v>
      </c>
      <c r="BG110" s="430">
        <v>12</v>
      </c>
      <c r="BH110" s="121">
        <f>(BF110/12)*(BG110/12)</f>
        <v>2.1666666666666665</v>
      </c>
      <c r="BI110" s="8">
        <f t="shared" si="99"/>
        <v>1191.6666666666665</v>
      </c>
      <c r="BJ110" s="8">
        <f>BF110/BG110</f>
        <v>2.1666666666666665</v>
      </c>
      <c r="BK110" s="3">
        <f t="shared" si="105"/>
        <v>2612</v>
      </c>
      <c r="BL110" s="3" t="e">
        <v>#VALUE!</v>
      </c>
      <c r="BW110" s="3">
        <f t="shared" si="101"/>
        <v>0</v>
      </c>
    </row>
    <row r="111" spans="1:75" x14ac:dyDescent="0.3">
      <c r="A111" s="431">
        <v>78</v>
      </c>
      <c r="B111" s="284"/>
      <c r="C111" s="285">
        <f t="shared" si="86"/>
        <v>2</v>
      </c>
      <c r="D111" s="373"/>
      <c r="E111" s="286"/>
      <c r="F111" s="285" t="str">
        <f t="shared" si="85"/>
        <v/>
      </c>
      <c r="G111" s="287" t="str">
        <f t="shared" si="85"/>
        <v/>
      </c>
      <c r="H111" s="288" t="str">
        <f t="shared" si="87"/>
        <v/>
      </c>
      <c r="I111" s="289" t="str">
        <f t="shared" si="102"/>
        <v/>
      </c>
      <c r="J111" s="288" t="str">
        <f t="shared" si="88"/>
        <v/>
      </c>
      <c r="K111" s="288">
        <f t="shared" si="89"/>
        <v>0</v>
      </c>
      <c r="L111" s="290"/>
      <c r="M111" s="291">
        <f t="shared" si="90"/>
        <v>1</v>
      </c>
      <c r="N111" s="466" t="str">
        <f t="shared" si="91"/>
        <v/>
      </c>
      <c r="O111" s="302" t="str">
        <f t="shared" si="92"/>
        <v/>
      </c>
      <c r="P111" s="468" t="str">
        <f t="shared" si="93"/>
        <v/>
      </c>
      <c r="Q111" s="292" t="str">
        <f t="shared" si="103"/>
        <v/>
      </c>
      <c r="R111" s="294" t="str">
        <f t="shared" si="94"/>
        <v/>
      </c>
      <c r="S111" s="295" t="str">
        <f t="shared" si="95"/>
        <v>---</v>
      </c>
      <c r="V111" s="3" t="str">
        <f>IFERROR(VALUE(TEXT(C111,"00")&amp;TEXT(N111,"00")&amp;TEXT(P111,"00")&amp;IF(#REF!="Plato perforado",5,IF(OR(#REF!="N/A",#REF!=""),0,#REF!))),"")</f>
        <v/>
      </c>
      <c r="BC111" s="3" t="str">
        <f t="shared" si="96"/>
        <v/>
      </c>
      <c r="BD111" s="3" t="str">
        <f t="shared" si="97"/>
        <v/>
      </c>
      <c r="BE111" s="3" t="e">
        <f t="shared" si="98"/>
        <v>#VALUE!</v>
      </c>
      <c r="BF111" s="430">
        <v>26</v>
      </c>
      <c r="BG111" s="430">
        <v>14</v>
      </c>
      <c r="BH111" s="121">
        <f>(BF111/12)*(BG111/12)</f>
        <v>2.5277777777777777</v>
      </c>
      <c r="BI111" s="8">
        <f t="shared" si="99"/>
        <v>1390.2777777777778</v>
      </c>
      <c r="BJ111" s="8">
        <f>BF111/BG111</f>
        <v>1.8571428571428572</v>
      </c>
      <c r="BK111" s="3">
        <f t="shared" si="105"/>
        <v>2614</v>
      </c>
      <c r="BL111" s="3" t="e">
        <v>#VALUE!</v>
      </c>
      <c r="BW111" s="3">
        <f t="shared" si="101"/>
        <v>0</v>
      </c>
    </row>
    <row r="112" spans="1:75" x14ac:dyDescent="0.3">
      <c r="A112" s="431">
        <v>79</v>
      </c>
      <c r="B112" s="260"/>
      <c r="C112" s="261">
        <f t="shared" si="86"/>
        <v>2</v>
      </c>
      <c r="D112" s="371"/>
      <c r="E112" s="262"/>
      <c r="F112" s="261" t="str">
        <f t="shared" si="85"/>
        <v/>
      </c>
      <c r="G112" s="263" t="str">
        <f t="shared" si="85"/>
        <v/>
      </c>
      <c r="H112" s="264" t="str">
        <f t="shared" si="87"/>
        <v/>
      </c>
      <c r="I112" s="265" t="str">
        <f t="shared" si="102"/>
        <v/>
      </c>
      <c r="J112" s="264" t="str">
        <f t="shared" si="88"/>
        <v/>
      </c>
      <c r="K112" s="264">
        <f t="shared" si="89"/>
        <v>0</v>
      </c>
      <c r="L112" s="266"/>
      <c r="M112" s="267">
        <f t="shared" si="90"/>
        <v>1</v>
      </c>
      <c r="N112" s="465" t="str">
        <f t="shared" si="91"/>
        <v/>
      </c>
      <c r="O112" s="297" t="str">
        <f t="shared" si="92"/>
        <v/>
      </c>
      <c r="P112" s="467" t="str">
        <f t="shared" si="93"/>
        <v/>
      </c>
      <c r="Q112" s="268" t="str">
        <f t="shared" si="103"/>
        <v/>
      </c>
      <c r="R112" s="270" t="str">
        <f t="shared" si="94"/>
        <v/>
      </c>
      <c r="S112" s="271" t="str">
        <f t="shared" si="95"/>
        <v>---</v>
      </c>
      <c r="V112" s="3" t="str">
        <f>IFERROR(VALUE(TEXT(C112,"00")&amp;TEXT(N112,"00")&amp;TEXT(P112,"00")&amp;IF(#REF!="Plato perforado",5,IF(OR(#REF!="N/A",#REF!=""),0,#REF!))),"")</f>
        <v/>
      </c>
      <c r="BC112" s="3" t="str">
        <f t="shared" si="96"/>
        <v/>
      </c>
      <c r="BD112" s="3" t="str">
        <f t="shared" si="97"/>
        <v/>
      </c>
      <c r="BE112" s="3" t="e">
        <f t="shared" si="98"/>
        <v>#VALUE!</v>
      </c>
      <c r="BF112" s="430">
        <v>28</v>
      </c>
      <c r="BG112" s="430">
        <v>12</v>
      </c>
      <c r="BH112" s="121">
        <f>(BF112/12)*(BG112/12)</f>
        <v>2.3333333333333335</v>
      </c>
      <c r="BI112" s="8">
        <f t="shared" si="99"/>
        <v>1283.3333333333335</v>
      </c>
      <c r="BJ112" s="8">
        <f>BF112/BG112</f>
        <v>2.3333333333333335</v>
      </c>
      <c r="BK112" s="3">
        <f t="shared" si="105"/>
        <v>2812</v>
      </c>
      <c r="BL112" s="3" t="e">
        <v>#VALUE!</v>
      </c>
      <c r="BW112" s="3">
        <f t="shared" si="101"/>
        <v>0</v>
      </c>
    </row>
    <row r="113" spans="1:75" x14ac:dyDescent="0.3">
      <c r="A113" s="431">
        <v>80</v>
      </c>
      <c r="B113" s="272"/>
      <c r="C113" s="273">
        <f t="shared" si="86"/>
        <v>2</v>
      </c>
      <c r="D113" s="372"/>
      <c r="E113" s="274"/>
      <c r="F113" s="273" t="str">
        <f t="shared" si="85"/>
        <v/>
      </c>
      <c r="G113" s="275" t="str">
        <f t="shared" si="85"/>
        <v/>
      </c>
      <c r="H113" s="276" t="str">
        <f t="shared" si="87"/>
        <v/>
      </c>
      <c r="I113" s="277" t="str">
        <f t="shared" si="102"/>
        <v/>
      </c>
      <c r="J113" s="276" t="str">
        <f t="shared" si="88"/>
        <v/>
      </c>
      <c r="K113" s="276">
        <f t="shared" si="89"/>
        <v>0</v>
      </c>
      <c r="L113" s="278"/>
      <c r="M113" s="279">
        <f t="shared" si="90"/>
        <v>1</v>
      </c>
      <c r="N113" s="360" t="str">
        <f t="shared" si="91"/>
        <v/>
      </c>
      <c r="O113" s="117" t="str">
        <f t="shared" si="92"/>
        <v/>
      </c>
      <c r="P113" s="359" t="str">
        <f t="shared" si="93"/>
        <v/>
      </c>
      <c r="Q113" s="280" t="str">
        <f t="shared" si="103"/>
        <v/>
      </c>
      <c r="R113" s="282" t="str">
        <f t="shared" si="94"/>
        <v/>
      </c>
      <c r="S113" s="283" t="str">
        <f t="shared" si="95"/>
        <v>---</v>
      </c>
      <c r="V113" s="3" t="str">
        <f>IFERROR(VALUE(TEXT(C113,"00")&amp;TEXT(N113,"00")&amp;TEXT(P113,"00")&amp;IF(#REF!="Plato perforado",5,IF(OR(#REF!="N/A",#REF!=""),0,#REF!))),"")</f>
        <v/>
      </c>
      <c r="BC113" s="3" t="str">
        <f t="shared" si="96"/>
        <v/>
      </c>
      <c r="BD113" s="3" t="str">
        <f t="shared" si="97"/>
        <v/>
      </c>
      <c r="BE113" s="3" t="e">
        <f t="shared" si="98"/>
        <v>#VALUE!</v>
      </c>
      <c r="BF113" s="430">
        <v>28</v>
      </c>
      <c r="BG113" s="430">
        <v>14</v>
      </c>
      <c r="BH113" s="121">
        <f>(BF113/12)*(BG113/12)</f>
        <v>2.7222222222222228</v>
      </c>
      <c r="BI113" s="8">
        <f t="shared" si="99"/>
        <v>1497.2222222222226</v>
      </c>
      <c r="BJ113" s="8">
        <f>BF113/BG113</f>
        <v>2</v>
      </c>
      <c r="BK113" s="3">
        <f t="shared" si="105"/>
        <v>2814</v>
      </c>
      <c r="BL113" s="3" t="e">
        <v>#VALUE!</v>
      </c>
      <c r="BW113" s="3">
        <f t="shared" si="101"/>
        <v>0</v>
      </c>
    </row>
    <row r="114" spans="1:75" x14ac:dyDescent="0.3">
      <c r="A114" s="431">
        <v>81</v>
      </c>
      <c r="B114" s="284"/>
      <c r="C114" s="285">
        <f t="shared" si="86"/>
        <v>2</v>
      </c>
      <c r="D114" s="373"/>
      <c r="E114" s="286"/>
      <c r="F114" s="285" t="str">
        <f t="shared" ref="F114:G133" si="106">IFERROR(VLOOKUP($E114,DMFA,F$29,FALSE),"")</f>
        <v/>
      </c>
      <c r="G114" s="287" t="str">
        <f t="shared" si="106"/>
        <v/>
      </c>
      <c r="H114" s="288" t="str">
        <f t="shared" si="87"/>
        <v/>
      </c>
      <c r="I114" s="289" t="str">
        <f t="shared" si="102"/>
        <v/>
      </c>
      <c r="J114" s="288" t="str">
        <f t="shared" si="88"/>
        <v/>
      </c>
      <c r="K114" s="288">
        <f t="shared" si="89"/>
        <v>0</v>
      </c>
      <c r="L114" s="290"/>
      <c r="M114" s="291">
        <f t="shared" si="90"/>
        <v>1</v>
      </c>
      <c r="N114" s="466" t="str">
        <f t="shared" si="91"/>
        <v/>
      </c>
      <c r="O114" s="302" t="str">
        <f t="shared" si="92"/>
        <v/>
      </c>
      <c r="P114" s="468" t="str">
        <f t="shared" si="93"/>
        <v/>
      </c>
      <c r="Q114" s="292" t="str">
        <f t="shared" si="103"/>
        <v/>
      </c>
      <c r="R114" s="294" t="str">
        <f t="shared" si="94"/>
        <v/>
      </c>
      <c r="S114" s="295" t="str">
        <f t="shared" si="95"/>
        <v>---</v>
      </c>
      <c r="V114" s="3" t="str">
        <f>IFERROR(VALUE(TEXT(C114,"00")&amp;TEXT(N114,"00")&amp;TEXT(P114,"00")&amp;IF(#REF!="Plato perforado",5,IF(OR(#REF!="N/A",#REF!=""),0,#REF!))),"")</f>
        <v/>
      </c>
      <c r="BC114" s="3" t="str">
        <f t="shared" si="96"/>
        <v/>
      </c>
      <c r="BD114" s="3" t="str">
        <f t="shared" si="97"/>
        <v/>
      </c>
      <c r="BE114" s="3" t="e">
        <f t="shared" si="98"/>
        <v>#VALUE!</v>
      </c>
      <c r="BF114" s="430">
        <v>30</v>
      </c>
      <c r="BG114" s="430">
        <v>12</v>
      </c>
      <c r="BH114" s="121">
        <f>(BF114/12)*(BG114/12)</f>
        <v>2.5</v>
      </c>
      <c r="BI114" s="8">
        <f t="shared" si="99"/>
        <v>1375</v>
      </c>
      <c r="BJ114" s="8">
        <f>BF114/BG114</f>
        <v>2.5</v>
      </c>
      <c r="BK114" s="3">
        <f t="shared" si="105"/>
        <v>3012</v>
      </c>
      <c r="BL114" s="3" t="e">
        <v>#VALUE!</v>
      </c>
      <c r="BW114" s="3">
        <f t="shared" si="101"/>
        <v>0</v>
      </c>
    </row>
    <row r="115" spans="1:75" x14ac:dyDescent="0.3">
      <c r="A115" s="431">
        <v>82</v>
      </c>
      <c r="B115" s="260"/>
      <c r="C115" s="261">
        <f t="shared" si="86"/>
        <v>2</v>
      </c>
      <c r="D115" s="371"/>
      <c r="E115" s="262"/>
      <c r="F115" s="261" t="str">
        <f t="shared" si="106"/>
        <v/>
      </c>
      <c r="G115" s="263" t="str">
        <f t="shared" si="106"/>
        <v/>
      </c>
      <c r="H115" s="264" t="str">
        <f t="shared" si="87"/>
        <v/>
      </c>
      <c r="I115" s="265" t="str">
        <f t="shared" si="102"/>
        <v/>
      </c>
      <c r="J115" s="264" t="str">
        <f t="shared" si="88"/>
        <v/>
      </c>
      <c r="K115" s="264">
        <f t="shared" si="89"/>
        <v>0</v>
      </c>
      <c r="L115" s="266"/>
      <c r="M115" s="267">
        <f t="shared" si="90"/>
        <v>1</v>
      </c>
      <c r="N115" s="465" t="str">
        <f t="shared" si="91"/>
        <v/>
      </c>
      <c r="O115" s="297" t="str">
        <f t="shared" si="92"/>
        <v/>
      </c>
      <c r="P115" s="467" t="str">
        <f t="shared" si="93"/>
        <v/>
      </c>
      <c r="Q115" s="268" t="str">
        <f t="shared" si="103"/>
        <v/>
      </c>
      <c r="R115" s="270" t="str">
        <f t="shared" si="94"/>
        <v/>
      </c>
      <c r="S115" s="271" t="str">
        <f t="shared" si="95"/>
        <v>---</v>
      </c>
      <c r="V115" s="3" t="str">
        <f>IFERROR(VALUE(TEXT(C115,"00")&amp;TEXT(N115,"00")&amp;TEXT(P115,"00")&amp;IF(#REF!="Plato perforado",5,IF(OR(#REF!="N/A",#REF!=""),0,#REF!))),"")</f>
        <v/>
      </c>
      <c r="BC115" s="3" t="str">
        <f t="shared" si="96"/>
        <v/>
      </c>
      <c r="BD115" s="3" t="str">
        <f t="shared" si="97"/>
        <v/>
      </c>
      <c r="BE115" s="3" t="e">
        <f t="shared" si="98"/>
        <v>#VALUE!</v>
      </c>
      <c r="BL115" s="3" t="e">
        <v>#VALUE!</v>
      </c>
      <c r="BW115" s="3">
        <f t="shared" si="101"/>
        <v>0</v>
      </c>
    </row>
    <row r="116" spans="1:75" x14ac:dyDescent="0.3">
      <c r="A116" s="431">
        <v>83</v>
      </c>
      <c r="B116" s="272"/>
      <c r="C116" s="273">
        <f t="shared" si="86"/>
        <v>2</v>
      </c>
      <c r="D116" s="372"/>
      <c r="E116" s="274"/>
      <c r="F116" s="273" t="str">
        <f t="shared" si="106"/>
        <v/>
      </c>
      <c r="G116" s="275" t="str">
        <f t="shared" si="106"/>
        <v/>
      </c>
      <c r="H116" s="276" t="str">
        <f t="shared" si="87"/>
        <v/>
      </c>
      <c r="I116" s="277" t="str">
        <f t="shared" si="102"/>
        <v/>
      </c>
      <c r="J116" s="276" t="str">
        <f t="shared" si="88"/>
        <v/>
      </c>
      <c r="K116" s="276">
        <f t="shared" si="89"/>
        <v>0</v>
      </c>
      <c r="L116" s="278"/>
      <c r="M116" s="279">
        <f t="shared" si="90"/>
        <v>1</v>
      </c>
      <c r="N116" s="360" t="str">
        <f t="shared" si="91"/>
        <v/>
      </c>
      <c r="O116" s="117" t="str">
        <f t="shared" si="92"/>
        <v/>
      </c>
      <c r="P116" s="359" t="str">
        <f t="shared" si="93"/>
        <v/>
      </c>
      <c r="Q116" s="280" t="str">
        <f t="shared" si="103"/>
        <v/>
      </c>
      <c r="R116" s="282" t="str">
        <f t="shared" si="94"/>
        <v/>
      </c>
      <c r="S116" s="283" t="str">
        <f t="shared" si="95"/>
        <v>---</v>
      </c>
      <c r="V116" s="3" t="str">
        <f>IFERROR(VALUE(TEXT(C116,"00")&amp;TEXT(N116,"00")&amp;TEXT(P116,"00")&amp;IF(#REF!="Plato perforado",5,IF(OR(#REF!="N/A",#REF!=""),0,#REF!))),"")</f>
        <v/>
      </c>
      <c r="BC116" s="3" t="str">
        <f t="shared" si="96"/>
        <v/>
      </c>
      <c r="BD116" s="3" t="str">
        <f t="shared" si="97"/>
        <v/>
      </c>
      <c r="BE116" s="3" t="e">
        <f t="shared" si="98"/>
        <v>#VALUE!</v>
      </c>
      <c r="BW116" s="3">
        <f t="shared" si="101"/>
        <v>0</v>
      </c>
    </row>
    <row r="117" spans="1:75" x14ac:dyDescent="0.3">
      <c r="A117" s="431">
        <v>84</v>
      </c>
      <c r="B117" s="284"/>
      <c r="C117" s="285">
        <f t="shared" si="86"/>
        <v>2</v>
      </c>
      <c r="D117" s="373"/>
      <c r="E117" s="286"/>
      <c r="F117" s="285" t="str">
        <f t="shared" si="106"/>
        <v/>
      </c>
      <c r="G117" s="287" t="str">
        <f t="shared" si="106"/>
        <v/>
      </c>
      <c r="H117" s="288" t="str">
        <f t="shared" si="87"/>
        <v/>
      </c>
      <c r="I117" s="289" t="str">
        <f t="shared" si="102"/>
        <v/>
      </c>
      <c r="J117" s="288" t="str">
        <f t="shared" si="88"/>
        <v/>
      </c>
      <c r="K117" s="288">
        <f t="shared" si="89"/>
        <v>0</v>
      </c>
      <c r="L117" s="290"/>
      <c r="M117" s="291">
        <f t="shared" si="90"/>
        <v>1</v>
      </c>
      <c r="N117" s="466" t="str">
        <f t="shared" si="91"/>
        <v/>
      </c>
      <c r="O117" s="302" t="str">
        <f t="shared" si="92"/>
        <v/>
      </c>
      <c r="P117" s="468" t="str">
        <f t="shared" si="93"/>
        <v/>
      </c>
      <c r="Q117" s="292" t="str">
        <f t="shared" si="103"/>
        <v/>
      </c>
      <c r="R117" s="294" t="str">
        <f t="shared" si="94"/>
        <v/>
      </c>
      <c r="S117" s="295" t="str">
        <f t="shared" si="95"/>
        <v>---</v>
      </c>
      <c r="V117" s="3" t="str">
        <f>IFERROR(VALUE(TEXT(C117,"00")&amp;TEXT(N117,"00")&amp;TEXT(P117,"00")&amp;IF(#REF!="Plato perforado",5,IF(OR(#REF!="N/A",#REF!=""),0,#REF!))),"")</f>
        <v/>
      </c>
      <c r="BC117" s="3" t="str">
        <f t="shared" si="96"/>
        <v/>
      </c>
      <c r="BD117" s="3" t="str">
        <f t="shared" si="97"/>
        <v/>
      </c>
      <c r="BE117" s="3" t="e">
        <f t="shared" si="98"/>
        <v>#VALUE!</v>
      </c>
      <c r="BW117" s="3">
        <f t="shared" si="101"/>
        <v>0</v>
      </c>
    </row>
    <row r="118" spans="1:75" x14ac:dyDescent="0.3">
      <c r="A118" s="431">
        <v>85</v>
      </c>
      <c r="B118" s="260"/>
      <c r="C118" s="261">
        <f t="shared" si="86"/>
        <v>2</v>
      </c>
      <c r="D118" s="371"/>
      <c r="E118" s="262"/>
      <c r="F118" s="261" t="str">
        <f t="shared" si="106"/>
        <v/>
      </c>
      <c r="G118" s="263" t="str">
        <f t="shared" si="106"/>
        <v/>
      </c>
      <c r="H118" s="264" t="str">
        <f t="shared" si="87"/>
        <v/>
      </c>
      <c r="I118" s="265" t="str">
        <f t="shared" si="102"/>
        <v/>
      </c>
      <c r="J118" s="264" t="str">
        <f t="shared" si="88"/>
        <v/>
      </c>
      <c r="K118" s="264">
        <f t="shared" si="89"/>
        <v>0</v>
      </c>
      <c r="L118" s="266"/>
      <c r="M118" s="267">
        <f t="shared" si="90"/>
        <v>1</v>
      </c>
      <c r="N118" s="465" t="str">
        <f t="shared" si="91"/>
        <v/>
      </c>
      <c r="O118" s="297" t="str">
        <f t="shared" si="92"/>
        <v/>
      </c>
      <c r="P118" s="467" t="str">
        <f t="shared" si="93"/>
        <v/>
      </c>
      <c r="Q118" s="268" t="str">
        <f t="shared" si="103"/>
        <v/>
      </c>
      <c r="R118" s="270" t="str">
        <f t="shared" si="94"/>
        <v/>
      </c>
      <c r="S118" s="271" t="str">
        <f t="shared" si="95"/>
        <v>---</v>
      </c>
      <c r="V118" s="3" t="str">
        <f>IFERROR(VALUE(TEXT(C118,"00")&amp;TEXT(N118,"00")&amp;TEXT(P118,"00")&amp;IF(#REF!="Plato perforado",5,IF(OR(#REF!="N/A",#REF!=""),0,#REF!))),"")</f>
        <v/>
      </c>
      <c r="BC118" s="3" t="str">
        <f t="shared" si="96"/>
        <v/>
      </c>
      <c r="BD118" s="3" t="str">
        <f t="shared" si="97"/>
        <v/>
      </c>
      <c r="BE118" s="3" t="e">
        <f t="shared" si="98"/>
        <v>#VALUE!</v>
      </c>
      <c r="BW118" s="3">
        <f t="shared" si="101"/>
        <v>0</v>
      </c>
    </row>
    <row r="119" spans="1:75" x14ac:dyDescent="0.3">
      <c r="A119" s="431">
        <v>86</v>
      </c>
      <c r="B119" s="272"/>
      <c r="C119" s="273">
        <f t="shared" si="86"/>
        <v>2</v>
      </c>
      <c r="D119" s="372"/>
      <c r="E119" s="274"/>
      <c r="F119" s="273" t="str">
        <f t="shared" si="106"/>
        <v/>
      </c>
      <c r="G119" s="275" t="str">
        <f t="shared" si="106"/>
        <v/>
      </c>
      <c r="H119" s="276" t="str">
        <f t="shared" si="87"/>
        <v/>
      </c>
      <c r="I119" s="277" t="str">
        <f t="shared" si="102"/>
        <v/>
      </c>
      <c r="J119" s="276" t="str">
        <f t="shared" si="88"/>
        <v/>
      </c>
      <c r="K119" s="276">
        <f t="shared" si="89"/>
        <v>0</v>
      </c>
      <c r="L119" s="278"/>
      <c r="M119" s="279">
        <f t="shared" si="90"/>
        <v>1</v>
      </c>
      <c r="N119" s="360" t="str">
        <f t="shared" si="91"/>
        <v/>
      </c>
      <c r="O119" s="117" t="str">
        <f t="shared" si="92"/>
        <v/>
      </c>
      <c r="P119" s="359" t="str">
        <f t="shared" si="93"/>
        <v/>
      </c>
      <c r="Q119" s="280" t="str">
        <f t="shared" si="103"/>
        <v/>
      </c>
      <c r="R119" s="282" t="str">
        <f t="shared" si="94"/>
        <v/>
      </c>
      <c r="S119" s="283" t="str">
        <f t="shared" si="95"/>
        <v>---</v>
      </c>
      <c r="V119" s="3" t="str">
        <f>IFERROR(VALUE(TEXT(C119,"00")&amp;TEXT(N119,"00")&amp;TEXT(P119,"00")&amp;IF(#REF!="Plato perforado",5,IF(OR(#REF!="N/A",#REF!=""),0,#REF!))),"")</f>
        <v/>
      </c>
      <c r="BC119" s="3" t="str">
        <f t="shared" si="96"/>
        <v/>
      </c>
      <c r="BD119" s="3" t="str">
        <f t="shared" si="97"/>
        <v/>
      </c>
      <c r="BE119" s="3" t="e">
        <f t="shared" si="98"/>
        <v>#VALUE!</v>
      </c>
      <c r="BW119" s="3">
        <f t="shared" si="101"/>
        <v>0</v>
      </c>
    </row>
    <row r="120" spans="1:75" x14ac:dyDescent="0.3">
      <c r="A120" s="259">
        <v>87</v>
      </c>
      <c r="B120" s="284"/>
      <c r="C120" s="285">
        <f t="shared" si="86"/>
        <v>2</v>
      </c>
      <c r="D120" s="373"/>
      <c r="E120" s="286"/>
      <c r="F120" s="285" t="str">
        <f t="shared" si="106"/>
        <v/>
      </c>
      <c r="G120" s="287" t="str">
        <f t="shared" si="106"/>
        <v/>
      </c>
      <c r="H120" s="288" t="str">
        <f t="shared" si="87"/>
        <v/>
      </c>
      <c r="I120" s="289" t="str">
        <f t="shared" si="102"/>
        <v/>
      </c>
      <c r="J120" s="288" t="str">
        <f t="shared" si="88"/>
        <v/>
      </c>
      <c r="K120" s="288">
        <f t="shared" si="89"/>
        <v>0</v>
      </c>
      <c r="L120" s="290"/>
      <c r="M120" s="291">
        <f t="shared" si="90"/>
        <v>1</v>
      </c>
      <c r="N120" s="466" t="str">
        <f t="shared" si="91"/>
        <v/>
      </c>
      <c r="O120" s="302" t="str">
        <f t="shared" si="92"/>
        <v/>
      </c>
      <c r="P120" s="468" t="str">
        <f t="shared" si="93"/>
        <v/>
      </c>
      <c r="Q120" s="292" t="str">
        <f t="shared" si="103"/>
        <v/>
      </c>
      <c r="R120" s="294" t="str">
        <f t="shared" si="94"/>
        <v/>
      </c>
      <c r="S120" s="295" t="str">
        <f t="shared" si="95"/>
        <v>---</v>
      </c>
      <c r="V120" s="3" t="str">
        <f>IFERROR(VALUE(TEXT(C120,"00")&amp;TEXT(N120,"00")&amp;TEXT(P120,"00")&amp;IF(#REF!="Plato perforado",5,IF(OR(#REF!="N/A",#REF!=""),0,#REF!))),"")</f>
        <v/>
      </c>
      <c r="BC120" s="3" t="str">
        <f t="shared" si="96"/>
        <v/>
      </c>
      <c r="BD120" s="3" t="str">
        <f t="shared" si="97"/>
        <v/>
      </c>
      <c r="BE120" s="3" t="e">
        <f t="shared" si="98"/>
        <v>#VALUE!</v>
      </c>
      <c r="BW120" s="3">
        <f t="shared" si="101"/>
        <v>0</v>
      </c>
    </row>
    <row r="121" spans="1:75" x14ac:dyDescent="0.3">
      <c r="A121" s="431">
        <v>88</v>
      </c>
      <c r="B121" s="260"/>
      <c r="C121" s="261">
        <f t="shared" si="86"/>
        <v>2</v>
      </c>
      <c r="D121" s="371"/>
      <c r="E121" s="262"/>
      <c r="F121" s="261" t="str">
        <f t="shared" si="106"/>
        <v/>
      </c>
      <c r="G121" s="263" t="str">
        <f t="shared" si="106"/>
        <v/>
      </c>
      <c r="H121" s="264" t="str">
        <f t="shared" si="87"/>
        <v/>
      </c>
      <c r="I121" s="265" t="str">
        <f t="shared" si="102"/>
        <v/>
      </c>
      <c r="J121" s="264" t="str">
        <f t="shared" si="88"/>
        <v/>
      </c>
      <c r="K121" s="264">
        <f t="shared" si="89"/>
        <v>0</v>
      </c>
      <c r="L121" s="266"/>
      <c r="M121" s="267">
        <f t="shared" si="90"/>
        <v>1</v>
      </c>
      <c r="N121" s="465" t="str">
        <f t="shared" si="91"/>
        <v/>
      </c>
      <c r="O121" s="297" t="str">
        <f t="shared" si="92"/>
        <v/>
      </c>
      <c r="P121" s="467" t="str">
        <f t="shared" si="93"/>
        <v/>
      </c>
      <c r="Q121" s="268" t="str">
        <f t="shared" si="103"/>
        <v/>
      </c>
      <c r="R121" s="270" t="str">
        <f t="shared" si="94"/>
        <v/>
      </c>
      <c r="S121" s="271" t="str">
        <f t="shared" si="95"/>
        <v>---</v>
      </c>
      <c r="V121" s="3" t="str">
        <f>IFERROR(VALUE(TEXT(C121,"00")&amp;TEXT(N121,"00")&amp;TEXT(P121,"00")&amp;IF(#REF!="Plato perforado",5,IF(OR(#REF!="N/A",#REF!=""),0,#REF!))),"")</f>
        <v/>
      </c>
      <c r="BC121" s="3" t="str">
        <f t="shared" si="96"/>
        <v/>
      </c>
      <c r="BD121" s="3" t="str">
        <f t="shared" si="97"/>
        <v/>
      </c>
      <c r="BE121" s="3" t="e">
        <f t="shared" si="98"/>
        <v>#VALUE!</v>
      </c>
      <c r="BW121" s="3">
        <f t="shared" si="101"/>
        <v>0</v>
      </c>
    </row>
    <row r="122" spans="1:75" x14ac:dyDescent="0.3">
      <c r="A122" s="431">
        <v>89</v>
      </c>
      <c r="B122" s="272"/>
      <c r="C122" s="273">
        <f t="shared" si="86"/>
        <v>2</v>
      </c>
      <c r="D122" s="372"/>
      <c r="E122" s="274"/>
      <c r="F122" s="273" t="str">
        <f t="shared" si="106"/>
        <v/>
      </c>
      <c r="G122" s="275" t="str">
        <f t="shared" si="106"/>
        <v/>
      </c>
      <c r="H122" s="276" t="str">
        <f t="shared" si="87"/>
        <v/>
      </c>
      <c r="I122" s="277" t="str">
        <f t="shared" si="102"/>
        <v/>
      </c>
      <c r="J122" s="276" t="str">
        <f t="shared" si="88"/>
        <v/>
      </c>
      <c r="K122" s="276">
        <f t="shared" si="89"/>
        <v>0</v>
      </c>
      <c r="L122" s="278"/>
      <c r="M122" s="279">
        <f t="shared" si="90"/>
        <v>1</v>
      </c>
      <c r="N122" s="360" t="str">
        <f t="shared" si="91"/>
        <v/>
      </c>
      <c r="O122" s="117" t="str">
        <f t="shared" si="92"/>
        <v/>
      </c>
      <c r="P122" s="359" t="str">
        <f t="shared" si="93"/>
        <v/>
      </c>
      <c r="Q122" s="280" t="str">
        <f t="shared" si="103"/>
        <v/>
      </c>
      <c r="R122" s="282" t="str">
        <f t="shared" si="94"/>
        <v/>
      </c>
      <c r="S122" s="283" t="str">
        <f t="shared" si="95"/>
        <v>---</v>
      </c>
      <c r="V122" s="3" t="str">
        <f>IFERROR(VALUE(TEXT(C122,"00")&amp;TEXT(N122,"00")&amp;TEXT(P122,"00")&amp;IF(#REF!="Plato perforado",5,IF(OR(#REF!="N/A",#REF!=""),0,#REF!))),"")</f>
        <v/>
      </c>
      <c r="BC122" s="3" t="str">
        <f t="shared" si="96"/>
        <v/>
      </c>
      <c r="BD122" s="3" t="str">
        <f t="shared" si="97"/>
        <v/>
      </c>
      <c r="BE122" s="3" t="e">
        <f t="shared" si="98"/>
        <v>#VALUE!</v>
      </c>
      <c r="BW122" s="3">
        <f t="shared" si="101"/>
        <v>0</v>
      </c>
    </row>
    <row r="123" spans="1:75" x14ac:dyDescent="0.3">
      <c r="A123" s="431">
        <v>90</v>
      </c>
      <c r="B123" s="284"/>
      <c r="C123" s="285">
        <f t="shared" si="86"/>
        <v>2</v>
      </c>
      <c r="D123" s="373"/>
      <c r="E123" s="286"/>
      <c r="F123" s="285" t="str">
        <f t="shared" si="106"/>
        <v/>
      </c>
      <c r="G123" s="287" t="str">
        <f t="shared" si="106"/>
        <v/>
      </c>
      <c r="H123" s="288" t="str">
        <f t="shared" si="87"/>
        <v/>
      </c>
      <c r="I123" s="289" t="str">
        <f t="shared" si="102"/>
        <v/>
      </c>
      <c r="J123" s="288" t="str">
        <f t="shared" si="88"/>
        <v/>
      </c>
      <c r="K123" s="288">
        <f t="shared" si="89"/>
        <v>0</v>
      </c>
      <c r="L123" s="290"/>
      <c r="M123" s="291">
        <f t="shared" si="90"/>
        <v>1</v>
      </c>
      <c r="N123" s="466" t="str">
        <f t="shared" si="91"/>
        <v/>
      </c>
      <c r="O123" s="302" t="str">
        <f t="shared" si="92"/>
        <v/>
      </c>
      <c r="P123" s="468" t="str">
        <f t="shared" si="93"/>
        <v/>
      </c>
      <c r="Q123" s="292" t="str">
        <f t="shared" si="103"/>
        <v/>
      </c>
      <c r="R123" s="294" t="str">
        <f t="shared" si="94"/>
        <v/>
      </c>
      <c r="S123" s="295" t="str">
        <f t="shared" si="95"/>
        <v>---</v>
      </c>
      <c r="V123" s="3" t="str">
        <f>IFERROR(VALUE(TEXT(C123,"00")&amp;TEXT(N123,"00")&amp;TEXT(P123,"00")&amp;IF(#REF!="Plato perforado",5,IF(OR(#REF!="N/A",#REF!=""),0,#REF!))),"")</f>
        <v/>
      </c>
      <c r="BC123" s="3" t="str">
        <f t="shared" si="96"/>
        <v/>
      </c>
      <c r="BD123" s="3" t="str">
        <f t="shared" si="97"/>
        <v/>
      </c>
      <c r="BE123" s="3" t="e">
        <f t="shared" si="98"/>
        <v>#VALUE!</v>
      </c>
      <c r="BH123" s="121"/>
      <c r="BI123" s="8"/>
      <c r="BJ123" s="8"/>
      <c r="BW123" s="3">
        <f t="shared" si="101"/>
        <v>0</v>
      </c>
    </row>
    <row r="124" spans="1:75" x14ac:dyDescent="0.3">
      <c r="A124" s="431">
        <v>91</v>
      </c>
      <c r="B124" s="260"/>
      <c r="C124" s="261">
        <f t="shared" si="86"/>
        <v>2</v>
      </c>
      <c r="D124" s="371"/>
      <c r="E124" s="262"/>
      <c r="F124" s="261" t="str">
        <f t="shared" si="106"/>
        <v/>
      </c>
      <c r="G124" s="263" t="str">
        <f t="shared" si="106"/>
        <v/>
      </c>
      <c r="H124" s="264" t="str">
        <f t="shared" si="87"/>
        <v/>
      </c>
      <c r="I124" s="265" t="str">
        <f t="shared" si="102"/>
        <v/>
      </c>
      <c r="J124" s="264" t="str">
        <f t="shared" si="88"/>
        <v/>
      </c>
      <c r="K124" s="264">
        <f t="shared" si="89"/>
        <v>0</v>
      </c>
      <c r="L124" s="266"/>
      <c r="M124" s="267">
        <f t="shared" si="90"/>
        <v>1</v>
      </c>
      <c r="N124" s="465" t="str">
        <f t="shared" si="91"/>
        <v/>
      </c>
      <c r="O124" s="297" t="str">
        <f t="shared" si="92"/>
        <v/>
      </c>
      <c r="P124" s="467" t="str">
        <f t="shared" si="93"/>
        <v/>
      </c>
      <c r="Q124" s="268" t="str">
        <f t="shared" si="103"/>
        <v/>
      </c>
      <c r="R124" s="270" t="str">
        <f t="shared" si="94"/>
        <v/>
      </c>
      <c r="S124" s="271" t="str">
        <f t="shared" si="95"/>
        <v>---</v>
      </c>
      <c r="V124" s="3" t="str">
        <f>IFERROR(VALUE(TEXT(C124,"00")&amp;TEXT(N124,"00")&amp;TEXT(P124,"00")&amp;IF(#REF!="Plato perforado",5,IF(OR(#REF!="N/A",#REF!=""),0,#REF!))),"")</f>
        <v/>
      </c>
      <c r="BC124" s="3" t="str">
        <f t="shared" si="96"/>
        <v/>
      </c>
      <c r="BD124" s="3" t="str">
        <f t="shared" si="97"/>
        <v/>
      </c>
      <c r="BE124" s="3" t="e">
        <f t="shared" si="98"/>
        <v>#VALUE!</v>
      </c>
      <c r="BH124" s="121"/>
      <c r="BI124" s="8"/>
      <c r="BJ124" s="8"/>
      <c r="BW124" s="3">
        <f t="shared" si="101"/>
        <v>0</v>
      </c>
    </row>
    <row r="125" spans="1:75" x14ac:dyDescent="0.3">
      <c r="A125" s="431">
        <v>92</v>
      </c>
      <c r="B125" s="272"/>
      <c r="C125" s="273">
        <f t="shared" si="86"/>
        <v>2</v>
      </c>
      <c r="D125" s="372"/>
      <c r="E125" s="274"/>
      <c r="F125" s="273" t="str">
        <f t="shared" si="106"/>
        <v/>
      </c>
      <c r="G125" s="275" t="str">
        <f t="shared" si="106"/>
        <v/>
      </c>
      <c r="H125" s="276" t="str">
        <f t="shared" si="87"/>
        <v/>
      </c>
      <c r="I125" s="277" t="str">
        <f t="shared" si="102"/>
        <v/>
      </c>
      <c r="J125" s="276" t="str">
        <f t="shared" si="88"/>
        <v/>
      </c>
      <c r="K125" s="276">
        <f t="shared" si="89"/>
        <v>0</v>
      </c>
      <c r="L125" s="278"/>
      <c r="M125" s="279">
        <f t="shared" si="90"/>
        <v>1</v>
      </c>
      <c r="N125" s="360" t="str">
        <f t="shared" si="91"/>
        <v/>
      </c>
      <c r="O125" s="117" t="str">
        <f t="shared" si="92"/>
        <v/>
      </c>
      <c r="P125" s="359" t="str">
        <f t="shared" si="93"/>
        <v/>
      </c>
      <c r="Q125" s="280" t="str">
        <f t="shared" si="103"/>
        <v/>
      </c>
      <c r="R125" s="282" t="str">
        <f t="shared" si="94"/>
        <v/>
      </c>
      <c r="S125" s="283" t="str">
        <f t="shared" si="95"/>
        <v>---</v>
      </c>
      <c r="V125" s="3" t="str">
        <f>IFERROR(VALUE(TEXT(C125,"00")&amp;TEXT(N125,"00")&amp;TEXT(P125,"00")&amp;IF(#REF!="Plato perforado",5,IF(OR(#REF!="N/A",#REF!=""),0,#REF!))),"")</f>
        <v/>
      </c>
      <c r="BC125" s="3" t="str">
        <f t="shared" si="96"/>
        <v/>
      </c>
      <c r="BD125" s="3" t="str">
        <f t="shared" si="97"/>
        <v/>
      </c>
      <c r="BE125" s="3" t="e">
        <f t="shared" si="98"/>
        <v>#VALUE!</v>
      </c>
      <c r="BH125" s="121"/>
      <c r="BI125" s="8"/>
      <c r="BJ125" s="8"/>
      <c r="BW125" s="3">
        <f t="shared" si="101"/>
        <v>0</v>
      </c>
    </row>
    <row r="126" spans="1:75" x14ac:dyDescent="0.3">
      <c r="A126" s="431">
        <v>93</v>
      </c>
      <c r="B126" s="284"/>
      <c r="C126" s="285">
        <f t="shared" si="86"/>
        <v>2</v>
      </c>
      <c r="D126" s="373"/>
      <c r="E126" s="286"/>
      <c r="F126" s="285" t="str">
        <f t="shared" si="106"/>
        <v/>
      </c>
      <c r="G126" s="287" t="str">
        <f t="shared" si="106"/>
        <v/>
      </c>
      <c r="H126" s="288" t="str">
        <f t="shared" si="87"/>
        <v/>
      </c>
      <c r="I126" s="289" t="str">
        <f t="shared" si="102"/>
        <v/>
      </c>
      <c r="J126" s="288" t="str">
        <f t="shared" si="88"/>
        <v/>
      </c>
      <c r="K126" s="288">
        <f t="shared" si="89"/>
        <v>0</v>
      </c>
      <c r="L126" s="290"/>
      <c r="M126" s="291">
        <f t="shared" si="90"/>
        <v>1</v>
      </c>
      <c r="N126" s="466" t="str">
        <f t="shared" si="91"/>
        <v/>
      </c>
      <c r="O126" s="302" t="str">
        <f t="shared" si="92"/>
        <v/>
      </c>
      <c r="P126" s="468" t="str">
        <f t="shared" si="93"/>
        <v/>
      </c>
      <c r="Q126" s="292" t="str">
        <f t="shared" si="103"/>
        <v/>
      </c>
      <c r="R126" s="294" t="str">
        <f t="shared" si="94"/>
        <v/>
      </c>
      <c r="S126" s="295" t="str">
        <f t="shared" si="95"/>
        <v>---</v>
      </c>
      <c r="V126" s="3" t="str">
        <f>IFERROR(VALUE(TEXT(C126,"00")&amp;TEXT(N126,"00")&amp;TEXT(P126,"00")&amp;IF(#REF!="Plato perforado",5,IF(OR(#REF!="N/A",#REF!=""),0,#REF!))),"")</f>
        <v/>
      </c>
      <c r="BC126" s="3" t="str">
        <f t="shared" si="96"/>
        <v/>
      </c>
      <c r="BD126" s="3" t="str">
        <f t="shared" si="97"/>
        <v/>
      </c>
      <c r="BE126" s="3" t="e">
        <f t="shared" si="98"/>
        <v>#VALUE!</v>
      </c>
      <c r="BH126" s="121"/>
      <c r="BI126" s="8"/>
      <c r="BJ126" s="8"/>
      <c r="BW126" s="3">
        <f t="shared" si="101"/>
        <v>0</v>
      </c>
    </row>
    <row r="127" spans="1:75" x14ac:dyDescent="0.3">
      <c r="A127" s="431">
        <v>94</v>
      </c>
      <c r="B127" s="260"/>
      <c r="C127" s="261">
        <f t="shared" si="86"/>
        <v>2</v>
      </c>
      <c r="D127" s="371"/>
      <c r="E127" s="262"/>
      <c r="F127" s="261" t="str">
        <f t="shared" si="106"/>
        <v/>
      </c>
      <c r="G127" s="263" t="str">
        <f t="shared" si="106"/>
        <v/>
      </c>
      <c r="H127" s="264" t="str">
        <f t="shared" si="87"/>
        <v/>
      </c>
      <c r="I127" s="265" t="str">
        <f t="shared" si="102"/>
        <v/>
      </c>
      <c r="J127" s="264" t="str">
        <f t="shared" si="88"/>
        <v/>
      </c>
      <c r="K127" s="264">
        <f t="shared" si="89"/>
        <v>0</v>
      </c>
      <c r="L127" s="266"/>
      <c r="M127" s="267">
        <f t="shared" si="90"/>
        <v>1</v>
      </c>
      <c r="N127" s="465" t="str">
        <f t="shared" si="91"/>
        <v/>
      </c>
      <c r="O127" s="297" t="str">
        <f t="shared" si="92"/>
        <v/>
      </c>
      <c r="P127" s="467" t="str">
        <f t="shared" si="93"/>
        <v/>
      </c>
      <c r="Q127" s="268" t="str">
        <f t="shared" si="103"/>
        <v/>
      </c>
      <c r="R127" s="270" t="str">
        <f t="shared" si="94"/>
        <v/>
      </c>
      <c r="S127" s="271" t="str">
        <f t="shared" si="95"/>
        <v>---</v>
      </c>
      <c r="V127" s="3" t="str">
        <f>IFERROR(VALUE(TEXT(C127,"00")&amp;TEXT(N127,"00")&amp;TEXT(P127,"00")&amp;IF(#REF!="Plato perforado",5,IF(OR(#REF!="N/A",#REF!=""),0,#REF!))),"")</f>
        <v/>
      </c>
      <c r="BC127" s="3" t="str">
        <f t="shared" si="96"/>
        <v/>
      </c>
      <c r="BD127" s="3" t="str">
        <f t="shared" si="97"/>
        <v/>
      </c>
      <c r="BE127" s="3" t="e">
        <f t="shared" si="98"/>
        <v>#VALUE!</v>
      </c>
      <c r="BH127" s="121"/>
      <c r="BI127" s="8"/>
      <c r="BJ127" s="8"/>
      <c r="BW127" s="3">
        <f t="shared" si="101"/>
        <v>0</v>
      </c>
    </row>
    <row r="128" spans="1:75" x14ac:dyDescent="0.3">
      <c r="A128" s="431">
        <v>95</v>
      </c>
      <c r="B128" s="272"/>
      <c r="C128" s="273">
        <f t="shared" si="86"/>
        <v>2</v>
      </c>
      <c r="D128" s="372"/>
      <c r="E128" s="274"/>
      <c r="F128" s="273" t="str">
        <f t="shared" si="106"/>
        <v/>
      </c>
      <c r="G128" s="275" t="str">
        <f t="shared" si="106"/>
        <v/>
      </c>
      <c r="H128" s="276" t="str">
        <f t="shared" si="87"/>
        <v/>
      </c>
      <c r="I128" s="277" t="str">
        <f t="shared" si="102"/>
        <v/>
      </c>
      <c r="J128" s="276" t="str">
        <f t="shared" si="88"/>
        <v/>
      </c>
      <c r="K128" s="276">
        <f t="shared" si="89"/>
        <v>0</v>
      </c>
      <c r="L128" s="278"/>
      <c r="M128" s="279">
        <f t="shared" si="90"/>
        <v>1</v>
      </c>
      <c r="N128" s="360" t="str">
        <f t="shared" si="91"/>
        <v/>
      </c>
      <c r="O128" s="117" t="str">
        <f t="shared" si="92"/>
        <v/>
      </c>
      <c r="P128" s="359" t="str">
        <f t="shared" si="93"/>
        <v/>
      </c>
      <c r="Q128" s="280" t="str">
        <f t="shared" si="103"/>
        <v/>
      </c>
      <c r="R128" s="282" t="str">
        <f t="shared" si="94"/>
        <v/>
      </c>
      <c r="S128" s="283" t="str">
        <f t="shared" si="95"/>
        <v>---</v>
      </c>
      <c r="V128" s="3" t="str">
        <f>IFERROR(VALUE(TEXT(C128,"00")&amp;TEXT(N128,"00")&amp;TEXT(P128,"00")&amp;IF(#REF!="Plato perforado",5,IF(OR(#REF!="N/A",#REF!=""),0,#REF!))),"")</f>
        <v/>
      </c>
      <c r="BC128" s="3" t="str">
        <f t="shared" si="96"/>
        <v/>
      </c>
      <c r="BD128" s="3" t="str">
        <f t="shared" si="97"/>
        <v/>
      </c>
      <c r="BE128" s="3" t="e">
        <f t="shared" si="98"/>
        <v>#VALUE!</v>
      </c>
      <c r="BH128" s="121"/>
      <c r="BI128" s="8"/>
      <c r="BJ128" s="8"/>
      <c r="BW128" s="3">
        <f t="shared" si="101"/>
        <v>0</v>
      </c>
    </row>
    <row r="129" spans="1:75" x14ac:dyDescent="0.3">
      <c r="A129" s="431">
        <v>96</v>
      </c>
      <c r="B129" s="284"/>
      <c r="C129" s="285">
        <f t="shared" si="86"/>
        <v>2</v>
      </c>
      <c r="D129" s="373"/>
      <c r="E129" s="286"/>
      <c r="F129" s="285" t="str">
        <f t="shared" si="106"/>
        <v/>
      </c>
      <c r="G129" s="287" t="str">
        <f t="shared" si="106"/>
        <v/>
      </c>
      <c r="H129" s="288" t="str">
        <f t="shared" si="87"/>
        <v/>
      </c>
      <c r="I129" s="289" t="str">
        <f t="shared" si="102"/>
        <v/>
      </c>
      <c r="J129" s="288" t="str">
        <f t="shared" si="88"/>
        <v/>
      </c>
      <c r="K129" s="288">
        <f t="shared" si="89"/>
        <v>0</v>
      </c>
      <c r="L129" s="290"/>
      <c r="M129" s="291">
        <f t="shared" si="90"/>
        <v>1</v>
      </c>
      <c r="N129" s="466" t="str">
        <f t="shared" si="91"/>
        <v/>
      </c>
      <c r="O129" s="302" t="str">
        <f t="shared" si="92"/>
        <v/>
      </c>
      <c r="P129" s="468" t="str">
        <f t="shared" si="93"/>
        <v/>
      </c>
      <c r="Q129" s="292" t="str">
        <f t="shared" si="103"/>
        <v/>
      </c>
      <c r="R129" s="294" t="str">
        <f t="shared" si="94"/>
        <v/>
      </c>
      <c r="S129" s="295" t="str">
        <f t="shared" si="95"/>
        <v>---</v>
      </c>
      <c r="V129" s="3" t="str">
        <f>IFERROR(VALUE(TEXT(C129,"00")&amp;TEXT(N129,"00")&amp;TEXT(P129,"00")&amp;IF(#REF!="Plato perforado",5,IF(OR(#REF!="N/A",#REF!=""),0,#REF!))),"")</f>
        <v/>
      </c>
      <c r="BC129" s="3" t="str">
        <f t="shared" si="96"/>
        <v/>
      </c>
      <c r="BD129" s="3" t="str">
        <f t="shared" si="97"/>
        <v/>
      </c>
      <c r="BE129" s="3" t="e">
        <f t="shared" si="98"/>
        <v>#VALUE!</v>
      </c>
      <c r="BH129" s="121"/>
      <c r="BI129" s="8"/>
      <c r="BJ129" s="8"/>
      <c r="BW129" s="3">
        <f t="shared" si="101"/>
        <v>0</v>
      </c>
    </row>
    <row r="130" spans="1:75" x14ac:dyDescent="0.3">
      <c r="A130" s="431">
        <v>97</v>
      </c>
      <c r="B130" s="260"/>
      <c r="C130" s="261">
        <f t="shared" si="86"/>
        <v>2</v>
      </c>
      <c r="D130" s="371"/>
      <c r="E130" s="262"/>
      <c r="F130" s="261" t="str">
        <f t="shared" si="106"/>
        <v/>
      </c>
      <c r="G130" s="263" t="str">
        <f t="shared" si="106"/>
        <v/>
      </c>
      <c r="H130" s="264" t="str">
        <f t="shared" si="87"/>
        <v/>
      </c>
      <c r="I130" s="265" t="str">
        <f t="shared" si="102"/>
        <v/>
      </c>
      <c r="J130" s="264" t="str">
        <f t="shared" si="88"/>
        <v/>
      </c>
      <c r="K130" s="264">
        <f t="shared" si="89"/>
        <v>0</v>
      </c>
      <c r="L130" s="266"/>
      <c r="M130" s="267">
        <f t="shared" si="90"/>
        <v>1</v>
      </c>
      <c r="N130" s="465" t="str">
        <f t="shared" si="91"/>
        <v/>
      </c>
      <c r="O130" s="297" t="str">
        <f t="shared" si="92"/>
        <v/>
      </c>
      <c r="P130" s="467" t="str">
        <f t="shared" si="93"/>
        <v/>
      </c>
      <c r="Q130" s="268" t="str">
        <f t="shared" si="103"/>
        <v/>
      </c>
      <c r="R130" s="270" t="str">
        <f t="shared" si="94"/>
        <v/>
      </c>
      <c r="S130" s="271" t="str">
        <f t="shared" si="95"/>
        <v>---</v>
      </c>
      <c r="V130" s="3" t="str">
        <f>IFERROR(VALUE(TEXT(C130,"00")&amp;TEXT(N130,"00")&amp;TEXT(P130,"00")&amp;IF(#REF!="Plato perforado",5,IF(OR(#REF!="N/A",#REF!=""),0,#REF!))),"")</f>
        <v/>
      </c>
      <c r="BC130" s="3" t="str">
        <f t="shared" ref="BC130:BC161" si="107">IF(C130=2,N130,0)</f>
        <v/>
      </c>
      <c r="BD130" s="3" t="str">
        <f t="shared" ref="BD130:BD161" si="108">IF(C130=2,P130,0)</f>
        <v/>
      </c>
      <c r="BE130" s="3" t="e">
        <f t="shared" si="98"/>
        <v>#VALUE!</v>
      </c>
      <c r="BH130" s="121"/>
      <c r="BI130" s="8"/>
      <c r="BJ130" s="8"/>
      <c r="BW130" s="3">
        <f t="shared" ref="BW130:BW161" si="109">IF(C130=3,R130,0)</f>
        <v>0</v>
      </c>
    </row>
    <row r="131" spans="1:75" x14ac:dyDescent="0.3">
      <c r="A131" s="431">
        <v>98</v>
      </c>
      <c r="B131" s="272"/>
      <c r="C131" s="273">
        <f t="shared" si="86"/>
        <v>2</v>
      </c>
      <c r="D131" s="372"/>
      <c r="E131" s="274"/>
      <c r="F131" s="273" t="str">
        <f t="shared" si="106"/>
        <v/>
      </c>
      <c r="G131" s="275" t="str">
        <f t="shared" si="106"/>
        <v/>
      </c>
      <c r="H131" s="276" t="str">
        <f t="shared" si="87"/>
        <v/>
      </c>
      <c r="I131" s="277" t="str">
        <f t="shared" si="102"/>
        <v/>
      </c>
      <c r="J131" s="276" t="str">
        <f t="shared" si="88"/>
        <v/>
      </c>
      <c r="K131" s="276">
        <f t="shared" si="89"/>
        <v>0</v>
      </c>
      <c r="L131" s="278"/>
      <c r="M131" s="279">
        <f t="shared" si="90"/>
        <v>1</v>
      </c>
      <c r="N131" s="360" t="str">
        <f t="shared" si="91"/>
        <v/>
      </c>
      <c r="O131" s="117" t="str">
        <f t="shared" si="92"/>
        <v/>
      </c>
      <c r="P131" s="359" t="str">
        <f t="shared" si="93"/>
        <v/>
      </c>
      <c r="Q131" s="280" t="str">
        <f t="shared" si="103"/>
        <v/>
      </c>
      <c r="R131" s="282" t="str">
        <f t="shared" si="94"/>
        <v/>
      </c>
      <c r="S131" s="283" t="str">
        <f t="shared" si="95"/>
        <v>---</v>
      </c>
      <c r="V131" s="3" t="str">
        <f>IFERROR(VALUE(TEXT(C131,"00")&amp;TEXT(N131,"00")&amp;TEXT(P131,"00")&amp;IF(#REF!="Plato perforado",5,IF(OR(#REF!="N/A",#REF!=""),0,#REF!))),"")</f>
        <v/>
      </c>
      <c r="BC131" s="3" t="str">
        <f t="shared" si="107"/>
        <v/>
      </c>
      <c r="BD131" s="3" t="str">
        <f t="shared" si="108"/>
        <v/>
      </c>
      <c r="BE131" s="3" t="e">
        <f t="shared" si="98"/>
        <v>#VALUE!</v>
      </c>
      <c r="BW131" s="3">
        <f t="shared" si="109"/>
        <v>0</v>
      </c>
    </row>
    <row r="132" spans="1:75" x14ac:dyDescent="0.3">
      <c r="A132" s="431">
        <v>99</v>
      </c>
      <c r="B132" s="284"/>
      <c r="C132" s="285">
        <f t="shared" si="86"/>
        <v>2</v>
      </c>
      <c r="D132" s="373"/>
      <c r="E132" s="286"/>
      <c r="F132" s="285" t="str">
        <f t="shared" si="106"/>
        <v/>
      </c>
      <c r="G132" s="287" t="str">
        <f t="shared" si="106"/>
        <v/>
      </c>
      <c r="H132" s="288" t="str">
        <f t="shared" si="87"/>
        <v/>
      </c>
      <c r="I132" s="289" t="str">
        <f t="shared" si="102"/>
        <v/>
      </c>
      <c r="J132" s="288" t="str">
        <f t="shared" si="88"/>
        <v/>
      </c>
      <c r="K132" s="288">
        <f t="shared" si="89"/>
        <v>0</v>
      </c>
      <c r="L132" s="290"/>
      <c r="M132" s="291">
        <f t="shared" si="90"/>
        <v>1</v>
      </c>
      <c r="N132" s="466" t="str">
        <f t="shared" si="91"/>
        <v/>
      </c>
      <c r="O132" s="302" t="str">
        <f t="shared" si="92"/>
        <v/>
      </c>
      <c r="P132" s="468" t="str">
        <f t="shared" si="93"/>
        <v/>
      </c>
      <c r="Q132" s="292" t="str">
        <f t="shared" si="103"/>
        <v/>
      </c>
      <c r="R132" s="294" t="str">
        <f t="shared" si="94"/>
        <v/>
      </c>
      <c r="S132" s="295" t="str">
        <f t="shared" si="95"/>
        <v>---</v>
      </c>
      <c r="V132" s="3" t="str">
        <f>IFERROR(VALUE(TEXT(C132,"00")&amp;TEXT(N132,"00")&amp;TEXT(P132,"00")&amp;IF(#REF!="Plato perforado",5,IF(OR(#REF!="N/A",#REF!=""),0,#REF!))),"")</f>
        <v/>
      </c>
      <c r="BC132" s="3" t="str">
        <f t="shared" si="107"/>
        <v/>
      </c>
      <c r="BD132" s="3" t="str">
        <f t="shared" si="108"/>
        <v/>
      </c>
      <c r="BE132" s="3" t="e">
        <f t="shared" si="98"/>
        <v>#VALUE!</v>
      </c>
      <c r="BW132" s="3">
        <f t="shared" si="109"/>
        <v>0</v>
      </c>
    </row>
    <row r="133" spans="1:75" x14ac:dyDescent="0.3">
      <c r="A133" s="431">
        <v>100</v>
      </c>
      <c r="B133" s="260"/>
      <c r="C133" s="261">
        <f t="shared" si="86"/>
        <v>2</v>
      </c>
      <c r="D133" s="371"/>
      <c r="E133" s="262"/>
      <c r="F133" s="261" t="str">
        <f t="shared" si="106"/>
        <v/>
      </c>
      <c r="G133" s="263" t="str">
        <f t="shared" si="106"/>
        <v/>
      </c>
      <c r="H133" s="264" t="str">
        <f t="shared" si="87"/>
        <v/>
      </c>
      <c r="I133" s="265" t="str">
        <f t="shared" si="102"/>
        <v/>
      </c>
      <c r="J133" s="264" t="str">
        <f t="shared" si="88"/>
        <v/>
      </c>
      <c r="K133" s="264">
        <f t="shared" si="89"/>
        <v>0</v>
      </c>
      <c r="L133" s="266"/>
      <c r="M133" s="267">
        <f t="shared" si="90"/>
        <v>1</v>
      </c>
      <c r="N133" s="465" t="str">
        <f t="shared" si="91"/>
        <v/>
      </c>
      <c r="O133" s="297" t="str">
        <f t="shared" si="92"/>
        <v/>
      </c>
      <c r="P133" s="467" t="str">
        <f t="shared" si="93"/>
        <v/>
      </c>
      <c r="Q133" s="268" t="str">
        <f t="shared" si="103"/>
        <v/>
      </c>
      <c r="R133" s="270" t="str">
        <f t="shared" si="94"/>
        <v/>
      </c>
      <c r="S133" s="271" t="str">
        <f t="shared" si="95"/>
        <v>---</v>
      </c>
      <c r="V133" s="3" t="str">
        <f>IFERROR(VALUE(TEXT(C133,"00")&amp;TEXT(N133,"00")&amp;TEXT(P133,"00")&amp;IF(#REF!="Plato perforado",5,IF(OR(#REF!="N/A",#REF!=""),0,#REF!))),"")</f>
        <v/>
      </c>
      <c r="BC133" s="3" t="str">
        <f t="shared" si="107"/>
        <v/>
      </c>
      <c r="BD133" s="3" t="str">
        <f t="shared" si="108"/>
        <v/>
      </c>
      <c r="BE133" s="3" t="e">
        <f t="shared" si="98"/>
        <v>#VALUE!</v>
      </c>
      <c r="BW133" s="3">
        <f t="shared" si="109"/>
        <v>0</v>
      </c>
    </row>
    <row r="134" spans="1:75" x14ac:dyDescent="0.3">
      <c r="A134" s="431">
        <v>101</v>
      </c>
      <c r="B134" s="272"/>
      <c r="C134" s="273">
        <f t="shared" si="86"/>
        <v>2</v>
      </c>
      <c r="D134" s="372"/>
      <c r="E134" s="274"/>
      <c r="F134" s="273" t="str">
        <f t="shared" ref="F134:G153" si="110">IFERROR(VLOOKUP($E134,DMFA,F$29,FALSE),"")</f>
        <v/>
      </c>
      <c r="G134" s="275" t="str">
        <f t="shared" si="110"/>
        <v/>
      </c>
      <c r="H134" s="276" t="str">
        <f t="shared" si="87"/>
        <v/>
      </c>
      <c r="I134" s="277" t="str">
        <f t="shared" si="102"/>
        <v/>
      </c>
      <c r="J134" s="276" t="str">
        <f t="shared" si="88"/>
        <v/>
      </c>
      <c r="K134" s="276">
        <f t="shared" si="89"/>
        <v>0</v>
      </c>
      <c r="L134" s="278"/>
      <c r="M134" s="279">
        <f t="shared" si="90"/>
        <v>1</v>
      </c>
      <c r="N134" s="360" t="str">
        <f t="shared" si="91"/>
        <v/>
      </c>
      <c r="O134" s="117" t="str">
        <f t="shared" si="92"/>
        <v/>
      </c>
      <c r="P134" s="359" t="str">
        <f t="shared" si="93"/>
        <v/>
      </c>
      <c r="Q134" s="280" t="str">
        <f t="shared" si="103"/>
        <v/>
      </c>
      <c r="R134" s="282" t="str">
        <f t="shared" si="94"/>
        <v/>
      </c>
      <c r="S134" s="283" t="str">
        <f t="shared" si="95"/>
        <v>---</v>
      </c>
      <c r="V134" s="3" t="str">
        <f>IFERROR(VALUE(TEXT(C134,"00")&amp;TEXT(N134,"00")&amp;TEXT(P134,"00")&amp;IF(#REF!="Plato perforado",5,IF(OR(#REF!="N/A",#REF!=""),0,#REF!))),"")</f>
        <v/>
      </c>
      <c r="BC134" s="3" t="str">
        <f t="shared" si="107"/>
        <v/>
      </c>
      <c r="BD134" s="3" t="str">
        <f t="shared" si="108"/>
        <v/>
      </c>
      <c r="BE134" s="3" t="e">
        <f t="shared" si="98"/>
        <v>#VALUE!</v>
      </c>
      <c r="BW134" s="3">
        <f t="shared" si="109"/>
        <v>0</v>
      </c>
    </row>
    <row r="135" spans="1:75" x14ac:dyDescent="0.3">
      <c r="A135" s="431">
        <v>102</v>
      </c>
      <c r="B135" s="284"/>
      <c r="C135" s="285">
        <f t="shared" si="86"/>
        <v>2</v>
      </c>
      <c r="D135" s="373"/>
      <c r="E135" s="286"/>
      <c r="F135" s="285" t="str">
        <f t="shared" si="110"/>
        <v/>
      </c>
      <c r="G135" s="287" t="str">
        <f t="shared" si="110"/>
        <v/>
      </c>
      <c r="H135" s="288" t="str">
        <f t="shared" si="87"/>
        <v/>
      </c>
      <c r="I135" s="289" t="str">
        <f t="shared" si="102"/>
        <v/>
      </c>
      <c r="J135" s="288" t="str">
        <f t="shared" si="88"/>
        <v/>
      </c>
      <c r="K135" s="288">
        <f t="shared" si="89"/>
        <v>0</v>
      </c>
      <c r="L135" s="290"/>
      <c r="M135" s="291">
        <f t="shared" si="90"/>
        <v>1</v>
      </c>
      <c r="N135" s="466" t="str">
        <f t="shared" si="91"/>
        <v/>
      </c>
      <c r="O135" s="302" t="str">
        <f t="shared" si="92"/>
        <v/>
      </c>
      <c r="P135" s="468" t="str">
        <f t="shared" si="93"/>
        <v/>
      </c>
      <c r="Q135" s="292" t="str">
        <f t="shared" si="103"/>
        <v/>
      </c>
      <c r="R135" s="294" t="str">
        <f t="shared" si="94"/>
        <v/>
      </c>
      <c r="S135" s="295" t="str">
        <f t="shared" si="95"/>
        <v>---</v>
      </c>
      <c r="V135" s="3" t="str">
        <f>IFERROR(VALUE(TEXT(C135,"00")&amp;TEXT(N135,"00")&amp;TEXT(P135,"00")&amp;IF(#REF!="Plato perforado",5,IF(OR(#REF!="N/A",#REF!=""),0,#REF!))),"")</f>
        <v/>
      </c>
      <c r="BC135" s="3" t="str">
        <f t="shared" si="107"/>
        <v/>
      </c>
      <c r="BD135" s="3" t="str">
        <f t="shared" si="108"/>
        <v/>
      </c>
      <c r="BE135" s="3" t="e">
        <f t="shared" si="98"/>
        <v>#VALUE!</v>
      </c>
      <c r="BW135" s="3">
        <f t="shared" si="109"/>
        <v>0</v>
      </c>
    </row>
    <row r="136" spans="1:75" x14ac:dyDescent="0.3">
      <c r="A136" s="431">
        <v>103</v>
      </c>
      <c r="B136" s="260"/>
      <c r="C136" s="261">
        <f t="shared" si="86"/>
        <v>2</v>
      </c>
      <c r="D136" s="371"/>
      <c r="E136" s="262"/>
      <c r="F136" s="261" t="str">
        <f t="shared" si="110"/>
        <v/>
      </c>
      <c r="G136" s="263" t="str">
        <f t="shared" si="110"/>
        <v/>
      </c>
      <c r="H136" s="264" t="str">
        <f t="shared" si="87"/>
        <v/>
      </c>
      <c r="I136" s="265" t="str">
        <f t="shared" si="102"/>
        <v/>
      </c>
      <c r="J136" s="264" t="str">
        <f t="shared" si="88"/>
        <v/>
      </c>
      <c r="K136" s="264">
        <f t="shared" si="89"/>
        <v>0</v>
      </c>
      <c r="L136" s="266"/>
      <c r="M136" s="267">
        <f t="shared" si="90"/>
        <v>1</v>
      </c>
      <c r="N136" s="465" t="str">
        <f t="shared" si="91"/>
        <v/>
      </c>
      <c r="O136" s="297" t="str">
        <f t="shared" si="92"/>
        <v/>
      </c>
      <c r="P136" s="467" t="str">
        <f t="shared" si="93"/>
        <v/>
      </c>
      <c r="Q136" s="268" t="str">
        <f t="shared" si="103"/>
        <v/>
      </c>
      <c r="R136" s="270" t="str">
        <f t="shared" si="94"/>
        <v/>
      </c>
      <c r="S136" s="271" t="str">
        <f t="shared" si="95"/>
        <v>---</v>
      </c>
      <c r="V136" s="3" t="str">
        <f>IFERROR(VALUE(TEXT(C136,"00")&amp;TEXT(N136,"00")&amp;TEXT(P136,"00")&amp;IF(#REF!="Plato perforado",5,IF(OR(#REF!="N/A",#REF!=""),0,#REF!))),"")</f>
        <v/>
      </c>
      <c r="BC136" s="3" t="str">
        <f t="shared" si="107"/>
        <v/>
      </c>
      <c r="BD136" s="3" t="str">
        <f t="shared" si="108"/>
        <v/>
      </c>
      <c r="BE136" s="3" t="e">
        <f t="shared" si="98"/>
        <v>#VALUE!</v>
      </c>
      <c r="BW136" s="3">
        <f t="shared" si="109"/>
        <v>0</v>
      </c>
    </row>
    <row r="137" spans="1:75" x14ac:dyDescent="0.3">
      <c r="A137" s="431">
        <v>104</v>
      </c>
      <c r="B137" s="272"/>
      <c r="C137" s="273">
        <f t="shared" si="86"/>
        <v>2</v>
      </c>
      <c r="D137" s="372"/>
      <c r="E137" s="274"/>
      <c r="F137" s="273" t="str">
        <f t="shared" si="110"/>
        <v/>
      </c>
      <c r="G137" s="275" t="str">
        <f t="shared" si="110"/>
        <v/>
      </c>
      <c r="H137" s="276" t="str">
        <f t="shared" si="87"/>
        <v/>
      </c>
      <c r="I137" s="277" t="str">
        <f t="shared" si="102"/>
        <v/>
      </c>
      <c r="J137" s="276" t="str">
        <f t="shared" si="88"/>
        <v/>
      </c>
      <c r="K137" s="276">
        <f t="shared" si="89"/>
        <v>0</v>
      </c>
      <c r="L137" s="278"/>
      <c r="M137" s="279">
        <f t="shared" si="90"/>
        <v>1</v>
      </c>
      <c r="N137" s="360" t="str">
        <f t="shared" si="91"/>
        <v/>
      </c>
      <c r="O137" s="117" t="str">
        <f t="shared" si="92"/>
        <v/>
      </c>
      <c r="P137" s="359" t="str">
        <f t="shared" si="93"/>
        <v/>
      </c>
      <c r="Q137" s="280" t="str">
        <f t="shared" si="103"/>
        <v/>
      </c>
      <c r="R137" s="282" t="str">
        <f t="shared" si="94"/>
        <v/>
      </c>
      <c r="S137" s="283" t="str">
        <f t="shared" si="95"/>
        <v>---</v>
      </c>
      <c r="V137" s="3" t="str">
        <f>IFERROR(VALUE(TEXT(C137,"00")&amp;TEXT(N137,"00")&amp;TEXT(P137,"00")&amp;IF(#REF!="Plato perforado",5,IF(OR(#REF!="N/A",#REF!=""),0,#REF!))),"")</f>
        <v/>
      </c>
      <c r="BC137" s="3" t="str">
        <f t="shared" si="107"/>
        <v/>
      </c>
      <c r="BD137" s="3" t="str">
        <f t="shared" si="108"/>
        <v/>
      </c>
      <c r="BE137" s="3" t="e">
        <f t="shared" si="98"/>
        <v>#VALUE!</v>
      </c>
      <c r="BW137" s="3">
        <f t="shared" si="109"/>
        <v>0</v>
      </c>
    </row>
    <row r="138" spans="1:75" x14ac:dyDescent="0.3">
      <c r="A138" s="431">
        <v>105</v>
      </c>
      <c r="B138" s="284"/>
      <c r="C138" s="285">
        <f t="shared" si="86"/>
        <v>2</v>
      </c>
      <c r="D138" s="373"/>
      <c r="E138" s="286"/>
      <c r="F138" s="285" t="str">
        <f t="shared" si="110"/>
        <v/>
      </c>
      <c r="G138" s="287" t="str">
        <f t="shared" si="110"/>
        <v/>
      </c>
      <c r="H138" s="288" t="str">
        <f t="shared" si="87"/>
        <v/>
      </c>
      <c r="I138" s="289" t="str">
        <f t="shared" si="102"/>
        <v/>
      </c>
      <c r="J138" s="288" t="str">
        <f t="shared" si="88"/>
        <v/>
      </c>
      <c r="K138" s="288">
        <f t="shared" si="89"/>
        <v>0</v>
      </c>
      <c r="L138" s="290"/>
      <c r="M138" s="291">
        <f t="shared" si="90"/>
        <v>1</v>
      </c>
      <c r="N138" s="466" t="str">
        <f t="shared" si="91"/>
        <v/>
      </c>
      <c r="O138" s="302" t="str">
        <f t="shared" si="92"/>
        <v/>
      </c>
      <c r="P138" s="468" t="str">
        <f t="shared" si="93"/>
        <v/>
      </c>
      <c r="Q138" s="292" t="str">
        <f t="shared" si="103"/>
        <v/>
      </c>
      <c r="R138" s="294" t="str">
        <f t="shared" si="94"/>
        <v/>
      </c>
      <c r="S138" s="295" t="str">
        <f t="shared" si="95"/>
        <v>---</v>
      </c>
      <c r="V138" s="3" t="str">
        <f>IFERROR(VALUE(TEXT(C138,"00")&amp;TEXT(N138,"00")&amp;TEXT(P138,"00")&amp;IF(#REF!="Plato perforado",5,IF(OR(#REF!="N/A",#REF!=""),0,#REF!))),"")</f>
        <v/>
      </c>
      <c r="BC138" s="3" t="str">
        <f t="shared" si="107"/>
        <v/>
      </c>
      <c r="BD138" s="3" t="str">
        <f t="shared" si="108"/>
        <v/>
      </c>
      <c r="BE138" s="3" t="e">
        <f t="shared" si="98"/>
        <v>#VALUE!</v>
      </c>
      <c r="BW138" s="3">
        <f t="shared" si="109"/>
        <v>0</v>
      </c>
    </row>
    <row r="139" spans="1:75" x14ac:dyDescent="0.3">
      <c r="A139" s="431">
        <v>106</v>
      </c>
      <c r="B139" s="260"/>
      <c r="C139" s="261">
        <f t="shared" si="86"/>
        <v>2</v>
      </c>
      <c r="D139" s="371"/>
      <c r="E139" s="262"/>
      <c r="F139" s="261" t="str">
        <f t="shared" si="110"/>
        <v/>
      </c>
      <c r="G139" s="263" t="str">
        <f t="shared" si="110"/>
        <v/>
      </c>
      <c r="H139" s="264" t="str">
        <f t="shared" si="87"/>
        <v/>
      </c>
      <c r="I139" s="265" t="str">
        <f t="shared" si="102"/>
        <v/>
      </c>
      <c r="J139" s="264" t="str">
        <f t="shared" si="88"/>
        <v/>
      </c>
      <c r="K139" s="264">
        <f t="shared" si="89"/>
        <v>0</v>
      </c>
      <c r="L139" s="266"/>
      <c r="M139" s="267">
        <f t="shared" si="90"/>
        <v>1</v>
      </c>
      <c r="N139" s="465" t="str">
        <f t="shared" si="91"/>
        <v/>
      </c>
      <c r="O139" s="297" t="str">
        <f t="shared" si="92"/>
        <v/>
      </c>
      <c r="P139" s="467" t="str">
        <f t="shared" si="93"/>
        <v/>
      </c>
      <c r="Q139" s="268" t="str">
        <f t="shared" si="103"/>
        <v/>
      </c>
      <c r="R139" s="270" t="str">
        <f t="shared" si="94"/>
        <v/>
      </c>
      <c r="S139" s="271" t="str">
        <f t="shared" si="95"/>
        <v>---</v>
      </c>
      <c r="V139" s="3" t="str">
        <f>IFERROR(VALUE(TEXT(C139,"00")&amp;TEXT(N139,"00")&amp;TEXT(P139,"00")&amp;IF(#REF!="Plato perforado",5,IF(OR(#REF!="N/A",#REF!=""),0,#REF!))),"")</f>
        <v/>
      </c>
      <c r="BC139" s="3" t="str">
        <f t="shared" si="107"/>
        <v/>
      </c>
      <c r="BD139" s="3" t="str">
        <f t="shared" si="108"/>
        <v/>
      </c>
      <c r="BE139" s="3" t="e">
        <f t="shared" si="98"/>
        <v>#VALUE!</v>
      </c>
      <c r="BW139" s="3">
        <f t="shared" si="109"/>
        <v>0</v>
      </c>
    </row>
    <row r="140" spans="1:75" x14ac:dyDescent="0.3">
      <c r="A140" s="431">
        <v>107</v>
      </c>
      <c r="B140" s="272"/>
      <c r="C140" s="273">
        <f t="shared" si="86"/>
        <v>2</v>
      </c>
      <c r="D140" s="372"/>
      <c r="E140" s="274"/>
      <c r="F140" s="273" t="str">
        <f t="shared" si="110"/>
        <v/>
      </c>
      <c r="G140" s="275" t="str">
        <f t="shared" si="110"/>
        <v/>
      </c>
      <c r="H140" s="276" t="str">
        <f t="shared" si="87"/>
        <v/>
      </c>
      <c r="I140" s="277" t="str">
        <f t="shared" si="102"/>
        <v/>
      </c>
      <c r="J140" s="276" t="str">
        <f t="shared" si="88"/>
        <v/>
      </c>
      <c r="K140" s="276">
        <f t="shared" si="89"/>
        <v>0</v>
      </c>
      <c r="L140" s="278"/>
      <c r="M140" s="279">
        <f t="shared" si="90"/>
        <v>1</v>
      </c>
      <c r="N140" s="360" t="str">
        <f t="shared" si="91"/>
        <v/>
      </c>
      <c r="O140" s="117" t="str">
        <f t="shared" si="92"/>
        <v/>
      </c>
      <c r="P140" s="359" t="str">
        <f t="shared" si="93"/>
        <v/>
      </c>
      <c r="Q140" s="280" t="str">
        <f t="shared" si="103"/>
        <v/>
      </c>
      <c r="R140" s="282" t="str">
        <f t="shared" si="94"/>
        <v/>
      </c>
      <c r="S140" s="283" t="str">
        <f t="shared" si="95"/>
        <v>---</v>
      </c>
      <c r="V140" s="3" t="str">
        <f>IFERROR(VALUE(TEXT(C140,"00")&amp;TEXT(N140,"00")&amp;TEXT(P140,"00")&amp;IF(#REF!="Plato perforado",5,IF(OR(#REF!="N/A",#REF!=""),0,#REF!))),"")</f>
        <v/>
      </c>
      <c r="BC140" s="3" t="str">
        <f t="shared" si="107"/>
        <v/>
      </c>
      <c r="BD140" s="3" t="str">
        <f t="shared" si="108"/>
        <v/>
      </c>
      <c r="BE140" s="3" t="e">
        <f t="shared" si="98"/>
        <v>#VALUE!</v>
      </c>
      <c r="BW140" s="3">
        <f t="shared" si="109"/>
        <v>0</v>
      </c>
    </row>
    <row r="141" spans="1:75" x14ac:dyDescent="0.3">
      <c r="A141" s="431">
        <v>108</v>
      </c>
      <c r="B141" s="284"/>
      <c r="C141" s="285">
        <f t="shared" si="86"/>
        <v>2</v>
      </c>
      <c r="D141" s="373"/>
      <c r="E141" s="286"/>
      <c r="F141" s="285" t="str">
        <f t="shared" si="110"/>
        <v/>
      </c>
      <c r="G141" s="287" t="str">
        <f t="shared" si="110"/>
        <v/>
      </c>
      <c r="H141" s="288" t="str">
        <f t="shared" si="87"/>
        <v/>
      </c>
      <c r="I141" s="289" t="str">
        <f t="shared" si="102"/>
        <v/>
      </c>
      <c r="J141" s="288" t="str">
        <f t="shared" si="88"/>
        <v/>
      </c>
      <c r="K141" s="288">
        <f t="shared" si="89"/>
        <v>0</v>
      </c>
      <c r="L141" s="290"/>
      <c r="M141" s="291">
        <f t="shared" si="90"/>
        <v>1</v>
      </c>
      <c r="N141" s="466" t="str">
        <f t="shared" si="91"/>
        <v/>
      </c>
      <c r="O141" s="302" t="str">
        <f t="shared" si="92"/>
        <v/>
      </c>
      <c r="P141" s="468" t="str">
        <f t="shared" si="93"/>
        <v/>
      </c>
      <c r="Q141" s="292" t="str">
        <f t="shared" si="103"/>
        <v/>
      </c>
      <c r="R141" s="294" t="str">
        <f t="shared" si="94"/>
        <v/>
      </c>
      <c r="S141" s="295" t="str">
        <f t="shared" si="95"/>
        <v>---</v>
      </c>
      <c r="V141" s="3" t="str">
        <f>IFERROR(VALUE(TEXT(C141,"00")&amp;TEXT(N141,"00")&amp;TEXT(P141,"00")&amp;IF(#REF!="Plato perforado",5,IF(OR(#REF!="N/A",#REF!=""),0,#REF!))),"")</f>
        <v/>
      </c>
      <c r="BC141" s="3" t="str">
        <f t="shared" si="107"/>
        <v/>
      </c>
      <c r="BD141" s="3" t="str">
        <f t="shared" si="108"/>
        <v/>
      </c>
      <c r="BE141" s="3" t="e">
        <f t="shared" si="98"/>
        <v>#VALUE!</v>
      </c>
      <c r="BW141" s="3">
        <f t="shared" si="109"/>
        <v>0</v>
      </c>
    </row>
    <row r="142" spans="1:75" x14ac:dyDescent="0.3">
      <c r="A142" s="431">
        <v>109</v>
      </c>
      <c r="B142" s="260"/>
      <c r="C142" s="261">
        <f t="shared" si="86"/>
        <v>2</v>
      </c>
      <c r="D142" s="371"/>
      <c r="E142" s="262"/>
      <c r="F142" s="261" t="str">
        <f t="shared" si="110"/>
        <v/>
      </c>
      <c r="G142" s="263" t="str">
        <f t="shared" si="110"/>
        <v/>
      </c>
      <c r="H142" s="264" t="str">
        <f t="shared" si="87"/>
        <v/>
      </c>
      <c r="I142" s="265" t="str">
        <f t="shared" si="102"/>
        <v/>
      </c>
      <c r="J142" s="264" t="str">
        <f t="shared" si="88"/>
        <v/>
      </c>
      <c r="K142" s="264">
        <f t="shared" si="89"/>
        <v>0</v>
      </c>
      <c r="L142" s="266"/>
      <c r="M142" s="267">
        <f t="shared" si="90"/>
        <v>1</v>
      </c>
      <c r="N142" s="465" t="str">
        <f t="shared" si="91"/>
        <v/>
      </c>
      <c r="O142" s="297" t="str">
        <f t="shared" si="92"/>
        <v/>
      </c>
      <c r="P142" s="467" t="str">
        <f t="shared" si="93"/>
        <v/>
      </c>
      <c r="Q142" s="268" t="str">
        <f t="shared" si="103"/>
        <v/>
      </c>
      <c r="R142" s="270" t="str">
        <f t="shared" si="94"/>
        <v/>
      </c>
      <c r="S142" s="271" t="str">
        <f t="shared" si="95"/>
        <v>---</v>
      </c>
      <c r="V142" s="3" t="str">
        <f>IFERROR(VALUE(TEXT(C142,"00")&amp;TEXT(N142,"00")&amp;TEXT(P142,"00")&amp;IF(#REF!="Plato perforado",5,IF(OR(#REF!="N/A",#REF!=""),0,#REF!))),"")</f>
        <v/>
      </c>
      <c r="BC142" s="3" t="str">
        <f t="shared" si="107"/>
        <v/>
      </c>
      <c r="BD142" s="3" t="str">
        <f t="shared" si="108"/>
        <v/>
      </c>
      <c r="BE142" s="3" t="e">
        <f t="shared" si="98"/>
        <v>#VALUE!</v>
      </c>
      <c r="BW142" s="3">
        <f t="shared" si="109"/>
        <v>0</v>
      </c>
    </row>
    <row r="143" spans="1:75" x14ac:dyDescent="0.3">
      <c r="A143" s="431">
        <v>110</v>
      </c>
      <c r="B143" s="272"/>
      <c r="C143" s="273">
        <f t="shared" si="86"/>
        <v>2</v>
      </c>
      <c r="D143" s="372"/>
      <c r="E143" s="274"/>
      <c r="F143" s="273" t="str">
        <f t="shared" si="110"/>
        <v/>
      </c>
      <c r="G143" s="275" t="str">
        <f t="shared" si="110"/>
        <v/>
      </c>
      <c r="H143" s="276" t="str">
        <f t="shared" si="87"/>
        <v/>
      </c>
      <c r="I143" s="277" t="str">
        <f t="shared" si="102"/>
        <v/>
      </c>
      <c r="J143" s="276" t="str">
        <f t="shared" si="88"/>
        <v/>
      </c>
      <c r="K143" s="276">
        <f t="shared" si="89"/>
        <v>0</v>
      </c>
      <c r="L143" s="278"/>
      <c r="M143" s="279">
        <f t="shared" si="90"/>
        <v>1</v>
      </c>
      <c r="N143" s="360" t="str">
        <f t="shared" si="91"/>
        <v/>
      </c>
      <c r="O143" s="117" t="str">
        <f t="shared" si="92"/>
        <v/>
      </c>
      <c r="P143" s="359" t="str">
        <f t="shared" si="93"/>
        <v/>
      </c>
      <c r="Q143" s="280" t="str">
        <f t="shared" si="103"/>
        <v/>
      </c>
      <c r="R143" s="282" t="str">
        <f t="shared" si="94"/>
        <v/>
      </c>
      <c r="S143" s="283" t="str">
        <f t="shared" si="95"/>
        <v>---</v>
      </c>
      <c r="V143" s="3" t="str">
        <f>IFERROR(VALUE(TEXT(C143,"00")&amp;TEXT(N143,"00")&amp;TEXT(P143,"00")&amp;IF(#REF!="Plato perforado",5,IF(OR(#REF!="N/A",#REF!=""),0,#REF!))),"")</f>
        <v/>
      </c>
      <c r="BC143" s="3" t="str">
        <f t="shared" si="107"/>
        <v/>
      </c>
      <c r="BD143" s="3" t="str">
        <f t="shared" si="108"/>
        <v/>
      </c>
      <c r="BE143" s="3" t="e">
        <f t="shared" si="98"/>
        <v>#VALUE!</v>
      </c>
      <c r="BW143" s="3">
        <f t="shared" si="109"/>
        <v>0</v>
      </c>
    </row>
    <row r="144" spans="1:75" x14ac:dyDescent="0.3">
      <c r="A144" s="431">
        <v>111</v>
      </c>
      <c r="B144" s="284"/>
      <c r="C144" s="285">
        <f t="shared" si="86"/>
        <v>2</v>
      </c>
      <c r="D144" s="373"/>
      <c r="E144" s="286"/>
      <c r="F144" s="285" t="str">
        <f t="shared" si="110"/>
        <v/>
      </c>
      <c r="G144" s="287" t="str">
        <f t="shared" si="110"/>
        <v/>
      </c>
      <c r="H144" s="288" t="str">
        <f t="shared" si="87"/>
        <v/>
      </c>
      <c r="I144" s="289" t="str">
        <f t="shared" si="102"/>
        <v/>
      </c>
      <c r="J144" s="288" t="str">
        <f t="shared" si="88"/>
        <v/>
      </c>
      <c r="K144" s="288">
        <f t="shared" si="89"/>
        <v>0</v>
      </c>
      <c r="L144" s="290"/>
      <c r="M144" s="291">
        <f t="shared" si="90"/>
        <v>1</v>
      </c>
      <c r="N144" s="466" t="str">
        <f t="shared" si="91"/>
        <v/>
      </c>
      <c r="O144" s="302" t="str">
        <f t="shared" si="92"/>
        <v/>
      </c>
      <c r="P144" s="468" t="str">
        <f t="shared" si="93"/>
        <v/>
      </c>
      <c r="Q144" s="292" t="str">
        <f t="shared" si="103"/>
        <v/>
      </c>
      <c r="R144" s="294" t="str">
        <f t="shared" si="94"/>
        <v/>
      </c>
      <c r="S144" s="295" t="str">
        <f t="shared" si="95"/>
        <v>---</v>
      </c>
      <c r="V144" s="3" t="str">
        <f>IFERROR(VALUE(TEXT(C144,"00")&amp;TEXT(N144,"00")&amp;TEXT(P144,"00")&amp;IF(#REF!="Plato perforado",5,IF(OR(#REF!="N/A",#REF!=""),0,#REF!))),"")</f>
        <v/>
      </c>
      <c r="BC144" s="3" t="str">
        <f t="shared" si="107"/>
        <v/>
      </c>
      <c r="BD144" s="3" t="str">
        <f t="shared" si="108"/>
        <v/>
      </c>
      <c r="BE144" s="3" t="e">
        <f t="shared" si="98"/>
        <v>#VALUE!</v>
      </c>
      <c r="BW144" s="3">
        <f t="shared" si="109"/>
        <v>0</v>
      </c>
    </row>
    <row r="145" spans="1:75" x14ac:dyDescent="0.3">
      <c r="A145" s="431">
        <v>112</v>
      </c>
      <c r="B145" s="260"/>
      <c r="C145" s="261">
        <f t="shared" si="86"/>
        <v>2</v>
      </c>
      <c r="D145" s="371"/>
      <c r="E145" s="262"/>
      <c r="F145" s="261" t="str">
        <f t="shared" si="110"/>
        <v/>
      </c>
      <c r="G145" s="263" t="str">
        <f t="shared" si="110"/>
        <v/>
      </c>
      <c r="H145" s="264" t="str">
        <f t="shared" si="87"/>
        <v/>
      </c>
      <c r="I145" s="265" t="str">
        <f t="shared" si="102"/>
        <v/>
      </c>
      <c r="J145" s="264" t="str">
        <f t="shared" si="88"/>
        <v/>
      </c>
      <c r="K145" s="264">
        <f t="shared" si="89"/>
        <v>0</v>
      </c>
      <c r="L145" s="266"/>
      <c r="M145" s="267">
        <f t="shared" si="90"/>
        <v>1</v>
      </c>
      <c r="N145" s="465" t="str">
        <f t="shared" si="91"/>
        <v/>
      </c>
      <c r="O145" s="297" t="str">
        <f t="shared" si="92"/>
        <v/>
      </c>
      <c r="P145" s="467" t="str">
        <f t="shared" si="93"/>
        <v/>
      </c>
      <c r="Q145" s="268" t="str">
        <f t="shared" si="103"/>
        <v/>
      </c>
      <c r="R145" s="270" t="str">
        <f t="shared" si="94"/>
        <v/>
      </c>
      <c r="S145" s="271" t="str">
        <f t="shared" si="95"/>
        <v>---</v>
      </c>
      <c r="V145" s="3" t="str">
        <f>IFERROR(VALUE(TEXT(C145,"00")&amp;TEXT(N145,"00")&amp;TEXT(P145,"00")&amp;IF(#REF!="Plato perforado",5,IF(OR(#REF!="N/A",#REF!=""),0,#REF!))),"")</f>
        <v/>
      </c>
      <c r="BC145" s="3" t="str">
        <f t="shared" si="107"/>
        <v/>
      </c>
      <c r="BD145" s="3" t="str">
        <f t="shared" si="108"/>
        <v/>
      </c>
      <c r="BE145" s="3" t="e">
        <f t="shared" si="98"/>
        <v>#VALUE!</v>
      </c>
      <c r="BW145" s="3">
        <f t="shared" si="109"/>
        <v>0</v>
      </c>
    </row>
    <row r="146" spans="1:75" x14ac:dyDescent="0.3">
      <c r="A146" s="431">
        <v>113</v>
      </c>
      <c r="B146" s="272"/>
      <c r="C146" s="273">
        <f t="shared" si="86"/>
        <v>2</v>
      </c>
      <c r="D146" s="372"/>
      <c r="E146" s="274"/>
      <c r="F146" s="273" t="str">
        <f t="shared" si="110"/>
        <v/>
      </c>
      <c r="G146" s="275" t="str">
        <f t="shared" si="110"/>
        <v/>
      </c>
      <c r="H146" s="276" t="str">
        <f t="shared" si="87"/>
        <v/>
      </c>
      <c r="I146" s="277" t="str">
        <f t="shared" si="102"/>
        <v/>
      </c>
      <c r="J146" s="276" t="str">
        <f t="shared" si="88"/>
        <v/>
      </c>
      <c r="K146" s="276">
        <f t="shared" si="89"/>
        <v>0</v>
      </c>
      <c r="L146" s="278"/>
      <c r="M146" s="279">
        <f t="shared" si="90"/>
        <v>1</v>
      </c>
      <c r="N146" s="360" t="str">
        <f t="shared" si="91"/>
        <v/>
      </c>
      <c r="O146" s="117" t="str">
        <f t="shared" si="92"/>
        <v/>
      </c>
      <c r="P146" s="359" t="str">
        <f t="shared" si="93"/>
        <v/>
      </c>
      <c r="Q146" s="280" t="str">
        <f t="shared" si="103"/>
        <v/>
      </c>
      <c r="R146" s="282" t="str">
        <f t="shared" si="94"/>
        <v/>
      </c>
      <c r="S146" s="283" t="str">
        <f t="shared" si="95"/>
        <v>---</v>
      </c>
      <c r="V146" s="3" t="str">
        <f>IFERROR(VALUE(TEXT(C146,"00")&amp;TEXT(N146,"00")&amp;TEXT(P146,"00")&amp;IF(#REF!="Plato perforado",5,IF(OR(#REF!="N/A",#REF!=""),0,#REF!))),"")</f>
        <v/>
      </c>
      <c r="BC146" s="3" t="str">
        <f t="shared" si="107"/>
        <v/>
      </c>
      <c r="BD146" s="3" t="str">
        <f t="shared" si="108"/>
        <v/>
      </c>
      <c r="BE146" s="3" t="e">
        <f t="shared" si="98"/>
        <v>#VALUE!</v>
      </c>
      <c r="BW146" s="3">
        <f t="shared" si="109"/>
        <v>0</v>
      </c>
    </row>
    <row r="147" spans="1:75" x14ac:dyDescent="0.3">
      <c r="A147" s="431">
        <v>114</v>
      </c>
      <c r="B147" s="284"/>
      <c r="C147" s="285">
        <f t="shared" si="86"/>
        <v>2</v>
      </c>
      <c r="D147" s="373"/>
      <c r="E147" s="286"/>
      <c r="F147" s="285" t="str">
        <f t="shared" si="110"/>
        <v/>
      </c>
      <c r="G147" s="287" t="str">
        <f t="shared" si="110"/>
        <v/>
      </c>
      <c r="H147" s="288" t="str">
        <f t="shared" si="87"/>
        <v/>
      </c>
      <c r="I147" s="289" t="str">
        <f t="shared" si="102"/>
        <v/>
      </c>
      <c r="J147" s="288" t="str">
        <f t="shared" si="88"/>
        <v/>
      </c>
      <c r="K147" s="288">
        <f t="shared" si="89"/>
        <v>0</v>
      </c>
      <c r="L147" s="290"/>
      <c r="M147" s="291">
        <f t="shared" si="90"/>
        <v>1</v>
      </c>
      <c r="N147" s="466" t="str">
        <f t="shared" si="91"/>
        <v/>
      </c>
      <c r="O147" s="302" t="str">
        <f t="shared" si="92"/>
        <v/>
      </c>
      <c r="P147" s="468" t="str">
        <f t="shared" si="93"/>
        <v/>
      </c>
      <c r="Q147" s="292" t="str">
        <f t="shared" si="103"/>
        <v/>
      </c>
      <c r="R147" s="294" t="str">
        <f t="shared" si="94"/>
        <v/>
      </c>
      <c r="S147" s="295" t="str">
        <f t="shared" si="95"/>
        <v>---</v>
      </c>
      <c r="V147" s="3" t="str">
        <f>IFERROR(VALUE(TEXT(C147,"00")&amp;TEXT(N147,"00")&amp;TEXT(P147,"00")&amp;IF(#REF!="Plato perforado",5,IF(OR(#REF!="N/A",#REF!=""),0,#REF!))),"")</f>
        <v/>
      </c>
      <c r="BC147" s="3" t="str">
        <f t="shared" si="107"/>
        <v/>
      </c>
      <c r="BD147" s="3" t="str">
        <f t="shared" si="108"/>
        <v/>
      </c>
      <c r="BE147" s="3" t="e">
        <f t="shared" si="98"/>
        <v>#VALUE!</v>
      </c>
      <c r="BW147" s="3">
        <f t="shared" si="109"/>
        <v>0</v>
      </c>
    </row>
    <row r="148" spans="1:75" x14ac:dyDescent="0.3">
      <c r="A148" s="431">
        <v>115</v>
      </c>
      <c r="B148" s="260"/>
      <c r="C148" s="261">
        <f t="shared" si="86"/>
        <v>2</v>
      </c>
      <c r="D148" s="371"/>
      <c r="E148" s="262"/>
      <c r="F148" s="261" t="str">
        <f t="shared" si="110"/>
        <v/>
      </c>
      <c r="G148" s="263" t="str">
        <f t="shared" si="110"/>
        <v/>
      </c>
      <c r="H148" s="264" t="str">
        <f t="shared" si="87"/>
        <v/>
      </c>
      <c r="I148" s="265" t="str">
        <f t="shared" si="102"/>
        <v/>
      </c>
      <c r="J148" s="264" t="str">
        <f t="shared" si="88"/>
        <v/>
      </c>
      <c r="K148" s="264">
        <f t="shared" si="89"/>
        <v>0</v>
      </c>
      <c r="L148" s="266"/>
      <c r="M148" s="267">
        <f t="shared" si="90"/>
        <v>1</v>
      </c>
      <c r="N148" s="465" t="str">
        <f t="shared" si="91"/>
        <v/>
      </c>
      <c r="O148" s="297" t="str">
        <f t="shared" si="92"/>
        <v/>
      </c>
      <c r="P148" s="467" t="str">
        <f t="shared" si="93"/>
        <v/>
      </c>
      <c r="Q148" s="268" t="str">
        <f t="shared" si="103"/>
        <v/>
      </c>
      <c r="R148" s="270" t="str">
        <f t="shared" si="94"/>
        <v/>
      </c>
      <c r="S148" s="271" t="str">
        <f t="shared" si="95"/>
        <v>---</v>
      </c>
      <c r="V148" s="3" t="str">
        <f>IFERROR(VALUE(TEXT(C148,"00")&amp;TEXT(N148,"00")&amp;TEXT(P148,"00")&amp;IF(#REF!="Plato perforado",5,IF(OR(#REF!="N/A",#REF!=""),0,#REF!))),"")</f>
        <v/>
      </c>
      <c r="BC148" s="3" t="str">
        <f t="shared" si="107"/>
        <v/>
      </c>
      <c r="BD148" s="3" t="str">
        <f t="shared" si="108"/>
        <v/>
      </c>
      <c r="BE148" s="3" t="e">
        <f t="shared" si="98"/>
        <v>#VALUE!</v>
      </c>
      <c r="BW148" s="3">
        <f t="shared" si="109"/>
        <v>0</v>
      </c>
    </row>
    <row r="149" spans="1:75" x14ac:dyDescent="0.3">
      <c r="A149" s="431">
        <v>116</v>
      </c>
      <c r="B149" s="272"/>
      <c r="C149" s="273">
        <f t="shared" si="86"/>
        <v>2</v>
      </c>
      <c r="D149" s="372"/>
      <c r="E149" s="274"/>
      <c r="F149" s="273" t="str">
        <f t="shared" si="110"/>
        <v/>
      </c>
      <c r="G149" s="275" t="str">
        <f t="shared" si="110"/>
        <v/>
      </c>
      <c r="H149" s="276" t="str">
        <f t="shared" si="87"/>
        <v/>
      </c>
      <c r="I149" s="277" t="str">
        <f t="shared" si="102"/>
        <v/>
      </c>
      <c r="J149" s="276" t="str">
        <f t="shared" si="88"/>
        <v/>
      </c>
      <c r="K149" s="276">
        <f t="shared" si="89"/>
        <v>0</v>
      </c>
      <c r="L149" s="278"/>
      <c r="M149" s="279">
        <f t="shared" si="90"/>
        <v>1</v>
      </c>
      <c r="N149" s="360" t="str">
        <f t="shared" si="91"/>
        <v/>
      </c>
      <c r="O149" s="117" t="str">
        <f t="shared" si="92"/>
        <v/>
      </c>
      <c r="P149" s="359" t="str">
        <f t="shared" si="93"/>
        <v/>
      </c>
      <c r="Q149" s="280" t="str">
        <f t="shared" si="103"/>
        <v/>
      </c>
      <c r="R149" s="282" t="str">
        <f t="shared" si="94"/>
        <v/>
      </c>
      <c r="S149" s="283" t="str">
        <f t="shared" si="95"/>
        <v>---</v>
      </c>
      <c r="V149" s="3" t="str">
        <f>IFERROR(VALUE(TEXT(C149,"00")&amp;TEXT(N149,"00")&amp;TEXT(P149,"00")&amp;IF(#REF!="Plato perforado",5,IF(OR(#REF!="N/A",#REF!=""),0,#REF!))),"")</f>
        <v/>
      </c>
      <c r="BC149" s="3" t="str">
        <f t="shared" si="107"/>
        <v/>
      </c>
      <c r="BD149" s="3" t="str">
        <f t="shared" si="108"/>
        <v/>
      </c>
      <c r="BE149" s="3" t="e">
        <f t="shared" si="98"/>
        <v>#VALUE!</v>
      </c>
      <c r="BW149" s="3">
        <f t="shared" si="109"/>
        <v>0</v>
      </c>
    </row>
    <row r="150" spans="1:75" x14ac:dyDescent="0.3">
      <c r="A150" s="431">
        <v>117</v>
      </c>
      <c r="B150" s="284"/>
      <c r="C150" s="285">
        <f t="shared" si="86"/>
        <v>2</v>
      </c>
      <c r="D150" s="373"/>
      <c r="E150" s="286"/>
      <c r="F150" s="285" t="str">
        <f t="shared" si="110"/>
        <v/>
      </c>
      <c r="G150" s="287" t="str">
        <f t="shared" si="110"/>
        <v/>
      </c>
      <c r="H150" s="288" t="str">
        <f t="shared" si="87"/>
        <v/>
      </c>
      <c r="I150" s="289" t="str">
        <f t="shared" si="102"/>
        <v/>
      </c>
      <c r="J150" s="288" t="str">
        <f t="shared" si="88"/>
        <v/>
      </c>
      <c r="K150" s="288">
        <f t="shared" si="89"/>
        <v>0</v>
      </c>
      <c r="L150" s="290"/>
      <c r="M150" s="291">
        <f t="shared" si="90"/>
        <v>1</v>
      </c>
      <c r="N150" s="466" t="str">
        <f t="shared" si="91"/>
        <v/>
      </c>
      <c r="O150" s="302" t="str">
        <f t="shared" si="92"/>
        <v/>
      </c>
      <c r="P150" s="468" t="str">
        <f t="shared" si="93"/>
        <v/>
      </c>
      <c r="Q150" s="292" t="str">
        <f t="shared" si="103"/>
        <v/>
      </c>
      <c r="R150" s="294" t="str">
        <f t="shared" si="94"/>
        <v/>
      </c>
      <c r="S150" s="295" t="str">
        <f t="shared" si="95"/>
        <v>---</v>
      </c>
      <c r="V150" s="3" t="str">
        <f>IFERROR(VALUE(TEXT(C150,"00")&amp;TEXT(N150,"00")&amp;TEXT(P150,"00")&amp;IF(#REF!="Plato perforado",5,IF(OR(#REF!="N/A",#REF!=""),0,#REF!))),"")</f>
        <v/>
      </c>
      <c r="BC150" s="3" t="str">
        <f t="shared" si="107"/>
        <v/>
      </c>
      <c r="BD150" s="3" t="str">
        <f t="shared" si="108"/>
        <v/>
      </c>
      <c r="BE150" s="3" t="e">
        <f t="shared" si="98"/>
        <v>#VALUE!</v>
      </c>
      <c r="BW150" s="3">
        <f t="shared" si="109"/>
        <v>0</v>
      </c>
    </row>
    <row r="151" spans="1:75" x14ac:dyDescent="0.3">
      <c r="A151" s="431">
        <v>118</v>
      </c>
      <c r="B151" s="260"/>
      <c r="C151" s="261">
        <f t="shared" si="86"/>
        <v>2</v>
      </c>
      <c r="D151" s="371"/>
      <c r="E151" s="262"/>
      <c r="F151" s="261" t="str">
        <f t="shared" si="110"/>
        <v/>
      </c>
      <c r="G151" s="263" t="str">
        <f t="shared" si="110"/>
        <v/>
      </c>
      <c r="H151" s="264" t="str">
        <f t="shared" si="87"/>
        <v/>
      </c>
      <c r="I151" s="265" t="str">
        <f t="shared" si="102"/>
        <v/>
      </c>
      <c r="J151" s="264" t="str">
        <f t="shared" si="88"/>
        <v/>
      </c>
      <c r="K151" s="264">
        <f t="shared" si="89"/>
        <v>0</v>
      </c>
      <c r="L151" s="266"/>
      <c r="M151" s="267">
        <f t="shared" si="90"/>
        <v>1</v>
      </c>
      <c r="N151" s="465" t="str">
        <f t="shared" si="91"/>
        <v/>
      </c>
      <c r="O151" s="297" t="str">
        <f t="shared" si="92"/>
        <v/>
      </c>
      <c r="P151" s="467" t="str">
        <f t="shared" si="93"/>
        <v/>
      </c>
      <c r="Q151" s="268" t="str">
        <f t="shared" si="103"/>
        <v/>
      </c>
      <c r="R151" s="270" t="str">
        <f t="shared" si="94"/>
        <v/>
      </c>
      <c r="S151" s="271" t="str">
        <f t="shared" si="95"/>
        <v>---</v>
      </c>
      <c r="V151" s="3" t="str">
        <f>IFERROR(VALUE(TEXT(C151,"00")&amp;TEXT(N151,"00")&amp;TEXT(P151,"00")&amp;IF(#REF!="Plato perforado",5,IF(OR(#REF!="N/A",#REF!=""),0,#REF!))),"")</f>
        <v/>
      </c>
      <c r="BC151" s="3" t="str">
        <f t="shared" si="107"/>
        <v/>
      </c>
      <c r="BD151" s="3" t="str">
        <f t="shared" si="108"/>
        <v/>
      </c>
      <c r="BE151" s="3" t="e">
        <f t="shared" si="98"/>
        <v>#VALUE!</v>
      </c>
      <c r="BW151" s="3">
        <f t="shared" si="109"/>
        <v>0</v>
      </c>
    </row>
    <row r="152" spans="1:75" x14ac:dyDescent="0.3">
      <c r="A152" s="431">
        <v>119</v>
      </c>
      <c r="B152" s="272"/>
      <c r="C152" s="273">
        <f t="shared" si="86"/>
        <v>2</v>
      </c>
      <c r="D152" s="372"/>
      <c r="E152" s="274"/>
      <c r="F152" s="273" t="str">
        <f t="shared" si="110"/>
        <v/>
      </c>
      <c r="G152" s="275" t="str">
        <f t="shared" si="110"/>
        <v/>
      </c>
      <c r="H152" s="276" t="str">
        <f t="shared" si="87"/>
        <v/>
      </c>
      <c r="I152" s="277" t="str">
        <f t="shared" si="102"/>
        <v/>
      </c>
      <c r="J152" s="276" t="str">
        <f t="shared" si="88"/>
        <v/>
      </c>
      <c r="K152" s="276">
        <f t="shared" si="89"/>
        <v>0</v>
      </c>
      <c r="L152" s="278"/>
      <c r="M152" s="279">
        <f t="shared" si="90"/>
        <v>1</v>
      </c>
      <c r="N152" s="360" t="str">
        <f t="shared" si="91"/>
        <v/>
      </c>
      <c r="O152" s="117" t="str">
        <f t="shared" si="92"/>
        <v/>
      </c>
      <c r="P152" s="359" t="str">
        <f t="shared" si="93"/>
        <v/>
      </c>
      <c r="Q152" s="280" t="str">
        <f t="shared" si="103"/>
        <v/>
      </c>
      <c r="R152" s="282" t="str">
        <f t="shared" si="94"/>
        <v/>
      </c>
      <c r="S152" s="283" t="str">
        <f t="shared" si="95"/>
        <v>---</v>
      </c>
      <c r="V152" s="3" t="str">
        <f>IFERROR(VALUE(TEXT(C152,"00")&amp;TEXT(N152,"00")&amp;TEXT(P152,"00")&amp;IF(#REF!="Plato perforado",5,IF(OR(#REF!="N/A",#REF!=""),0,#REF!))),"")</f>
        <v/>
      </c>
      <c r="BC152" s="3" t="str">
        <f t="shared" si="107"/>
        <v/>
      </c>
      <c r="BD152" s="3" t="str">
        <f t="shared" si="108"/>
        <v/>
      </c>
      <c r="BE152" s="3" t="e">
        <f t="shared" si="98"/>
        <v>#VALUE!</v>
      </c>
      <c r="BW152" s="3">
        <f t="shared" si="109"/>
        <v>0</v>
      </c>
    </row>
    <row r="153" spans="1:75" x14ac:dyDescent="0.3">
      <c r="A153" s="431">
        <v>120</v>
      </c>
      <c r="B153" s="284"/>
      <c r="C153" s="285">
        <f t="shared" si="86"/>
        <v>2</v>
      </c>
      <c r="D153" s="373"/>
      <c r="E153" s="286"/>
      <c r="F153" s="285" t="str">
        <f t="shared" si="110"/>
        <v/>
      </c>
      <c r="G153" s="287" t="str">
        <f t="shared" si="110"/>
        <v/>
      </c>
      <c r="H153" s="288" t="str">
        <f t="shared" si="87"/>
        <v/>
      </c>
      <c r="I153" s="289" t="str">
        <f t="shared" si="102"/>
        <v/>
      </c>
      <c r="J153" s="288" t="str">
        <f t="shared" si="88"/>
        <v/>
      </c>
      <c r="K153" s="288">
        <f t="shared" si="89"/>
        <v>0</v>
      </c>
      <c r="L153" s="290"/>
      <c r="M153" s="291">
        <f t="shared" si="90"/>
        <v>1</v>
      </c>
      <c r="N153" s="466" t="str">
        <f t="shared" si="91"/>
        <v/>
      </c>
      <c r="O153" s="302" t="str">
        <f t="shared" si="92"/>
        <v/>
      </c>
      <c r="P153" s="468" t="str">
        <f t="shared" si="93"/>
        <v/>
      </c>
      <c r="Q153" s="292" t="str">
        <f t="shared" si="103"/>
        <v/>
      </c>
      <c r="R153" s="294" t="str">
        <f t="shared" si="94"/>
        <v/>
      </c>
      <c r="S153" s="295" t="str">
        <f t="shared" si="95"/>
        <v>---</v>
      </c>
      <c r="V153" s="3" t="str">
        <f>IFERROR(VALUE(TEXT(C153,"00")&amp;TEXT(N153,"00")&amp;TEXT(P153,"00")&amp;IF(#REF!="Plato perforado",5,IF(OR(#REF!="N/A",#REF!=""),0,#REF!))),"")</f>
        <v/>
      </c>
      <c r="BC153" s="3" t="str">
        <f t="shared" si="107"/>
        <v/>
      </c>
      <c r="BD153" s="3" t="str">
        <f t="shared" si="108"/>
        <v/>
      </c>
      <c r="BE153" s="3" t="e">
        <f t="shared" si="98"/>
        <v>#VALUE!</v>
      </c>
      <c r="BW153" s="3">
        <f t="shared" si="109"/>
        <v>0</v>
      </c>
    </row>
    <row r="154" spans="1:75" x14ac:dyDescent="0.3">
      <c r="A154" s="431">
        <v>121</v>
      </c>
      <c r="B154" s="260"/>
      <c r="C154" s="261">
        <f t="shared" si="86"/>
        <v>2</v>
      </c>
      <c r="D154" s="371"/>
      <c r="E154" s="262"/>
      <c r="F154" s="261" t="str">
        <f t="shared" ref="F154:G173" si="111">IFERROR(VLOOKUP($E154,DMFA,F$29,FALSE),"")</f>
        <v/>
      </c>
      <c r="G154" s="263" t="str">
        <f t="shared" si="111"/>
        <v/>
      </c>
      <c r="H154" s="264" t="str">
        <f t="shared" si="87"/>
        <v/>
      </c>
      <c r="I154" s="265" t="str">
        <f t="shared" si="102"/>
        <v/>
      </c>
      <c r="J154" s="264" t="str">
        <f t="shared" si="88"/>
        <v/>
      </c>
      <c r="K154" s="264">
        <f t="shared" si="89"/>
        <v>0</v>
      </c>
      <c r="L154" s="266"/>
      <c r="M154" s="267">
        <f t="shared" si="90"/>
        <v>1</v>
      </c>
      <c r="N154" s="465" t="str">
        <f t="shared" si="91"/>
        <v/>
      </c>
      <c r="O154" s="297" t="str">
        <f t="shared" si="92"/>
        <v/>
      </c>
      <c r="P154" s="467" t="str">
        <f t="shared" si="93"/>
        <v/>
      </c>
      <c r="Q154" s="268" t="str">
        <f t="shared" si="103"/>
        <v/>
      </c>
      <c r="R154" s="270" t="str">
        <f t="shared" si="94"/>
        <v/>
      </c>
      <c r="S154" s="271" t="str">
        <f t="shared" si="95"/>
        <v>---</v>
      </c>
      <c r="V154" s="3" t="str">
        <f>IFERROR(VALUE(TEXT(C154,"00")&amp;TEXT(N154,"00")&amp;TEXT(P154,"00")&amp;IF(#REF!="Plato perforado",5,IF(OR(#REF!="N/A",#REF!=""),0,#REF!))),"")</f>
        <v/>
      </c>
      <c r="BC154" s="3" t="str">
        <f t="shared" si="107"/>
        <v/>
      </c>
      <c r="BD154" s="3" t="str">
        <f t="shared" si="108"/>
        <v/>
      </c>
      <c r="BE154" s="3" t="e">
        <f t="shared" si="98"/>
        <v>#VALUE!</v>
      </c>
      <c r="BW154" s="3">
        <f t="shared" si="109"/>
        <v>0</v>
      </c>
    </row>
    <row r="155" spans="1:75" x14ac:dyDescent="0.3">
      <c r="A155" s="431">
        <v>122</v>
      </c>
      <c r="B155" s="272"/>
      <c r="C155" s="273">
        <f t="shared" si="86"/>
        <v>2</v>
      </c>
      <c r="D155" s="372"/>
      <c r="E155" s="274"/>
      <c r="F155" s="273" t="str">
        <f t="shared" si="111"/>
        <v/>
      </c>
      <c r="G155" s="275" t="str">
        <f t="shared" si="111"/>
        <v/>
      </c>
      <c r="H155" s="276" t="str">
        <f t="shared" si="87"/>
        <v/>
      </c>
      <c r="I155" s="277" t="str">
        <f t="shared" si="102"/>
        <v/>
      </c>
      <c r="J155" s="276" t="str">
        <f t="shared" si="88"/>
        <v/>
      </c>
      <c r="K155" s="276">
        <f t="shared" si="89"/>
        <v>0</v>
      </c>
      <c r="L155" s="278"/>
      <c r="M155" s="279">
        <f t="shared" si="90"/>
        <v>1</v>
      </c>
      <c r="N155" s="360" t="str">
        <f t="shared" si="91"/>
        <v/>
      </c>
      <c r="O155" s="117" t="str">
        <f t="shared" si="92"/>
        <v/>
      </c>
      <c r="P155" s="359" t="str">
        <f t="shared" si="93"/>
        <v/>
      </c>
      <c r="Q155" s="280" t="str">
        <f t="shared" si="103"/>
        <v/>
      </c>
      <c r="R155" s="282" t="str">
        <f t="shared" si="94"/>
        <v/>
      </c>
      <c r="S155" s="283" t="str">
        <f t="shared" si="95"/>
        <v>---</v>
      </c>
      <c r="V155" s="3" t="str">
        <f>IFERROR(VALUE(TEXT(C155,"00")&amp;TEXT(N155,"00")&amp;TEXT(P155,"00")&amp;IF(#REF!="Plato perforado",5,IF(OR(#REF!="N/A",#REF!=""),0,#REF!))),"")</f>
        <v/>
      </c>
      <c r="BC155" s="3" t="str">
        <f t="shared" si="107"/>
        <v/>
      </c>
      <c r="BD155" s="3" t="str">
        <f t="shared" si="108"/>
        <v/>
      </c>
      <c r="BE155" s="3" t="e">
        <f t="shared" si="98"/>
        <v>#VALUE!</v>
      </c>
      <c r="BW155" s="3">
        <f t="shared" si="109"/>
        <v>0</v>
      </c>
    </row>
    <row r="156" spans="1:75" x14ac:dyDescent="0.3">
      <c r="A156" s="431">
        <v>123</v>
      </c>
      <c r="B156" s="284"/>
      <c r="C156" s="285">
        <f t="shared" si="86"/>
        <v>2</v>
      </c>
      <c r="D156" s="373"/>
      <c r="E156" s="286"/>
      <c r="F156" s="285" t="str">
        <f t="shared" si="111"/>
        <v/>
      </c>
      <c r="G156" s="287" t="str">
        <f t="shared" si="111"/>
        <v/>
      </c>
      <c r="H156" s="288" t="str">
        <f t="shared" si="87"/>
        <v/>
      </c>
      <c r="I156" s="289" t="str">
        <f t="shared" si="102"/>
        <v/>
      </c>
      <c r="J156" s="288" t="str">
        <f t="shared" si="88"/>
        <v/>
      </c>
      <c r="K156" s="288">
        <f t="shared" si="89"/>
        <v>0</v>
      </c>
      <c r="L156" s="290"/>
      <c r="M156" s="291">
        <f t="shared" si="90"/>
        <v>1</v>
      </c>
      <c r="N156" s="466" t="str">
        <f t="shared" si="91"/>
        <v/>
      </c>
      <c r="O156" s="302" t="str">
        <f t="shared" si="92"/>
        <v/>
      </c>
      <c r="P156" s="468" t="str">
        <f t="shared" si="93"/>
        <v/>
      </c>
      <c r="Q156" s="292" t="str">
        <f t="shared" si="103"/>
        <v/>
      </c>
      <c r="R156" s="294" t="str">
        <f t="shared" si="94"/>
        <v/>
      </c>
      <c r="S156" s="295" t="str">
        <f t="shared" si="95"/>
        <v>---</v>
      </c>
      <c r="V156" s="3" t="str">
        <f>IFERROR(VALUE(TEXT(C156,"00")&amp;TEXT(N156,"00")&amp;TEXT(P156,"00")&amp;IF(#REF!="Plato perforado",5,IF(OR(#REF!="N/A",#REF!=""),0,#REF!))),"")</f>
        <v/>
      </c>
      <c r="BC156" s="3" t="str">
        <f t="shared" si="107"/>
        <v/>
      </c>
      <c r="BD156" s="3" t="str">
        <f t="shared" si="108"/>
        <v/>
      </c>
      <c r="BE156" s="3" t="e">
        <f t="shared" si="98"/>
        <v>#VALUE!</v>
      </c>
      <c r="BW156" s="3">
        <f t="shared" si="109"/>
        <v>0</v>
      </c>
    </row>
    <row r="157" spans="1:75" x14ac:dyDescent="0.3">
      <c r="A157" s="431">
        <v>124</v>
      </c>
      <c r="B157" s="260"/>
      <c r="C157" s="261">
        <f t="shared" si="86"/>
        <v>2</v>
      </c>
      <c r="D157" s="371"/>
      <c r="E157" s="262"/>
      <c r="F157" s="261" t="str">
        <f t="shared" si="111"/>
        <v/>
      </c>
      <c r="G157" s="263" t="str">
        <f t="shared" si="111"/>
        <v/>
      </c>
      <c r="H157" s="264" t="str">
        <f t="shared" si="87"/>
        <v/>
      </c>
      <c r="I157" s="265" t="str">
        <f t="shared" si="102"/>
        <v/>
      </c>
      <c r="J157" s="264" t="str">
        <f t="shared" si="88"/>
        <v/>
      </c>
      <c r="K157" s="264">
        <f t="shared" si="89"/>
        <v>0</v>
      </c>
      <c r="L157" s="266"/>
      <c r="M157" s="267">
        <f t="shared" si="90"/>
        <v>1</v>
      </c>
      <c r="N157" s="465" t="str">
        <f t="shared" si="91"/>
        <v/>
      </c>
      <c r="O157" s="297" t="str">
        <f t="shared" si="92"/>
        <v/>
      </c>
      <c r="P157" s="467" t="str">
        <f t="shared" si="93"/>
        <v/>
      </c>
      <c r="Q157" s="268" t="str">
        <f t="shared" si="103"/>
        <v/>
      </c>
      <c r="R157" s="270" t="str">
        <f t="shared" si="94"/>
        <v/>
      </c>
      <c r="S157" s="271" t="str">
        <f t="shared" si="95"/>
        <v>---</v>
      </c>
      <c r="V157" s="3" t="str">
        <f>IFERROR(VALUE(TEXT(C157,"00")&amp;TEXT(N157,"00")&amp;TEXT(P157,"00")&amp;IF(#REF!="Plato perforado",5,IF(OR(#REF!="N/A",#REF!=""),0,#REF!))),"")</f>
        <v/>
      </c>
      <c r="BC157" s="3" t="str">
        <f t="shared" si="107"/>
        <v/>
      </c>
      <c r="BD157" s="3" t="str">
        <f t="shared" si="108"/>
        <v/>
      </c>
      <c r="BE157" s="3" t="e">
        <f t="shared" si="98"/>
        <v>#VALUE!</v>
      </c>
      <c r="BW157" s="3">
        <f t="shared" si="109"/>
        <v>0</v>
      </c>
    </row>
    <row r="158" spans="1:75" x14ac:dyDescent="0.3">
      <c r="A158" s="431">
        <v>125</v>
      </c>
      <c r="B158" s="272"/>
      <c r="C158" s="273">
        <f t="shared" si="86"/>
        <v>2</v>
      </c>
      <c r="D158" s="372"/>
      <c r="E158" s="274"/>
      <c r="F158" s="273" t="str">
        <f t="shared" si="111"/>
        <v/>
      </c>
      <c r="G158" s="275" t="str">
        <f t="shared" si="111"/>
        <v/>
      </c>
      <c r="H158" s="276" t="str">
        <f t="shared" si="87"/>
        <v/>
      </c>
      <c r="I158" s="277" t="str">
        <f t="shared" si="102"/>
        <v/>
      </c>
      <c r="J158" s="276" t="str">
        <f t="shared" si="88"/>
        <v/>
      </c>
      <c r="K158" s="276">
        <f t="shared" si="89"/>
        <v>0</v>
      </c>
      <c r="L158" s="278"/>
      <c r="M158" s="279">
        <f t="shared" si="90"/>
        <v>1</v>
      </c>
      <c r="N158" s="360" t="str">
        <f t="shared" si="91"/>
        <v/>
      </c>
      <c r="O158" s="117" t="str">
        <f t="shared" si="92"/>
        <v/>
      </c>
      <c r="P158" s="359" t="str">
        <f t="shared" si="93"/>
        <v/>
      </c>
      <c r="Q158" s="280" t="str">
        <f t="shared" si="103"/>
        <v/>
      </c>
      <c r="R158" s="282" t="str">
        <f t="shared" si="94"/>
        <v/>
      </c>
      <c r="S158" s="283" t="str">
        <f t="shared" si="95"/>
        <v>---</v>
      </c>
      <c r="V158" s="3" t="str">
        <f>IFERROR(VALUE(TEXT(C158,"00")&amp;TEXT(N158,"00")&amp;TEXT(P158,"00")&amp;IF(#REF!="Plato perforado",5,IF(OR(#REF!="N/A",#REF!=""),0,#REF!))),"")</f>
        <v/>
      </c>
      <c r="BC158" s="3" t="str">
        <f t="shared" si="107"/>
        <v/>
      </c>
      <c r="BD158" s="3" t="str">
        <f t="shared" si="108"/>
        <v/>
      </c>
      <c r="BE158" s="3" t="e">
        <f t="shared" si="98"/>
        <v>#VALUE!</v>
      </c>
      <c r="BW158" s="3">
        <f t="shared" si="109"/>
        <v>0</v>
      </c>
    </row>
    <row r="159" spans="1:75" x14ac:dyDescent="0.3">
      <c r="A159" s="431">
        <v>126</v>
      </c>
      <c r="B159" s="284"/>
      <c r="C159" s="285">
        <f t="shared" si="86"/>
        <v>2</v>
      </c>
      <c r="D159" s="373"/>
      <c r="E159" s="286"/>
      <c r="F159" s="285" t="str">
        <f t="shared" si="111"/>
        <v/>
      </c>
      <c r="G159" s="287" t="str">
        <f t="shared" si="111"/>
        <v/>
      </c>
      <c r="H159" s="288" t="str">
        <f t="shared" si="87"/>
        <v/>
      </c>
      <c r="I159" s="289" t="str">
        <f t="shared" si="102"/>
        <v/>
      </c>
      <c r="J159" s="288" t="str">
        <f t="shared" si="88"/>
        <v/>
      </c>
      <c r="K159" s="288">
        <f t="shared" si="89"/>
        <v>0</v>
      </c>
      <c r="L159" s="290"/>
      <c r="M159" s="291">
        <f t="shared" si="90"/>
        <v>1</v>
      </c>
      <c r="N159" s="466" t="str">
        <f t="shared" si="91"/>
        <v/>
      </c>
      <c r="O159" s="302" t="str">
        <f t="shared" si="92"/>
        <v/>
      </c>
      <c r="P159" s="468" t="str">
        <f t="shared" si="93"/>
        <v/>
      </c>
      <c r="Q159" s="292" t="str">
        <f t="shared" si="103"/>
        <v/>
      </c>
      <c r="R159" s="294" t="str">
        <f t="shared" si="94"/>
        <v/>
      </c>
      <c r="S159" s="295" t="str">
        <f t="shared" si="95"/>
        <v>---</v>
      </c>
      <c r="V159" s="3" t="str">
        <f>IFERROR(VALUE(TEXT(C159,"00")&amp;TEXT(N159,"00")&amp;TEXT(P159,"00")&amp;IF(#REF!="Plato perforado",5,IF(OR(#REF!="N/A",#REF!=""),0,#REF!))),"")</f>
        <v/>
      </c>
      <c r="BC159" s="3" t="str">
        <f t="shared" si="107"/>
        <v/>
      </c>
      <c r="BD159" s="3" t="str">
        <f t="shared" si="108"/>
        <v/>
      </c>
      <c r="BE159" s="3" t="e">
        <f t="shared" si="98"/>
        <v>#VALUE!</v>
      </c>
      <c r="BW159" s="3">
        <f t="shared" si="109"/>
        <v>0</v>
      </c>
    </row>
    <row r="160" spans="1:75" x14ac:dyDescent="0.3">
      <c r="A160" s="431">
        <v>127</v>
      </c>
      <c r="B160" s="260"/>
      <c r="C160" s="261">
        <f t="shared" si="86"/>
        <v>2</v>
      </c>
      <c r="D160" s="371"/>
      <c r="E160" s="262"/>
      <c r="F160" s="261" t="str">
        <f t="shared" si="111"/>
        <v/>
      </c>
      <c r="G160" s="263" t="str">
        <f t="shared" si="111"/>
        <v/>
      </c>
      <c r="H160" s="264" t="str">
        <f t="shared" si="87"/>
        <v/>
      </c>
      <c r="I160" s="265" t="str">
        <f t="shared" si="102"/>
        <v/>
      </c>
      <c r="J160" s="264" t="str">
        <f t="shared" si="88"/>
        <v/>
      </c>
      <c r="K160" s="264">
        <f t="shared" si="89"/>
        <v>0</v>
      </c>
      <c r="L160" s="266"/>
      <c r="M160" s="267">
        <f t="shared" si="90"/>
        <v>1</v>
      </c>
      <c r="N160" s="465" t="str">
        <f t="shared" si="91"/>
        <v/>
      </c>
      <c r="O160" s="297" t="str">
        <f t="shared" si="92"/>
        <v/>
      </c>
      <c r="P160" s="467" t="str">
        <f t="shared" si="93"/>
        <v/>
      </c>
      <c r="Q160" s="268" t="str">
        <f t="shared" si="103"/>
        <v/>
      </c>
      <c r="R160" s="270" t="str">
        <f t="shared" si="94"/>
        <v/>
      </c>
      <c r="S160" s="271" t="str">
        <f t="shared" si="95"/>
        <v>---</v>
      </c>
      <c r="V160" s="3" t="str">
        <f>IFERROR(VALUE(TEXT(C160,"00")&amp;TEXT(N160,"00")&amp;TEXT(P160,"00")&amp;IF(#REF!="Plato perforado",5,IF(OR(#REF!="N/A",#REF!=""),0,#REF!))),"")</f>
        <v/>
      </c>
      <c r="BC160" s="3" t="str">
        <f t="shared" si="107"/>
        <v/>
      </c>
      <c r="BD160" s="3" t="str">
        <f t="shared" si="108"/>
        <v/>
      </c>
      <c r="BE160" s="3" t="e">
        <f t="shared" si="98"/>
        <v>#VALUE!</v>
      </c>
      <c r="BW160" s="3">
        <f t="shared" si="109"/>
        <v>0</v>
      </c>
    </row>
    <row r="161" spans="1:75" x14ac:dyDescent="0.3">
      <c r="A161" s="431">
        <v>128</v>
      </c>
      <c r="B161" s="272"/>
      <c r="C161" s="273">
        <f t="shared" si="86"/>
        <v>2</v>
      </c>
      <c r="D161" s="372"/>
      <c r="E161" s="274"/>
      <c r="F161" s="273" t="str">
        <f t="shared" si="111"/>
        <v/>
      </c>
      <c r="G161" s="275" t="str">
        <f t="shared" si="111"/>
        <v/>
      </c>
      <c r="H161" s="276" t="str">
        <f t="shared" si="87"/>
        <v/>
      </c>
      <c r="I161" s="277" t="str">
        <f t="shared" si="102"/>
        <v/>
      </c>
      <c r="J161" s="276" t="str">
        <f t="shared" si="88"/>
        <v/>
      </c>
      <c r="K161" s="276">
        <f t="shared" si="89"/>
        <v>0</v>
      </c>
      <c r="L161" s="278"/>
      <c r="M161" s="279">
        <f t="shared" si="90"/>
        <v>1</v>
      </c>
      <c r="N161" s="360" t="str">
        <f t="shared" si="91"/>
        <v/>
      </c>
      <c r="O161" s="117" t="str">
        <f t="shared" si="92"/>
        <v/>
      </c>
      <c r="P161" s="359" t="str">
        <f t="shared" si="93"/>
        <v/>
      </c>
      <c r="Q161" s="280" t="str">
        <f t="shared" si="103"/>
        <v/>
      </c>
      <c r="R161" s="282" t="str">
        <f t="shared" si="94"/>
        <v/>
      </c>
      <c r="S161" s="283" t="str">
        <f t="shared" si="95"/>
        <v>---</v>
      </c>
      <c r="V161" s="3" t="str">
        <f>IFERROR(VALUE(TEXT(C161,"00")&amp;TEXT(N161,"00")&amp;TEXT(P161,"00")&amp;IF(#REF!="Plato perforado",5,IF(OR(#REF!="N/A",#REF!=""),0,#REF!))),"")</f>
        <v/>
      </c>
      <c r="BC161" s="3" t="str">
        <f t="shared" si="107"/>
        <v/>
      </c>
      <c r="BD161" s="3" t="str">
        <f t="shared" si="108"/>
        <v/>
      </c>
      <c r="BE161" s="3" t="e">
        <f t="shared" si="98"/>
        <v>#VALUE!</v>
      </c>
      <c r="BW161" s="3">
        <f t="shared" si="109"/>
        <v>0</v>
      </c>
    </row>
    <row r="162" spans="1:75" x14ac:dyDescent="0.3">
      <c r="A162" s="431">
        <v>129</v>
      </c>
      <c r="B162" s="284"/>
      <c r="C162" s="285">
        <f t="shared" ref="C162:C183" si="112">IF(B162="RR",1,2)</f>
        <v>2</v>
      </c>
      <c r="D162" s="373"/>
      <c r="E162" s="286"/>
      <c r="F162" s="285" t="str">
        <f t="shared" si="111"/>
        <v/>
      </c>
      <c r="G162" s="287" t="str">
        <f t="shared" si="111"/>
        <v/>
      </c>
      <c r="H162" s="288" t="str">
        <f t="shared" ref="H162:H183" si="113">IF(COUNTIF($E$34:$E$183,E162)=0,"",COUNTIF($E$34:$E$183,E162))</f>
        <v/>
      </c>
      <c r="I162" s="289" t="str">
        <f t="shared" si="102"/>
        <v/>
      </c>
      <c r="J162" s="288" t="str">
        <f t="shared" ref="J162:J183" si="114">IF(I162="","",TEXT(I162/G162,"0.0 %"))</f>
        <v/>
      </c>
      <c r="K162" s="288">
        <f t="shared" ref="K162:K183" si="115">IF(C162=1,$J$16,IF(C162=2,$J$17,IF(C162=3,$J$18,0)))</f>
        <v>0</v>
      </c>
      <c r="L162" s="290"/>
      <c r="M162" s="291">
        <f t="shared" ref="M162:M183" si="116">IF(OR(L162=0,C162=2),1,L162)</f>
        <v>1</v>
      </c>
      <c r="N162" s="466" t="str">
        <f t="shared" ref="N162:N183" si="117">IFERROR(MAX(_xlfn.CEILING.MATH(SQRT(I162/(M162*INDEX($D$16:$D$18,C162)))*12,INDEX($J$16:$J$18,C162)),INDEX($L$16:$L$18,C162)),"")</f>
        <v/>
      </c>
      <c r="O162" s="302" t="str">
        <f t="shared" ref="O162:O183" si="118">IF(I162="","","×")</f>
        <v/>
      </c>
      <c r="P162" s="468" t="str">
        <f t="shared" ref="P162:P183" si="119">IFERROR(MAX(_xlfn.CEILING.MATH(SQRT((I162*M162)/INDEX($D$16:$D$18,C162))*12,INDEX($J$16:$J$18,C162)),INDEX($L$16:$L$18,C162)),"")</f>
        <v/>
      </c>
      <c r="Q162" s="292" t="str">
        <f t="shared" si="103"/>
        <v/>
      </c>
      <c r="R162" s="294" t="str">
        <f t="shared" ref="R162:R183" si="120">IF(C162=1,IF(N162&gt;=P162,"FL","FS"),IF(I162="","","N/A"))</f>
        <v/>
      </c>
      <c r="S162" s="295" t="str">
        <f t="shared" ref="S162:S183" si="121">IFERROR(IF(C162=1,(0.000000275)*Q162^1.993,"---"),"")</f>
        <v>---</v>
      </c>
      <c r="V162" s="3" t="str">
        <f>IFERROR(VALUE(TEXT(C162,"00")&amp;TEXT(N162,"00")&amp;TEXT(P162,"00")&amp;IF(#REF!="Plato perforado",5,IF(OR(#REF!="N/A",#REF!=""),0,#REF!))),"")</f>
        <v/>
      </c>
      <c r="BC162" s="3" t="str">
        <f t="shared" ref="BC162:BC183" si="122">IF(C162=2,N162,0)</f>
        <v/>
      </c>
      <c r="BD162" s="3" t="str">
        <f t="shared" ref="BD162:BD183" si="123">IF(C162=2,P162,0)</f>
        <v/>
      </c>
      <c r="BE162" s="3" t="e">
        <f t="shared" ref="BE162:BE183" si="124">VALUE(TEXT(BC162,"00")&amp;TEXT(BD162,"00"))</f>
        <v>#VALUE!</v>
      </c>
      <c r="BW162" s="3">
        <f t="shared" ref="BW162:BW183" si="125">IF(C162=3,R162,0)</f>
        <v>0</v>
      </c>
    </row>
    <row r="163" spans="1:75" x14ac:dyDescent="0.3">
      <c r="A163" s="431">
        <v>130</v>
      </c>
      <c r="B163" s="260"/>
      <c r="C163" s="261">
        <f t="shared" si="112"/>
        <v>2</v>
      </c>
      <c r="D163" s="371"/>
      <c r="E163" s="262"/>
      <c r="F163" s="261" t="str">
        <f t="shared" si="111"/>
        <v/>
      </c>
      <c r="G163" s="263" t="str">
        <f t="shared" si="111"/>
        <v/>
      </c>
      <c r="H163" s="264" t="str">
        <f t="shared" si="113"/>
        <v/>
      </c>
      <c r="I163" s="265" t="str">
        <f t="shared" ref="I163:I183" si="126">IF(OR(G163="",H163=""),"",G163/H163)</f>
        <v/>
      </c>
      <c r="J163" s="264" t="str">
        <f t="shared" si="114"/>
        <v/>
      </c>
      <c r="K163" s="264">
        <f t="shared" si="115"/>
        <v>0</v>
      </c>
      <c r="L163" s="266"/>
      <c r="M163" s="267">
        <f t="shared" si="116"/>
        <v>1</v>
      </c>
      <c r="N163" s="465" t="str">
        <f t="shared" si="117"/>
        <v/>
      </c>
      <c r="O163" s="297" t="str">
        <f t="shared" si="118"/>
        <v/>
      </c>
      <c r="P163" s="467" t="str">
        <f t="shared" si="119"/>
        <v/>
      </c>
      <c r="Q163" s="268" t="str">
        <f t="shared" ref="Q163:Q183" si="127">IF(I163="","",IF(N163="---","---",I163/(N163/12*P163/12)))</f>
        <v/>
      </c>
      <c r="R163" s="270" t="str">
        <f t="shared" si="120"/>
        <v/>
      </c>
      <c r="S163" s="271" t="str">
        <f t="shared" si="121"/>
        <v>---</v>
      </c>
      <c r="V163" s="3" t="str">
        <f>IFERROR(VALUE(TEXT(C163,"00")&amp;TEXT(N163,"00")&amp;TEXT(P163,"00")&amp;IF(#REF!="Plato perforado",5,IF(OR(#REF!="N/A",#REF!=""),0,#REF!))),"")</f>
        <v/>
      </c>
      <c r="BC163" s="3" t="str">
        <f t="shared" si="122"/>
        <v/>
      </c>
      <c r="BD163" s="3" t="str">
        <f t="shared" si="123"/>
        <v/>
      </c>
      <c r="BE163" s="3" t="e">
        <f t="shared" si="124"/>
        <v>#VALUE!</v>
      </c>
      <c r="BW163" s="3">
        <f t="shared" si="125"/>
        <v>0</v>
      </c>
    </row>
    <row r="164" spans="1:75" x14ac:dyDescent="0.3">
      <c r="A164" s="431">
        <v>131</v>
      </c>
      <c r="B164" s="272"/>
      <c r="C164" s="273">
        <f t="shared" si="112"/>
        <v>2</v>
      </c>
      <c r="D164" s="372"/>
      <c r="E164" s="274"/>
      <c r="F164" s="273" t="str">
        <f t="shared" si="111"/>
        <v/>
      </c>
      <c r="G164" s="275" t="str">
        <f t="shared" si="111"/>
        <v/>
      </c>
      <c r="H164" s="276" t="str">
        <f t="shared" si="113"/>
        <v/>
      </c>
      <c r="I164" s="277" t="str">
        <f t="shared" si="126"/>
        <v/>
      </c>
      <c r="J164" s="276" t="str">
        <f t="shared" si="114"/>
        <v/>
      </c>
      <c r="K164" s="276">
        <f t="shared" si="115"/>
        <v>0</v>
      </c>
      <c r="L164" s="278"/>
      <c r="M164" s="279">
        <f t="shared" si="116"/>
        <v>1</v>
      </c>
      <c r="N164" s="360" t="str">
        <f t="shared" si="117"/>
        <v/>
      </c>
      <c r="O164" s="117" t="str">
        <f t="shared" si="118"/>
        <v/>
      </c>
      <c r="P164" s="359" t="str">
        <f t="shared" si="119"/>
        <v/>
      </c>
      <c r="Q164" s="280" t="str">
        <f t="shared" si="127"/>
        <v/>
      </c>
      <c r="R164" s="282" t="str">
        <f t="shared" si="120"/>
        <v/>
      </c>
      <c r="S164" s="283" t="str">
        <f t="shared" si="121"/>
        <v>---</v>
      </c>
      <c r="V164" s="3" t="str">
        <f>IFERROR(VALUE(TEXT(C164,"00")&amp;TEXT(N164,"00")&amp;TEXT(P164,"00")&amp;IF(#REF!="Plato perforado",5,IF(OR(#REF!="N/A",#REF!=""),0,#REF!))),"")</f>
        <v/>
      </c>
      <c r="BC164" s="3" t="str">
        <f t="shared" si="122"/>
        <v/>
      </c>
      <c r="BD164" s="3" t="str">
        <f t="shared" si="123"/>
        <v/>
      </c>
      <c r="BE164" s="3" t="e">
        <f t="shared" si="124"/>
        <v>#VALUE!</v>
      </c>
      <c r="BW164" s="3">
        <f t="shared" si="125"/>
        <v>0</v>
      </c>
    </row>
    <row r="165" spans="1:75" x14ac:dyDescent="0.3">
      <c r="A165" s="431">
        <v>132</v>
      </c>
      <c r="B165" s="284"/>
      <c r="C165" s="285">
        <f t="shared" si="112"/>
        <v>2</v>
      </c>
      <c r="D165" s="373"/>
      <c r="E165" s="286"/>
      <c r="F165" s="285" t="str">
        <f t="shared" si="111"/>
        <v/>
      </c>
      <c r="G165" s="287" t="str">
        <f t="shared" si="111"/>
        <v/>
      </c>
      <c r="H165" s="288" t="str">
        <f t="shared" si="113"/>
        <v/>
      </c>
      <c r="I165" s="289" t="str">
        <f t="shared" si="126"/>
        <v/>
      </c>
      <c r="J165" s="288" t="str">
        <f t="shared" si="114"/>
        <v/>
      </c>
      <c r="K165" s="288">
        <f t="shared" si="115"/>
        <v>0</v>
      </c>
      <c r="L165" s="290"/>
      <c r="M165" s="291">
        <f t="shared" si="116"/>
        <v>1</v>
      </c>
      <c r="N165" s="466" t="str">
        <f t="shared" si="117"/>
        <v/>
      </c>
      <c r="O165" s="302" t="str">
        <f t="shared" si="118"/>
        <v/>
      </c>
      <c r="P165" s="468" t="str">
        <f t="shared" si="119"/>
        <v/>
      </c>
      <c r="Q165" s="292" t="str">
        <f t="shared" si="127"/>
        <v/>
      </c>
      <c r="R165" s="294" t="str">
        <f t="shared" si="120"/>
        <v/>
      </c>
      <c r="S165" s="295" t="str">
        <f t="shared" si="121"/>
        <v>---</v>
      </c>
      <c r="V165" s="3" t="str">
        <f>IFERROR(VALUE(TEXT(C165,"00")&amp;TEXT(N165,"00")&amp;TEXT(P165,"00")&amp;IF(#REF!="Plato perforado",5,IF(OR(#REF!="N/A",#REF!=""),0,#REF!))),"")</f>
        <v/>
      </c>
      <c r="BC165" s="3" t="str">
        <f t="shared" si="122"/>
        <v/>
      </c>
      <c r="BD165" s="3" t="str">
        <f t="shared" si="123"/>
        <v/>
      </c>
      <c r="BE165" s="3" t="e">
        <f t="shared" si="124"/>
        <v>#VALUE!</v>
      </c>
      <c r="BW165" s="3">
        <f t="shared" si="125"/>
        <v>0</v>
      </c>
    </row>
    <row r="166" spans="1:75" x14ac:dyDescent="0.3">
      <c r="A166" s="431">
        <v>133</v>
      </c>
      <c r="B166" s="260"/>
      <c r="C166" s="261">
        <f t="shared" si="112"/>
        <v>2</v>
      </c>
      <c r="D166" s="371"/>
      <c r="E166" s="262"/>
      <c r="F166" s="261" t="str">
        <f t="shared" si="111"/>
        <v/>
      </c>
      <c r="G166" s="263" t="str">
        <f t="shared" si="111"/>
        <v/>
      </c>
      <c r="H166" s="264" t="str">
        <f t="shared" si="113"/>
        <v/>
      </c>
      <c r="I166" s="265" t="str">
        <f t="shared" si="126"/>
        <v/>
      </c>
      <c r="J166" s="264" t="str">
        <f t="shared" si="114"/>
        <v/>
      </c>
      <c r="K166" s="264">
        <f t="shared" si="115"/>
        <v>0</v>
      </c>
      <c r="L166" s="266"/>
      <c r="M166" s="267">
        <f t="shared" si="116"/>
        <v>1</v>
      </c>
      <c r="N166" s="465" t="str">
        <f t="shared" si="117"/>
        <v/>
      </c>
      <c r="O166" s="297" t="str">
        <f t="shared" si="118"/>
        <v/>
      </c>
      <c r="P166" s="467" t="str">
        <f t="shared" si="119"/>
        <v/>
      </c>
      <c r="Q166" s="268" t="str">
        <f t="shared" si="127"/>
        <v/>
      </c>
      <c r="R166" s="270" t="str">
        <f t="shared" si="120"/>
        <v/>
      </c>
      <c r="S166" s="271" t="str">
        <f t="shared" si="121"/>
        <v>---</v>
      </c>
      <c r="V166" s="3" t="str">
        <f>IFERROR(VALUE(TEXT(C166,"00")&amp;TEXT(N166,"00")&amp;TEXT(P166,"00")&amp;IF(#REF!="Plato perforado",5,IF(OR(#REF!="N/A",#REF!=""),0,#REF!))),"")</f>
        <v/>
      </c>
      <c r="BC166" s="3" t="str">
        <f t="shared" si="122"/>
        <v/>
      </c>
      <c r="BD166" s="3" t="str">
        <f t="shared" si="123"/>
        <v/>
      </c>
      <c r="BE166" s="3" t="e">
        <f t="shared" si="124"/>
        <v>#VALUE!</v>
      </c>
      <c r="BW166" s="3">
        <f t="shared" si="125"/>
        <v>0</v>
      </c>
    </row>
    <row r="167" spans="1:75" x14ac:dyDescent="0.3">
      <c r="A167" s="431">
        <v>134</v>
      </c>
      <c r="B167" s="272"/>
      <c r="C167" s="273">
        <f t="shared" si="112"/>
        <v>2</v>
      </c>
      <c r="D167" s="372"/>
      <c r="E167" s="274"/>
      <c r="F167" s="273" t="str">
        <f t="shared" si="111"/>
        <v/>
      </c>
      <c r="G167" s="275" t="str">
        <f t="shared" si="111"/>
        <v/>
      </c>
      <c r="H167" s="276" t="str">
        <f t="shared" si="113"/>
        <v/>
      </c>
      <c r="I167" s="277" t="str">
        <f t="shared" si="126"/>
        <v/>
      </c>
      <c r="J167" s="276" t="str">
        <f t="shared" si="114"/>
        <v/>
      </c>
      <c r="K167" s="276">
        <f t="shared" si="115"/>
        <v>0</v>
      </c>
      <c r="L167" s="278"/>
      <c r="M167" s="279">
        <f t="shared" si="116"/>
        <v>1</v>
      </c>
      <c r="N167" s="360" t="str">
        <f t="shared" si="117"/>
        <v/>
      </c>
      <c r="O167" s="117" t="str">
        <f t="shared" si="118"/>
        <v/>
      </c>
      <c r="P167" s="359" t="str">
        <f t="shared" si="119"/>
        <v/>
      </c>
      <c r="Q167" s="280" t="str">
        <f t="shared" si="127"/>
        <v/>
      </c>
      <c r="R167" s="282" t="str">
        <f t="shared" si="120"/>
        <v/>
      </c>
      <c r="S167" s="283" t="str">
        <f t="shared" si="121"/>
        <v>---</v>
      </c>
      <c r="V167" s="3" t="str">
        <f>IFERROR(VALUE(TEXT(C167,"00")&amp;TEXT(N167,"00")&amp;TEXT(P167,"00")&amp;IF(#REF!="Plato perforado",5,IF(OR(#REF!="N/A",#REF!=""),0,#REF!))),"")</f>
        <v/>
      </c>
      <c r="BC167" s="3" t="str">
        <f t="shared" si="122"/>
        <v/>
      </c>
      <c r="BD167" s="3" t="str">
        <f t="shared" si="123"/>
        <v/>
      </c>
      <c r="BE167" s="3" t="e">
        <f t="shared" si="124"/>
        <v>#VALUE!</v>
      </c>
      <c r="BW167" s="3">
        <f t="shared" si="125"/>
        <v>0</v>
      </c>
    </row>
    <row r="168" spans="1:75" x14ac:dyDescent="0.3">
      <c r="A168" s="431">
        <v>135</v>
      </c>
      <c r="B168" s="284"/>
      <c r="C168" s="285">
        <f t="shared" si="112"/>
        <v>2</v>
      </c>
      <c r="D168" s="373"/>
      <c r="E168" s="286"/>
      <c r="F168" s="285" t="str">
        <f t="shared" si="111"/>
        <v/>
      </c>
      <c r="G168" s="287" t="str">
        <f t="shared" si="111"/>
        <v/>
      </c>
      <c r="H168" s="288" t="str">
        <f t="shared" si="113"/>
        <v/>
      </c>
      <c r="I168" s="289" t="str">
        <f t="shared" si="126"/>
        <v/>
      </c>
      <c r="J168" s="288" t="str">
        <f t="shared" si="114"/>
        <v/>
      </c>
      <c r="K168" s="288">
        <f t="shared" si="115"/>
        <v>0</v>
      </c>
      <c r="L168" s="290"/>
      <c r="M168" s="291">
        <f t="shared" si="116"/>
        <v>1</v>
      </c>
      <c r="N168" s="466" t="str">
        <f t="shared" si="117"/>
        <v/>
      </c>
      <c r="O168" s="302" t="str">
        <f t="shared" si="118"/>
        <v/>
      </c>
      <c r="P168" s="468" t="str">
        <f t="shared" si="119"/>
        <v/>
      </c>
      <c r="Q168" s="292" t="str">
        <f t="shared" si="127"/>
        <v/>
      </c>
      <c r="R168" s="294" t="str">
        <f t="shared" si="120"/>
        <v/>
      </c>
      <c r="S168" s="295" t="str">
        <f t="shared" si="121"/>
        <v>---</v>
      </c>
      <c r="V168" s="3" t="str">
        <f>IFERROR(VALUE(TEXT(C168,"00")&amp;TEXT(N168,"00")&amp;TEXT(P168,"00")&amp;IF(#REF!="Plato perforado",5,IF(OR(#REF!="N/A",#REF!=""),0,#REF!))),"")</f>
        <v/>
      </c>
      <c r="BC168" s="3" t="str">
        <f t="shared" si="122"/>
        <v/>
      </c>
      <c r="BD168" s="3" t="str">
        <f t="shared" si="123"/>
        <v/>
      </c>
      <c r="BE168" s="3" t="e">
        <f t="shared" si="124"/>
        <v>#VALUE!</v>
      </c>
      <c r="BW168" s="3">
        <f t="shared" si="125"/>
        <v>0</v>
      </c>
    </row>
    <row r="169" spans="1:75" x14ac:dyDescent="0.3">
      <c r="A169" s="431">
        <v>136</v>
      </c>
      <c r="B169" s="260"/>
      <c r="C169" s="261">
        <f t="shared" si="112"/>
        <v>2</v>
      </c>
      <c r="D169" s="371"/>
      <c r="E169" s="262"/>
      <c r="F169" s="261" t="str">
        <f t="shared" si="111"/>
        <v/>
      </c>
      <c r="G169" s="263" t="str">
        <f t="shared" si="111"/>
        <v/>
      </c>
      <c r="H169" s="264" t="str">
        <f t="shared" si="113"/>
        <v/>
      </c>
      <c r="I169" s="265" t="str">
        <f t="shared" si="126"/>
        <v/>
      </c>
      <c r="J169" s="264" t="str">
        <f t="shared" si="114"/>
        <v/>
      </c>
      <c r="K169" s="264">
        <f t="shared" si="115"/>
        <v>0</v>
      </c>
      <c r="L169" s="266"/>
      <c r="M169" s="267">
        <f t="shared" si="116"/>
        <v>1</v>
      </c>
      <c r="N169" s="465" t="str">
        <f t="shared" si="117"/>
        <v/>
      </c>
      <c r="O169" s="297" t="str">
        <f t="shared" si="118"/>
        <v/>
      </c>
      <c r="P169" s="467" t="str">
        <f t="shared" si="119"/>
        <v/>
      </c>
      <c r="Q169" s="268" t="str">
        <f t="shared" si="127"/>
        <v/>
      </c>
      <c r="R169" s="270" t="str">
        <f t="shared" si="120"/>
        <v/>
      </c>
      <c r="S169" s="271" t="str">
        <f t="shared" si="121"/>
        <v>---</v>
      </c>
      <c r="V169" s="3" t="str">
        <f>IFERROR(VALUE(TEXT(C169,"00")&amp;TEXT(N169,"00")&amp;TEXT(P169,"00")&amp;IF(#REF!="Plato perforado",5,IF(OR(#REF!="N/A",#REF!=""),0,#REF!))),"")</f>
        <v/>
      </c>
      <c r="BC169" s="3" t="str">
        <f t="shared" si="122"/>
        <v/>
      </c>
      <c r="BD169" s="3" t="str">
        <f t="shared" si="123"/>
        <v/>
      </c>
      <c r="BE169" s="3" t="e">
        <f t="shared" si="124"/>
        <v>#VALUE!</v>
      </c>
      <c r="BW169" s="3">
        <f t="shared" si="125"/>
        <v>0</v>
      </c>
    </row>
    <row r="170" spans="1:75" x14ac:dyDescent="0.3">
      <c r="A170" s="431">
        <v>137</v>
      </c>
      <c r="B170" s="272"/>
      <c r="C170" s="273">
        <f t="shared" si="112"/>
        <v>2</v>
      </c>
      <c r="D170" s="372"/>
      <c r="E170" s="274"/>
      <c r="F170" s="273" t="str">
        <f t="shared" si="111"/>
        <v/>
      </c>
      <c r="G170" s="275" t="str">
        <f t="shared" si="111"/>
        <v/>
      </c>
      <c r="H170" s="276" t="str">
        <f t="shared" si="113"/>
        <v/>
      </c>
      <c r="I170" s="277" t="str">
        <f t="shared" si="126"/>
        <v/>
      </c>
      <c r="J170" s="276" t="str">
        <f t="shared" si="114"/>
        <v/>
      </c>
      <c r="K170" s="276">
        <f t="shared" si="115"/>
        <v>0</v>
      </c>
      <c r="L170" s="278"/>
      <c r="M170" s="279">
        <f t="shared" si="116"/>
        <v>1</v>
      </c>
      <c r="N170" s="360" t="str">
        <f t="shared" si="117"/>
        <v/>
      </c>
      <c r="O170" s="117" t="str">
        <f t="shared" si="118"/>
        <v/>
      </c>
      <c r="P170" s="359" t="str">
        <f t="shared" si="119"/>
        <v/>
      </c>
      <c r="Q170" s="280" t="str">
        <f t="shared" si="127"/>
        <v/>
      </c>
      <c r="R170" s="282" t="str">
        <f t="shared" si="120"/>
        <v/>
      </c>
      <c r="S170" s="283" t="str">
        <f t="shared" si="121"/>
        <v>---</v>
      </c>
      <c r="V170" s="3" t="str">
        <f>IFERROR(VALUE(TEXT(C170,"00")&amp;TEXT(N170,"00")&amp;TEXT(P170,"00")&amp;IF(#REF!="Plato perforado",5,IF(OR(#REF!="N/A",#REF!=""),0,#REF!))),"")</f>
        <v/>
      </c>
      <c r="BC170" s="3" t="str">
        <f t="shared" si="122"/>
        <v/>
      </c>
      <c r="BD170" s="3" t="str">
        <f t="shared" si="123"/>
        <v/>
      </c>
      <c r="BE170" s="3" t="e">
        <f t="shared" si="124"/>
        <v>#VALUE!</v>
      </c>
      <c r="BW170" s="3">
        <f t="shared" si="125"/>
        <v>0</v>
      </c>
    </row>
    <row r="171" spans="1:75" x14ac:dyDescent="0.3">
      <c r="A171" s="431">
        <v>138</v>
      </c>
      <c r="B171" s="284"/>
      <c r="C171" s="285">
        <f t="shared" si="112"/>
        <v>2</v>
      </c>
      <c r="D171" s="373"/>
      <c r="E171" s="286"/>
      <c r="F171" s="285" t="str">
        <f t="shared" si="111"/>
        <v/>
      </c>
      <c r="G171" s="287" t="str">
        <f t="shared" si="111"/>
        <v/>
      </c>
      <c r="H171" s="288" t="str">
        <f t="shared" si="113"/>
        <v/>
      </c>
      <c r="I171" s="289" t="str">
        <f t="shared" si="126"/>
        <v/>
      </c>
      <c r="J171" s="288" t="str">
        <f t="shared" si="114"/>
        <v/>
      </c>
      <c r="K171" s="288">
        <f t="shared" si="115"/>
        <v>0</v>
      </c>
      <c r="L171" s="290"/>
      <c r="M171" s="291">
        <f t="shared" si="116"/>
        <v>1</v>
      </c>
      <c r="N171" s="466" t="str">
        <f t="shared" si="117"/>
        <v/>
      </c>
      <c r="O171" s="302" t="str">
        <f t="shared" si="118"/>
        <v/>
      </c>
      <c r="P171" s="468" t="str">
        <f t="shared" si="119"/>
        <v/>
      </c>
      <c r="Q171" s="292" t="str">
        <f t="shared" si="127"/>
        <v/>
      </c>
      <c r="R171" s="294" t="str">
        <f t="shared" si="120"/>
        <v/>
      </c>
      <c r="S171" s="295" t="str">
        <f t="shared" si="121"/>
        <v>---</v>
      </c>
      <c r="V171" s="3" t="str">
        <f>IFERROR(VALUE(TEXT(C171,"00")&amp;TEXT(N171,"00")&amp;TEXT(P171,"00")&amp;IF(#REF!="Plato perforado",5,IF(OR(#REF!="N/A",#REF!=""),0,#REF!))),"")</f>
        <v/>
      </c>
      <c r="BC171" s="3" t="str">
        <f t="shared" si="122"/>
        <v/>
      </c>
      <c r="BD171" s="3" t="str">
        <f t="shared" si="123"/>
        <v/>
      </c>
      <c r="BE171" s="3" t="e">
        <f t="shared" si="124"/>
        <v>#VALUE!</v>
      </c>
      <c r="BW171" s="3">
        <f t="shared" si="125"/>
        <v>0</v>
      </c>
    </row>
    <row r="172" spans="1:75" x14ac:dyDescent="0.3">
      <c r="A172" s="431">
        <v>139</v>
      </c>
      <c r="B172" s="260"/>
      <c r="C172" s="261">
        <f t="shared" si="112"/>
        <v>2</v>
      </c>
      <c r="D172" s="371"/>
      <c r="E172" s="262"/>
      <c r="F172" s="261" t="str">
        <f t="shared" si="111"/>
        <v/>
      </c>
      <c r="G172" s="263" t="str">
        <f t="shared" si="111"/>
        <v/>
      </c>
      <c r="H172" s="264" t="str">
        <f t="shared" si="113"/>
        <v/>
      </c>
      <c r="I172" s="265" t="str">
        <f t="shared" si="126"/>
        <v/>
      </c>
      <c r="J172" s="264" t="str">
        <f t="shared" si="114"/>
        <v/>
      </c>
      <c r="K172" s="264">
        <f t="shared" si="115"/>
        <v>0</v>
      </c>
      <c r="L172" s="266"/>
      <c r="M172" s="267">
        <f t="shared" si="116"/>
        <v>1</v>
      </c>
      <c r="N172" s="465" t="str">
        <f t="shared" si="117"/>
        <v/>
      </c>
      <c r="O172" s="297" t="str">
        <f t="shared" si="118"/>
        <v/>
      </c>
      <c r="P172" s="467" t="str">
        <f t="shared" si="119"/>
        <v/>
      </c>
      <c r="Q172" s="268" t="str">
        <f t="shared" si="127"/>
        <v/>
      </c>
      <c r="R172" s="270" t="str">
        <f t="shared" si="120"/>
        <v/>
      </c>
      <c r="S172" s="271" t="str">
        <f t="shared" si="121"/>
        <v>---</v>
      </c>
      <c r="V172" s="3" t="str">
        <f>IFERROR(VALUE(TEXT(C172,"00")&amp;TEXT(N172,"00")&amp;TEXT(P172,"00")&amp;IF(#REF!="Plato perforado",5,IF(OR(#REF!="N/A",#REF!=""),0,#REF!))),"")</f>
        <v/>
      </c>
      <c r="BC172" s="3" t="str">
        <f t="shared" si="122"/>
        <v/>
      </c>
      <c r="BD172" s="3" t="str">
        <f t="shared" si="123"/>
        <v/>
      </c>
      <c r="BE172" s="3" t="e">
        <f t="shared" si="124"/>
        <v>#VALUE!</v>
      </c>
      <c r="BW172" s="3">
        <f t="shared" si="125"/>
        <v>0</v>
      </c>
    </row>
    <row r="173" spans="1:75" x14ac:dyDescent="0.3">
      <c r="A173" s="431">
        <v>140</v>
      </c>
      <c r="B173" s="272"/>
      <c r="C173" s="273">
        <f t="shared" si="112"/>
        <v>2</v>
      </c>
      <c r="D173" s="372"/>
      <c r="E173" s="274"/>
      <c r="F173" s="273" t="str">
        <f t="shared" si="111"/>
        <v/>
      </c>
      <c r="G173" s="275" t="str">
        <f t="shared" si="111"/>
        <v/>
      </c>
      <c r="H173" s="276" t="str">
        <f t="shared" si="113"/>
        <v/>
      </c>
      <c r="I173" s="277" t="str">
        <f t="shared" si="126"/>
        <v/>
      </c>
      <c r="J173" s="276" t="str">
        <f t="shared" si="114"/>
        <v/>
      </c>
      <c r="K173" s="276">
        <f t="shared" si="115"/>
        <v>0</v>
      </c>
      <c r="L173" s="278"/>
      <c r="M173" s="279">
        <f t="shared" si="116"/>
        <v>1</v>
      </c>
      <c r="N173" s="360" t="str">
        <f t="shared" si="117"/>
        <v/>
      </c>
      <c r="O173" s="117" t="str">
        <f t="shared" si="118"/>
        <v/>
      </c>
      <c r="P173" s="359" t="str">
        <f t="shared" si="119"/>
        <v/>
      </c>
      <c r="Q173" s="280" t="str">
        <f t="shared" si="127"/>
        <v/>
      </c>
      <c r="R173" s="282" t="str">
        <f t="shared" si="120"/>
        <v/>
      </c>
      <c r="S173" s="283" t="str">
        <f t="shared" si="121"/>
        <v>---</v>
      </c>
      <c r="V173" s="3" t="str">
        <f>IFERROR(VALUE(TEXT(C173,"00")&amp;TEXT(N173,"00")&amp;TEXT(P173,"00")&amp;IF(#REF!="Plato perforado",5,IF(OR(#REF!="N/A",#REF!=""),0,#REF!))),"")</f>
        <v/>
      </c>
      <c r="BC173" s="3" t="str">
        <f t="shared" si="122"/>
        <v/>
      </c>
      <c r="BD173" s="3" t="str">
        <f t="shared" si="123"/>
        <v/>
      </c>
      <c r="BE173" s="3" t="e">
        <f t="shared" si="124"/>
        <v>#VALUE!</v>
      </c>
      <c r="BW173" s="3">
        <f t="shared" si="125"/>
        <v>0</v>
      </c>
    </row>
    <row r="174" spans="1:75" x14ac:dyDescent="0.3">
      <c r="A174" s="431">
        <v>141</v>
      </c>
      <c r="B174" s="284"/>
      <c r="C174" s="285">
        <f t="shared" si="112"/>
        <v>2</v>
      </c>
      <c r="D174" s="373"/>
      <c r="E174" s="286"/>
      <c r="F174" s="285" t="str">
        <f t="shared" ref="F174:G183" si="128">IFERROR(VLOOKUP($E174,DMFA,F$29,FALSE),"")</f>
        <v/>
      </c>
      <c r="G174" s="287" t="str">
        <f t="shared" si="128"/>
        <v/>
      </c>
      <c r="H174" s="288" t="str">
        <f t="shared" si="113"/>
        <v/>
      </c>
      <c r="I174" s="289" t="str">
        <f t="shared" si="126"/>
        <v/>
      </c>
      <c r="J174" s="288" t="str">
        <f t="shared" si="114"/>
        <v/>
      </c>
      <c r="K174" s="288">
        <f t="shared" si="115"/>
        <v>0</v>
      </c>
      <c r="L174" s="290"/>
      <c r="M174" s="291">
        <f t="shared" si="116"/>
        <v>1</v>
      </c>
      <c r="N174" s="466" t="str">
        <f t="shared" si="117"/>
        <v/>
      </c>
      <c r="O174" s="302" t="str">
        <f t="shared" si="118"/>
        <v/>
      </c>
      <c r="P174" s="468" t="str">
        <f t="shared" si="119"/>
        <v/>
      </c>
      <c r="Q174" s="292" t="str">
        <f t="shared" si="127"/>
        <v/>
      </c>
      <c r="R174" s="294" t="str">
        <f t="shared" si="120"/>
        <v/>
      </c>
      <c r="S174" s="295" t="str">
        <f t="shared" si="121"/>
        <v>---</v>
      </c>
      <c r="V174" s="3" t="str">
        <f>IFERROR(VALUE(TEXT(C174,"00")&amp;TEXT(N174,"00")&amp;TEXT(P174,"00")&amp;IF(#REF!="Plato perforado",5,IF(OR(#REF!="N/A",#REF!=""),0,#REF!))),"")</f>
        <v/>
      </c>
      <c r="BC174" s="3" t="str">
        <f t="shared" si="122"/>
        <v/>
      </c>
      <c r="BD174" s="3" t="str">
        <f t="shared" si="123"/>
        <v/>
      </c>
      <c r="BE174" s="3" t="e">
        <f t="shared" si="124"/>
        <v>#VALUE!</v>
      </c>
      <c r="BW174" s="3">
        <f t="shared" si="125"/>
        <v>0</v>
      </c>
    </row>
    <row r="175" spans="1:75" x14ac:dyDescent="0.3">
      <c r="A175" s="431">
        <v>142</v>
      </c>
      <c r="B175" s="260"/>
      <c r="C175" s="261">
        <f t="shared" si="112"/>
        <v>2</v>
      </c>
      <c r="D175" s="371"/>
      <c r="E175" s="262"/>
      <c r="F175" s="261" t="str">
        <f t="shared" si="128"/>
        <v/>
      </c>
      <c r="G175" s="263" t="str">
        <f t="shared" si="128"/>
        <v/>
      </c>
      <c r="H175" s="264" t="str">
        <f t="shared" si="113"/>
        <v/>
      </c>
      <c r="I175" s="265" t="str">
        <f t="shared" si="126"/>
        <v/>
      </c>
      <c r="J175" s="264" t="str">
        <f t="shared" si="114"/>
        <v/>
      </c>
      <c r="K175" s="264">
        <f t="shared" si="115"/>
        <v>0</v>
      </c>
      <c r="L175" s="266"/>
      <c r="M175" s="267">
        <f t="shared" si="116"/>
        <v>1</v>
      </c>
      <c r="N175" s="465" t="str">
        <f t="shared" si="117"/>
        <v/>
      </c>
      <c r="O175" s="297" t="str">
        <f t="shared" si="118"/>
        <v/>
      </c>
      <c r="P175" s="467" t="str">
        <f t="shared" si="119"/>
        <v/>
      </c>
      <c r="Q175" s="268" t="str">
        <f t="shared" si="127"/>
        <v/>
      </c>
      <c r="R175" s="270" t="str">
        <f t="shared" si="120"/>
        <v/>
      </c>
      <c r="S175" s="271" t="str">
        <f t="shared" si="121"/>
        <v>---</v>
      </c>
      <c r="V175" s="3" t="str">
        <f>IFERROR(VALUE(TEXT(C175,"00")&amp;TEXT(N175,"00")&amp;TEXT(P175,"00")&amp;IF(#REF!="Plato perforado",5,IF(OR(#REF!="N/A",#REF!=""),0,#REF!))),"")</f>
        <v/>
      </c>
      <c r="BC175" s="3" t="str">
        <f t="shared" si="122"/>
        <v/>
      </c>
      <c r="BD175" s="3" t="str">
        <f t="shared" si="123"/>
        <v/>
      </c>
      <c r="BE175" s="3" t="e">
        <f t="shared" si="124"/>
        <v>#VALUE!</v>
      </c>
      <c r="BW175" s="3">
        <f t="shared" si="125"/>
        <v>0</v>
      </c>
    </row>
    <row r="176" spans="1:75" x14ac:dyDescent="0.3">
      <c r="A176" s="431">
        <v>143</v>
      </c>
      <c r="B176" s="272"/>
      <c r="C176" s="273">
        <f t="shared" si="112"/>
        <v>2</v>
      </c>
      <c r="D176" s="372"/>
      <c r="E176" s="274"/>
      <c r="F176" s="273" t="str">
        <f t="shared" si="128"/>
        <v/>
      </c>
      <c r="G176" s="275" t="str">
        <f t="shared" si="128"/>
        <v/>
      </c>
      <c r="H176" s="276" t="str">
        <f t="shared" si="113"/>
        <v/>
      </c>
      <c r="I176" s="277" t="str">
        <f t="shared" si="126"/>
        <v/>
      </c>
      <c r="J176" s="276" t="str">
        <f t="shared" si="114"/>
        <v/>
      </c>
      <c r="K176" s="276">
        <f t="shared" si="115"/>
        <v>0</v>
      </c>
      <c r="L176" s="278"/>
      <c r="M176" s="279">
        <f t="shared" si="116"/>
        <v>1</v>
      </c>
      <c r="N176" s="360" t="str">
        <f t="shared" si="117"/>
        <v/>
      </c>
      <c r="O176" s="117" t="str">
        <f t="shared" si="118"/>
        <v/>
      </c>
      <c r="P176" s="359" t="str">
        <f t="shared" si="119"/>
        <v/>
      </c>
      <c r="Q176" s="280" t="str">
        <f t="shared" si="127"/>
        <v/>
      </c>
      <c r="R176" s="282" t="str">
        <f t="shared" si="120"/>
        <v/>
      </c>
      <c r="S176" s="283" t="str">
        <f t="shared" si="121"/>
        <v>---</v>
      </c>
      <c r="V176" s="3" t="str">
        <f>IFERROR(VALUE(TEXT(C176,"00")&amp;TEXT(N176,"00")&amp;TEXT(P176,"00")&amp;IF(#REF!="Plato perforado",5,IF(OR(#REF!="N/A",#REF!=""),0,#REF!))),"")</f>
        <v/>
      </c>
      <c r="BC176" s="3" t="str">
        <f t="shared" si="122"/>
        <v/>
      </c>
      <c r="BD176" s="3" t="str">
        <f t="shared" si="123"/>
        <v/>
      </c>
      <c r="BE176" s="3" t="e">
        <f t="shared" si="124"/>
        <v>#VALUE!</v>
      </c>
      <c r="BW176" s="3">
        <f t="shared" si="125"/>
        <v>0</v>
      </c>
    </row>
    <row r="177" spans="1:75" x14ac:dyDescent="0.3">
      <c r="A177" s="431">
        <v>144</v>
      </c>
      <c r="B177" s="284"/>
      <c r="C177" s="285">
        <f t="shared" si="112"/>
        <v>2</v>
      </c>
      <c r="D177" s="373"/>
      <c r="E177" s="286"/>
      <c r="F177" s="285" t="str">
        <f t="shared" si="128"/>
        <v/>
      </c>
      <c r="G177" s="287" t="str">
        <f t="shared" si="128"/>
        <v/>
      </c>
      <c r="H177" s="288" t="str">
        <f t="shared" si="113"/>
        <v/>
      </c>
      <c r="I177" s="289" t="str">
        <f t="shared" si="126"/>
        <v/>
      </c>
      <c r="J177" s="288" t="str">
        <f t="shared" si="114"/>
        <v/>
      </c>
      <c r="K177" s="288">
        <f t="shared" si="115"/>
        <v>0</v>
      </c>
      <c r="L177" s="290"/>
      <c r="M177" s="291">
        <f t="shared" si="116"/>
        <v>1</v>
      </c>
      <c r="N177" s="466" t="str">
        <f t="shared" si="117"/>
        <v/>
      </c>
      <c r="O177" s="302" t="str">
        <f t="shared" si="118"/>
        <v/>
      </c>
      <c r="P177" s="468" t="str">
        <f t="shared" si="119"/>
        <v/>
      </c>
      <c r="Q177" s="292" t="str">
        <f t="shared" si="127"/>
        <v/>
      </c>
      <c r="R177" s="294" t="str">
        <f t="shared" si="120"/>
        <v/>
      </c>
      <c r="S177" s="295" t="str">
        <f t="shared" si="121"/>
        <v>---</v>
      </c>
      <c r="V177" s="3" t="str">
        <f>IFERROR(VALUE(TEXT(C177,"00")&amp;TEXT(N177,"00")&amp;TEXT(P177,"00")&amp;IF(#REF!="Plato perforado",5,IF(OR(#REF!="N/A",#REF!=""),0,#REF!))),"")</f>
        <v/>
      </c>
      <c r="BC177" s="3" t="str">
        <f t="shared" si="122"/>
        <v/>
      </c>
      <c r="BD177" s="3" t="str">
        <f t="shared" si="123"/>
        <v/>
      </c>
      <c r="BE177" s="3" t="e">
        <f t="shared" si="124"/>
        <v>#VALUE!</v>
      </c>
      <c r="BW177" s="3">
        <f t="shared" si="125"/>
        <v>0</v>
      </c>
    </row>
    <row r="178" spans="1:75" x14ac:dyDescent="0.3">
      <c r="A178" s="431">
        <v>145</v>
      </c>
      <c r="B178" s="260"/>
      <c r="C178" s="261">
        <f t="shared" si="112"/>
        <v>2</v>
      </c>
      <c r="D178" s="371"/>
      <c r="E178" s="262"/>
      <c r="F178" s="261" t="str">
        <f t="shared" si="128"/>
        <v/>
      </c>
      <c r="G178" s="263" t="str">
        <f t="shared" si="128"/>
        <v/>
      </c>
      <c r="H178" s="264" t="str">
        <f t="shared" si="113"/>
        <v/>
      </c>
      <c r="I178" s="265" t="str">
        <f t="shared" si="126"/>
        <v/>
      </c>
      <c r="J178" s="264" t="str">
        <f t="shared" si="114"/>
        <v/>
      </c>
      <c r="K178" s="264">
        <f t="shared" si="115"/>
        <v>0</v>
      </c>
      <c r="L178" s="266"/>
      <c r="M178" s="267">
        <f t="shared" si="116"/>
        <v>1</v>
      </c>
      <c r="N178" s="465" t="str">
        <f t="shared" si="117"/>
        <v/>
      </c>
      <c r="O178" s="297" t="str">
        <f t="shared" si="118"/>
        <v/>
      </c>
      <c r="P178" s="467" t="str">
        <f t="shared" si="119"/>
        <v/>
      </c>
      <c r="Q178" s="268" t="str">
        <f t="shared" si="127"/>
        <v/>
      </c>
      <c r="R178" s="270" t="str">
        <f t="shared" si="120"/>
        <v/>
      </c>
      <c r="S178" s="271" t="str">
        <f t="shared" si="121"/>
        <v>---</v>
      </c>
      <c r="V178" s="3" t="str">
        <f>IFERROR(VALUE(TEXT(C178,"00")&amp;TEXT(N178,"00")&amp;TEXT(P178,"00")&amp;IF(#REF!="Plato perforado",5,IF(OR(#REF!="N/A",#REF!=""),0,#REF!))),"")</f>
        <v/>
      </c>
      <c r="BC178" s="3" t="str">
        <f t="shared" si="122"/>
        <v/>
      </c>
      <c r="BD178" s="3" t="str">
        <f t="shared" si="123"/>
        <v/>
      </c>
      <c r="BE178" s="3" t="e">
        <f t="shared" si="124"/>
        <v>#VALUE!</v>
      </c>
      <c r="BW178" s="3">
        <f t="shared" si="125"/>
        <v>0</v>
      </c>
    </row>
    <row r="179" spans="1:75" x14ac:dyDescent="0.3">
      <c r="A179" s="431">
        <v>146</v>
      </c>
      <c r="B179" s="272"/>
      <c r="C179" s="273">
        <f t="shared" si="112"/>
        <v>2</v>
      </c>
      <c r="D179" s="372"/>
      <c r="E179" s="274"/>
      <c r="F179" s="273" t="str">
        <f t="shared" si="128"/>
        <v/>
      </c>
      <c r="G179" s="275" t="str">
        <f t="shared" si="128"/>
        <v/>
      </c>
      <c r="H179" s="276" t="str">
        <f t="shared" si="113"/>
        <v/>
      </c>
      <c r="I179" s="277" t="str">
        <f t="shared" si="126"/>
        <v/>
      </c>
      <c r="J179" s="276" t="str">
        <f t="shared" si="114"/>
        <v/>
      </c>
      <c r="K179" s="276">
        <f t="shared" si="115"/>
        <v>0</v>
      </c>
      <c r="L179" s="278"/>
      <c r="M179" s="279">
        <f t="shared" si="116"/>
        <v>1</v>
      </c>
      <c r="N179" s="360" t="str">
        <f t="shared" si="117"/>
        <v/>
      </c>
      <c r="O179" s="117" t="str">
        <f t="shared" si="118"/>
        <v/>
      </c>
      <c r="P179" s="359" t="str">
        <f t="shared" si="119"/>
        <v/>
      </c>
      <c r="Q179" s="280" t="str">
        <f t="shared" si="127"/>
        <v/>
      </c>
      <c r="R179" s="282" t="str">
        <f t="shared" si="120"/>
        <v/>
      </c>
      <c r="S179" s="283" t="str">
        <f t="shared" si="121"/>
        <v>---</v>
      </c>
      <c r="V179" s="3" t="str">
        <f>IFERROR(VALUE(TEXT(C179,"00")&amp;TEXT(N179,"00")&amp;TEXT(P179,"00")&amp;IF(#REF!="Plato perforado",5,IF(OR(#REF!="N/A",#REF!=""),0,#REF!))),"")</f>
        <v/>
      </c>
      <c r="BC179" s="3" t="str">
        <f t="shared" si="122"/>
        <v/>
      </c>
      <c r="BD179" s="3" t="str">
        <f t="shared" si="123"/>
        <v/>
      </c>
      <c r="BE179" s="3" t="e">
        <f t="shared" si="124"/>
        <v>#VALUE!</v>
      </c>
      <c r="BW179" s="3">
        <f t="shared" si="125"/>
        <v>0</v>
      </c>
    </row>
    <row r="180" spans="1:75" x14ac:dyDescent="0.3">
      <c r="A180" s="431">
        <v>147</v>
      </c>
      <c r="B180" s="284"/>
      <c r="C180" s="285">
        <f t="shared" si="112"/>
        <v>2</v>
      </c>
      <c r="D180" s="373"/>
      <c r="E180" s="286"/>
      <c r="F180" s="285" t="str">
        <f t="shared" si="128"/>
        <v/>
      </c>
      <c r="G180" s="287" t="str">
        <f t="shared" si="128"/>
        <v/>
      </c>
      <c r="H180" s="288" t="str">
        <f t="shared" si="113"/>
        <v/>
      </c>
      <c r="I180" s="289" t="str">
        <f t="shared" si="126"/>
        <v/>
      </c>
      <c r="J180" s="288" t="str">
        <f t="shared" si="114"/>
        <v/>
      </c>
      <c r="K180" s="288">
        <f t="shared" si="115"/>
        <v>0</v>
      </c>
      <c r="L180" s="290"/>
      <c r="M180" s="291">
        <f t="shared" si="116"/>
        <v>1</v>
      </c>
      <c r="N180" s="466" t="str">
        <f t="shared" si="117"/>
        <v/>
      </c>
      <c r="O180" s="302" t="str">
        <f t="shared" si="118"/>
        <v/>
      </c>
      <c r="P180" s="468" t="str">
        <f t="shared" si="119"/>
        <v/>
      </c>
      <c r="Q180" s="292" t="str">
        <f t="shared" si="127"/>
        <v/>
      </c>
      <c r="R180" s="294" t="str">
        <f t="shared" si="120"/>
        <v/>
      </c>
      <c r="S180" s="295" t="str">
        <f t="shared" si="121"/>
        <v>---</v>
      </c>
      <c r="V180" s="3" t="str">
        <f>IFERROR(VALUE(TEXT(C180,"00")&amp;TEXT(N180,"00")&amp;TEXT(P180,"00")&amp;IF(#REF!="Plato perforado",5,IF(OR(#REF!="N/A",#REF!=""),0,#REF!))),"")</f>
        <v/>
      </c>
      <c r="BC180" s="3" t="str">
        <f t="shared" si="122"/>
        <v/>
      </c>
      <c r="BD180" s="3" t="str">
        <f t="shared" si="123"/>
        <v/>
      </c>
      <c r="BE180" s="3" t="e">
        <f t="shared" si="124"/>
        <v>#VALUE!</v>
      </c>
      <c r="BW180" s="3">
        <f t="shared" si="125"/>
        <v>0</v>
      </c>
    </row>
    <row r="181" spans="1:75" x14ac:dyDescent="0.3">
      <c r="A181" s="431">
        <v>148</v>
      </c>
      <c r="B181" s="260"/>
      <c r="C181" s="261">
        <f t="shared" si="112"/>
        <v>2</v>
      </c>
      <c r="D181" s="371"/>
      <c r="E181" s="262"/>
      <c r="F181" s="261" t="str">
        <f t="shared" si="128"/>
        <v/>
      </c>
      <c r="G181" s="263" t="str">
        <f t="shared" si="128"/>
        <v/>
      </c>
      <c r="H181" s="264" t="str">
        <f t="shared" si="113"/>
        <v/>
      </c>
      <c r="I181" s="265" t="str">
        <f t="shared" si="126"/>
        <v/>
      </c>
      <c r="J181" s="264" t="str">
        <f t="shared" si="114"/>
        <v/>
      </c>
      <c r="K181" s="264">
        <f t="shared" si="115"/>
        <v>0</v>
      </c>
      <c r="L181" s="266"/>
      <c r="M181" s="267">
        <f t="shared" si="116"/>
        <v>1</v>
      </c>
      <c r="N181" s="465" t="str">
        <f t="shared" si="117"/>
        <v/>
      </c>
      <c r="O181" s="297" t="str">
        <f t="shared" si="118"/>
        <v/>
      </c>
      <c r="P181" s="467" t="str">
        <f t="shared" si="119"/>
        <v/>
      </c>
      <c r="Q181" s="268" t="str">
        <f t="shared" si="127"/>
        <v/>
      </c>
      <c r="R181" s="270" t="str">
        <f t="shared" si="120"/>
        <v/>
      </c>
      <c r="S181" s="271" t="str">
        <f t="shared" si="121"/>
        <v>---</v>
      </c>
      <c r="V181" s="3" t="str">
        <f>IFERROR(VALUE(TEXT(C181,"00")&amp;TEXT(N181,"00")&amp;TEXT(P181,"00")&amp;IF(#REF!="Plato perforado",5,IF(OR(#REF!="N/A",#REF!=""),0,#REF!))),"")</f>
        <v/>
      </c>
      <c r="BC181" s="3" t="str">
        <f t="shared" si="122"/>
        <v/>
      </c>
      <c r="BD181" s="3" t="str">
        <f t="shared" si="123"/>
        <v/>
      </c>
      <c r="BE181" s="3" t="e">
        <f t="shared" si="124"/>
        <v>#VALUE!</v>
      </c>
      <c r="BW181" s="3">
        <f t="shared" si="125"/>
        <v>0</v>
      </c>
    </row>
    <row r="182" spans="1:75" x14ac:dyDescent="0.3">
      <c r="A182" s="431">
        <v>149</v>
      </c>
      <c r="B182" s="272"/>
      <c r="C182" s="273">
        <f t="shared" si="112"/>
        <v>2</v>
      </c>
      <c r="D182" s="372"/>
      <c r="E182" s="274"/>
      <c r="F182" s="273" t="str">
        <f t="shared" si="128"/>
        <v/>
      </c>
      <c r="G182" s="275" t="str">
        <f t="shared" si="128"/>
        <v/>
      </c>
      <c r="H182" s="276" t="str">
        <f t="shared" si="113"/>
        <v/>
      </c>
      <c r="I182" s="277" t="str">
        <f t="shared" si="126"/>
        <v/>
      </c>
      <c r="J182" s="276" t="str">
        <f t="shared" si="114"/>
        <v/>
      </c>
      <c r="K182" s="276">
        <f t="shared" si="115"/>
        <v>0</v>
      </c>
      <c r="L182" s="278"/>
      <c r="M182" s="279">
        <f t="shared" si="116"/>
        <v>1</v>
      </c>
      <c r="N182" s="360" t="str">
        <f t="shared" si="117"/>
        <v/>
      </c>
      <c r="O182" s="117" t="str">
        <f t="shared" si="118"/>
        <v/>
      </c>
      <c r="P182" s="359" t="str">
        <f t="shared" si="119"/>
        <v/>
      </c>
      <c r="Q182" s="280" t="str">
        <f t="shared" si="127"/>
        <v/>
      </c>
      <c r="R182" s="282" t="str">
        <f t="shared" si="120"/>
        <v/>
      </c>
      <c r="S182" s="283" t="str">
        <f t="shared" si="121"/>
        <v>---</v>
      </c>
      <c r="V182" s="3" t="str">
        <f>IFERROR(VALUE(TEXT(C182,"00")&amp;TEXT(N182,"00")&amp;TEXT(P182,"00")&amp;IF(#REF!="Plato perforado",5,IF(OR(#REF!="N/A",#REF!=""),0,#REF!))),"")</f>
        <v/>
      </c>
      <c r="BC182" s="3" t="str">
        <f t="shared" si="122"/>
        <v/>
      </c>
      <c r="BD182" s="3" t="str">
        <f t="shared" si="123"/>
        <v/>
      </c>
      <c r="BE182" s="3" t="e">
        <f t="shared" si="124"/>
        <v>#VALUE!</v>
      </c>
      <c r="BW182" s="3">
        <f t="shared" si="125"/>
        <v>0</v>
      </c>
    </row>
    <row r="183" spans="1:75" x14ac:dyDescent="0.3">
      <c r="A183" s="431">
        <v>150</v>
      </c>
      <c r="B183" s="284"/>
      <c r="C183" s="285">
        <f t="shared" si="112"/>
        <v>2</v>
      </c>
      <c r="D183" s="373"/>
      <c r="E183" s="286"/>
      <c r="F183" s="285" t="str">
        <f t="shared" si="128"/>
        <v/>
      </c>
      <c r="G183" s="287" t="str">
        <f t="shared" si="128"/>
        <v/>
      </c>
      <c r="H183" s="288" t="str">
        <f t="shared" si="113"/>
        <v/>
      </c>
      <c r="I183" s="289" t="str">
        <f t="shared" si="126"/>
        <v/>
      </c>
      <c r="J183" s="288" t="str">
        <f t="shared" si="114"/>
        <v/>
      </c>
      <c r="K183" s="288">
        <f t="shared" si="115"/>
        <v>0</v>
      </c>
      <c r="L183" s="290"/>
      <c r="M183" s="291">
        <f t="shared" si="116"/>
        <v>1</v>
      </c>
      <c r="N183" s="466" t="str">
        <f t="shared" si="117"/>
        <v/>
      </c>
      <c r="O183" s="302" t="str">
        <f t="shared" si="118"/>
        <v/>
      </c>
      <c r="P183" s="468" t="str">
        <f t="shared" si="119"/>
        <v/>
      </c>
      <c r="Q183" s="292" t="str">
        <f t="shared" si="127"/>
        <v/>
      </c>
      <c r="R183" s="294" t="str">
        <f t="shared" si="120"/>
        <v/>
      </c>
      <c r="S183" s="295" t="str">
        <f t="shared" si="121"/>
        <v>---</v>
      </c>
      <c r="V183" s="3" t="str">
        <f>IFERROR(VALUE(TEXT(C183,"00")&amp;TEXT(N183,"00")&amp;TEXT(P183,"00")&amp;IF(#REF!="Plato perforado",5,IF(OR(#REF!="N/A",#REF!=""),0,#REF!))),"")</f>
        <v/>
      </c>
      <c r="BC183" s="3" t="str">
        <f t="shared" si="122"/>
        <v/>
      </c>
      <c r="BD183" s="3" t="str">
        <f t="shared" si="123"/>
        <v/>
      </c>
      <c r="BE183" s="3" t="e">
        <f t="shared" si="124"/>
        <v>#VALUE!</v>
      </c>
      <c r="BW183" s="3">
        <f t="shared" si="125"/>
        <v>0</v>
      </c>
    </row>
  </sheetData>
  <sheetProtection selectLockedCells="1"/>
  <mergeCells count="66">
    <mergeCell ref="DZ33:DZ34"/>
    <mergeCell ref="EA33:EA34"/>
    <mergeCell ref="EC33:EE33"/>
    <mergeCell ref="EG33:EG34"/>
    <mergeCell ref="EH33:EH34"/>
    <mergeCell ref="BX56:BZ57"/>
    <mergeCell ref="DN33:DN34"/>
    <mergeCell ref="DO33:DO34"/>
    <mergeCell ref="DQ33:DS33"/>
    <mergeCell ref="DU33:DU34"/>
    <mergeCell ref="CP33:CP34"/>
    <mergeCell ref="CQ33:CQ34"/>
    <mergeCell ref="CS33:CU33"/>
    <mergeCell ref="CW33:CW34"/>
    <mergeCell ref="CX33:CX34"/>
    <mergeCell ref="DA33:DA34"/>
    <mergeCell ref="CD33:CD34"/>
    <mergeCell ref="CE33:CE34"/>
    <mergeCell ref="CG33:CI33"/>
    <mergeCell ref="CK33:CK34"/>
    <mergeCell ref="CL33:CL34"/>
    <mergeCell ref="DV33:DV34"/>
    <mergeCell ref="DY33:DY34"/>
    <mergeCell ref="DB33:DB34"/>
    <mergeCell ref="DC33:DC34"/>
    <mergeCell ref="DE33:DG33"/>
    <mergeCell ref="DI33:DI34"/>
    <mergeCell ref="DJ33:DJ34"/>
    <mergeCell ref="DM33:DM34"/>
    <mergeCell ref="CO33:CO34"/>
    <mergeCell ref="BS32:BS33"/>
    <mergeCell ref="BT32:BT33"/>
    <mergeCell ref="BX32:BX33"/>
    <mergeCell ref="BY32:BY33"/>
    <mergeCell ref="BZ32:BZ33"/>
    <mergeCell ref="CC33:CC34"/>
    <mergeCell ref="BR32:BR33"/>
    <mergeCell ref="I30:I32"/>
    <mergeCell ref="J30:J33"/>
    <mergeCell ref="K30:K33"/>
    <mergeCell ref="L30:L33"/>
    <mergeCell ref="M30:M33"/>
    <mergeCell ref="N30:P31"/>
    <mergeCell ref="Q30:Q32"/>
    <mergeCell ref="R30:R33"/>
    <mergeCell ref="S30:S32"/>
    <mergeCell ref="BF30:BL30"/>
    <mergeCell ref="AZ32:AZ33"/>
    <mergeCell ref="A17:C17"/>
    <mergeCell ref="F17:G18"/>
    <mergeCell ref="A18:C18"/>
    <mergeCell ref="A30:A33"/>
    <mergeCell ref="B30:B33"/>
    <mergeCell ref="D30:D33"/>
    <mergeCell ref="E30:E33"/>
    <mergeCell ref="F30:F33"/>
    <mergeCell ref="G30:G32"/>
    <mergeCell ref="A1:I1"/>
    <mergeCell ref="L1:P1"/>
    <mergeCell ref="R1:S1"/>
    <mergeCell ref="A14:E15"/>
    <mergeCell ref="F14:G16"/>
    <mergeCell ref="I14:J15"/>
    <mergeCell ref="L14:L15"/>
    <mergeCell ref="Q14:R14"/>
    <mergeCell ref="A16:C16"/>
  </mergeCells>
  <conditionalFormatting sqref="AZ34:BA63">
    <cfRule type="expression" dxfId="11" priority="5">
      <formula>EXACT($BA34,0)</formula>
    </cfRule>
  </conditionalFormatting>
  <conditionalFormatting sqref="BI123:BI130 BI34:BI114">
    <cfRule type="cellIs" dxfId="10" priority="4" operator="greaterThan">
      <formula>1500</formula>
    </cfRule>
  </conditionalFormatting>
  <conditionalFormatting sqref="BJ123:BJ130 BJ34:BJ114">
    <cfRule type="cellIs" dxfId="9" priority="3" operator="notBetween">
      <formula>0.4</formula>
      <formula>2.5</formula>
    </cfRule>
  </conditionalFormatting>
  <conditionalFormatting sqref="BR34:BU63">
    <cfRule type="expression" dxfId="8" priority="2">
      <formula>EXACT($BU34,0)</formula>
    </cfRule>
  </conditionalFormatting>
  <conditionalFormatting sqref="BX34:CA48 BX58:CA60">
    <cfRule type="expression" dxfId="7" priority="6">
      <formula>EXACT($CA34,0)</formula>
    </cfRule>
  </conditionalFormatting>
  <conditionalFormatting sqref="F14:G18">
    <cfRule type="expression" dxfId="6" priority="1">
      <formula>IF(AS-SUM($I$34:$I$183)&lt;0.1,TRUE,FALSE)</formula>
    </cfRule>
  </conditionalFormatting>
  <dataValidations count="3">
    <dataValidation type="list" allowBlank="1" showInputMessage="1" showErrorMessage="1" errorTitle="DISPOSITIVO" error="El dispositivo para el suministro de aire únicamente puede ser:_x000a_- Difusor (DI)_x000a_- Rejilla de inyección (RI)_x000a_- Filtro terminal HEPA (FT)_x000a_" sqref="B34:B183" xr:uid="{2763FBAB-C1E2-47DD-A0A1-F581824DC09C}">
      <formula1>$B$29:$B$29</formula1>
    </dataValidation>
    <dataValidation type="decimal" allowBlank="1" showInputMessage="1" showErrorMessage="1" errorTitle="REALCIÓN DE ASPECTO" error="El valor permitido está entre 0.25 y 4.00" sqref="L34:L183" xr:uid="{27A57819-8488-4A24-A76B-29D21F9A6403}">
      <formula1>0.25</formula1>
      <formula2>4</formula2>
    </dataValidation>
    <dataValidation type="custom" allowBlank="1" showInputMessage="1" showErrorMessage="1" errorTitle="CUARTO" error="El cuarto que desea ingresar no existe. Ingrese otro valor para este cuarto." sqref="E34:E183" xr:uid="{E5CA1261-A57D-455E-828E-1B6D320F4F96}">
      <formula1>NOT(ISERROR(J34))</formula1>
    </dataValidation>
  </dataValidations>
  <printOptions horizontalCentered="1"/>
  <pageMargins left="0.59055118110236227" right="0.59055118110236227" top="0.39370078740157483" bottom="0.39370078740157483" header="0.31496062992125984" footer="0.31496062992125984"/>
  <pageSetup scale="101" fitToWidth="6" orientation="landscape" r:id="rId1"/>
  <colBreaks count="5" manualBreakCount="5">
    <brk id="80" min="11" max="63" man="1"/>
    <brk id="92" min="11" max="63" man="1"/>
    <brk id="104" min="11" max="63" man="1"/>
    <brk id="116" min="11" max="63" man="1"/>
    <brk id="128" min="11" max="6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odule2.Inyeccion">
                <anchor moveWithCells="1">
                  <from>
                    <xdr:col>8</xdr:col>
                    <xdr:colOff>434340</xdr:colOff>
                    <xdr:row>2</xdr:row>
                    <xdr:rowOff>144780</xdr:rowOff>
                  </from>
                  <to>
                    <xdr:col>9</xdr:col>
                    <xdr:colOff>388620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Retorno">
                <anchor moveWithCells="1">
                  <from>
                    <xdr:col>8</xdr:col>
                    <xdr:colOff>434340</xdr:colOff>
                    <xdr:row>5</xdr:row>
                    <xdr:rowOff>83820</xdr:rowOff>
                  </from>
                  <to>
                    <xdr:col>9</xdr:col>
                    <xdr:colOff>388620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A1:EJ183"/>
  <sheetViews>
    <sheetView showGridLines="0" showRowColHeaders="0" zoomScaleNormal="100" workbookViewId="0">
      <pane ySplit="33" topLeftCell="A34" activePane="bottomLeft" state="frozen"/>
      <selection pane="bottomLeft" activeCell="B34" sqref="B34"/>
    </sheetView>
  </sheetViews>
  <sheetFormatPr defaultColWidth="12" defaultRowHeight="13.8" x14ac:dyDescent="0.3"/>
  <cols>
    <col min="1" max="1" width="4.125" style="3" customWidth="1"/>
    <col min="2" max="2" width="13" style="3" customWidth="1"/>
    <col min="3" max="3" width="10.875" style="3" hidden="1" customWidth="1"/>
    <col min="4" max="4" width="10.875" style="3" customWidth="1"/>
    <col min="5" max="5" width="7.125" style="3" customWidth="1"/>
    <col min="6" max="6" width="30.875" style="3" customWidth="1"/>
    <col min="7" max="7" width="7.875" style="3" customWidth="1"/>
    <col min="8" max="8" width="33.125" style="374" hidden="1" customWidth="1"/>
    <col min="9" max="9" width="12" style="3"/>
    <col min="10" max="10" width="12" style="3" customWidth="1"/>
    <col min="11" max="11" width="12" style="3" hidden="1" customWidth="1"/>
    <col min="12" max="12" width="12" style="3" customWidth="1"/>
    <col min="13" max="13" width="12" style="3" hidden="1" customWidth="1"/>
    <col min="14" max="14" width="4.875" style="374" customWidth="1"/>
    <col min="15" max="15" width="2.125" style="374" customWidth="1"/>
    <col min="16" max="16" width="4.875" style="374" customWidth="1"/>
    <col min="17" max="17" width="12" style="3"/>
    <col min="18" max="19" width="13.625" style="3" customWidth="1"/>
    <col min="20" max="21" width="12" style="3"/>
    <col min="22" max="25" width="12" style="3" hidden="1" customWidth="1"/>
    <col min="26" max="50" width="12" style="3" customWidth="1"/>
    <col min="51" max="51" width="1.875" style="3" customWidth="1"/>
    <col min="52" max="52" width="46.125" style="3" customWidth="1"/>
    <col min="53" max="53" width="7.875" style="3" customWidth="1"/>
    <col min="54" max="54" width="1.875" style="3" customWidth="1"/>
    <col min="55" max="57" width="12" style="3" hidden="1" customWidth="1"/>
    <col min="58" max="62" width="12" style="374" hidden="1" customWidth="1"/>
    <col min="63" max="69" width="12" style="3" hidden="1" customWidth="1"/>
    <col min="70" max="70" width="22.375" style="3" customWidth="1"/>
    <col min="71" max="73" width="7.875" style="3" customWidth="1"/>
    <col min="74" max="74" width="1.875" style="3" customWidth="1"/>
    <col min="75" max="75" width="12" style="3" hidden="1" customWidth="1"/>
    <col min="76" max="76" width="22.375" style="3" customWidth="1"/>
    <col min="77" max="79" width="7.875" style="3" customWidth="1"/>
    <col min="80" max="80" width="1.875" style="3" customWidth="1"/>
    <col min="81" max="82" width="7.875" style="3" customWidth="1"/>
    <col min="83" max="83" width="30.875" style="3" customWidth="1"/>
    <col min="84" max="84" width="12" style="3"/>
    <col min="85" max="85" width="4.875" style="3" customWidth="1"/>
    <col min="86" max="86" width="2.875" style="3" customWidth="1"/>
    <col min="87" max="87" width="4.875" style="3" customWidth="1"/>
    <col min="88" max="88" width="12" style="3"/>
    <col min="89" max="89" width="8" style="3" customWidth="1"/>
    <col min="90" max="90" width="9.875" style="374" customWidth="1"/>
    <col min="91" max="91" width="8.875" style="374" customWidth="1"/>
    <col min="92" max="92" width="42.875" style="374" customWidth="1"/>
    <col min="93" max="94" width="7.875" style="3" customWidth="1"/>
    <col min="95" max="95" width="30.875" style="3" customWidth="1"/>
    <col min="96" max="96" width="12" style="3"/>
    <col min="97" max="97" width="4.875" style="3" customWidth="1"/>
    <col min="98" max="98" width="2.875" style="3" customWidth="1"/>
    <col min="99" max="99" width="4.875" style="3" customWidth="1"/>
    <col min="100" max="100" width="12" style="3"/>
    <col min="101" max="101" width="8" style="3" customWidth="1"/>
    <col min="102" max="102" width="9.875" style="3" customWidth="1"/>
    <col min="103" max="103" width="8.875" style="3" customWidth="1"/>
    <col min="104" max="104" width="42.875" style="3" customWidth="1"/>
    <col min="105" max="106" width="7.875" style="3" customWidth="1"/>
    <col min="107" max="107" width="30.875" style="3" customWidth="1"/>
    <col min="108" max="108" width="12" style="3"/>
    <col min="109" max="109" width="4.875" style="3" customWidth="1"/>
    <col min="110" max="110" width="2.875" style="3" customWidth="1"/>
    <col min="111" max="111" width="4.875" style="3" customWidth="1"/>
    <col min="112" max="112" width="12" style="3"/>
    <col min="113" max="113" width="8" style="3" customWidth="1"/>
    <col min="114" max="114" width="9.875" style="3" customWidth="1"/>
    <col min="115" max="115" width="8.875" style="3" customWidth="1"/>
    <col min="116" max="116" width="42.875" style="3" customWidth="1"/>
    <col min="117" max="118" width="7.875" style="3" customWidth="1"/>
    <col min="119" max="119" width="30.875" style="3" customWidth="1"/>
    <col min="120" max="120" width="12" style="3"/>
    <col min="121" max="121" width="4.875" style="3" customWidth="1"/>
    <col min="122" max="122" width="2.875" style="3" customWidth="1"/>
    <col min="123" max="123" width="4.875" style="3" customWidth="1"/>
    <col min="124" max="124" width="12" style="3"/>
    <col min="125" max="125" width="8" style="3" customWidth="1"/>
    <col min="126" max="126" width="9.875" style="3" customWidth="1"/>
    <col min="127" max="127" width="8.875" style="3" customWidth="1"/>
    <col min="128" max="128" width="42.875" style="3" customWidth="1"/>
    <col min="129" max="130" width="7.875" style="3" customWidth="1"/>
    <col min="131" max="131" width="30.875" style="3" customWidth="1"/>
    <col min="132" max="132" width="12" style="3"/>
    <col min="133" max="133" width="4.875" style="3" customWidth="1"/>
    <col min="134" max="134" width="2.875" style="3" customWidth="1"/>
    <col min="135" max="135" width="4.875" style="3" customWidth="1"/>
    <col min="136" max="136" width="12" style="3"/>
    <col min="137" max="137" width="8" style="3" customWidth="1"/>
    <col min="138" max="138" width="9.875" style="3" customWidth="1"/>
    <col min="139" max="139" width="8.875" style="3" customWidth="1"/>
    <col min="140" max="140" width="42.875" style="3" customWidth="1"/>
    <col min="141" max="16384" width="12" style="3"/>
  </cols>
  <sheetData>
    <row r="1" spans="1:92" x14ac:dyDescent="0.3">
      <c r="A1" s="616" t="s">
        <v>491</v>
      </c>
      <c r="B1" s="616"/>
      <c r="C1" s="616"/>
      <c r="D1" s="616"/>
      <c r="E1" s="616"/>
      <c r="F1" s="616"/>
      <c r="G1" s="616"/>
      <c r="H1" s="616"/>
      <c r="I1" s="616"/>
      <c r="J1" s="376"/>
      <c r="K1" s="171"/>
      <c r="L1" s="616"/>
      <c r="M1" s="616"/>
      <c r="N1" s="616"/>
      <c r="O1" s="616"/>
      <c r="P1" s="616"/>
      <c r="Q1" s="367"/>
      <c r="R1" s="616"/>
      <c r="S1" s="616"/>
      <c r="T1" s="616"/>
    </row>
    <row r="2" spans="1:92" x14ac:dyDescent="0.3">
      <c r="R2" s="6"/>
    </row>
    <row r="4" spans="1:92" x14ac:dyDescent="0.3">
      <c r="G4" s="5"/>
      <c r="H4" s="3"/>
    </row>
    <row r="5" spans="1:92" x14ac:dyDescent="0.3">
      <c r="G5" s="5"/>
      <c r="H5" s="3"/>
    </row>
    <row r="6" spans="1:92" x14ac:dyDescent="0.3">
      <c r="G6" s="5"/>
      <c r="H6" s="3"/>
    </row>
    <row r="7" spans="1:92" x14ac:dyDescent="0.3">
      <c r="G7" s="5"/>
      <c r="H7" s="3"/>
    </row>
    <row r="8" spans="1:92" x14ac:dyDescent="0.3">
      <c r="G8" s="5"/>
      <c r="H8" s="3"/>
    </row>
    <row r="9" spans="1:92" x14ac:dyDescent="0.3">
      <c r="G9" s="5"/>
      <c r="H9" s="3"/>
    </row>
    <row r="10" spans="1:92" hidden="1" x14ac:dyDescent="0.3">
      <c r="G10" s="5"/>
      <c r="H10" s="3"/>
    </row>
    <row r="11" spans="1:92" hidden="1" x14ac:dyDescent="0.3">
      <c r="G11" s="5"/>
      <c r="H11" s="3"/>
    </row>
    <row r="12" spans="1:92" hidden="1" x14ac:dyDescent="0.3">
      <c r="G12" s="5"/>
      <c r="H12" s="3"/>
      <c r="AY12" s="224"/>
      <c r="AZ12" s="224"/>
      <c r="BA12" s="224"/>
      <c r="BB12" s="224"/>
      <c r="BC12" s="224"/>
      <c r="BD12" s="224"/>
      <c r="BE12" s="224"/>
      <c r="BF12" s="225"/>
      <c r="BG12" s="225"/>
      <c r="BH12" s="225"/>
      <c r="BI12" s="225"/>
      <c r="BJ12" s="225"/>
      <c r="BK12" s="224"/>
      <c r="BL12" s="224"/>
      <c r="BM12" s="224"/>
      <c r="BN12" s="224"/>
      <c r="BO12" s="224"/>
      <c r="BP12" s="224"/>
      <c r="BQ12" s="224"/>
      <c r="BR12" s="224"/>
      <c r="BS12" s="224"/>
      <c r="BT12" s="224"/>
      <c r="BU12" s="224"/>
      <c r="BV12" s="224"/>
      <c r="BW12" s="224"/>
      <c r="BX12" s="224"/>
      <c r="BY12" s="224"/>
      <c r="BZ12" s="224"/>
      <c r="CA12" s="224"/>
      <c r="CB12" s="224"/>
      <c r="CC12" s="224"/>
      <c r="CD12" s="224"/>
      <c r="CE12" s="224"/>
      <c r="CF12" s="224"/>
      <c r="CG12" s="224"/>
      <c r="CH12" s="224"/>
      <c r="CI12" s="224"/>
      <c r="CJ12" s="224"/>
      <c r="CK12" s="224"/>
      <c r="CL12" s="225"/>
      <c r="CM12" s="225"/>
      <c r="CN12" s="225"/>
    </row>
    <row r="13" spans="1:92" hidden="1" x14ac:dyDescent="0.3">
      <c r="G13" s="5"/>
      <c r="H13" s="3"/>
    </row>
    <row r="14" spans="1:92" ht="12.75" customHeight="1" x14ac:dyDescent="0.3">
      <c r="A14" s="624" t="s">
        <v>215</v>
      </c>
      <c r="B14" s="624"/>
      <c r="C14" s="624"/>
      <c r="D14" s="624"/>
      <c r="E14" s="624"/>
      <c r="F14" s="620" t="s">
        <v>232</v>
      </c>
      <c r="G14" s="620"/>
      <c r="H14" s="3"/>
      <c r="I14" s="624" t="s">
        <v>489</v>
      </c>
      <c r="J14" s="624"/>
      <c r="Q14" s="624" t="s">
        <v>217</v>
      </c>
      <c r="R14" s="624"/>
      <c r="S14" s="624"/>
    </row>
    <row r="15" spans="1:92" x14ac:dyDescent="0.3">
      <c r="A15" s="624"/>
      <c r="B15" s="624"/>
      <c r="C15" s="624"/>
      <c r="D15" s="624"/>
      <c r="E15" s="624"/>
      <c r="F15" s="620"/>
      <c r="G15" s="620"/>
      <c r="H15" s="3"/>
      <c r="I15" s="624"/>
      <c r="J15" s="624"/>
      <c r="Q15" s="628" t="s">
        <v>490</v>
      </c>
      <c r="R15" s="622"/>
      <c r="S15" s="161" t="s">
        <v>171</v>
      </c>
      <c r="CC15" s="224"/>
      <c r="CD15" s="224"/>
      <c r="CE15" s="224"/>
      <c r="CF15" s="224"/>
      <c r="CG15" s="224"/>
      <c r="CH15" s="224"/>
      <c r="CI15" s="224"/>
      <c r="CJ15" s="224"/>
      <c r="CK15" s="224"/>
      <c r="CL15" s="225"/>
      <c r="CM15" s="225"/>
      <c r="CN15" s="225"/>
    </row>
    <row r="16" spans="1:92" x14ac:dyDescent="0.3">
      <c r="A16" s="622"/>
      <c r="B16" s="623"/>
      <c r="C16" s="623"/>
      <c r="D16" s="158"/>
      <c r="E16" s="157"/>
      <c r="F16" s="620"/>
      <c r="G16" s="620"/>
      <c r="H16" s="3"/>
      <c r="I16" s="377"/>
      <c r="J16" s="160"/>
      <c r="Q16" s="379"/>
      <c r="R16" s="170"/>
      <c r="S16" s="161" t="s">
        <v>171</v>
      </c>
    </row>
    <row r="17" spans="1:92" x14ac:dyDescent="0.3">
      <c r="A17" s="622" t="s">
        <v>487</v>
      </c>
      <c r="B17" s="623"/>
      <c r="C17" s="623"/>
      <c r="D17" s="158">
        <v>500</v>
      </c>
      <c r="E17" s="157" t="s">
        <v>175</v>
      </c>
      <c r="F17" s="621" t="str">
        <f>TEXT(CP-SUM($I$34:$I$183),"#,##0.0")&amp;" PCM"</f>
        <v>0.0 PCM</v>
      </c>
      <c r="G17" s="620"/>
      <c r="H17" s="3"/>
      <c r="I17" s="377" t="s">
        <v>488</v>
      </c>
      <c r="J17" s="160">
        <v>2</v>
      </c>
      <c r="Q17" s="379"/>
      <c r="R17" s="170"/>
      <c r="S17" s="161" t="s">
        <v>171</v>
      </c>
    </row>
    <row r="18" spans="1:92" x14ac:dyDescent="0.3">
      <c r="A18" s="622"/>
      <c r="B18" s="623"/>
      <c r="C18" s="623"/>
      <c r="D18" s="158"/>
      <c r="E18" s="157"/>
      <c r="F18" s="620"/>
      <c r="G18" s="620"/>
      <c r="H18" s="3"/>
      <c r="I18" s="377"/>
      <c r="J18" s="160"/>
      <c r="Q18" s="379"/>
      <c r="R18" s="170"/>
      <c r="S18" s="161" t="s">
        <v>171</v>
      </c>
      <c r="CC18" s="224"/>
      <c r="CD18" s="224"/>
      <c r="CE18" s="224"/>
      <c r="CF18" s="224"/>
      <c r="CG18" s="224"/>
      <c r="CH18" s="224"/>
      <c r="CI18" s="224"/>
      <c r="CJ18" s="224"/>
      <c r="CK18" s="224"/>
      <c r="CL18" s="225"/>
      <c r="CM18" s="225"/>
      <c r="CN18" s="225"/>
    </row>
    <row r="19" spans="1:92" x14ac:dyDescent="0.3">
      <c r="G19" s="5"/>
      <c r="H19" s="3"/>
    </row>
    <row r="20" spans="1:92" hidden="1" x14ac:dyDescent="0.3">
      <c r="G20" s="5"/>
      <c r="H20" s="3"/>
    </row>
    <row r="21" spans="1:92" hidden="1" x14ac:dyDescent="0.3">
      <c r="G21" s="5"/>
      <c r="H21" s="3"/>
    </row>
    <row r="22" spans="1:92" hidden="1" x14ac:dyDescent="0.3">
      <c r="G22" s="5"/>
      <c r="H22" s="3"/>
    </row>
    <row r="23" spans="1:92" hidden="1" x14ac:dyDescent="0.3"/>
    <row r="24" spans="1:92" hidden="1" x14ac:dyDescent="0.3">
      <c r="A24" s="103"/>
      <c r="B24" s="103"/>
      <c r="C24" s="120"/>
      <c r="H24" s="120"/>
      <c r="K24" s="120"/>
      <c r="M24" s="120"/>
      <c r="R24" s="122">
        <v>1</v>
      </c>
      <c r="S24" s="122"/>
    </row>
    <row r="25" spans="1:92" hidden="1" x14ac:dyDescent="0.3">
      <c r="A25" s="103"/>
      <c r="B25" s="103"/>
      <c r="C25" s="120"/>
      <c r="H25" s="123"/>
      <c r="K25" s="120"/>
      <c r="M25" s="120"/>
      <c r="R25" s="122">
        <v>2</v>
      </c>
      <c r="S25" s="122"/>
    </row>
    <row r="26" spans="1:92" hidden="1" x14ac:dyDescent="0.3">
      <c r="A26" s="103"/>
      <c r="B26" s="103"/>
      <c r="C26" s="120"/>
      <c r="H26" s="123"/>
      <c r="K26" s="120"/>
      <c r="M26" s="120"/>
      <c r="R26" s="122">
        <v>3</v>
      </c>
      <c r="S26" s="122"/>
    </row>
    <row r="27" spans="1:92" hidden="1" x14ac:dyDescent="0.3">
      <c r="A27" s="103"/>
      <c r="B27" s="103"/>
      <c r="C27" s="120"/>
      <c r="H27" s="123"/>
      <c r="K27" s="120"/>
      <c r="M27" s="120"/>
      <c r="R27" s="122">
        <v>4</v>
      </c>
      <c r="S27" s="122"/>
      <c r="T27" s="3" t="str">
        <f>IFERROR(IF(C34=1,(0.000000468)*Q34^2.0001,IF(C34=2,(0.000000275)*Q34^1.993,IF(C34=3,1,"---"))),"")</f>
        <v>---</v>
      </c>
    </row>
    <row r="28" spans="1:92" hidden="1" x14ac:dyDescent="0.3">
      <c r="A28" s="103"/>
      <c r="B28" s="103"/>
      <c r="C28" s="120"/>
      <c r="H28" s="123"/>
      <c r="K28" s="120"/>
      <c r="M28" s="120"/>
      <c r="R28" s="122" t="s">
        <v>176</v>
      </c>
      <c r="S28" s="122"/>
    </row>
    <row r="29" spans="1:92" hidden="1" x14ac:dyDescent="0.3">
      <c r="A29" s="103"/>
      <c r="B29" s="103" t="s">
        <v>171</v>
      </c>
      <c r="C29" s="120"/>
      <c r="E29" s="3">
        <v>1</v>
      </c>
      <c r="F29" s="3">
        <v>2</v>
      </c>
      <c r="G29" s="3">
        <v>6</v>
      </c>
      <c r="H29" s="123"/>
      <c r="K29" s="120"/>
      <c r="M29" s="120"/>
      <c r="R29" s="122" t="s">
        <v>177</v>
      </c>
      <c r="S29" s="122"/>
    </row>
    <row r="30" spans="1:92" ht="12.75" customHeight="1" x14ac:dyDescent="0.3">
      <c r="A30" s="626" t="s">
        <v>0</v>
      </c>
      <c r="B30" s="627" t="s">
        <v>185</v>
      </c>
      <c r="C30" s="378"/>
      <c r="D30" s="618" t="s">
        <v>184</v>
      </c>
      <c r="E30" s="625" t="s">
        <v>34</v>
      </c>
      <c r="F30" s="625" t="s">
        <v>3</v>
      </c>
      <c r="G30" s="617" t="s">
        <v>171</v>
      </c>
      <c r="H30" s="380"/>
      <c r="I30" s="618" t="s">
        <v>197</v>
      </c>
      <c r="J30" s="618" t="s">
        <v>172</v>
      </c>
      <c r="K30" s="618" t="s">
        <v>195</v>
      </c>
      <c r="L30" s="618" t="s">
        <v>482</v>
      </c>
      <c r="M30" s="618" t="s">
        <v>194</v>
      </c>
      <c r="N30" s="617" t="s">
        <v>173</v>
      </c>
      <c r="O30" s="617"/>
      <c r="P30" s="617"/>
      <c r="Q30" s="617" t="s">
        <v>174</v>
      </c>
      <c r="R30" s="618" t="s">
        <v>204</v>
      </c>
      <c r="S30" s="618" t="s">
        <v>196</v>
      </c>
      <c r="T30" s="619" t="s">
        <v>180</v>
      </c>
      <c r="BF30" s="646" t="s">
        <v>210</v>
      </c>
      <c r="BG30" s="646"/>
      <c r="BH30" s="646"/>
      <c r="BI30" s="646"/>
      <c r="BJ30" s="646"/>
      <c r="BK30" s="646"/>
      <c r="BL30" s="646"/>
    </row>
    <row r="31" spans="1:92" ht="12.75" customHeight="1" x14ac:dyDescent="0.3">
      <c r="A31" s="626"/>
      <c r="B31" s="627"/>
      <c r="C31" s="378"/>
      <c r="D31" s="618"/>
      <c r="E31" s="625"/>
      <c r="F31" s="625"/>
      <c r="G31" s="617"/>
      <c r="H31" s="380"/>
      <c r="I31" s="618"/>
      <c r="J31" s="618"/>
      <c r="K31" s="618"/>
      <c r="L31" s="618"/>
      <c r="M31" s="618"/>
      <c r="N31" s="617"/>
      <c r="O31" s="617"/>
      <c r="P31" s="617"/>
      <c r="Q31" s="617"/>
      <c r="R31" s="618"/>
      <c r="S31" s="618"/>
      <c r="T31" s="619"/>
      <c r="BI31" s="374">
        <v>550</v>
      </c>
      <c r="BJ31" s="374" t="s">
        <v>193</v>
      </c>
      <c r="BK31" s="3" t="s">
        <v>167</v>
      </c>
      <c r="BL31" s="3" t="s">
        <v>209</v>
      </c>
    </row>
    <row r="32" spans="1:92" ht="12.75" customHeight="1" x14ac:dyDescent="0.3">
      <c r="A32" s="626"/>
      <c r="B32" s="627"/>
      <c r="C32" s="378"/>
      <c r="D32" s="618"/>
      <c r="E32" s="625"/>
      <c r="F32" s="625"/>
      <c r="G32" s="617"/>
      <c r="H32" s="380"/>
      <c r="I32" s="618"/>
      <c r="J32" s="618"/>
      <c r="K32" s="618"/>
      <c r="L32" s="618"/>
      <c r="M32" s="618"/>
      <c r="N32" s="381" t="s">
        <v>198</v>
      </c>
      <c r="O32" s="167"/>
      <c r="P32" s="168" t="s">
        <v>199</v>
      </c>
      <c r="Q32" s="617"/>
      <c r="R32" s="618"/>
      <c r="S32" s="618"/>
      <c r="T32" s="619"/>
      <c r="W32" s="374"/>
      <c r="X32" s="374"/>
      <c r="Y32" s="374"/>
      <c r="Z32" s="374"/>
      <c r="AA32" s="374"/>
      <c r="AB32" s="374"/>
      <c r="AC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S32" s="374"/>
      <c r="AT32" s="374"/>
      <c r="AU32" s="374"/>
      <c r="AV32" s="374"/>
      <c r="AW32" s="374"/>
      <c r="AX32" s="374"/>
      <c r="AY32" s="186"/>
      <c r="AZ32" s="647" t="s">
        <v>221</v>
      </c>
      <c r="BA32" s="178" t="s">
        <v>208</v>
      </c>
      <c r="BB32" s="187"/>
      <c r="BD32" s="374"/>
      <c r="BE32" s="374"/>
      <c r="BK32" s="374"/>
      <c r="BL32" s="374"/>
      <c r="BM32" s="374"/>
      <c r="BO32" s="374"/>
      <c r="BP32" s="374"/>
      <c r="BQ32" s="374"/>
      <c r="BR32" s="648" t="s">
        <v>229</v>
      </c>
      <c r="BS32" s="645" t="s">
        <v>206</v>
      </c>
      <c r="BT32" s="645" t="s">
        <v>207</v>
      </c>
      <c r="BU32" s="178" t="s">
        <v>208</v>
      </c>
      <c r="BV32" s="187"/>
      <c r="BX32" s="648" t="s">
        <v>229</v>
      </c>
      <c r="BY32" s="645" t="s">
        <v>206</v>
      </c>
      <c r="BZ32" s="645" t="s">
        <v>207</v>
      </c>
      <c r="CA32" s="178" t="s">
        <v>208</v>
      </c>
      <c r="CB32" s="187"/>
    </row>
    <row r="33" spans="1:140" x14ac:dyDescent="0.3">
      <c r="A33" s="626"/>
      <c r="B33" s="627"/>
      <c r="C33" s="164" t="s">
        <v>189</v>
      </c>
      <c r="D33" s="618"/>
      <c r="E33" s="625"/>
      <c r="F33" s="625"/>
      <c r="G33" s="380" t="s">
        <v>42</v>
      </c>
      <c r="H33" s="165" t="s">
        <v>183</v>
      </c>
      <c r="I33" s="380" t="s">
        <v>42</v>
      </c>
      <c r="J33" s="618"/>
      <c r="K33" s="618"/>
      <c r="L33" s="618"/>
      <c r="M33" s="618"/>
      <c r="N33" s="381" t="s">
        <v>181</v>
      </c>
      <c r="O33" s="167" t="s">
        <v>182</v>
      </c>
      <c r="P33" s="168" t="s">
        <v>181</v>
      </c>
      <c r="Q33" s="380" t="s">
        <v>175</v>
      </c>
      <c r="R33" s="618"/>
      <c r="S33" s="618"/>
      <c r="T33" s="381" t="s">
        <v>15</v>
      </c>
      <c r="AY33" s="187"/>
      <c r="AZ33" s="647"/>
      <c r="BA33" s="178">
        <f>SUM(BA34:BA63)</f>
        <v>0</v>
      </c>
      <c r="BB33" s="187"/>
      <c r="BC33" s="3" t="s">
        <v>198</v>
      </c>
      <c r="BD33" s="3" t="s">
        <v>199</v>
      </c>
      <c r="BF33" s="374" t="s">
        <v>198</v>
      </c>
      <c r="BG33" s="374" t="s">
        <v>199</v>
      </c>
      <c r="BH33" s="374" t="s">
        <v>200</v>
      </c>
      <c r="BI33" s="374" t="s">
        <v>205</v>
      </c>
      <c r="BK33" s="3">
        <v>605</v>
      </c>
      <c r="BL33" s="3">
        <f t="array" ref="BL33:BL115">FREQUENCY($BE$34:$BE$183,$BK$33:$BK$114)</f>
        <v>150</v>
      </c>
      <c r="BR33" s="649"/>
      <c r="BS33" s="645"/>
      <c r="BT33" s="645"/>
      <c r="BU33" s="179">
        <f>SUM(BU34:BU63,CA34:CA48)</f>
        <v>0</v>
      </c>
      <c r="BV33" s="187"/>
      <c r="BX33" s="649"/>
      <c r="BY33" s="645"/>
      <c r="BZ33" s="645"/>
      <c r="CA33" s="179">
        <f>SUM(BU34:BU63,CA34:CA48)</f>
        <v>0</v>
      </c>
      <c r="CB33" s="187"/>
      <c r="CC33" s="650" t="s">
        <v>167</v>
      </c>
      <c r="CD33" s="650" t="s">
        <v>189</v>
      </c>
      <c r="CE33" s="652" t="s">
        <v>34</v>
      </c>
      <c r="CF33" s="385" t="s">
        <v>230</v>
      </c>
      <c r="CG33" s="650" t="s">
        <v>173</v>
      </c>
      <c r="CH33" s="650"/>
      <c r="CI33" s="650"/>
      <c r="CJ33" s="384" t="s">
        <v>174</v>
      </c>
      <c r="CK33" s="654" t="s">
        <v>231</v>
      </c>
      <c r="CL33" s="650" t="s">
        <v>196</v>
      </c>
      <c r="CM33" s="382" t="s">
        <v>180</v>
      </c>
      <c r="CN33" s="382"/>
      <c r="CO33" s="650" t="s">
        <v>167</v>
      </c>
      <c r="CP33" s="650" t="s">
        <v>189</v>
      </c>
      <c r="CQ33" s="652" t="s">
        <v>34</v>
      </c>
      <c r="CR33" s="385" t="s">
        <v>230</v>
      </c>
      <c r="CS33" s="650" t="s">
        <v>173</v>
      </c>
      <c r="CT33" s="650"/>
      <c r="CU33" s="650"/>
      <c r="CV33" s="384" t="s">
        <v>174</v>
      </c>
      <c r="CW33" s="654" t="s">
        <v>231</v>
      </c>
      <c r="CX33" s="650" t="s">
        <v>196</v>
      </c>
      <c r="CY33" s="382" t="s">
        <v>180</v>
      </c>
      <c r="CZ33" s="382"/>
      <c r="DA33" s="650" t="s">
        <v>167</v>
      </c>
      <c r="DB33" s="650" t="s">
        <v>189</v>
      </c>
      <c r="DC33" s="652" t="s">
        <v>34</v>
      </c>
      <c r="DD33" s="385" t="s">
        <v>230</v>
      </c>
      <c r="DE33" s="650" t="s">
        <v>173</v>
      </c>
      <c r="DF33" s="650"/>
      <c r="DG33" s="650"/>
      <c r="DH33" s="384" t="s">
        <v>174</v>
      </c>
      <c r="DI33" s="654" t="s">
        <v>231</v>
      </c>
      <c r="DJ33" s="650" t="s">
        <v>196</v>
      </c>
      <c r="DK33" s="382" t="s">
        <v>180</v>
      </c>
      <c r="DL33" s="382"/>
      <c r="DM33" s="650" t="s">
        <v>167</v>
      </c>
      <c r="DN33" s="650" t="s">
        <v>189</v>
      </c>
      <c r="DO33" s="652" t="s">
        <v>34</v>
      </c>
      <c r="DP33" s="385" t="s">
        <v>230</v>
      </c>
      <c r="DQ33" s="650" t="s">
        <v>173</v>
      </c>
      <c r="DR33" s="650"/>
      <c r="DS33" s="650"/>
      <c r="DT33" s="384" t="s">
        <v>174</v>
      </c>
      <c r="DU33" s="654" t="s">
        <v>231</v>
      </c>
      <c r="DV33" s="650" t="s">
        <v>196</v>
      </c>
      <c r="DW33" s="382" t="s">
        <v>180</v>
      </c>
      <c r="DX33" s="382"/>
      <c r="DY33" s="650" t="s">
        <v>167</v>
      </c>
      <c r="DZ33" s="650" t="s">
        <v>189</v>
      </c>
      <c r="EA33" s="652" t="s">
        <v>34</v>
      </c>
      <c r="EB33" s="385" t="s">
        <v>230</v>
      </c>
      <c r="EC33" s="650" t="s">
        <v>173</v>
      </c>
      <c r="ED33" s="650"/>
      <c r="EE33" s="650"/>
      <c r="EF33" s="384" t="s">
        <v>174</v>
      </c>
      <c r="EG33" s="654" t="s">
        <v>231</v>
      </c>
      <c r="EH33" s="650" t="s">
        <v>196</v>
      </c>
      <c r="EI33" s="382" t="s">
        <v>180</v>
      </c>
      <c r="EJ33" s="226"/>
    </row>
    <row r="34" spans="1:140" x14ac:dyDescent="0.3">
      <c r="A34" s="375">
        <v>1</v>
      </c>
      <c r="B34" s="260"/>
      <c r="C34" s="261">
        <f>IF(B34="DI",1,IF(B34="CP",2,IF(B34="FT",3,4)))</f>
        <v>4</v>
      </c>
      <c r="D34" s="371"/>
      <c r="E34" s="262"/>
      <c r="F34" s="261" t="str">
        <f t="shared" ref="F34:G53" si="0">IFERROR(VLOOKUP($E34,DMFA,F$29,FALSE),"")</f>
        <v/>
      </c>
      <c r="G34" s="263" t="str">
        <f t="shared" si="0"/>
        <v/>
      </c>
      <c r="H34" s="264" t="str">
        <f t="shared" ref="H34:H97" si="1">IF(COUNTIF($E$34:$E$183,E34)=0,"",COUNTIF($E$34:$E$183,E34))</f>
        <v/>
      </c>
      <c r="I34" s="265" t="str">
        <f t="shared" ref="I34:I98" si="2">IF(OR(G34="",H34=""),"",G34/H34)</f>
        <v/>
      </c>
      <c r="J34" s="264" t="str">
        <f t="shared" ref="J34:J97" si="3">IF(I34="","",TEXT(I34/G34,"0.0 %"))</f>
        <v/>
      </c>
      <c r="K34" s="264">
        <f t="shared" ref="K34:K97" si="4">IF(C34=1,$J$16,IF(C34=2,$J$17,IF(C34=3,$J$18,0)))</f>
        <v>0</v>
      </c>
      <c r="L34" s="266"/>
      <c r="M34" s="267">
        <f>IF(OR(L34=0,C34=1,C34=4),1,L34)</f>
        <v>1</v>
      </c>
      <c r="N34" s="296" t="str">
        <f>IFERROR(IF(I34="","",IF(SQRT((I34*M34)/IF(C34=1,$D$16,IF(C34=2,$D$17,IF(C34=3,$D$18,0))))*12&lt;9,9,IF(CEILING(SQRT((I34*M34)/IF(C34=1,$D$16,IF(C34=2,$D$17,IF(C34=3,$D$18,0))))*12,K34)&gt;48,"+",CEILING(SQRT((I34*M34)/IF(C34=1,$D$16,IF(C34=2,$D$17,IF(C34=3,$D$18,0))))*12,K34)))),"---")</f>
        <v/>
      </c>
      <c r="O34" s="297" t="str">
        <f t="shared" ref="O34:O97" si="5">IF(I34="","","×")</f>
        <v/>
      </c>
      <c r="P34" s="298" t="str">
        <f>IFERROR(IF(I34="","",IF((1/M34)*SQRT((I34*M34)/IF(C34=1,$D$16,IF(C34=2,$D$17,IF(C34=3,$D$18,0))))*12&lt;9,9,IF(CEILING((1/M34)*SQRT((I34*M34)/IF(C34=1,$D$16,IF(C34=2,$D$17,IF(C34=3,$D$18,0))))*12,K34)&gt;48,"+",CEILING((1/M34)*SQRT((I34*M34)/IF(C34=1,$D$16,IF(C34=2,$D$17,IF(C34=3,$D$18,0))))*12,K34)))),"---")</f>
        <v/>
      </c>
      <c r="Q34" s="268" t="str">
        <f t="shared" ref="Q34:Q97" si="6">IF(I34="","",IF(N34="---","---",I34/((N34/12)*(P34/12))))</f>
        <v/>
      </c>
      <c r="R34" s="269"/>
      <c r="S34" s="270" t="str">
        <f>IF(C34=1,$S$15,IF(C34=2,IF(N34&gt;=P34,"RR","RR"),IF(C34=3,IF(OR(N34=12,P34=12),$S$16,IF(AND(N34=24,P34=24),$S$17,IF(OR(AND(N34=24,P34=48),AND(N34=48,P34=24)),$S$18,IF(I34="","","N/A")))),"")))</f>
        <v/>
      </c>
      <c r="T34" s="271" t="str">
        <f>IFERROR(IF(C34=1,(0.000000468)*Q34^2.0001,IF(C34=2,(0.000000275)*Q34^1.993,IF(C34=3,1,IF(AND(I34&lt;&gt;"",C34=4),"---","")))),"")</f>
        <v/>
      </c>
      <c r="V34" s="3">
        <f t="shared" ref="V34:V97" si="7">IFERROR(VALUE(TEXT(C34,"00")&amp;TEXT(N34,"00")&amp;TEXT(P34,"00")&amp;IF(R34="Plato perforado",5,IF(OR(R34="N/A",R34=""),0,R34))),"")</f>
        <v>40</v>
      </c>
      <c r="W34" s="3">
        <v>6</v>
      </c>
      <c r="X34" s="3">
        <v>6</v>
      </c>
      <c r="Y34" s="3">
        <v>1</v>
      </c>
      <c r="AY34" s="187"/>
      <c r="AZ34" s="177" t="str">
        <f>"Difusores de "&amp;W34&amp;""""&amp;" × "&amp;X34&amp;""""&amp;" de "&amp;Y34&amp;" vía:"</f>
        <v>Difusores de 6" × 6" de 1 vía:</v>
      </c>
      <c r="BA34" s="242">
        <f>COUNTIF($V$34:$V$183,VALUE(1&amp;TEXT(W34,"00")&amp;TEXT(X34,"00")&amp;IF(Y34="plato perforado:",5,IF(Y34=", número de vías por definir:",0,Y34))))</f>
        <v>0</v>
      </c>
      <c r="BB34" s="187"/>
      <c r="BC34" s="103">
        <f>IF(C34=2,N34,0)</f>
        <v>0</v>
      </c>
      <c r="BD34" s="103">
        <f>IF(C34=2,P34,0)</f>
        <v>0</v>
      </c>
      <c r="BE34" s="103">
        <f t="shared" ref="BE34:BE97" si="8">VALUE(TEXT(BC34,"00")&amp;TEXT(BD34,"00"))</f>
        <v>0</v>
      </c>
      <c r="BF34" s="181">
        <v>6</v>
      </c>
      <c r="BG34" s="181">
        <v>6</v>
      </c>
      <c r="BH34" s="184">
        <f>(BF34/12)*(BG34/12)</f>
        <v>0.25</v>
      </c>
      <c r="BI34" s="185">
        <f t="shared" ref="BI34:BI97" si="9">BH34*$BI$31</f>
        <v>137.5</v>
      </c>
      <c r="BJ34" s="185">
        <f t="shared" ref="BJ34:BJ97" si="10">BF34/BG34</f>
        <v>1</v>
      </c>
      <c r="BK34" s="103">
        <f>VALUE(TEXT(BF34,"00")&amp;TEXT(BG34,"00"))</f>
        <v>606</v>
      </c>
      <c r="BL34" s="103">
        <v>0</v>
      </c>
      <c r="BM34" s="103">
        <v>6</v>
      </c>
      <c r="BN34" s="103">
        <v>6</v>
      </c>
      <c r="BO34" s="103">
        <v>6</v>
      </c>
      <c r="BP34" s="103">
        <f>VALUE(TEXT(BM34,"00")&amp;TEXT(BN34,"00"))</f>
        <v>606</v>
      </c>
      <c r="BQ34" s="103">
        <f>VALUE(TEXT(BN34,"00")&amp;TEXT(BO34,"00"))</f>
        <v>606</v>
      </c>
      <c r="BR34" s="246" t="str">
        <f>"Rejillas de "&amp;BM34&amp;""""&amp;" × "&amp;BN34&amp;""""&amp;":"</f>
        <v>Rejillas de 6" × 6":</v>
      </c>
      <c r="BS34" s="247">
        <f t="shared" ref="BS34:BS63" si="11">COUNTIF($BE$34:$BE$183,BQ34)</f>
        <v>0</v>
      </c>
      <c r="BT34" s="247">
        <f t="shared" ref="BT34:BT63" si="12">COUNTIF($BE$34:$BE$183,BP34)</f>
        <v>0</v>
      </c>
      <c r="BU34" s="247">
        <f>SUM(BS34:BT34)</f>
        <v>0</v>
      </c>
      <c r="BV34" s="187"/>
      <c r="BW34" s="103">
        <f>IF(C34=3,S34,0)</f>
        <v>0</v>
      </c>
      <c r="BX34" s="246" t="str">
        <f t="shared" ref="BX34:BX48" si="13">"Rejillas de "&amp;BM64&amp;""""&amp;" × "&amp;BN64&amp;""""&amp;":"</f>
        <v>Rejillas de 14" × 16":</v>
      </c>
      <c r="BY34" s="247">
        <f t="shared" ref="BY34:BY48" si="14">COUNTIF($BE$34:$BE$183,BQ64)</f>
        <v>0</v>
      </c>
      <c r="BZ34" s="247">
        <f t="shared" ref="BZ34:BZ48" si="15">COUNTIF($BE$34:$BE$183,BP64)</f>
        <v>0</v>
      </c>
      <c r="CA34" s="247">
        <f t="shared" ref="CA34:CA48" si="16">SUM(BY34:BZ34)</f>
        <v>0</v>
      </c>
      <c r="CB34" s="187"/>
      <c r="CC34" s="651"/>
      <c r="CD34" s="651"/>
      <c r="CE34" s="653"/>
      <c r="CF34" s="383" t="s">
        <v>42</v>
      </c>
      <c r="CG34" s="190" t="s">
        <v>181</v>
      </c>
      <c r="CH34" s="191"/>
      <c r="CI34" s="192" t="s">
        <v>181</v>
      </c>
      <c r="CJ34" s="383" t="s">
        <v>175</v>
      </c>
      <c r="CK34" s="655"/>
      <c r="CL34" s="651"/>
      <c r="CM34" s="383" t="s">
        <v>15</v>
      </c>
      <c r="CN34" s="383"/>
      <c r="CO34" s="651"/>
      <c r="CP34" s="651"/>
      <c r="CQ34" s="653"/>
      <c r="CR34" s="383" t="s">
        <v>42</v>
      </c>
      <c r="CS34" s="190" t="s">
        <v>181</v>
      </c>
      <c r="CT34" s="191"/>
      <c r="CU34" s="192" t="s">
        <v>181</v>
      </c>
      <c r="CV34" s="383" t="s">
        <v>175</v>
      </c>
      <c r="CW34" s="655"/>
      <c r="CX34" s="651"/>
      <c r="CY34" s="383" t="s">
        <v>15</v>
      </c>
      <c r="CZ34" s="383"/>
      <c r="DA34" s="651"/>
      <c r="DB34" s="651"/>
      <c r="DC34" s="653"/>
      <c r="DD34" s="383" t="s">
        <v>42</v>
      </c>
      <c r="DE34" s="190" t="s">
        <v>181</v>
      </c>
      <c r="DF34" s="191"/>
      <c r="DG34" s="192" t="s">
        <v>181</v>
      </c>
      <c r="DH34" s="383" t="s">
        <v>175</v>
      </c>
      <c r="DI34" s="655"/>
      <c r="DJ34" s="651"/>
      <c r="DK34" s="383" t="s">
        <v>15</v>
      </c>
      <c r="DL34" s="383"/>
      <c r="DM34" s="651"/>
      <c r="DN34" s="651"/>
      <c r="DO34" s="653"/>
      <c r="DP34" s="383" t="s">
        <v>42</v>
      </c>
      <c r="DQ34" s="190" t="s">
        <v>181</v>
      </c>
      <c r="DR34" s="191"/>
      <c r="DS34" s="192" t="s">
        <v>181</v>
      </c>
      <c r="DT34" s="383" t="s">
        <v>175</v>
      </c>
      <c r="DU34" s="655"/>
      <c r="DV34" s="651"/>
      <c r="DW34" s="383" t="s">
        <v>15</v>
      </c>
      <c r="DX34" s="383"/>
      <c r="DY34" s="651"/>
      <c r="DZ34" s="651"/>
      <c r="EA34" s="653"/>
      <c r="EB34" s="383" t="s">
        <v>42</v>
      </c>
      <c r="EC34" s="190" t="s">
        <v>181</v>
      </c>
      <c r="ED34" s="191"/>
      <c r="EE34" s="192" t="s">
        <v>181</v>
      </c>
      <c r="EF34" s="383" t="s">
        <v>175</v>
      </c>
      <c r="EG34" s="655"/>
      <c r="EH34" s="651"/>
      <c r="EI34" s="383" t="s">
        <v>15</v>
      </c>
      <c r="EJ34" s="227"/>
    </row>
    <row r="35" spans="1:140" x14ac:dyDescent="0.3">
      <c r="A35" s="375">
        <v>2</v>
      </c>
      <c r="B35" s="272"/>
      <c r="C35" s="261">
        <f t="shared" ref="C35:C98" si="17">IF(B35="DI",1,IF(B35="CP",2,IF(B35="FT",3,4)))</f>
        <v>4</v>
      </c>
      <c r="D35" s="372"/>
      <c r="E35" s="274"/>
      <c r="F35" s="273" t="str">
        <f t="shared" si="0"/>
        <v/>
      </c>
      <c r="G35" s="275" t="str">
        <f t="shared" si="0"/>
        <v/>
      </c>
      <c r="H35" s="276" t="str">
        <f>IF(COUNTIF($E$34:$E$183,E35)=0,"",COUNTIF($E$34:$E$183,E35))</f>
        <v/>
      </c>
      <c r="I35" s="277" t="str">
        <f t="shared" si="2"/>
        <v/>
      </c>
      <c r="J35" s="276" t="str">
        <f t="shared" si="3"/>
        <v/>
      </c>
      <c r="K35" s="276">
        <f t="shared" si="4"/>
        <v>0</v>
      </c>
      <c r="L35" s="278"/>
      <c r="M35" s="279">
        <f t="shared" ref="M35:M98" si="18">IF(OR(L35=0,C35=1,C35=4),1,L35)</f>
        <v>1</v>
      </c>
      <c r="N35" s="299" t="str">
        <f t="shared" ref="N35:N98" si="19">IFERROR(IF(I35="","",IF(SQRT((I35*M35)/IF(C35=1,$D$16,IF(C35=2,$D$17,IF(C35=3,$D$18,0))))*12&lt;9,9,IF(CEILING(SQRT((I35*M35)/IF(C35=1,$D$16,IF(C35=2,$D$17,IF(C35=3,$D$18,0))))*12,K35)&gt;48,"+",CEILING(SQRT((I35*M35)/IF(C35=1,$D$16,IF(C35=2,$D$17,IF(C35=3,$D$18,0))))*12,K35)))),"---")</f>
        <v/>
      </c>
      <c r="O35" s="117" t="str">
        <f t="shared" si="5"/>
        <v/>
      </c>
      <c r="P35" s="300" t="str">
        <f t="shared" ref="P35:P98" si="20">IFERROR(IF(I35="","",IF((1/M35)*SQRT((I35*M35)/IF(C35=1,$D$16,IF(C35=2,$D$17,IF(C35=3,$D$18,0))))*12&lt;9,9,IF(CEILING((1/M35)*SQRT((I35*M35)/IF(C35=1,$D$16,IF(C35=2,$D$17,IF(C35=3,$D$18,0))))*12,K35)&gt;48,"+",CEILING((1/M35)*SQRT((I35*M35)/IF(C35=1,$D$16,IF(C35=2,$D$17,IF(C35=3,$D$18,0))))*12,K35)))),"---")</f>
        <v/>
      </c>
      <c r="Q35" s="280" t="str">
        <f t="shared" si="6"/>
        <v/>
      </c>
      <c r="R35" s="281"/>
      <c r="S35" s="282" t="str">
        <f t="shared" ref="S35:S98" si="21">IF(C35=1,$S$15,IF(C35=2,IF(N35&gt;=P35,"RR","RR"),IF(C35=3,IF(OR(N35=12,P35=12),$S$16,IF(AND(N35=24,P35=24),$S$17,IF(OR(AND(N35=24,P35=48),AND(N35=48,P35=24)),$S$18,IF(I35="","","N/A")))),"")))</f>
        <v/>
      </c>
      <c r="T35" s="283" t="str">
        <f t="shared" ref="T35:T98" si="22">IFERROR(IF(C35=1,(0.000000468)*Q35^2.0001,IF(C35=2,(0.000000275)*Q35^1.993,IF(C35=3,1,IF(AND(I35&lt;&gt;"",C35=4),"---","")))),"")</f>
        <v/>
      </c>
      <c r="V35" s="3">
        <f t="shared" si="7"/>
        <v>40</v>
      </c>
      <c r="W35" s="3">
        <v>6</v>
      </c>
      <c r="X35" s="3">
        <v>6</v>
      </c>
      <c r="Y35" s="3">
        <v>2</v>
      </c>
      <c r="AY35" s="187"/>
      <c r="AZ35" s="175" t="str">
        <f>"Difusores de "&amp;W35&amp;""""&amp;" × "&amp;X35&amp;""""&amp;" de "&amp;Y35&amp;" vías:"</f>
        <v>Difusores de 6" × 6" de 2 vías:</v>
      </c>
      <c r="BA35" s="174">
        <f t="shared" ref="BA35:BA63" si="23">COUNTIF($V$34:$V$183,VALUE(1&amp;TEXT(W35,"00")&amp;TEXT(X35,"00")&amp;IF(Y35="plato perforado:",5,IF(Y35=", número de vías por definir:",0,Y35))))</f>
        <v>0</v>
      </c>
      <c r="BB35" s="187"/>
      <c r="BC35" s="103">
        <f t="shared" ref="BC35:BC98" si="24">IF(C35=2,N35,0)</f>
        <v>0</v>
      </c>
      <c r="BD35" s="103">
        <f t="shared" ref="BD35:BD98" si="25">IF(C35=2,P35,0)</f>
        <v>0</v>
      </c>
      <c r="BE35" s="103">
        <f t="shared" si="8"/>
        <v>0</v>
      </c>
      <c r="BF35" s="181">
        <v>6</v>
      </c>
      <c r="BG35" s="181">
        <v>8</v>
      </c>
      <c r="BH35" s="184">
        <f t="shared" ref="BH35:BH98" si="26">(BF35/12)*(BG35/12)</f>
        <v>0.33333333333333331</v>
      </c>
      <c r="BI35" s="185">
        <f t="shared" si="9"/>
        <v>183.33333333333331</v>
      </c>
      <c r="BJ35" s="185">
        <f t="shared" si="10"/>
        <v>0.75</v>
      </c>
      <c r="BK35" s="103">
        <f t="shared" ref="BK35:BK98" si="27">VALUE(TEXT(BF35,"00")&amp;TEXT(BG35,"00"))</f>
        <v>608</v>
      </c>
      <c r="BL35" s="103">
        <v>0</v>
      </c>
      <c r="BM35" s="103">
        <v>6</v>
      </c>
      <c r="BN35" s="103">
        <v>8</v>
      </c>
      <c r="BO35" s="103">
        <v>6</v>
      </c>
      <c r="BP35" s="103">
        <f t="shared" ref="BP35:BQ78" si="28">VALUE(TEXT(BM35,"00")&amp;TEXT(BN35,"00"))</f>
        <v>608</v>
      </c>
      <c r="BQ35" s="103">
        <f t="shared" si="28"/>
        <v>806</v>
      </c>
      <c r="BR35" s="173" t="str">
        <f t="shared" ref="BR35:BR63" si="29">"Rejillas de "&amp;BM35&amp;""""&amp;" × "&amp;BN35&amp;""""&amp;":"</f>
        <v>Rejillas de 6" × 8":</v>
      </c>
      <c r="BS35" s="180">
        <f t="shared" si="11"/>
        <v>0</v>
      </c>
      <c r="BT35" s="180">
        <f t="shared" si="12"/>
        <v>0</v>
      </c>
      <c r="BU35" s="180">
        <f t="shared" ref="BU35:BU63" si="30">SUM(BS35:BT35)</f>
        <v>0</v>
      </c>
      <c r="BV35" s="187"/>
      <c r="BW35" s="103">
        <f>IF(C35=3,S35,0)</f>
        <v>0</v>
      </c>
      <c r="BX35" s="173" t="str">
        <f t="shared" si="13"/>
        <v>Rejillas de 14" × 18":</v>
      </c>
      <c r="BY35" s="180">
        <f t="shared" si="14"/>
        <v>0</v>
      </c>
      <c r="BZ35" s="180">
        <f t="shared" si="15"/>
        <v>0</v>
      </c>
      <c r="CA35" s="180">
        <f t="shared" si="16"/>
        <v>0</v>
      </c>
      <c r="CB35" s="187"/>
      <c r="CC35" s="221" t="str">
        <f t="shared" ref="CC35:CC64" si="31">IF(D34="","",D34)</f>
        <v/>
      </c>
      <c r="CD35" s="220" t="str">
        <f>IF(B34="","",B34)</f>
        <v/>
      </c>
      <c r="CE35" s="193" t="str">
        <f t="shared" ref="CE35:CE64" si="32">F34</f>
        <v/>
      </c>
      <c r="CF35" s="132" t="str">
        <f t="shared" ref="CF35:CF64" si="33">I34</f>
        <v/>
      </c>
      <c r="CG35" s="208" t="str">
        <f t="shared" ref="CG35:CJ64" si="34">N34</f>
        <v/>
      </c>
      <c r="CH35" s="209" t="str">
        <f t="shared" si="34"/>
        <v/>
      </c>
      <c r="CI35" s="210" t="str">
        <f t="shared" si="34"/>
        <v/>
      </c>
      <c r="CJ35" s="132" t="str">
        <f t="shared" si="34"/>
        <v/>
      </c>
      <c r="CK35" s="194" t="str">
        <f t="shared" ref="CK35:CK64" si="35">IF(R34="Plato perforado","PP",IF(OR(R34=0,R34=""),"",R34))</f>
        <v/>
      </c>
      <c r="CL35" s="195" t="str">
        <f t="shared" ref="CL35:CM64" si="36">S34</f>
        <v/>
      </c>
      <c r="CM35" s="196" t="str">
        <f t="shared" si="36"/>
        <v/>
      </c>
      <c r="CN35" s="197"/>
      <c r="CO35" s="221" t="str">
        <f t="shared" ref="CO35:CO64" si="37">IF(D64="","",D64)</f>
        <v/>
      </c>
      <c r="CP35" s="194" t="str">
        <f>IF(B64="","",B64)</f>
        <v/>
      </c>
      <c r="CQ35" s="193" t="str">
        <f t="shared" ref="CQ35:CQ64" si="38">F64</f>
        <v/>
      </c>
      <c r="CR35" s="132" t="str">
        <f t="shared" ref="CR35:CR64" si="39">I64</f>
        <v/>
      </c>
      <c r="CS35" s="208" t="str">
        <f t="shared" ref="CS35:CV64" si="40">N64</f>
        <v/>
      </c>
      <c r="CT35" s="209" t="str">
        <f t="shared" si="40"/>
        <v/>
      </c>
      <c r="CU35" s="210" t="str">
        <f t="shared" si="40"/>
        <v/>
      </c>
      <c r="CV35" s="132" t="str">
        <f t="shared" si="40"/>
        <v/>
      </c>
      <c r="CW35" s="194" t="str">
        <f t="shared" ref="CW35:CW64" si="41">IF(R64="Plato perforado","PP",IF(OR(R64=0,R64=""),"",R64))</f>
        <v/>
      </c>
      <c r="CX35" s="195" t="str">
        <f t="shared" ref="CX35:CY64" si="42">S64</f>
        <v/>
      </c>
      <c r="CY35" s="196" t="str">
        <f t="shared" si="42"/>
        <v/>
      </c>
      <c r="CZ35" s="197"/>
      <c r="DA35" s="221" t="str">
        <f t="shared" ref="DA35:DA64" si="43">IF(D94="","",D94)</f>
        <v/>
      </c>
      <c r="DB35" s="194" t="str">
        <f>IF(B94="","",B94)</f>
        <v/>
      </c>
      <c r="DC35" s="193" t="str">
        <f t="shared" ref="DC35:DC64" si="44">F94</f>
        <v/>
      </c>
      <c r="DD35" s="132" t="str">
        <f t="shared" ref="DD35:DD64" si="45">I94</f>
        <v/>
      </c>
      <c r="DE35" s="208" t="str">
        <f t="shared" ref="DE35:DH64" si="46">N94</f>
        <v/>
      </c>
      <c r="DF35" s="209" t="str">
        <f t="shared" si="46"/>
        <v/>
      </c>
      <c r="DG35" s="210" t="str">
        <f t="shared" si="46"/>
        <v/>
      </c>
      <c r="DH35" s="132" t="str">
        <f t="shared" si="46"/>
        <v/>
      </c>
      <c r="DI35" s="194" t="str">
        <f t="shared" ref="DI35:DI64" si="47">IF(R94="Plato perforado","PP",IF(OR(R94=0,R94=""),"",R94))</f>
        <v/>
      </c>
      <c r="DJ35" s="195" t="str">
        <f t="shared" ref="DJ35:DK64" si="48">S94</f>
        <v/>
      </c>
      <c r="DK35" s="196" t="str">
        <f t="shared" si="48"/>
        <v/>
      </c>
      <c r="DL35" s="197"/>
      <c r="DM35" s="221" t="str">
        <f t="shared" ref="DM35:DM64" si="49">IF(D124="","",D124)</f>
        <v/>
      </c>
      <c r="DN35" s="194" t="str">
        <f>IF(B124="","",B124)</f>
        <v/>
      </c>
      <c r="DO35" s="193" t="str">
        <f t="shared" ref="DO35:DO64" si="50">F124</f>
        <v/>
      </c>
      <c r="DP35" s="132" t="str">
        <f t="shared" ref="DP35:DP64" si="51">I124</f>
        <v/>
      </c>
      <c r="DQ35" s="208" t="str">
        <f t="shared" ref="DQ35:DT64" si="52">N124</f>
        <v/>
      </c>
      <c r="DR35" s="209" t="str">
        <f t="shared" si="52"/>
        <v/>
      </c>
      <c r="DS35" s="210" t="str">
        <f t="shared" si="52"/>
        <v/>
      </c>
      <c r="DT35" s="132" t="str">
        <f t="shared" si="52"/>
        <v/>
      </c>
      <c r="DU35" s="194" t="str">
        <f t="shared" ref="DU35:DU64" si="53">IF(R124="Plato perforado","PP",IF(OR(R124=0,R124=""),"",R124))</f>
        <v/>
      </c>
      <c r="DV35" s="195" t="str">
        <f t="shared" ref="DV35:DW64" si="54">S124</f>
        <v/>
      </c>
      <c r="DW35" s="196" t="str">
        <f t="shared" si="54"/>
        <v/>
      </c>
      <c r="DX35" s="197"/>
      <c r="DY35" s="221" t="str">
        <f t="shared" ref="DY35:DY64" si="55">IF(D154="","",D154)</f>
        <v/>
      </c>
      <c r="DZ35" s="194" t="str">
        <f>IF(B154="","",B154)</f>
        <v/>
      </c>
      <c r="EA35" s="193" t="str">
        <f t="shared" ref="EA35:EA64" si="56">F154</f>
        <v/>
      </c>
      <c r="EB35" s="132" t="str">
        <f t="shared" ref="EB35:EB64" si="57">I154</f>
        <v/>
      </c>
      <c r="EC35" s="208" t="str">
        <f t="shared" ref="EC35:EF64" si="58">N154</f>
        <v/>
      </c>
      <c r="ED35" s="209" t="str">
        <f t="shared" si="58"/>
        <v/>
      </c>
      <c r="EE35" s="210" t="str">
        <f t="shared" si="58"/>
        <v/>
      </c>
      <c r="EF35" s="132" t="str">
        <f t="shared" si="58"/>
        <v/>
      </c>
      <c r="EG35" s="194" t="str">
        <f t="shared" ref="EG35:EG64" si="59">IF(R154="Plato perforado","PP",IF(OR(R154=0,R154=""),"",R154))</f>
        <v/>
      </c>
      <c r="EH35" s="195" t="str">
        <f t="shared" ref="EH35:EI64" si="60">S154</f>
        <v/>
      </c>
      <c r="EI35" s="196" t="str">
        <f t="shared" si="60"/>
        <v/>
      </c>
      <c r="EJ35" s="228"/>
    </row>
    <row r="36" spans="1:140" x14ac:dyDescent="0.3">
      <c r="A36" s="375">
        <v>3</v>
      </c>
      <c r="B36" s="284"/>
      <c r="C36" s="261">
        <f t="shared" si="17"/>
        <v>4</v>
      </c>
      <c r="D36" s="373"/>
      <c r="E36" s="286"/>
      <c r="F36" s="285" t="str">
        <f t="shared" si="0"/>
        <v/>
      </c>
      <c r="G36" s="287" t="str">
        <f t="shared" si="0"/>
        <v/>
      </c>
      <c r="H36" s="288" t="str">
        <f t="shared" si="1"/>
        <v/>
      </c>
      <c r="I36" s="289" t="str">
        <f t="shared" si="2"/>
        <v/>
      </c>
      <c r="J36" s="288" t="str">
        <f t="shared" si="3"/>
        <v/>
      </c>
      <c r="K36" s="288">
        <f t="shared" si="4"/>
        <v>0</v>
      </c>
      <c r="L36" s="290"/>
      <c r="M36" s="291">
        <f t="shared" si="18"/>
        <v>1</v>
      </c>
      <c r="N36" s="301" t="str">
        <f t="shared" si="19"/>
        <v/>
      </c>
      <c r="O36" s="302" t="str">
        <f t="shared" si="5"/>
        <v/>
      </c>
      <c r="P36" s="303" t="str">
        <f t="shared" si="20"/>
        <v/>
      </c>
      <c r="Q36" s="292" t="str">
        <f t="shared" si="6"/>
        <v/>
      </c>
      <c r="R36" s="293"/>
      <c r="S36" s="294" t="str">
        <f t="shared" si="21"/>
        <v/>
      </c>
      <c r="T36" s="295" t="str">
        <f t="shared" si="22"/>
        <v/>
      </c>
      <c r="V36" s="3">
        <f t="shared" si="7"/>
        <v>40</v>
      </c>
      <c r="W36" s="3">
        <v>6</v>
      </c>
      <c r="X36" s="3">
        <v>6</v>
      </c>
      <c r="Y36" s="3">
        <v>3</v>
      </c>
      <c r="AY36" s="187"/>
      <c r="AZ36" s="175" t="str">
        <f t="shared" ref="AZ36:AZ37" si="61">"Difusores de "&amp;W36&amp;""""&amp;" × "&amp;X36&amp;""""&amp;" de "&amp;Y36&amp;" vías:"</f>
        <v>Difusores de 6" × 6" de 3 vías:</v>
      </c>
      <c r="BA36" s="174">
        <f t="shared" si="23"/>
        <v>0</v>
      </c>
      <c r="BB36" s="187"/>
      <c r="BC36" s="103">
        <f t="shared" si="24"/>
        <v>0</v>
      </c>
      <c r="BD36" s="103">
        <f t="shared" si="25"/>
        <v>0</v>
      </c>
      <c r="BE36" s="103">
        <f t="shared" si="8"/>
        <v>0</v>
      </c>
      <c r="BF36" s="181">
        <v>6</v>
      </c>
      <c r="BG36" s="181">
        <v>10</v>
      </c>
      <c r="BH36" s="184">
        <f t="shared" si="26"/>
        <v>0.41666666666666669</v>
      </c>
      <c r="BI36" s="185">
        <f t="shared" si="9"/>
        <v>229.16666666666669</v>
      </c>
      <c r="BJ36" s="185">
        <f t="shared" si="10"/>
        <v>0.6</v>
      </c>
      <c r="BK36" s="103">
        <f t="shared" si="27"/>
        <v>610</v>
      </c>
      <c r="BL36" s="103">
        <v>0</v>
      </c>
      <c r="BM36" s="103">
        <v>6</v>
      </c>
      <c r="BN36" s="103">
        <v>10</v>
      </c>
      <c r="BO36" s="103">
        <v>6</v>
      </c>
      <c r="BP36" s="103">
        <f t="shared" si="28"/>
        <v>610</v>
      </c>
      <c r="BQ36" s="103">
        <f t="shared" si="28"/>
        <v>1006</v>
      </c>
      <c r="BR36" s="173" t="str">
        <f t="shared" si="29"/>
        <v>Rejillas de 6" × 10":</v>
      </c>
      <c r="BS36" s="180">
        <f t="shared" si="11"/>
        <v>0</v>
      </c>
      <c r="BT36" s="180">
        <f t="shared" si="12"/>
        <v>0</v>
      </c>
      <c r="BU36" s="180">
        <f t="shared" si="30"/>
        <v>0</v>
      </c>
      <c r="BV36" s="187"/>
      <c r="BW36" s="103">
        <f>IF(C36=3,S36,0)</f>
        <v>0</v>
      </c>
      <c r="BX36" s="173" t="str">
        <f t="shared" si="13"/>
        <v>Rejillas de 14" × 20":</v>
      </c>
      <c r="BY36" s="180">
        <f t="shared" si="14"/>
        <v>0</v>
      </c>
      <c r="BZ36" s="180">
        <f t="shared" si="15"/>
        <v>0</v>
      </c>
      <c r="CA36" s="180">
        <f t="shared" si="16"/>
        <v>0</v>
      </c>
      <c r="CB36" s="187"/>
      <c r="CC36" s="222" t="str">
        <f t="shared" si="31"/>
        <v/>
      </c>
      <c r="CD36" s="217" t="str">
        <f t="shared" ref="CD36:CD64" si="62">IF(B35="","",B35)</f>
        <v/>
      </c>
      <c r="CE36" s="198" t="str">
        <f t="shared" si="32"/>
        <v/>
      </c>
      <c r="CF36" s="138" t="str">
        <f t="shared" si="33"/>
        <v/>
      </c>
      <c r="CG36" s="211" t="str">
        <f t="shared" si="34"/>
        <v/>
      </c>
      <c r="CH36" s="212" t="str">
        <f t="shared" si="34"/>
        <v/>
      </c>
      <c r="CI36" s="213" t="str">
        <f t="shared" si="34"/>
        <v/>
      </c>
      <c r="CJ36" s="138" t="str">
        <f t="shared" si="34"/>
        <v/>
      </c>
      <c r="CK36" s="199" t="str">
        <f t="shared" si="35"/>
        <v/>
      </c>
      <c r="CL36" s="200" t="str">
        <f t="shared" si="36"/>
        <v/>
      </c>
      <c r="CM36" s="201" t="str">
        <f t="shared" si="36"/>
        <v/>
      </c>
      <c r="CN36" s="202"/>
      <c r="CO36" s="222" t="str">
        <f t="shared" si="37"/>
        <v/>
      </c>
      <c r="CP36" s="199" t="str">
        <f t="shared" ref="CP36:CP64" si="63">IF(B65="","",B65)</f>
        <v/>
      </c>
      <c r="CQ36" s="198" t="str">
        <f t="shared" si="38"/>
        <v/>
      </c>
      <c r="CR36" s="138" t="str">
        <f t="shared" si="39"/>
        <v/>
      </c>
      <c r="CS36" s="211" t="str">
        <f t="shared" si="40"/>
        <v/>
      </c>
      <c r="CT36" s="212" t="str">
        <f t="shared" si="40"/>
        <v/>
      </c>
      <c r="CU36" s="213" t="str">
        <f t="shared" si="40"/>
        <v/>
      </c>
      <c r="CV36" s="138" t="str">
        <f t="shared" si="40"/>
        <v/>
      </c>
      <c r="CW36" s="199" t="str">
        <f t="shared" si="41"/>
        <v/>
      </c>
      <c r="CX36" s="200" t="str">
        <f t="shared" si="42"/>
        <v/>
      </c>
      <c r="CY36" s="201" t="str">
        <f t="shared" si="42"/>
        <v/>
      </c>
      <c r="CZ36" s="202"/>
      <c r="DA36" s="222" t="str">
        <f t="shared" si="43"/>
        <v/>
      </c>
      <c r="DB36" s="199" t="str">
        <f t="shared" ref="DB36:DB64" si="64">IF(B95="","",B95)</f>
        <v/>
      </c>
      <c r="DC36" s="198" t="str">
        <f t="shared" si="44"/>
        <v/>
      </c>
      <c r="DD36" s="138" t="str">
        <f t="shared" si="45"/>
        <v/>
      </c>
      <c r="DE36" s="211" t="str">
        <f t="shared" si="46"/>
        <v/>
      </c>
      <c r="DF36" s="212" t="str">
        <f t="shared" si="46"/>
        <v/>
      </c>
      <c r="DG36" s="213" t="str">
        <f t="shared" si="46"/>
        <v/>
      </c>
      <c r="DH36" s="138" t="str">
        <f t="shared" si="46"/>
        <v/>
      </c>
      <c r="DI36" s="199" t="str">
        <f t="shared" si="47"/>
        <v/>
      </c>
      <c r="DJ36" s="200" t="str">
        <f t="shared" si="48"/>
        <v/>
      </c>
      <c r="DK36" s="201" t="str">
        <f t="shared" si="48"/>
        <v/>
      </c>
      <c r="DL36" s="202"/>
      <c r="DM36" s="222" t="str">
        <f t="shared" si="49"/>
        <v/>
      </c>
      <c r="DN36" s="199" t="str">
        <f t="shared" ref="DN36:DN64" si="65">IF(B125="","",B125)</f>
        <v/>
      </c>
      <c r="DO36" s="198" t="str">
        <f t="shared" si="50"/>
        <v/>
      </c>
      <c r="DP36" s="138" t="str">
        <f t="shared" si="51"/>
        <v/>
      </c>
      <c r="DQ36" s="211" t="str">
        <f t="shared" si="52"/>
        <v/>
      </c>
      <c r="DR36" s="212" t="str">
        <f t="shared" si="52"/>
        <v/>
      </c>
      <c r="DS36" s="213" t="str">
        <f t="shared" si="52"/>
        <v/>
      </c>
      <c r="DT36" s="138" t="str">
        <f t="shared" si="52"/>
        <v/>
      </c>
      <c r="DU36" s="199" t="str">
        <f t="shared" si="53"/>
        <v/>
      </c>
      <c r="DV36" s="200" t="str">
        <f t="shared" si="54"/>
        <v/>
      </c>
      <c r="DW36" s="201" t="str">
        <f t="shared" si="54"/>
        <v/>
      </c>
      <c r="DX36" s="202"/>
      <c r="DY36" s="222" t="str">
        <f t="shared" si="55"/>
        <v/>
      </c>
      <c r="DZ36" s="199" t="str">
        <f t="shared" ref="DZ36:DZ64" si="66">IF(B155="","",B155)</f>
        <v/>
      </c>
      <c r="EA36" s="198" t="str">
        <f t="shared" si="56"/>
        <v/>
      </c>
      <c r="EB36" s="138" t="str">
        <f t="shared" si="57"/>
        <v/>
      </c>
      <c r="EC36" s="211" t="str">
        <f t="shared" si="58"/>
        <v/>
      </c>
      <c r="ED36" s="212" t="str">
        <f t="shared" si="58"/>
        <v/>
      </c>
      <c r="EE36" s="213" t="str">
        <f t="shared" si="58"/>
        <v/>
      </c>
      <c r="EF36" s="138" t="str">
        <f t="shared" si="58"/>
        <v/>
      </c>
      <c r="EG36" s="199" t="str">
        <f t="shared" si="59"/>
        <v/>
      </c>
      <c r="EH36" s="200" t="str">
        <f t="shared" si="60"/>
        <v/>
      </c>
      <c r="EI36" s="201" t="str">
        <f t="shared" si="60"/>
        <v/>
      </c>
      <c r="EJ36" s="229"/>
    </row>
    <row r="37" spans="1:140" x14ac:dyDescent="0.3">
      <c r="A37" s="375">
        <v>4</v>
      </c>
      <c r="B37" s="260"/>
      <c r="C37" s="261">
        <f t="shared" si="17"/>
        <v>4</v>
      </c>
      <c r="D37" s="371"/>
      <c r="E37" s="262"/>
      <c r="F37" s="261" t="str">
        <f t="shared" si="0"/>
        <v/>
      </c>
      <c r="G37" s="263" t="str">
        <f t="shared" si="0"/>
        <v/>
      </c>
      <c r="H37" s="264" t="str">
        <f t="shared" si="1"/>
        <v/>
      </c>
      <c r="I37" s="265" t="str">
        <f t="shared" si="2"/>
        <v/>
      </c>
      <c r="J37" s="264" t="str">
        <f t="shared" si="3"/>
        <v/>
      </c>
      <c r="K37" s="264">
        <f t="shared" si="4"/>
        <v>0</v>
      </c>
      <c r="L37" s="266"/>
      <c r="M37" s="267">
        <f t="shared" si="18"/>
        <v>1</v>
      </c>
      <c r="N37" s="296" t="str">
        <f t="shared" si="19"/>
        <v/>
      </c>
      <c r="O37" s="297" t="str">
        <f t="shared" si="5"/>
        <v/>
      </c>
      <c r="P37" s="298" t="str">
        <f t="shared" si="20"/>
        <v/>
      </c>
      <c r="Q37" s="268" t="str">
        <f t="shared" si="6"/>
        <v/>
      </c>
      <c r="R37" s="269"/>
      <c r="S37" s="270" t="str">
        <f t="shared" si="21"/>
        <v/>
      </c>
      <c r="T37" s="271" t="str">
        <f t="shared" si="22"/>
        <v/>
      </c>
      <c r="V37" s="3">
        <f t="shared" si="7"/>
        <v>40</v>
      </c>
      <c r="W37" s="3">
        <v>6</v>
      </c>
      <c r="X37" s="3">
        <v>6</v>
      </c>
      <c r="Y37" s="3">
        <v>4</v>
      </c>
      <c r="AY37" s="187"/>
      <c r="AZ37" s="175" t="str">
        <f t="shared" si="61"/>
        <v>Difusores de 6" × 6" de 4 vías:</v>
      </c>
      <c r="BA37" s="174">
        <f t="shared" si="23"/>
        <v>0</v>
      </c>
      <c r="BB37" s="187"/>
      <c r="BC37" s="103">
        <f t="shared" si="24"/>
        <v>0</v>
      </c>
      <c r="BD37" s="103">
        <f t="shared" si="25"/>
        <v>0</v>
      </c>
      <c r="BE37" s="103">
        <f t="shared" si="8"/>
        <v>0</v>
      </c>
      <c r="BF37" s="181">
        <v>6</v>
      </c>
      <c r="BG37" s="181">
        <v>12</v>
      </c>
      <c r="BH37" s="184">
        <f t="shared" si="26"/>
        <v>0.5</v>
      </c>
      <c r="BI37" s="185">
        <f t="shared" si="9"/>
        <v>275</v>
      </c>
      <c r="BJ37" s="185">
        <f t="shared" si="10"/>
        <v>0.5</v>
      </c>
      <c r="BK37" s="103">
        <f t="shared" si="27"/>
        <v>612</v>
      </c>
      <c r="BL37" s="103">
        <v>0</v>
      </c>
      <c r="BM37" s="103">
        <v>6</v>
      </c>
      <c r="BN37" s="103">
        <v>12</v>
      </c>
      <c r="BO37" s="103">
        <v>6</v>
      </c>
      <c r="BP37" s="103">
        <f t="shared" si="28"/>
        <v>612</v>
      </c>
      <c r="BQ37" s="103">
        <f t="shared" si="28"/>
        <v>1206</v>
      </c>
      <c r="BR37" s="173" t="str">
        <f t="shared" si="29"/>
        <v>Rejillas de 6" × 12":</v>
      </c>
      <c r="BS37" s="180">
        <f t="shared" si="11"/>
        <v>0</v>
      </c>
      <c r="BT37" s="180">
        <f t="shared" si="12"/>
        <v>0</v>
      </c>
      <c r="BU37" s="180">
        <f t="shared" si="30"/>
        <v>0</v>
      </c>
      <c r="BV37" s="187"/>
      <c r="BW37" s="103">
        <f t="shared" ref="BW37:BW100" si="67">IF(C37=3,S37,0)</f>
        <v>0</v>
      </c>
      <c r="BX37" s="173" t="str">
        <f t="shared" si="13"/>
        <v>Rejillas de 14" × 22":</v>
      </c>
      <c r="BY37" s="180">
        <f t="shared" si="14"/>
        <v>0</v>
      </c>
      <c r="BZ37" s="180">
        <f t="shared" si="15"/>
        <v>0</v>
      </c>
      <c r="CA37" s="180">
        <f t="shared" si="16"/>
        <v>0</v>
      </c>
      <c r="CB37" s="187"/>
      <c r="CC37" s="222" t="str">
        <f t="shared" si="31"/>
        <v/>
      </c>
      <c r="CD37" s="218" t="str">
        <f t="shared" si="62"/>
        <v/>
      </c>
      <c r="CE37" s="198" t="str">
        <f t="shared" si="32"/>
        <v/>
      </c>
      <c r="CF37" s="138" t="str">
        <f t="shared" si="33"/>
        <v/>
      </c>
      <c r="CG37" s="211" t="str">
        <f t="shared" si="34"/>
        <v/>
      </c>
      <c r="CH37" s="212" t="str">
        <f t="shared" si="34"/>
        <v/>
      </c>
      <c r="CI37" s="213" t="str">
        <f t="shared" si="34"/>
        <v/>
      </c>
      <c r="CJ37" s="138" t="str">
        <f t="shared" si="34"/>
        <v/>
      </c>
      <c r="CK37" s="199" t="str">
        <f t="shared" si="35"/>
        <v/>
      </c>
      <c r="CL37" s="200" t="str">
        <f t="shared" si="36"/>
        <v/>
      </c>
      <c r="CM37" s="201" t="str">
        <f t="shared" si="36"/>
        <v/>
      </c>
      <c r="CN37" s="202"/>
      <c r="CO37" s="222" t="str">
        <f t="shared" si="37"/>
        <v/>
      </c>
      <c r="CP37" s="199" t="str">
        <f t="shared" si="63"/>
        <v/>
      </c>
      <c r="CQ37" s="198" t="str">
        <f t="shared" si="38"/>
        <v/>
      </c>
      <c r="CR37" s="138" t="str">
        <f t="shared" si="39"/>
        <v/>
      </c>
      <c r="CS37" s="211" t="str">
        <f t="shared" si="40"/>
        <v/>
      </c>
      <c r="CT37" s="212" t="str">
        <f t="shared" si="40"/>
        <v/>
      </c>
      <c r="CU37" s="213" t="str">
        <f t="shared" si="40"/>
        <v/>
      </c>
      <c r="CV37" s="138" t="str">
        <f t="shared" si="40"/>
        <v/>
      </c>
      <c r="CW37" s="199" t="str">
        <f t="shared" si="41"/>
        <v/>
      </c>
      <c r="CX37" s="200" t="str">
        <f t="shared" si="42"/>
        <v/>
      </c>
      <c r="CY37" s="201" t="str">
        <f t="shared" si="42"/>
        <v/>
      </c>
      <c r="CZ37" s="202"/>
      <c r="DA37" s="222" t="str">
        <f t="shared" si="43"/>
        <v/>
      </c>
      <c r="DB37" s="199" t="str">
        <f t="shared" si="64"/>
        <v/>
      </c>
      <c r="DC37" s="198" t="str">
        <f t="shared" si="44"/>
        <v/>
      </c>
      <c r="DD37" s="138" t="str">
        <f t="shared" si="45"/>
        <v/>
      </c>
      <c r="DE37" s="211" t="str">
        <f t="shared" si="46"/>
        <v/>
      </c>
      <c r="DF37" s="212" t="str">
        <f t="shared" si="46"/>
        <v/>
      </c>
      <c r="DG37" s="213" t="str">
        <f t="shared" si="46"/>
        <v/>
      </c>
      <c r="DH37" s="138" t="str">
        <f t="shared" si="46"/>
        <v/>
      </c>
      <c r="DI37" s="199" t="str">
        <f t="shared" si="47"/>
        <v/>
      </c>
      <c r="DJ37" s="200" t="str">
        <f t="shared" si="48"/>
        <v/>
      </c>
      <c r="DK37" s="201" t="str">
        <f t="shared" si="48"/>
        <v/>
      </c>
      <c r="DL37" s="202"/>
      <c r="DM37" s="222" t="str">
        <f t="shared" si="49"/>
        <v/>
      </c>
      <c r="DN37" s="199" t="str">
        <f t="shared" si="65"/>
        <v/>
      </c>
      <c r="DO37" s="198" t="str">
        <f t="shared" si="50"/>
        <v/>
      </c>
      <c r="DP37" s="138" t="str">
        <f t="shared" si="51"/>
        <v/>
      </c>
      <c r="DQ37" s="211" t="str">
        <f t="shared" si="52"/>
        <v/>
      </c>
      <c r="DR37" s="212" t="str">
        <f t="shared" si="52"/>
        <v/>
      </c>
      <c r="DS37" s="213" t="str">
        <f t="shared" si="52"/>
        <v/>
      </c>
      <c r="DT37" s="138" t="str">
        <f t="shared" si="52"/>
        <v/>
      </c>
      <c r="DU37" s="199" t="str">
        <f t="shared" si="53"/>
        <v/>
      </c>
      <c r="DV37" s="200" t="str">
        <f t="shared" si="54"/>
        <v/>
      </c>
      <c r="DW37" s="201" t="str">
        <f t="shared" si="54"/>
        <v/>
      </c>
      <c r="DX37" s="202"/>
      <c r="DY37" s="222" t="str">
        <f t="shared" si="55"/>
        <v/>
      </c>
      <c r="DZ37" s="199" t="str">
        <f t="shared" si="66"/>
        <v/>
      </c>
      <c r="EA37" s="198" t="str">
        <f t="shared" si="56"/>
        <v/>
      </c>
      <c r="EB37" s="138" t="str">
        <f t="shared" si="57"/>
        <v/>
      </c>
      <c r="EC37" s="211" t="str">
        <f t="shared" si="58"/>
        <v/>
      </c>
      <c r="ED37" s="212" t="str">
        <f t="shared" si="58"/>
        <v/>
      </c>
      <c r="EE37" s="213" t="str">
        <f t="shared" si="58"/>
        <v/>
      </c>
      <c r="EF37" s="138" t="str">
        <f t="shared" si="58"/>
        <v/>
      </c>
      <c r="EG37" s="199" t="str">
        <f t="shared" si="59"/>
        <v/>
      </c>
      <c r="EH37" s="200" t="str">
        <f t="shared" si="60"/>
        <v/>
      </c>
      <c r="EI37" s="201" t="str">
        <f t="shared" si="60"/>
        <v/>
      </c>
      <c r="EJ37" s="229"/>
    </row>
    <row r="38" spans="1:140" x14ac:dyDescent="0.3">
      <c r="A38" s="375">
        <v>5</v>
      </c>
      <c r="B38" s="272"/>
      <c r="C38" s="261">
        <f t="shared" si="17"/>
        <v>4</v>
      </c>
      <c r="D38" s="372"/>
      <c r="E38" s="274"/>
      <c r="F38" s="273" t="str">
        <f t="shared" si="0"/>
        <v/>
      </c>
      <c r="G38" s="275" t="str">
        <f t="shared" si="0"/>
        <v/>
      </c>
      <c r="H38" s="276" t="str">
        <f t="shared" si="1"/>
        <v/>
      </c>
      <c r="I38" s="277" t="str">
        <f t="shared" si="2"/>
        <v/>
      </c>
      <c r="J38" s="276" t="str">
        <f t="shared" si="3"/>
        <v/>
      </c>
      <c r="K38" s="276">
        <f t="shared" si="4"/>
        <v>0</v>
      </c>
      <c r="L38" s="278"/>
      <c r="M38" s="279">
        <f t="shared" si="18"/>
        <v>1</v>
      </c>
      <c r="N38" s="299" t="str">
        <f t="shared" si="19"/>
        <v/>
      </c>
      <c r="O38" s="117" t="str">
        <f t="shared" si="5"/>
        <v/>
      </c>
      <c r="P38" s="300" t="str">
        <f t="shared" si="20"/>
        <v/>
      </c>
      <c r="Q38" s="280" t="str">
        <f t="shared" si="6"/>
        <v/>
      </c>
      <c r="R38" s="281"/>
      <c r="S38" s="282" t="str">
        <f t="shared" si="21"/>
        <v/>
      </c>
      <c r="T38" s="283" t="str">
        <f t="shared" si="22"/>
        <v/>
      </c>
      <c r="V38" s="3">
        <f t="shared" si="7"/>
        <v>40</v>
      </c>
      <c r="W38" s="3">
        <v>6</v>
      </c>
      <c r="X38" s="3">
        <v>6</v>
      </c>
      <c r="Y38" s="3" t="s">
        <v>178</v>
      </c>
      <c r="AY38" s="187"/>
      <c r="AZ38" s="175" t="str">
        <f>"Difusores de "&amp;W38&amp;""""&amp;" × "&amp;X38&amp;""""&amp;" de "&amp;Y38</f>
        <v>Difusores de 6" × 6" de plato perforado:</v>
      </c>
      <c r="BA38" s="174">
        <f t="shared" si="23"/>
        <v>0</v>
      </c>
      <c r="BB38" s="187"/>
      <c r="BC38" s="103">
        <f t="shared" si="24"/>
        <v>0</v>
      </c>
      <c r="BD38" s="103">
        <f t="shared" si="25"/>
        <v>0</v>
      </c>
      <c r="BE38" s="103">
        <f t="shared" si="8"/>
        <v>0</v>
      </c>
      <c r="BF38" s="181">
        <v>6</v>
      </c>
      <c r="BG38" s="181">
        <v>14</v>
      </c>
      <c r="BH38" s="184">
        <f t="shared" si="26"/>
        <v>0.58333333333333337</v>
      </c>
      <c r="BI38" s="185">
        <f t="shared" si="9"/>
        <v>320.83333333333337</v>
      </c>
      <c r="BJ38" s="185">
        <f t="shared" si="10"/>
        <v>0.42857142857142855</v>
      </c>
      <c r="BK38" s="103">
        <f t="shared" si="27"/>
        <v>614</v>
      </c>
      <c r="BL38" s="103">
        <v>0</v>
      </c>
      <c r="BM38" s="103">
        <v>6</v>
      </c>
      <c r="BN38" s="103">
        <v>14</v>
      </c>
      <c r="BO38" s="103">
        <v>6</v>
      </c>
      <c r="BP38" s="103">
        <f t="shared" si="28"/>
        <v>614</v>
      </c>
      <c r="BQ38" s="103">
        <f t="shared" si="28"/>
        <v>1406</v>
      </c>
      <c r="BR38" s="173" t="str">
        <f t="shared" si="29"/>
        <v>Rejillas de 6" × 14":</v>
      </c>
      <c r="BS38" s="180">
        <f t="shared" si="11"/>
        <v>0</v>
      </c>
      <c r="BT38" s="180">
        <f t="shared" si="12"/>
        <v>0</v>
      </c>
      <c r="BU38" s="180">
        <f t="shared" si="30"/>
        <v>0</v>
      </c>
      <c r="BV38" s="187"/>
      <c r="BW38" s="103">
        <f t="shared" si="67"/>
        <v>0</v>
      </c>
      <c r="BX38" s="173" t="str">
        <f t="shared" si="13"/>
        <v>Rejillas de 14" × 24":</v>
      </c>
      <c r="BY38" s="180">
        <f t="shared" si="14"/>
        <v>0</v>
      </c>
      <c r="BZ38" s="180">
        <f t="shared" si="15"/>
        <v>0</v>
      </c>
      <c r="CA38" s="180">
        <f t="shared" si="16"/>
        <v>0</v>
      </c>
      <c r="CB38" s="187"/>
      <c r="CC38" s="222" t="str">
        <f t="shared" si="31"/>
        <v/>
      </c>
      <c r="CD38" s="218" t="str">
        <f t="shared" si="62"/>
        <v/>
      </c>
      <c r="CE38" s="198" t="str">
        <f t="shared" si="32"/>
        <v/>
      </c>
      <c r="CF38" s="138" t="str">
        <f t="shared" si="33"/>
        <v/>
      </c>
      <c r="CG38" s="211" t="str">
        <f t="shared" si="34"/>
        <v/>
      </c>
      <c r="CH38" s="212" t="str">
        <f t="shared" si="34"/>
        <v/>
      </c>
      <c r="CI38" s="213" t="str">
        <f t="shared" si="34"/>
        <v/>
      </c>
      <c r="CJ38" s="138" t="str">
        <f t="shared" si="34"/>
        <v/>
      </c>
      <c r="CK38" s="199" t="str">
        <f t="shared" si="35"/>
        <v/>
      </c>
      <c r="CL38" s="200" t="str">
        <f t="shared" si="36"/>
        <v/>
      </c>
      <c r="CM38" s="201" t="str">
        <f t="shared" si="36"/>
        <v/>
      </c>
      <c r="CN38" s="202"/>
      <c r="CO38" s="222" t="str">
        <f t="shared" si="37"/>
        <v/>
      </c>
      <c r="CP38" s="199" t="str">
        <f t="shared" si="63"/>
        <v/>
      </c>
      <c r="CQ38" s="198" t="str">
        <f t="shared" si="38"/>
        <v/>
      </c>
      <c r="CR38" s="138" t="str">
        <f t="shared" si="39"/>
        <v/>
      </c>
      <c r="CS38" s="211" t="str">
        <f t="shared" si="40"/>
        <v/>
      </c>
      <c r="CT38" s="212" t="str">
        <f t="shared" si="40"/>
        <v/>
      </c>
      <c r="CU38" s="213" t="str">
        <f t="shared" si="40"/>
        <v/>
      </c>
      <c r="CV38" s="138" t="str">
        <f t="shared" si="40"/>
        <v/>
      </c>
      <c r="CW38" s="199" t="str">
        <f t="shared" si="41"/>
        <v/>
      </c>
      <c r="CX38" s="200" t="str">
        <f t="shared" si="42"/>
        <v/>
      </c>
      <c r="CY38" s="201" t="str">
        <f t="shared" si="42"/>
        <v/>
      </c>
      <c r="CZ38" s="202"/>
      <c r="DA38" s="222" t="str">
        <f t="shared" si="43"/>
        <v/>
      </c>
      <c r="DB38" s="199" t="str">
        <f t="shared" si="64"/>
        <v/>
      </c>
      <c r="DC38" s="198" t="str">
        <f t="shared" si="44"/>
        <v/>
      </c>
      <c r="DD38" s="138" t="str">
        <f t="shared" si="45"/>
        <v/>
      </c>
      <c r="DE38" s="211" t="str">
        <f t="shared" si="46"/>
        <v/>
      </c>
      <c r="DF38" s="212" t="str">
        <f t="shared" si="46"/>
        <v/>
      </c>
      <c r="DG38" s="213" t="str">
        <f t="shared" si="46"/>
        <v/>
      </c>
      <c r="DH38" s="138" t="str">
        <f t="shared" si="46"/>
        <v/>
      </c>
      <c r="DI38" s="199" t="str">
        <f t="shared" si="47"/>
        <v/>
      </c>
      <c r="DJ38" s="200" t="str">
        <f t="shared" si="48"/>
        <v/>
      </c>
      <c r="DK38" s="201" t="str">
        <f t="shared" si="48"/>
        <v/>
      </c>
      <c r="DL38" s="202"/>
      <c r="DM38" s="222" t="str">
        <f t="shared" si="49"/>
        <v/>
      </c>
      <c r="DN38" s="199" t="str">
        <f t="shared" si="65"/>
        <v/>
      </c>
      <c r="DO38" s="198" t="str">
        <f t="shared" si="50"/>
        <v/>
      </c>
      <c r="DP38" s="138" t="str">
        <f t="shared" si="51"/>
        <v/>
      </c>
      <c r="DQ38" s="211" t="str">
        <f t="shared" si="52"/>
        <v/>
      </c>
      <c r="DR38" s="212" t="str">
        <f t="shared" si="52"/>
        <v/>
      </c>
      <c r="DS38" s="213" t="str">
        <f t="shared" si="52"/>
        <v/>
      </c>
      <c r="DT38" s="138" t="str">
        <f t="shared" si="52"/>
        <v/>
      </c>
      <c r="DU38" s="199" t="str">
        <f t="shared" si="53"/>
        <v/>
      </c>
      <c r="DV38" s="200" t="str">
        <f t="shared" si="54"/>
        <v/>
      </c>
      <c r="DW38" s="201" t="str">
        <f t="shared" si="54"/>
        <v/>
      </c>
      <c r="DX38" s="202"/>
      <c r="DY38" s="222" t="str">
        <f t="shared" si="55"/>
        <v/>
      </c>
      <c r="DZ38" s="199" t="str">
        <f t="shared" si="66"/>
        <v/>
      </c>
      <c r="EA38" s="198" t="str">
        <f t="shared" si="56"/>
        <v/>
      </c>
      <c r="EB38" s="138" t="str">
        <f t="shared" si="57"/>
        <v/>
      </c>
      <c r="EC38" s="211" t="str">
        <f t="shared" si="58"/>
        <v/>
      </c>
      <c r="ED38" s="212" t="str">
        <f t="shared" si="58"/>
        <v/>
      </c>
      <c r="EE38" s="213" t="str">
        <f t="shared" si="58"/>
        <v/>
      </c>
      <c r="EF38" s="138" t="str">
        <f t="shared" si="58"/>
        <v/>
      </c>
      <c r="EG38" s="199" t="str">
        <f t="shared" si="59"/>
        <v/>
      </c>
      <c r="EH38" s="200" t="str">
        <f t="shared" si="60"/>
        <v/>
      </c>
      <c r="EI38" s="201" t="str">
        <f t="shared" si="60"/>
        <v/>
      </c>
      <c r="EJ38" s="229"/>
    </row>
    <row r="39" spans="1:140" x14ac:dyDescent="0.3">
      <c r="A39" s="375">
        <v>6</v>
      </c>
      <c r="B39" s="284"/>
      <c r="C39" s="261">
        <f t="shared" si="17"/>
        <v>4</v>
      </c>
      <c r="D39" s="373"/>
      <c r="E39" s="286"/>
      <c r="F39" s="285" t="str">
        <f t="shared" si="0"/>
        <v/>
      </c>
      <c r="G39" s="287" t="str">
        <f t="shared" si="0"/>
        <v/>
      </c>
      <c r="H39" s="288" t="str">
        <f t="shared" si="1"/>
        <v/>
      </c>
      <c r="I39" s="289" t="str">
        <f t="shared" si="2"/>
        <v/>
      </c>
      <c r="J39" s="288" t="str">
        <f t="shared" si="3"/>
        <v/>
      </c>
      <c r="K39" s="288">
        <f t="shared" si="4"/>
        <v>0</v>
      </c>
      <c r="L39" s="290"/>
      <c r="M39" s="291">
        <f t="shared" si="18"/>
        <v>1</v>
      </c>
      <c r="N39" s="301" t="str">
        <f t="shared" si="19"/>
        <v/>
      </c>
      <c r="O39" s="302" t="str">
        <f t="shared" si="5"/>
        <v/>
      </c>
      <c r="P39" s="303" t="str">
        <f t="shared" si="20"/>
        <v/>
      </c>
      <c r="Q39" s="292" t="str">
        <f t="shared" si="6"/>
        <v/>
      </c>
      <c r="R39" s="293"/>
      <c r="S39" s="294" t="str">
        <f t="shared" si="21"/>
        <v/>
      </c>
      <c r="T39" s="295" t="str">
        <f t="shared" si="22"/>
        <v/>
      </c>
      <c r="V39" s="3">
        <f t="shared" si="7"/>
        <v>40</v>
      </c>
      <c r="W39" s="3">
        <v>6</v>
      </c>
      <c r="X39" s="3">
        <v>6</v>
      </c>
      <c r="Y39" s="3" t="s">
        <v>179</v>
      </c>
      <c r="AY39" s="187"/>
      <c r="AZ39" s="176" t="str">
        <f>"Difusores de "&amp;W39&amp;""""&amp;" × "&amp;X39&amp;""""&amp;Y39</f>
        <v>Difusores de 6" × 6", número de vías por definir:</v>
      </c>
      <c r="BA39" s="174">
        <f t="shared" si="23"/>
        <v>0</v>
      </c>
      <c r="BB39" s="187"/>
      <c r="BC39" s="103">
        <f t="shared" si="24"/>
        <v>0</v>
      </c>
      <c r="BD39" s="103">
        <f t="shared" si="25"/>
        <v>0</v>
      </c>
      <c r="BE39" s="103">
        <f t="shared" si="8"/>
        <v>0</v>
      </c>
      <c r="BF39" s="181">
        <v>8</v>
      </c>
      <c r="BG39" s="181">
        <v>6</v>
      </c>
      <c r="BH39" s="184">
        <f t="shared" si="26"/>
        <v>0.33333333333333331</v>
      </c>
      <c r="BI39" s="185">
        <f t="shared" si="9"/>
        <v>183.33333333333331</v>
      </c>
      <c r="BJ39" s="185">
        <f t="shared" si="10"/>
        <v>1.3333333333333333</v>
      </c>
      <c r="BK39" s="103">
        <f t="shared" si="27"/>
        <v>806</v>
      </c>
      <c r="BL39" s="103">
        <v>0</v>
      </c>
      <c r="BM39" s="103">
        <v>8</v>
      </c>
      <c r="BN39" s="103">
        <v>8</v>
      </c>
      <c r="BO39" s="103">
        <v>8</v>
      </c>
      <c r="BP39" s="103">
        <f t="shared" si="28"/>
        <v>808</v>
      </c>
      <c r="BQ39" s="103">
        <f t="shared" si="28"/>
        <v>808</v>
      </c>
      <c r="BR39" s="173" t="str">
        <f t="shared" si="29"/>
        <v>Rejillas de 8" × 8":</v>
      </c>
      <c r="BS39" s="180">
        <f t="shared" si="11"/>
        <v>0</v>
      </c>
      <c r="BT39" s="180">
        <f t="shared" si="12"/>
        <v>0</v>
      </c>
      <c r="BU39" s="180">
        <f t="shared" si="30"/>
        <v>0</v>
      </c>
      <c r="BV39" s="187"/>
      <c r="BW39" s="103">
        <f t="shared" si="67"/>
        <v>0</v>
      </c>
      <c r="BX39" s="173" t="str">
        <f t="shared" si="13"/>
        <v>Rejillas de 14" × 26":</v>
      </c>
      <c r="BY39" s="180">
        <f t="shared" si="14"/>
        <v>0</v>
      </c>
      <c r="BZ39" s="180">
        <f t="shared" si="15"/>
        <v>0</v>
      </c>
      <c r="CA39" s="180">
        <f t="shared" si="16"/>
        <v>0</v>
      </c>
      <c r="CB39" s="187"/>
      <c r="CC39" s="222" t="str">
        <f t="shared" si="31"/>
        <v/>
      </c>
      <c r="CD39" s="218" t="str">
        <f t="shared" si="62"/>
        <v/>
      </c>
      <c r="CE39" s="198" t="str">
        <f t="shared" si="32"/>
        <v/>
      </c>
      <c r="CF39" s="138" t="str">
        <f t="shared" si="33"/>
        <v/>
      </c>
      <c r="CG39" s="211" t="str">
        <f t="shared" si="34"/>
        <v/>
      </c>
      <c r="CH39" s="212" t="str">
        <f t="shared" si="34"/>
        <v/>
      </c>
      <c r="CI39" s="213" t="str">
        <f t="shared" si="34"/>
        <v/>
      </c>
      <c r="CJ39" s="138" t="str">
        <f t="shared" si="34"/>
        <v/>
      </c>
      <c r="CK39" s="199" t="str">
        <f t="shared" si="35"/>
        <v/>
      </c>
      <c r="CL39" s="200" t="str">
        <f t="shared" si="36"/>
        <v/>
      </c>
      <c r="CM39" s="201" t="str">
        <f t="shared" si="36"/>
        <v/>
      </c>
      <c r="CN39" s="202"/>
      <c r="CO39" s="222" t="str">
        <f t="shared" si="37"/>
        <v/>
      </c>
      <c r="CP39" s="199" t="str">
        <f t="shared" si="63"/>
        <v/>
      </c>
      <c r="CQ39" s="198" t="str">
        <f t="shared" si="38"/>
        <v/>
      </c>
      <c r="CR39" s="138" t="str">
        <f t="shared" si="39"/>
        <v/>
      </c>
      <c r="CS39" s="211" t="str">
        <f t="shared" si="40"/>
        <v/>
      </c>
      <c r="CT39" s="212" t="str">
        <f t="shared" si="40"/>
        <v/>
      </c>
      <c r="CU39" s="213" t="str">
        <f t="shared" si="40"/>
        <v/>
      </c>
      <c r="CV39" s="138" t="str">
        <f t="shared" si="40"/>
        <v/>
      </c>
      <c r="CW39" s="199" t="str">
        <f t="shared" si="41"/>
        <v/>
      </c>
      <c r="CX39" s="200" t="str">
        <f t="shared" si="42"/>
        <v/>
      </c>
      <c r="CY39" s="201" t="str">
        <f t="shared" si="42"/>
        <v/>
      </c>
      <c r="CZ39" s="202"/>
      <c r="DA39" s="222" t="str">
        <f t="shared" si="43"/>
        <v/>
      </c>
      <c r="DB39" s="199" t="str">
        <f t="shared" si="64"/>
        <v/>
      </c>
      <c r="DC39" s="198" t="str">
        <f t="shared" si="44"/>
        <v/>
      </c>
      <c r="DD39" s="138" t="str">
        <f t="shared" si="45"/>
        <v/>
      </c>
      <c r="DE39" s="211" t="str">
        <f t="shared" si="46"/>
        <v/>
      </c>
      <c r="DF39" s="212" t="str">
        <f t="shared" si="46"/>
        <v/>
      </c>
      <c r="DG39" s="213" t="str">
        <f t="shared" si="46"/>
        <v/>
      </c>
      <c r="DH39" s="138" t="str">
        <f t="shared" si="46"/>
        <v/>
      </c>
      <c r="DI39" s="199" t="str">
        <f t="shared" si="47"/>
        <v/>
      </c>
      <c r="DJ39" s="200" t="str">
        <f t="shared" si="48"/>
        <v/>
      </c>
      <c r="DK39" s="201" t="str">
        <f t="shared" si="48"/>
        <v/>
      </c>
      <c r="DL39" s="202"/>
      <c r="DM39" s="222" t="str">
        <f t="shared" si="49"/>
        <v/>
      </c>
      <c r="DN39" s="199" t="str">
        <f t="shared" si="65"/>
        <v/>
      </c>
      <c r="DO39" s="198" t="str">
        <f t="shared" si="50"/>
        <v/>
      </c>
      <c r="DP39" s="138" t="str">
        <f t="shared" si="51"/>
        <v/>
      </c>
      <c r="DQ39" s="211" t="str">
        <f t="shared" si="52"/>
        <v/>
      </c>
      <c r="DR39" s="212" t="str">
        <f t="shared" si="52"/>
        <v/>
      </c>
      <c r="DS39" s="213" t="str">
        <f t="shared" si="52"/>
        <v/>
      </c>
      <c r="DT39" s="138" t="str">
        <f t="shared" si="52"/>
        <v/>
      </c>
      <c r="DU39" s="199" t="str">
        <f t="shared" si="53"/>
        <v/>
      </c>
      <c r="DV39" s="200" t="str">
        <f t="shared" si="54"/>
        <v/>
      </c>
      <c r="DW39" s="201" t="str">
        <f t="shared" si="54"/>
        <v/>
      </c>
      <c r="DX39" s="202"/>
      <c r="DY39" s="222" t="str">
        <f t="shared" si="55"/>
        <v/>
      </c>
      <c r="DZ39" s="199" t="str">
        <f t="shared" si="66"/>
        <v/>
      </c>
      <c r="EA39" s="198" t="str">
        <f t="shared" si="56"/>
        <v/>
      </c>
      <c r="EB39" s="138" t="str">
        <f t="shared" si="57"/>
        <v/>
      </c>
      <c r="EC39" s="211" t="str">
        <f t="shared" si="58"/>
        <v/>
      </c>
      <c r="ED39" s="212" t="str">
        <f t="shared" si="58"/>
        <v/>
      </c>
      <c r="EE39" s="213" t="str">
        <f t="shared" si="58"/>
        <v/>
      </c>
      <c r="EF39" s="138" t="str">
        <f t="shared" si="58"/>
        <v/>
      </c>
      <c r="EG39" s="199" t="str">
        <f t="shared" si="59"/>
        <v/>
      </c>
      <c r="EH39" s="200" t="str">
        <f t="shared" si="60"/>
        <v/>
      </c>
      <c r="EI39" s="201" t="str">
        <f t="shared" si="60"/>
        <v/>
      </c>
      <c r="EJ39" s="229"/>
    </row>
    <row r="40" spans="1:140" x14ac:dyDescent="0.3">
      <c r="A40" s="375">
        <v>7</v>
      </c>
      <c r="B40" s="260"/>
      <c r="C40" s="261">
        <f t="shared" si="17"/>
        <v>4</v>
      </c>
      <c r="D40" s="371"/>
      <c r="E40" s="262"/>
      <c r="F40" s="261" t="str">
        <f t="shared" si="0"/>
        <v/>
      </c>
      <c r="G40" s="263" t="str">
        <f t="shared" si="0"/>
        <v/>
      </c>
      <c r="H40" s="264" t="str">
        <f t="shared" si="1"/>
        <v/>
      </c>
      <c r="I40" s="265" t="str">
        <f t="shared" si="2"/>
        <v/>
      </c>
      <c r="J40" s="264" t="str">
        <f t="shared" si="3"/>
        <v/>
      </c>
      <c r="K40" s="264">
        <f t="shared" si="4"/>
        <v>0</v>
      </c>
      <c r="L40" s="266"/>
      <c r="M40" s="267">
        <f t="shared" si="18"/>
        <v>1</v>
      </c>
      <c r="N40" s="296" t="str">
        <f t="shared" si="19"/>
        <v/>
      </c>
      <c r="O40" s="297" t="str">
        <f t="shared" si="5"/>
        <v/>
      </c>
      <c r="P40" s="298" t="str">
        <f t="shared" si="20"/>
        <v/>
      </c>
      <c r="Q40" s="268" t="str">
        <f t="shared" si="6"/>
        <v/>
      </c>
      <c r="R40" s="269"/>
      <c r="S40" s="270" t="str">
        <f t="shared" si="21"/>
        <v/>
      </c>
      <c r="T40" s="271" t="str">
        <f t="shared" si="22"/>
        <v/>
      </c>
      <c r="V40" s="3">
        <f t="shared" si="7"/>
        <v>40</v>
      </c>
      <c r="W40" s="3">
        <v>9</v>
      </c>
      <c r="X40" s="3">
        <v>9</v>
      </c>
      <c r="Y40" s="3">
        <v>1</v>
      </c>
      <c r="AY40" s="187"/>
      <c r="AZ40" s="175" t="str">
        <f>"Difusores de "&amp;W40&amp;""""&amp;" × "&amp;X40&amp;""""&amp;" de "&amp;Y40&amp;" vía:"</f>
        <v>Difusores de 9" × 9" de 1 vía:</v>
      </c>
      <c r="BA40" s="174">
        <f t="shared" si="23"/>
        <v>0</v>
      </c>
      <c r="BB40" s="187"/>
      <c r="BC40" s="103">
        <f t="shared" si="24"/>
        <v>0</v>
      </c>
      <c r="BD40" s="103">
        <f t="shared" si="25"/>
        <v>0</v>
      </c>
      <c r="BE40" s="103">
        <f t="shared" si="8"/>
        <v>0</v>
      </c>
      <c r="BF40" s="181">
        <v>8</v>
      </c>
      <c r="BG40" s="181">
        <v>8</v>
      </c>
      <c r="BH40" s="184">
        <f t="shared" si="26"/>
        <v>0.44444444444444442</v>
      </c>
      <c r="BI40" s="185">
        <f t="shared" si="9"/>
        <v>244.44444444444443</v>
      </c>
      <c r="BJ40" s="185">
        <f t="shared" si="10"/>
        <v>1</v>
      </c>
      <c r="BK40" s="103">
        <f t="shared" si="27"/>
        <v>808</v>
      </c>
      <c r="BL40" s="103">
        <v>0</v>
      </c>
      <c r="BM40" s="103">
        <v>8</v>
      </c>
      <c r="BN40" s="103">
        <v>10</v>
      </c>
      <c r="BO40" s="103">
        <v>8</v>
      </c>
      <c r="BP40" s="103">
        <f t="shared" si="28"/>
        <v>810</v>
      </c>
      <c r="BQ40" s="103">
        <f t="shared" si="28"/>
        <v>1008</v>
      </c>
      <c r="BR40" s="173" t="str">
        <f t="shared" si="29"/>
        <v>Rejillas de 8" × 10":</v>
      </c>
      <c r="BS40" s="180">
        <f t="shared" si="11"/>
        <v>0</v>
      </c>
      <c r="BT40" s="180">
        <f t="shared" si="12"/>
        <v>0</v>
      </c>
      <c r="BU40" s="180">
        <f t="shared" si="30"/>
        <v>0</v>
      </c>
      <c r="BV40" s="187"/>
      <c r="BW40" s="103">
        <f t="shared" si="67"/>
        <v>0</v>
      </c>
      <c r="BX40" s="173" t="str">
        <f t="shared" si="13"/>
        <v>Rejillas de 14" × 28":</v>
      </c>
      <c r="BY40" s="180">
        <f t="shared" si="14"/>
        <v>0</v>
      </c>
      <c r="BZ40" s="180">
        <f t="shared" si="15"/>
        <v>0</v>
      </c>
      <c r="CA40" s="180">
        <f t="shared" si="16"/>
        <v>0</v>
      </c>
      <c r="CB40" s="187"/>
      <c r="CC40" s="222" t="str">
        <f t="shared" si="31"/>
        <v/>
      </c>
      <c r="CD40" s="218" t="str">
        <f t="shared" si="62"/>
        <v/>
      </c>
      <c r="CE40" s="198" t="str">
        <f t="shared" si="32"/>
        <v/>
      </c>
      <c r="CF40" s="138" t="str">
        <f t="shared" si="33"/>
        <v/>
      </c>
      <c r="CG40" s="211" t="str">
        <f t="shared" si="34"/>
        <v/>
      </c>
      <c r="CH40" s="212" t="str">
        <f t="shared" si="34"/>
        <v/>
      </c>
      <c r="CI40" s="213" t="str">
        <f t="shared" si="34"/>
        <v/>
      </c>
      <c r="CJ40" s="138" t="str">
        <f t="shared" si="34"/>
        <v/>
      </c>
      <c r="CK40" s="199" t="str">
        <f t="shared" si="35"/>
        <v/>
      </c>
      <c r="CL40" s="200" t="str">
        <f t="shared" si="36"/>
        <v/>
      </c>
      <c r="CM40" s="201" t="str">
        <f t="shared" si="36"/>
        <v/>
      </c>
      <c r="CN40" s="202"/>
      <c r="CO40" s="222" t="str">
        <f t="shared" si="37"/>
        <v/>
      </c>
      <c r="CP40" s="199" t="str">
        <f t="shared" si="63"/>
        <v/>
      </c>
      <c r="CQ40" s="198" t="str">
        <f t="shared" si="38"/>
        <v/>
      </c>
      <c r="CR40" s="138" t="str">
        <f t="shared" si="39"/>
        <v/>
      </c>
      <c r="CS40" s="211" t="str">
        <f t="shared" si="40"/>
        <v/>
      </c>
      <c r="CT40" s="212" t="str">
        <f t="shared" si="40"/>
        <v/>
      </c>
      <c r="CU40" s="213" t="str">
        <f t="shared" si="40"/>
        <v/>
      </c>
      <c r="CV40" s="138" t="str">
        <f t="shared" si="40"/>
        <v/>
      </c>
      <c r="CW40" s="199" t="str">
        <f t="shared" si="41"/>
        <v/>
      </c>
      <c r="CX40" s="200" t="str">
        <f t="shared" si="42"/>
        <v/>
      </c>
      <c r="CY40" s="201" t="str">
        <f t="shared" si="42"/>
        <v/>
      </c>
      <c r="CZ40" s="202"/>
      <c r="DA40" s="222" t="str">
        <f t="shared" si="43"/>
        <v/>
      </c>
      <c r="DB40" s="199" t="str">
        <f t="shared" si="64"/>
        <v/>
      </c>
      <c r="DC40" s="198" t="str">
        <f t="shared" si="44"/>
        <v/>
      </c>
      <c r="DD40" s="138" t="str">
        <f t="shared" si="45"/>
        <v/>
      </c>
      <c r="DE40" s="211" t="str">
        <f t="shared" si="46"/>
        <v/>
      </c>
      <c r="DF40" s="212" t="str">
        <f t="shared" si="46"/>
        <v/>
      </c>
      <c r="DG40" s="213" t="str">
        <f t="shared" si="46"/>
        <v/>
      </c>
      <c r="DH40" s="138" t="str">
        <f t="shared" si="46"/>
        <v/>
      </c>
      <c r="DI40" s="199" t="str">
        <f t="shared" si="47"/>
        <v/>
      </c>
      <c r="DJ40" s="200" t="str">
        <f t="shared" si="48"/>
        <v/>
      </c>
      <c r="DK40" s="201" t="str">
        <f t="shared" si="48"/>
        <v/>
      </c>
      <c r="DL40" s="202"/>
      <c r="DM40" s="222" t="str">
        <f t="shared" si="49"/>
        <v/>
      </c>
      <c r="DN40" s="199" t="str">
        <f t="shared" si="65"/>
        <v/>
      </c>
      <c r="DO40" s="198" t="str">
        <f t="shared" si="50"/>
        <v/>
      </c>
      <c r="DP40" s="138" t="str">
        <f t="shared" si="51"/>
        <v/>
      </c>
      <c r="DQ40" s="211" t="str">
        <f t="shared" si="52"/>
        <v/>
      </c>
      <c r="DR40" s="212" t="str">
        <f t="shared" si="52"/>
        <v/>
      </c>
      <c r="DS40" s="213" t="str">
        <f t="shared" si="52"/>
        <v/>
      </c>
      <c r="DT40" s="138" t="str">
        <f t="shared" si="52"/>
        <v/>
      </c>
      <c r="DU40" s="199" t="str">
        <f t="shared" si="53"/>
        <v/>
      </c>
      <c r="DV40" s="200" t="str">
        <f t="shared" si="54"/>
        <v/>
      </c>
      <c r="DW40" s="201" t="str">
        <f t="shared" si="54"/>
        <v/>
      </c>
      <c r="DX40" s="202"/>
      <c r="DY40" s="222" t="str">
        <f t="shared" si="55"/>
        <v/>
      </c>
      <c r="DZ40" s="199" t="str">
        <f t="shared" si="66"/>
        <v/>
      </c>
      <c r="EA40" s="198" t="str">
        <f t="shared" si="56"/>
        <v/>
      </c>
      <c r="EB40" s="138" t="str">
        <f t="shared" si="57"/>
        <v/>
      </c>
      <c r="EC40" s="211" t="str">
        <f t="shared" si="58"/>
        <v/>
      </c>
      <c r="ED40" s="212" t="str">
        <f t="shared" si="58"/>
        <v/>
      </c>
      <c r="EE40" s="213" t="str">
        <f t="shared" si="58"/>
        <v/>
      </c>
      <c r="EF40" s="138" t="str">
        <f t="shared" si="58"/>
        <v/>
      </c>
      <c r="EG40" s="199" t="str">
        <f t="shared" si="59"/>
        <v/>
      </c>
      <c r="EH40" s="200" t="str">
        <f t="shared" si="60"/>
        <v/>
      </c>
      <c r="EI40" s="201" t="str">
        <f t="shared" si="60"/>
        <v/>
      </c>
      <c r="EJ40" s="229"/>
    </row>
    <row r="41" spans="1:140" x14ac:dyDescent="0.3">
      <c r="A41" s="375">
        <v>8</v>
      </c>
      <c r="B41" s="272"/>
      <c r="C41" s="261">
        <f t="shared" si="17"/>
        <v>4</v>
      </c>
      <c r="D41" s="372"/>
      <c r="E41" s="274"/>
      <c r="F41" s="273" t="str">
        <f t="shared" si="0"/>
        <v/>
      </c>
      <c r="G41" s="275" t="str">
        <f t="shared" si="0"/>
        <v/>
      </c>
      <c r="H41" s="276" t="str">
        <f t="shared" si="1"/>
        <v/>
      </c>
      <c r="I41" s="277" t="str">
        <f t="shared" si="2"/>
        <v/>
      </c>
      <c r="J41" s="276" t="str">
        <f t="shared" si="3"/>
        <v/>
      </c>
      <c r="K41" s="276">
        <f t="shared" si="4"/>
        <v>0</v>
      </c>
      <c r="L41" s="278"/>
      <c r="M41" s="279">
        <f t="shared" si="18"/>
        <v>1</v>
      </c>
      <c r="N41" s="299" t="str">
        <f t="shared" si="19"/>
        <v/>
      </c>
      <c r="O41" s="117" t="str">
        <f t="shared" si="5"/>
        <v/>
      </c>
      <c r="P41" s="300" t="str">
        <f t="shared" si="20"/>
        <v/>
      </c>
      <c r="Q41" s="280" t="str">
        <f t="shared" si="6"/>
        <v/>
      </c>
      <c r="R41" s="281"/>
      <c r="S41" s="282" t="str">
        <f t="shared" si="21"/>
        <v/>
      </c>
      <c r="T41" s="283" t="str">
        <f t="shared" si="22"/>
        <v/>
      </c>
      <c r="V41" s="3">
        <f t="shared" si="7"/>
        <v>40</v>
      </c>
      <c r="W41" s="3">
        <v>9</v>
      </c>
      <c r="X41" s="3">
        <v>9</v>
      </c>
      <c r="Y41" s="3">
        <v>2</v>
      </c>
      <c r="AY41" s="187"/>
      <c r="AZ41" s="175" t="str">
        <f>"Difusores de "&amp;W41&amp;""""&amp;" × "&amp;X41&amp;""""&amp;" de "&amp;Y41&amp;" vías:"</f>
        <v>Difusores de 9" × 9" de 2 vías:</v>
      </c>
      <c r="BA41" s="174">
        <f t="shared" si="23"/>
        <v>0</v>
      </c>
      <c r="BB41" s="187"/>
      <c r="BC41" s="103">
        <f t="shared" si="24"/>
        <v>0</v>
      </c>
      <c r="BD41" s="103">
        <f t="shared" si="25"/>
        <v>0</v>
      </c>
      <c r="BE41" s="103">
        <f t="shared" si="8"/>
        <v>0</v>
      </c>
      <c r="BF41" s="181">
        <v>8</v>
      </c>
      <c r="BG41" s="181">
        <v>10</v>
      </c>
      <c r="BH41" s="184">
        <f t="shared" si="26"/>
        <v>0.55555555555555558</v>
      </c>
      <c r="BI41" s="185">
        <f t="shared" si="9"/>
        <v>305.55555555555554</v>
      </c>
      <c r="BJ41" s="185">
        <f t="shared" si="10"/>
        <v>0.8</v>
      </c>
      <c r="BK41" s="103">
        <f t="shared" si="27"/>
        <v>810</v>
      </c>
      <c r="BL41" s="103">
        <v>0</v>
      </c>
      <c r="BM41" s="103">
        <v>8</v>
      </c>
      <c r="BN41" s="103">
        <v>12</v>
      </c>
      <c r="BO41" s="103">
        <v>8</v>
      </c>
      <c r="BP41" s="103">
        <f t="shared" si="28"/>
        <v>812</v>
      </c>
      <c r="BQ41" s="103">
        <f t="shared" si="28"/>
        <v>1208</v>
      </c>
      <c r="BR41" s="173" t="str">
        <f t="shared" si="29"/>
        <v>Rejillas de 8" × 12":</v>
      </c>
      <c r="BS41" s="180">
        <f t="shared" si="11"/>
        <v>0</v>
      </c>
      <c r="BT41" s="180">
        <f t="shared" si="12"/>
        <v>0</v>
      </c>
      <c r="BU41" s="180">
        <f t="shared" si="30"/>
        <v>0</v>
      </c>
      <c r="BV41" s="187"/>
      <c r="BW41" s="103">
        <f t="shared" si="67"/>
        <v>0</v>
      </c>
      <c r="BX41" s="173" t="str">
        <f t="shared" si="13"/>
        <v>Rejillas de 16" × 16":</v>
      </c>
      <c r="BY41" s="180">
        <f t="shared" si="14"/>
        <v>0</v>
      </c>
      <c r="BZ41" s="180">
        <f t="shared" si="15"/>
        <v>0</v>
      </c>
      <c r="CA41" s="180">
        <f t="shared" si="16"/>
        <v>0</v>
      </c>
      <c r="CB41" s="187"/>
      <c r="CC41" s="222" t="str">
        <f t="shared" si="31"/>
        <v/>
      </c>
      <c r="CD41" s="218" t="str">
        <f t="shared" si="62"/>
        <v/>
      </c>
      <c r="CE41" s="198" t="str">
        <f t="shared" si="32"/>
        <v/>
      </c>
      <c r="CF41" s="138" t="str">
        <f t="shared" si="33"/>
        <v/>
      </c>
      <c r="CG41" s="211" t="str">
        <f t="shared" si="34"/>
        <v/>
      </c>
      <c r="CH41" s="212" t="str">
        <f t="shared" si="34"/>
        <v/>
      </c>
      <c r="CI41" s="213" t="str">
        <f t="shared" si="34"/>
        <v/>
      </c>
      <c r="CJ41" s="138" t="str">
        <f t="shared" si="34"/>
        <v/>
      </c>
      <c r="CK41" s="199" t="str">
        <f t="shared" si="35"/>
        <v/>
      </c>
      <c r="CL41" s="200" t="str">
        <f t="shared" si="36"/>
        <v/>
      </c>
      <c r="CM41" s="201" t="str">
        <f t="shared" si="36"/>
        <v/>
      </c>
      <c r="CN41" s="202"/>
      <c r="CO41" s="222" t="str">
        <f t="shared" si="37"/>
        <v/>
      </c>
      <c r="CP41" s="199" t="str">
        <f t="shared" si="63"/>
        <v/>
      </c>
      <c r="CQ41" s="198" t="str">
        <f t="shared" si="38"/>
        <v/>
      </c>
      <c r="CR41" s="138" t="str">
        <f t="shared" si="39"/>
        <v/>
      </c>
      <c r="CS41" s="211" t="str">
        <f t="shared" si="40"/>
        <v/>
      </c>
      <c r="CT41" s="212" t="str">
        <f t="shared" si="40"/>
        <v/>
      </c>
      <c r="CU41" s="213" t="str">
        <f t="shared" si="40"/>
        <v/>
      </c>
      <c r="CV41" s="138" t="str">
        <f t="shared" si="40"/>
        <v/>
      </c>
      <c r="CW41" s="199" t="str">
        <f t="shared" si="41"/>
        <v/>
      </c>
      <c r="CX41" s="200" t="str">
        <f t="shared" si="42"/>
        <v/>
      </c>
      <c r="CY41" s="201" t="str">
        <f t="shared" si="42"/>
        <v/>
      </c>
      <c r="CZ41" s="202"/>
      <c r="DA41" s="222" t="str">
        <f t="shared" si="43"/>
        <v/>
      </c>
      <c r="DB41" s="199" t="str">
        <f t="shared" si="64"/>
        <v/>
      </c>
      <c r="DC41" s="198" t="str">
        <f t="shared" si="44"/>
        <v/>
      </c>
      <c r="DD41" s="138" t="str">
        <f t="shared" si="45"/>
        <v/>
      </c>
      <c r="DE41" s="211" t="str">
        <f t="shared" si="46"/>
        <v/>
      </c>
      <c r="DF41" s="212" t="str">
        <f t="shared" si="46"/>
        <v/>
      </c>
      <c r="DG41" s="213" t="str">
        <f t="shared" si="46"/>
        <v/>
      </c>
      <c r="DH41" s="138" t="str">
        <f t="shared" si="46"/>
        <v/>
      </c>
      <c r="DI41" s="199" t="str">
        <f t="shared" si="47"/>
        <v/>
      </c>
      <c r="DJ41" s="200" t="str">
        <f t="shared" si="48"/>
        <v/>
      </c>
      <c r="DK41" s="201" t="str">
        <f t="shared" si="48"/>
        <v/>
      </c>
      <c r="DL41" s="202"/>
      <c r="DM41" s="222" t="str">
        <f t="shared" si="49"/>
        <v/>
      </c>
      <c r="DN41" s="199" t="str">
        <f t="shared" si="65"/>
        <v/>
      </c>
      <c r="DO41" s="198" t="str">
        <f t="shared" si="50"/>
        <v/>
      </c>
      <c r="DP41" s="138" t="str">
        <f t="shared" si="51"/>
        <v/>
      </c>
      <c r="DQ41" s="211" t="str">
        <f t="shared" si="52"/>
        <v/>
      </c>
      <c r="DR41" s="212" t="str">
        <f t="shared" si="52"/>
        <v/>
      </c>
      <c r="DS41" s="213" t="str">
        <f t="shared" si="52"/>
        <v/>
      </c>
      <c r="DT41" s="138" t="str">
        <f t="shared" si="52"/>
        <v/>
      </c>
      <c r="DU41" s="199" t="str">
        <f t="shared" si="53"/>
        <v/>
      </c>
      <c r="DV41" s="200" t="str">
        <f t="shared" si="54"/>
        <v/>
      </c>
      <c r="DW41" s="201" t="str">
        <f t="shared" si="54"/>
        <v/>
      </c>
      <c r="DX41" s="202"/>
      <c r="DY41" s="222" t="str">
        <f t="shared" si="55"/>
        <v/>
      </c>
      <c r="DZ41" s="199" t="str">
        <f t="shared" si="66"/>
        <v/>
      </c>
      <c r="EA41" s="198" t="str">
        <f t="shared" si="56"/>
        <v/>
      </c>
      <c r="EB41" s="138" t="str">
        <f t="shared" si="57"/>
        <v/>
      </c>
      <c r="EC41" s="211" t="str">
        <f t="shared" si="58"/>
        <v/>
      </c>
      <c r="ED41" s="212" t="str">
        <f t="shared" si="58"/>
        <v/>
      </c>
      <c r="EE41" s="213" t="str">
        <f t="shared" si="58"/>
        <v/>
      </c>
      <c r="EF41" s="138" t="str">
        <f t="shared" si="58"/>
        <v/>
      </c>
      <c r="EG41" s="199" t="str">
        <f t="shared" si="59"/>
        <v/>
      </c>
      <c r="EH41" s="200" t="str">
        <f t="shared" si="60"/>
        <v/>
      </c>
      <c r="EI41" s="201" t="str">
        <f t="shared" si="60"/>
        <v/>
      </c>
      <c r="EJ41" s="229"/>
    </row>
    <row r="42" spans="1:140" x14ac:dyDescent="0.3">
      <c r="A42" s="375">
        <v>9</v>
      </c>
      <c r="B42" s="284"/>
      <c r="C42" s="261">
        <f t="shared" si="17"/>
        <v>4</v>
      </c>
      <c r="D42" s="373"/>
      <c r="E42" s="286"/>
      <c r="F42" s="285" t="str">
        <f t="shared" si="0"/>
        <v/>
      </c>
      <c r="G42" s="287" t="str">
        <f t="shared" si="0"/>
        <v/>
      </c>
      <c r="H42" s="288" t="str">
        <f>IF(COUNTIF($E$34:$E$183,E42)=0,"",COUNTIF($E$34:$E$183,E42))</f>
        <v/>
      </c>
      <c r="I42" s="289" t="str">
        <f t="shared" si="2"/>
        <v/>
      </c>
      <c r="J42" s="288" t="str">
        <f t="shared" si="3"/>
        <v/>
      </c>
      <c r="K42" s="288">
        <f t="shared" si="4"/>
        <v>0</v>
      </c>
      <c r="L42" s="290"/>
      <c r="M42" s="291">
        <f t="shared" si="18"/>
        <v>1</v>
      </c>
      <c r="N42" s="301" t="str">
        <f t="shared" si="19"/>
        <v/>
      </c>
      <c r="O42" s="302" t="str">
        <f t="shared" si="5"/>
        <v/>
      </c>
      <c r="P42" s="303" t="str">
        <f t="shared" si="20"/>
        <v/>
      </c>
      <c r="Q42" s="292" t="str">
        <f t="shared" si="6"/>
        <v/>
      </c>
      <c r="R42" s="293"/>
      <c r="S42" s="294" t="str">
        <f t="shared" si="21"/>
        <v/>
      </c>
      <c r="T42" s="295" t="str">
        <f t="shared" si="22"/>
        <v/>
      </c>
      <c r="V42" s="3">
        <f t="shared" si="7"/>
        <v>40</v>
      </c>
      <c r="W42" s="3">
        <v>9</v>
      </c>
      <c r="X42" s="3">
        <v>9</v>
      </c>
      <c r="Y42" s="3">
        <v>3</v>
      </c>
      <c r="AY42" s="187"/>
      <c r="AZ42" s="175" t="str">
        <f>"Difusores de "&amp;W42&amp;""""&amp;" × "&amp;X42&amp;""""&amp;" de "&amp;Y42&amp;" vías:"</f>
        <v>Difusores de 9" × 9" de 3 vías:</v>
      </c>
      <c r="BA42" s="174">
        <f t="shared" si="23"/>
        <v>0</v>
      </c>
      <c r="BB42" s="187"/>
      <c r="BC42" s="103">
        <f t="shared" si="24"/>
        <v>0</v>
      </c>
      <c r="BD42" s="103">
        <f t="shared" si="25"/>
        <v>0</v>
      </c>
      <c r="BE42" s="103">
        <f t="shared" si="8"/>
        <v>0</v>
      </c>
      <c r="BF42" s="181">
        <v>8</v>
      </c>
      <c r="BG42" s="181">
        <v>12</v>
      </c>
      <c r="BH42" s="184">
        <f t="shared" si="26"/>
        <v>0.66666666666666663</v>
      </c>
      <c r="BI42" s="185">
        <f t="shared" si="9"/>
        <v>366.66666666666663</v>
      </c>
      <c r="BJ42" s="185">
        <f t="shared" si="10"/>
        <v>0.66666666666666663</v>
      </c>
      <c r="BK42" s="103">
        <f t="shared" si="27"/>
        <v>812</v>
      </c>
      <c r="BL42" s="103">
        <v>0</v>
      </c>
      <c r="BM42" s="103">
        <v>8</v>
      </c>
      <c r="BN42" s="103">
        <v>14</v>
      </c>
      <c r="BO42" s="103">
        <v>8</v>
      </c>
      <c r="BP42" s="103">
        <f t="shared" si="28"/>
        <v>814</v>
      </c>
      <c r="BQ42" s="103">
        <f t="shared" si="28"/>
        <v>1408</v>
      </c>
      <c r="BR42" s="173" t="str">
        <f t="shared" si="29"/>
        <v>Rejillas de 8" × 14":</v>
      </c>
      <c r="BS42" s="180">
        <f t="shared" si="11"/>
        <v>0</v>
      </c>
      <c r="BT42" s="180">
        <f t="shared" si="12"/>
        <v>0</v>
      </c>
      <c r="BU42" s="180">
        <f t="shared" si="30"/>
        <v>0</v>
      </c>
      <c r="BV42" s="187"/>
      <c r="BW42" s="103">
        <f t="shared" si="67"/>
        <v>0</v>
      </c>
      <c r="BX42" s="173" t="str">
        <f t="shared" si="13"/>
        <v>Rejillas de 16" × 18":</v>
      </c>
      <c r="BY42" s="180">
        <f t="shared" si="14"/>
        <v>0</v>
      </c>
      <c r="BZ42" s="180">
        <f t="shared" si="15"/>
        <v>0</v>
      </c>
      <c r="CA42" s="180">
        <f t="shared" si="16"/>
        <v>0</v>
      </c>
      <c r="CB42" s="187"/>
      <c r="CC42" s="222" t="str">
        <f t="shared" si="31"/>
        <v/>
      </c>
      <c r="CD42" s="218" t="str">
        <f t="shared" si="62"/>
        <v/>
      </c>
      <c r="CE42" s="198" t="str">
        <f t="shared" si="32"/>
        <v/>
      </c>
      <c r="CF42" s="138" t="str">
        <f t="shared" si="33"/>
        <v/>
      </c>
      <c r="CG42" s="211" t="str">
        <f t="shared" si="34"/>
        <v/>
      </c>
      <c r="CH42" s="212" t="str">
        <f t="shared" si="34"/>
        <v/>
      </c>
      <c r="CI42" s="213" t="str">
        <f t="shared" si="34"/>
        <v/>
      </c>
      <c r="CJ42" s="138" t="str">
        <f t="shared" si="34"/>
        <v/>
      </c>
      <c r="CK42" s="199" t="str">
        <f t="shared" si="35"/>
        <v/>
      </c>
      <c r="CL42" s="200" t="str">
        <f t="shared" si="36"/>
        <v/>
      </c>
      <c r="CM42" s="201" t="str">
        <f t="shared" si="36"/>
        <v/>
      </c>
      <c r="CN42" s="202"/>
      <c r="CO42" s="222" t="str">
        <f t="shared" si="37"/>
        <v/>
      </c>
      <c r="CP42" s="199" t="str">
        <f t="shared" si="63"/>
        <v/>
      </c>
      <c r="CQ42" s="198" t="str">
        <f t="shared" si="38"/>
        <v/>
      </c>
      <c r="CR42" s="138" t="str">
        <f t="shared" si="39"/>
        <v/>
      </c>
      <c r="CS42" s="211" t="str">
        <f t="shared" si="40"/>
        <v/>
      </c>
      <c r="CT42" s="212" t="str">
        <f t="shared" si="40"/>
        <v/>
      </c>
      <c r="CU42" s="213" t="str">
        <f t="shared" si="40"/>
        <v/>
      </c>
      <c r="CV42" s="138" t="str">
        <f t="shared" si="40"/>
        <v/>
      </c>
      <c r="CW42" s="199" t="str">
        <f t="shared" si="41"/>
        <v/>
      </c>
      <c r="CX42" s="200" t="str">
        <f t="shared" si="42"/>
        <v/>
      </c>
      <c r="CY42" s="201" t="str">
        <f t="shared" si="42"/>
        <v/>
      </c>
      <c r="CZ42" s="202"/>
      <c r="DA42" s="222" t="str">
        <f t="shared" si="43"/>
        <v/>
      </c>
      <c r="DB42" s="199" t="str">
        <f t="shared" si="64"/>
        <v/>
      </c>
      <c r="DC42" s="198" t="str">
        <f t="shared" si="44"/>
        <v/>
      </c>
      <c r="DD42" s="138" t="str">
        <f t="shared" si="45"/>
        <v/>
      </c>
      <c r="DE42" s="211" t="str">
        <f t="shared" si="46"/>
        <v/>
      </c>
      <c r="DF42" s="212" t="str">
        <f t="shared" si="46"/>
        <v/>
      </c>
      <c r="DG42" s="213" t="str">
        <f t="shared" si="46"/>
        <v/>
      </c>
      <c r="DH42" s="138" t="str">
        <f t="shared" si="46"/>
        <v/>
      </c>
      <c r="DI42" s="199" t="str">
        <f t="shared" si="47"/>
        <v/>
      </c>
      <c r="DJ42" s="200" t="str">
        <f t="shared" si="48"/>
        <v/>
      </c>
      <c r="DK42" s="201" t="str">
        <f t="shared" si="48"/>
        <v/>
      </c>
      <c r="DL42" s="202"/>
      <c r="DM42" s="222" t="str">
        <f t="shared" si="49"/>
        <v/>
      </c>
      <c r="DN42" s="199" t="str">
        <f t="shared" si="65"/>
        <v/>
      </c>
      <c r="DO42" s="198" t="str">
        <f t="shared" si="50"/>
        <v/>
      </c>
      <c r="DP42" s="138" t="str">
        <f t="shared" si="51"/>
        <v/>
      </c>
      <c r="DQ42" s="211" t="str">
        <f t="shared" si="52"/>
        <v/>
      </c>
      <c r="DR42" s="212" t="str">
        <f t="shared" si="52"/>
        <v/>
      </c>
      <c r="DS42" s="213" t="str">
        <f t="shared" si="52"/>
        <v/>
      </c>
      <c r="DT42" s="138" t="str">
        <f t="shared" si="52"/>
        <v/>
      </c>
      <c r="DU42" s="199" t="str">
        <f t="shared" si="53"/>
        <v/>
      </c>
      <c r="DV42" s="200" t="str">
        <f t="shared" si="54"/>
        <v/>
      </c>
      <c r="DW42" s="201" t="str">
        <f t="shared" si="54"/>
        <v/>
      </c>
      <c r="DX42" s="202"/>
      <c r="DY42" s="222" t="str">
        <f t="shared" si="55"/>
        <v/>
      </c>
      <c r="DZ42" s="199" t="str">
        <f t="shared" si="66"/>
        <v/>
      </c>
      <c r="EA42" s="198" t="str">
        <f t="shared" si="56"/>
        <v/>
      </c>
      <c r="EB42" s="138" t="str">
        <f t="shared" si="57"/>
        <v/>
      </c>
      <c r="EC42" s="211" t="str">
        <f t="shared" si="58"/>
        <v/>
      </c>
      <c r="ED42" s="212" t="str">
        <f t="shared" si="58"/>
        <v/>
      </c>
      <c r="EE42" s="213" t="str">
        <f t="shared" si="58"/>
        <v/>
      </c>
      <c r="EF42" s="138" t="str">
        <f t="shared" si="58"/>
        <v/>
      </c>
      <c r="EG42" s="199" t="str">
        <f t="shared" si="59"/>
        <v/>
      </c>
      <c r="EH42" s="200" t="str">
        <f t="shared" si="60"/>
        <v/>
      </c>
      <c r="EI42" s="201" t="str">
        <f t="shared" si="60"/>
        <v/>
      </c>
      <c r="EJ42" s="229"/>
    </row>
    <row r="43" spans="1:140" x14ac:dyDescent="0.3">
      <c r="A43" s="375">
        <v>10</v>
      </c>
      <c r="B43" s="260"/>
      <c r="C43" s="261">
        <f t="shared" si="17"/>
        <v>4</v>
      </c>
      <c r="D43" s="371"/>
      <c r="E43" s="262"/>
      <c r="F43" s="261" t="str">
        <f t="shared" si="0"/>
        <v/>
      </c>
      <c r="G43" s="263" t="str">
        <f t="shared" si="0"/>
        <v/>
      </c>
      <c r="H43" s="264" t="str">
        <f t="shared" si="1"/>
        <v/>
      </c>
      <c r="I43" s="265" t="str">
        <f t="shared" si="2"/>
        <v/>
      </c>
      <c r="J43" s="264" t="str">
        <f t="shared" si="3"/>
        <v/>
      </c>
      <c r="K43" s="264">
        <f t="shared" si="4"/>
        <v>0</v>
      </c>
      <c r="L43" s="266"/>
      <c r="M43" s="267">
        <f t="shared" si="18"/>
        <v>1</v>
      </c>
      <c r="N43" s="296" t="str">
        <f t="shared" si="19"/>
        <v/>
      </c>
      <c r="O43" s="297" t="str">
        <f t="shared" si="5"/>
        <v/>
      </c>
      <c r="P43" s="298" t="str">
        <f t="shared" si="20"/>
        <v/>
      </c>
      <c r="Q43" s="268" t="str">
        <f t="shared" si="6"/>
        <v/>
      </c>
      <c r="R43" s="269"/>
      <c r="S43" s="270" t="str">
        <f t="shared" si="21"/>
        <v/>
      </c>
      <c r="T43" s="271" t="str">
        <f t="shared" si="22"/>
        <v/>
      </c>
      <c r="V43" s="3">
        <f t="shared" si="7"/>
        <v>40</v>
      </c>
      <c r="W43" s="3">
        <v>9</v>
      </c>
      <c r="X43" s="3">
        <v>9</v>
      </c>
      <c r="Y43" s="3">
        <v>4</v>
      </c>
      <c r="AY43" s="187"/>
      <c r="AZ43" s="175" t="str">
        <f>"Difusores de "&amp;W43&amp;""""&amp;" × "&amp;X43&amp;""""&amp;" de "&amp;Y43&amp;" vías:"</f>
        <v>Difusores de 9" × 9" de 4 vías:</v>
      </c>
      <c r="BA43" s="174">
        <f t="shared" si="23"/>
        <v>0</v>
      </c>
      <c r="BB43" s="187"/>
      <c r="BC43" s="103">
        <f t="shared" si="24"/>
        <v>0</v>
      </c>
      <c r="BD43" s="103">
        <f t="shared" si="25"/>
        <v>0</v>
      </c>
      <c r="BE43" s="103">
        <f t="shared" si="8"/>
        <v>0</v>
      </c>
      <c r="BF43" s="181">
        <v>8</v>
      </c>
      <c r="BG43" s="181">
        <v>14</v>
      </c>
      <c r="BH43" s="184">
        <f t="shared" si="26"/>
        <v>0.77777777777777779</v>
      </c>
      <c r="BI43" s="185">
        <f t="shared" si="9"/>
        <v>427.77777777777777</v>
      </c>
      <c r="BJ43" s="185">
        <f t="shared" si="10"/>
        <v>0.5714285714285714</v>
      </c>
      <c r="BK43" s="103">
        <f t="shared" si="27"/>
        <v>814</v>
      </c>
      <c r="BL43" s="103">
        <v>0</v>
      </c>
      <c r="BM43" s="103">
        <v>8</v>
      </c>
      <c r="BN43" s="103">
        <v>16</v>
      </c>
      <c r="BO43" s="103">
        <v>8</v>
      </c>
      <c r="BP43" s="103">
        <f t="shared" si="28"/>
        <v>816</v>
      </c>
      <c r="BQ43" s="103">
        <f t="shared" si="28"/>
        <v>1608</v>
      </c>
      <c r="BR43" s="173" t="str">
        <f t="shared" si="29"/>
        <v>Rejillas de 8" × 16":</v>
      </c>
      <c r="BS43" s="180">
        <f t="shared" si="11"/>
        <v>0</v>
      </c>
      <c r="BT43" s="180">
        <f t="shared" si="12"/>
        <v>0</v>
      </c>
      <c r="BU43" s="180">
        <f t="shared" si="30"/>
        <v>0</v>
      </c>
      <c r="BV43" s="187"/>
      <c r="BW43" s="103">
        <f t="shared" si="67"/>
        <v>0</v>
      </c>
      <c r="BX43" s="173" t="str">
        <f t="shared" si="13"/>
        <v>Rejillas de 16" × 20":</v>
      </c>
      <c r="BY43" s="180">
        <f t="shared" si="14"/>
        <v>0</v>
      </c>
      <c r="BZ43" s="180">
        <f t="shared" si="15"/>
        <v>0</v>
      </c>
      <c r="CA43" s="180">
        <f t="shared" si="16"/>
        <v>0</v>
      </c>
      <c r="CB43" s="187"/>
      <c r="CC43" s="222" t="str">
        <f t="shared" si="31"/>
        <v/>
      </c>
      <c r="CD43" s="218" t="str">
        <f t="shared" si="62"/>
        <v/>
      </c>
      <c r="CE43" s="198" t="str">
        <f t="shared" si="32"/>
        <v/>
      </c>
      <c r="CF43" s="138" t="str">
        <f t="shared" si="33"/>
        <v/>
      </c>
      <c r="CG43" s="211" t="str">
        <f t="shared" si="34"/>
        <v/>
      </c>
      <c r="CH43" s="212" t="str">
        <f t="shared" si="34"/>
        <v/>
      </c>
      <c r="CI43" s="213" t="str">
        <f t="shared" si="34"/>
        <v/>
      </c>
      <c r="CJ43" s="138" t="str">
        <f t="shared" si="34"/>
        <v/>
      </c>
      <c r="CK43" s="199" t="str">
        <f t="shared" si="35"/>
        <v/>
      </c>
      <c r="CL43" s="200" t="str">
        <f t="shared" si="36"/>
        <v/>
      </c>
      <c r="CM43" s="201" t="str">
        <f t="shared" si="36"/>
        <v/>
      </c>
      <c r="CN43" s="202"/>
      <c r="CO43" s="222" t="str">
        <f t="shared" si="37"/>
        <v/>
      </c>
      <c r="CP43" s="199" t="str">
        <f t="shared" si="63"/>
        <v/>
      </c>
      <c r="CQ43" s="198" t="str">
        <f t="shared" si="38"/>
        <v/>
      </c>
      <c r="CR43" s="138" t="str">
        <f t="shared" si="39"/>
        <v/>
      </c>
      <c r="CS43" s="211" t="str">
        <f t="shared" si="40"/>
        <v/>
      </c>
      <c r="CT43" s="212" t="str">
        <f t="shared" si="40"/>
        <v/>
      </c>
      <c r="CU43" s="213" t="str">
        <f t="shared" si="40"/>
        <v/>
      </c>
      <c r="CV43" s="138" t="str">
        <f t="shared" si="40"/>
        <v/>
      </c>
      <c r="CW43" s="199" t="str">
        <f t="shared" si="41"/>
        <v/>
      </c>
      <c r="CX43" s="200" t="str">
        <f t="shared" si="42"/>
        <v/>
      </c>
      <c r="CY43" s="201" t="str">
        <f t="shared" si="42"/>
        <v/>
      </c>
      <c r="CZ43" s="202"/>
      <c r="DA43" s="222" t="str">
        <f t="shared" si="43"/>
        <v/>
      </c>
      <c r="DB43" s="199" t="str">
        <f t="shared" si="64"/>
        <v/>
      </c>
      <c r="DC43" s="198" t="str">
        <f t="shared" si="44"/>
        <v/>
      </c>
      <c r="DD43" s="138" t="str">
        <f t="shared" si="45"/>
        <v/>
      </c>
      <c r="DE43" s="211" t="str">
        <f t="shared" si="46"/>
        <v/>
      </c>
      <c r="DF43" s="212" t="str">
        <f t="shared" si="46"/>
        <v/>
      </c>
      <c r="DG43" s="213" t="str">
        <f t="shared" si="46"/>
        <v/>
      </c>
      <c r="DH43" s="138" t="str">
        <f t="shared" si="46"/>
        <v/>
      </c>
      <c r="DI43" s="199" t="str">
        <f t="shared" si="47"/>
        <v/>
      </c>
      <c r="DJ43" s="200" t="str">
        <f t="shared" si="48"/>
        <v/>
      </c>
      <c r="DK43" s="201" t="str">
        <f t="shared" si="48"/>
        <v/>
      </c>
      <c r="DL43" s="202"/>
      <c r="DM43" s="222" t="str">
        <f t="shared" si="49"/>
        <v/>
      </c>
      <c r="DN43" s="199" t="str">
        <f t="shared" si="65"/>
        <v/>
      </c>
      <c r="DO43" s="198" t="str">
        <f t="shared" si="50"/>
        <v/>
      </c>
      <c r="DP43" s="138" t="str">
        <f t="shared" si="51"/>
        <v/>
      </c>
      <c r="DQ43" s="211" t="str">
        <f t="shared" si="52"/>
        <v/>
      </c>
      <c r="DR43" s="212" t="str">
        <f t="shared" si="52"/>
        <v/>
      </c>
      <c r="DS43" s="213" t="str">
        <f t="shared" si="52"/>
        <v/>
      </c>
      <c r="DT43" s="138" t="str">
        <f t="shared" si="52"/>
        <v/>
      </c>
      <c r="DU43" s="199" t="str">
        <f t="shared" si="53"/>
        <v/>
      </c>
      <c r="DV43" s="200" t="str">
        <f t="shared" si="54"/>
        <v/>
      </c>
      <c r="DW43" s="201" t="str">
        <f t="shared" si="54"/>
        <v/>
      </c>
      <c r="DX43" s="202"/>
      <c r="DY43" s="222" t="str">
        <f t="shared" si="55"/>
        <v/>
      </c>
      <c r="DZ43" s="199" t="str">
        <f t="shared" si="66"/>
        <v/>
      </c>
      <c r="EA43" s="198" t="str">
        <f t="shared" si="56"/>
        <v/>
      </c>
      <c r="EB43" s="138" t="str">
        <f t="shared" si="57"/>
        <v/>
      </c>
      <c r="EC43" s="211" t="str">
        <f t="shared" si="58"/>
        <v/>
      </c>
      <c r="ED43" s="212" t="str">
        <f t="shared" si="58"/>
        <v/>
      </c>
      <c r="EE43" s="213" t="str">
        <f t="shared" si="58"/>
        <v/>
      </c>
      <c r="EF43" s="138" t="str">
        <f t="shared" si="58"/>
        <v/>
      </c>
      <c r="EG43" s="199" t="str">
        <f t="shared" si="59"/>
        <v/>
      </c>
      <c r="EH43" s="200" t="str">
        <f t="shared" si="60"/>
        <v/>
      </c>
      <c r="EI43" s="201" t="str">
        <f t="shared" si="60"/>
        <v/>
      </c>
      <c r="EJ43" s="229"/>
    </row>
    <row r="44" spans="1:140" x14ac:dyDescent="0.3">
      <c r="A44" s="375">
        <v>11</v>
      </c>
      <c r="B44" s="272"/>
      <c r="C44" s="261">
        <f t="shared" si="17"/>
        <v>4</v>
      </c>
      <c r="D44" s="372"/>
      <c r="E44" s="274"/>
      <c r="F44" s="273" t="str">
        <f t="shared" si="0"/>
        <v/>
      </c>
      <c r="G44" s="275" t="str">
        <f t="shared" si="0"/>
        <v/>
      </c>
      <c r="H44" s="276" t="str">
        <f t="shared" si="1"/>
        <v/>
      </c>
      <c r="I44" s="277" t="str">
        <f t="shared" si="2"/>
        <v/>
      </c>
      <c r="J44" s="276" t="str">
        <f t="shared" si="3"/>
        <v/>
      </c>
      <c r="K44" s="276">
        <f t="shared" si="4"/>
        <v>0</v>
      </c>
      <c r="L44" s="278"/>
      <c r="M44" s="279">
        <f t="shared" si="18"/>
        <v>1</v>
      </c>
      <c r="N44" s="299" t="str">
        <f t="shared" si="19"/>
        <v/>
      </c>
      <c r="O44" s="117" t="str">
        <f t="shared" si="5"/>
        <v/>
      </c>
      <c r="P44" s="300" t="str">
        <f t="shared" si="20"/>
        <v/>
      </c>
      <c r="Q44" s="280" t="str">
        <f t="shared" si="6"/>
        <v/>
      </c>
      <c r="R44" s="281"/>
      <c r="S44" s="282" t="str">
        <f t="shared" si="21"/>
        <v/>
      </c>
      <c r="T44" s="283" t="str">
        <f t="shared" si="22"/>
        <v/>
      </c>
      <c r="V44" s="3">
        <f t="shared" si="7"/>
        <v>40</v>
      </c>
      <c r="W44" s="3">
        <v>9</v>
      </c>
      <c r="X44" s="3">
        <v>9</v>
      </c>
      <c r="Y44" s="3" t="s">
        <v>178</v>
      </c>
      <c r="AY44" s="187"/>
      <c r="AZ44" s="175" t="str">
        <f>"Difusores de "&amp;W44&amp;""""&amp;" × "&amp;X44&amp;""""&amp;" de "&amp;Y44</f>
        <v>Difusores de 9" × 9" de plato perforado:</v>
      </c>
      <c r="BA44" s="174">
        <f t="shared" si="23"/>
        <v>0</v>
      </c>
      <c r="BB44" s="187"/>
      <c r="BC44" s="103">
        <f t="shared" si="24"/>
        <v>0</v>
      </c>
      <c r="BD44" s="103">
        <f t="shared" si="25"/>
        <v>0</v>
      </c>
      <c r="BE44" s="103">
        <f t="shared" si="8"/>
        <v>0</v>
      </c>
      <c r="BF44" s="181">
        <v>8</v>
      </c>
      <c r="BG44" s="181">
        <v>16</v>
      </c>
      <c r="BH44" s="184">
        <f t="shared" si="26"/>
        <v>0.88888888888888884</v>
      </c>
      <c r="BI44" s="185">
        <f t="shared" si="9"/>
        <v>488.88888888888886</v>
      </c>
      <c r="BJ44" s="185">
        <f t="shared" si="10"/>
        <v>0.5</v>
      </c>
      <c r="BK44" s="103">
        <f t="shared" si="27"/>
        <v>816</v>
      </c>
      <c r="BL44" s="103">
        <v>0</v>
      </c>
      <c r="BM44" s="103">
        <v>8</v>
      </c>
      <c r="BN44" s="103">
        <v>18</v>
      </c>
      <c r="BO44" s="103">
        <v>8</v>
      </c>
      <c r="BP44" s="103">
        <f t="shared" si="28"/>
        <v>818</v>
      </c>
      <c r="BQ44" s="103">
        <f t="shared" si="28"/>
        <v>1808</v>
      </c>
      <c r="BR44" s="173" t="str">
        <f t="shared" si="29"/>
        <v>Rejillas de 8" × 18":</v>
      </c>
      <c r="BS44" s="180">
        <f t="shared" si="11"/>
        <v>0</v>
      </c>
      <c r="BT44" s="180">
        <f t="shared" si="12"/>
        <v>0</v>
      </c>
      <c r="BU44" s="180">
        <f t="shared" si="30"/>
        <v>0</v>
      </c>
      <c r="BV44" s="187"/>
      <c r="BW44" s="103">
        <f t="shared" si="67"/>
        <v>0</v>
      </c>
      <c r="BX44" s="173" t="str">
        <f t="shared" si="13"/>
        <v>Rejillas de 16" × 22":</v>
      </c>
      <c r="BY44" s="180">
        <f t="shared" si="14"/>
        <v>0</v>
      </c>
      <c r="BZ44" s="180">
        <f t="shared" si="15"/>
        <v>0</v>
      </c>
      <c r="CA44" s="180">
        <f t="shared" si="16"/>
        <v>0</v>
      </c>
      <c r="CB44" s="187"/>
      <c r="CC44" s="222" t="str">
        <f t="shared" si="31"/>
        <v/>
      </c>
      <c r="CD44" s="218" t="str">
        <f t="shared" si="62"/>
        <v/>
      </c>
      <c r="CE44" s="198" t="str">
        <f t="shared" si="32"/>
        <v/>
      </c>
      <c r="CF44" s="138" t="str">
        <f t="shared" si="33"/>
        <v/>
      </c>
      <c r="CG44" s="211" t="str">
        <f t="shared" si="34"/>
        <v/>
      </c>
      <c r="CH44" s="212" t="str">
        <f t="shared" si="34"/>
        <v/>
      </c>
      <c r="CI44" s="213" t="str">
        <f t="shared" si="34"/>
        <v/>
      </c>
      <c r="CJ44" s="138" t="str">
        <f t="shared" si="34"/>
        <v/>
      </c>
      <c r="CK44" s="199" t="str">
        <f t="shared" si="35"/>
        <v/>
      </c>
      <c r="CL44" s="200" t="str">
        <f t="shared" si="36"/>
        <v/>
      </c>
      <c r="CM44" s="201" t="str">
        <f t="shared" si="36"/>
        <v/>
      </c>
      <c r="CN44" s="202"/>
      <c r="CO44" s="222" t="str">
        <f t="shared" si="37"/>
        <v/>
      </c>
      <c r="CP44" s="199" t="str">
        <f t="shared" si="63"/>
        <v/>
      </c>
      <c r="CQ44" s="198" t="str">
        <f t="shared" si="38"/>
        <v/>
      </c>
      <c r="CR44" s="138" t="str">
        <f t="shared" si="39"/>
        <v/>
      </c>
      <c r="CS44" s="211" t="str">
        <f t="shared" si="40"/>
        <v/>
      </c>
      <c r="CT44" s="212" t="str">
        <f t="shared" si="40"/>
        <v/>
      </c>
      <c r="CU44" s="213" t="str">
        <f t="shared" si="40"/>
        <v/>
      </c>
      <c r="CV44" s="138" t="str">
        <f t="shared" si="40"/>
        <v/>
      </c>
      <c r="CW44" s="199" t="str">
        <f t="shared" si="41"/>
        <v/>
      </c>
      <c r="CX44" s="200" t="str">
        <f t="shared" si="42"/>
        <v/>
      </c>
      <c r="CY44" s="201" t="str">
        <f t="shared" si="42"/>
        <v/>
      </c>
      <c r="CZ44" s="202"/>
      <c r="DA44" s="222" t="str">
        <f t="shared" si="43"/>
        <v/>
      </c>
      <c r="DB44" s="199" t="str">
        <f t="shared" si="64"/>
        <v/>
      </c>
      <c r="DC44" s="198" t="str">
        <f t="shared" si="44"/>
        <v/>
      </c>
      <c r="DD44" s="138" t="str">
        <f t="shared" si="45"/>
        <v/>
      </c>
      <c r="DE44" s="211" t="str">
        <f t="shared" si="46"/>
        <v/>
      </c>
      <c r="DF44" s="212" t="str">
        <f t="shared" si="46"/>
        <v/>
      </c>
      <c r="DG44" s="213" t="str">
        <f t="shared" si="46"/>
        <v/>
      </c>
      <c r="DH44" s="138" t="str">
        <f t="shared" si="46"/>
        <v/>
      </c>
      <c r="DI44" s="199" t="str">
        <f t="shared" si="47"/>
        <v/>
      </c>
      <c r="DJ44" s="200" t="str">
        <f t="shared" si="48"/>
        <v/>
      </c>
      <c r="DK44" s="201" t="str">
        <f t="shared" si="48"/>
        <v/>
      </c>
      <c r="DL44" s="202"/>
      <c r="DM44" s="222" t="str">
        <f t="shared" si="49"/>
        <v/>
      </c>
      <c r="DN44" s="199" t="str">
        <f t="shared" si="65"/>
        <v/>
      </c>
      <c r="DO44" s="198" t="str">
        <f t="shared" si="50"/>
        <v/>
      </c>
      <c r="DP44" s="138" t="str">
        <f t="shared" si="51"/>
        <v/>
      </c>
      <c r="DQ44" s="211" t="str">
        <f t="shared" si="52"/>
        <v/>
      </c>
      <c r="DR44" s="212" t="str">
        <f t="shared" si="52"/>
        <v/>
      </c>
      <c r="DS44" s="213" t="str">
        <f t="shared" si="52"/>
        <v/>
      </c>
      <c r="DT44" s="138" t="str">
        <f t="shared" si="52"/>
        <v/>
      </c>
      <c r="DU44" s="199" t="str">
        <f t="shared" si="53"/>
        <v/>
      </c>
      <c r="DV44" s="200" t="str">
        <f t="shared" si="54"/>
        <v/>
      </c>
      <c r="DW44" s="201" t="str">
        <f t="shared" si="54"/>
        <v/>
      </c>
      <c r="DX44" s="202"/>
      <c r="DY44" s="222" t="str">
        <f t="shared" si="55"/>
        <v/>
      </c>
      <c r="DZ44" s="199" t="str">
        <f t="shared" si="66"/>
        <v/>
      </c>
      <c r="EA44" s="198" t="str">
        <f t="shared" si="56"/>
        <v/>
      </c>
      <c r="EB44" s="138" t="str">
        <f t="shared" si="57"/>
        <v/>
      </c>
      <c r="EC44" s="211" t="str">
        <f t="shared" si="58"/>
        <v/>
      </c>
      <c r="ED44" s="212" t="str">
        <f t="shared" si="58"/>
        <v/>
      </c>
      <c r="EE44" s="213" t="str">
        <f t="shared" si="58"/>
        <v/>
      </c>
      <c r="EF44" s="138" t="str">
        <f t="shared" si="58"/>
        <v/>
      </c>
      <c r="EG44" s="199" t="str">
        <f t="shared" si="59"/>
        <v/>
      </c>
      <c r="EH44" s="200" t="str">
        <f t="shared" si="60"/>
        <v/>
      </c>
      <c r="EI44" s="201" t="str">
        <f t="shared" si="60"/>
        <v/>
      </c>
      <c r="EJ44" s="229"/>
    </row>
    <row r="45" spans="1:140" x14ac:dyDescent="0.3">
      <c r="A45" s="375">
        <v>12</v>
      </c>
      <c r="B45" s="284"/>
      <c r="C45" s="261">
        <f t="shared" si="17"/>
        <v>4</v>
      </c>
      <c r="D45" s="373"/>
      <c r="E45" s="286"/>
      <c r="F45" s="285" t="str">
        <f t="shared" si="0"/>
        <v/>
      </c>
      <c r="G45" s="287" t="str">
        <f t="shared" si="0"/>
        <v/>
      </c>
      <c r="H45" s="288" t="str">
        <f t="shared" si="1"/>
        <v/>
      </c>
      <c r="I45" s="289" t="str">
        <f t="shared" si="2"/>
        <v/>
      </c>
      <c r="J45" s="288" t="str">
        <f t="shared" si="3"/>
        <v/>
      </c>
      <c r="K45" s="288">
        <f t="shared" si="4"/>
        <v>0</v>
      </c>
      <c r="L45" s="290"/>
      <c r="M45" s="291">
        <f t="shared" si="18"/>
        <v>1</v>
      </c>
      <c r="N45" s="301" t="str">
        <f t="shared" si="19"/>
        <v/>
      </c>
      <c r="O45" s="302" t="str">
        <f t="shared" si="5"/>
        <v/>
      </c>
      <c r="P45" s="303" t="str">
        <f t="shared" si="20"/>
        <v/>
      </c>
      <c r="Q45" s="292" t="str">
        <f t="shared" si="6"/>
        <v/>
      </c>
      <c r="R45" s="293"/>
      <c r="S45" s="294" t="str">
        <f t="shared" si="21"/>
        <v/>
      </c>
      <c r="T45" s="295" t="str">
        <f t="shared" si="22"/>
        <v/>
      </c>
      <c r="V45" s="3">
        <f t="shared" si="7"/>
        <v>40</v>
      </c>
      <c r="W45" s="3">
        <v>9</v>
      </c>
      <c r="X45" s="3">
        <v>9</v>
      </c>
      <c r="Y45" s="3" t="s">
        <v>179</v>
      </c>
      <c r="AY45" s="187"/>
      <c r="AZ45" s="176" t="str">
        <f>"Difusores de "&amp;W45&amp;""""&amp;" × "&amp;X45&amp;""""&amp;Y45</f>
        <v>Difusores de 9" × 9", número de vías por definir:</v>
      </c>
      <c r="BA45" s="174">
        <f t="shared" si="23"/>
        <v>0</v>
      </c>
      <c r="BB45" s="187"/>
      <c r="BC45" s="103">
        <f t="shared" si="24"/>
        <v>0</v>
      </c>
      <c r="BD45" s="103">
        <f t="shared" si="25"/>
        <v>0</v>
      </c>
      <c r="BE45" s="103">
        <f t="shared" si="8"/>
        <v>0</v>
      </c>
      <c r="BF45" s="181">
        <v>8</v>
      </c>
      <c r="BG45" s="181">
        <v>18</v>
      </c>
      <c r="BH45" s="184">
        <f t="shared" si="26"/>
        <v>1</v>
      </c>
      <c r="BI45" s="185">
        <f t="shared" si="9"/>
        <v>550</v>
      </c>
      <c r="BJ45" s="185">
        <f t="shared" si="10"/>
        <v>0.44444444444444442</v>
      </c>
      <c r="BK45" s="103">
        <f t="shared" si="27"/>
        <v>818</v>
      </c>
      <c r="BL45" s="103">
        <v>0</v>
      </c>
      <c r="BM45" s="103">
        <v>8</v>
      </c>
      <c r="BN45" s="103">
        <v>20</v>
      </c>
      <c r="BO45" s="103">
        <v>8</v>
      </c>
      <c r="BP45" s="103">
        <f t="shared" si="28"/>
        <v>820</v>
      </c>
      <c r="BQ45" s="103">
        <f t="shared" si="28"/>
        <v>2008</v>
      </c>
      <c r="BR45" s="173" t="str">
        <f t="shared" si="29"/>
        <v>Rejillas de 8" × 20":</v>
      </c>
      <c r="BS45" s="180">
        <f t="shared" si="11"/>
        <v>0</v>
      </c>
      <c r="BT45" s="180">
        <f t="shared" si="12"/>
        <v>0</v>
      </c>
      <c r="BU45" s="180">
        <f t="shared" si="30"/>
        <v>0</v>
      </c>
      <c r="BV45" s="187"/>
      <c r="BW45" s="103">
        <f t="shared" si="67"/>
        <v>0</v>
      </c>
      <c r="BX45" s="173" t="str">
        <f t="shared" si="13"/>
        <v>Rejillas de 16" × 24":</v>
      </c>
      <c r="BY45" s="180">
        <f t="shared" si="14"/>
        <v>0</v>
      </c>
      <c r="BZ45" s="180">
        <f t="shared" si="15"/>
        <v>0</v>
      </c>
      <c r="CA45" s="180">
        <f t="shared" si="16"/>
        <v>0</v>
      </c>
      <c r="CB45" s="187"/>
      <c r="CC45" s="222" t="str">
        <f t="shared" si="31"/>
        <v/>
      </c>
      <c r="CD45" s="218" t="str">
        <f t="shared" si="62"/>
        <v/>
      </c>
      <c r="CE45" s="198" t="str">
        <f t="shared" si="32"/>
        <v/>
      </c>
      <c r="CF45" s="138" t="str">
        <f t="shared" si="33"/>
        <v/>
      </c>
      <c r="CG45" s="211" t="str">
        <f t="shared" si="34"/>
        <v/>
      </c>
      <c r="CH45" s="212" t="str">
        <f t="shared" si="34"/>
        <v/>
      </c>
      <c r="CI45" s="213" t="str">
        <f t="shared" si="34"/>
        <v/>
      </c>
      <c r="CJ45" s="138" t="str">
        <f t="shared" si="34"/>
        <v/>
      </c>
      <c r="CK45" s="199" t="str">
        <f t="shared" si="35"/>
        <v/>
      </c>
      <c r="CL45" s="200" t="str">
        <f t="shared" si="36"/>
        <v/>
      </c>
      <c r="CM45" s="201" t="str">
        <f t="shared" si="36"/>
        <v/>
      </c>
      <c r="CN45" s="202"/>
      <c r="CO45" s="222" t="str">
        <f t="shared" si="37"/>
        <v/>
      </c>
      <c r="CP45" s="199" t="str">
        <f t="shared" si="63"/>
        <v/>
      </c>
      <c r="CQ45" s="198" t="str">
        <f t="shared" si="38"/>
        <v/>
      </c>
      <c r="CR45" s="138" t="str">
        <f t="shared" si="39"/>
        <v/>
      </c>
      <c r="CS45" s="211" t="str">
        <f t="shared" si="40"/>
        <v/>
      </c>
      <c r="CT45" s="212" t="str">
        <f t="shared" si="40"/>
        <v/>
      </c>
      <c r="CU45" s="213" t="str">
        <f t="shared" si="40"/>
        <v/>
      </c>
      <c r="CV45" s="138" t="str">
        <f t="shared" si="40"/>
        <v/>
      </c>
      <c r="CW45" s="199" t="str">
        <f t="shared" si="41"/>
        <v/>
      </c>
      <c r="CX45" s="200" t="str">
        <f t="shared" si="42"/>
        <v/>
      </c>
      <c r="CY45" s="201" t="str">
        <f t="shared" si="42"/>
        <v/>
      </c>
      <c r="CZ45" s="202"/>
      <c r="DA45" s="222" t="str">
        <f t="shared" si="43"/>
        <v/>
      </c>
      <c r="DB45" s="199" t="str">
        <f t="shared" si="64"/>
        <v/>
      </c>
      <c r="DC45" s="198" t="str">
        <f t="shared" si="44"/>
        <v/>
      </c>
      <c r="DD45" s="138" t="str">
        <f t="shared" si="45"/>
        <v/>
      </c>
      <c r="DE45" s="211" t="str">
        <f t="shared" si="46"/>
        <v/>
      </c>
      <c r="DF45" s="212" t="str">
        <f t="shared" si="46"/>
        <v/>
      </c>
      <c r="DG45" s="213" t="str">
        <f t="shared" si="46"/>
        <v/>
      </c>
      <c r="DH45" s="138" t="str">
        <f t="shared" si="46"/>
        <v/>
      </c>
      <c r="DI45" s="199" t="str">
        <f t="shared" si="47"/>
        <v/>
      </c>
      <c r="DJ45" s="200" t="str">
        <f t="shared" si="48"/>
        <v/>
      </c>
      <c r="DK45" s="201" t="str">
        <f t="shared" si="48"/>
        <v/>
      </c>
      <c r="DL45" s="202"/>
      <c r="DM45" s="222" t="str">
        <f t="shared" si="49"/>
        <v/>
      </c>
      <c r="DN45" s="199" t="str">
        <f t="shared" si="65"/>
        <v/>
      </c>
      <c r="DO45" s="198" t="str">
        <f t="shared" si="50"/>
        <v/>
      </c>
      <c r="DP45" s="138" t="str">
        <f t="shared" si="51"/>
        <v/>
      </c>
      <c r="DQ45" s="211" t="str">
        <f t="shared" si="52"/>
        <v/>
      </c>
      <c r="DR45" s="212" t="str">
        <f t="shared" si="52"/>
        <v/>
      </c>
      <c r="DS45" s="213" t="str">
        <f t="shared" si="52"/>
        <v/>
      </c>
      <c r="DT45" s="138" t="str">
        <f t="shared" si="52"/>
        <v/>
      </c>
      <c r="DU45" s="199" t="str">
        <f t="shared" si="53"/>
        <v/>
      </c>
      <c r="DV45" s="200" t="str">
        <f t="shared" si="54"/>
        <v/>
      </c>
      <c r="DW45" s="201" t="str">
        <f t="shared" si="54"/>
        <v/>
      </c>
      <c r="DX45" s="202"/>
      <c r="DY45" s="222" t="str">
        <f t="shared" si="55"/>
        <v/>
      </c>
      <c r="DZ45" s="199" t="str">
        <f t="shared" si="66"/>
        <v/>
      </c>
      <c r="EA45" s="198" t="str">
        <f t="shared" si="56"/>
        <v/>
      </c>
      <c r="EB45" s="138" t="str">
        <f t="shared" si="57"/>
        <v/>
      </c>
      <c r="EC45" s="211" t="str">
        <f t="shared" si="58"/>
        <v/>
      </c>
      <c r="ED45" s="212" t="str">
        <f t="shared" si="58"/>
        <v/>
      </c>
      <c r="EE45" s="213" t="str">
        <f t="shared" si="58"/>
        <v/>
      </c>
      <c r="EF45" s="138" t="str">
        <f t="shared" si="58"/>
        <v/>
      </c>
      <c r="EG45" s="199" t="str">
        <f t="shared" si="59"/>
        <v/>
      </c>
      <c r="EH45" s="200" t="str">
        <f t="shared" si="60"/>
        <v/>
      </c>
      <c r="EI45" s="201" t="str">
        <f t="shared" si="60"/>
        <v/>
      </c>
      <c r="EJ45" s="229"/>
    </row>
    <row r="46" spans="1:140" x14ac:dyDescent="0.3">
      <c r="A46" s="375">
        <v>13</v>
      </c>
      <c r="B46" s="260"/>
      <c r="C46" s="261">
        <f t="shared" si="17"/>
        <v>4</v>
      </c>
      <c r="D46" s="371"/>
      <c r="E46" s="262"/>
      <c r="F46" s="261" t="str">
        <f t="shared" si="0"/>
        <v/>
      </c>
      <c r="G46" s="263" t="str">
        <f t="shared" si="0"/>
        <v/>
      </c>
      <c r="H46" s="264" t="str">
        <f t="shared" si="1"/>
        <v/>
      </c>
      <c r="I46" s="265" t="str">
        <f t="shared" si="2"/>
        <v/>
      </c>
      <c r="J46" s="264" t="str">
        <f t="shared" si="3"/>
        <v/>
      </c>
      <c r="K46" s="264">
        <f t="shared" si="4"/>
        <v>0</v>
      </c>
      <c r="L46" s="266"/>
      <c r="M46" s="267">
        <f t="shared" si="18"/>
        <v>1</v>
      </c>
      <c r="N46" s="296" t="str">
        <f t="shared" si="19"/>
        <v/>
      </c>
      <c r="O46" s="297" t="str">
        <f t="shared" si="5"/>
        <v/>
      </c>
      <c r="P46" s="298" t="str">
        <f t="shared" si="20"/>
        <v/>
      </c>
      <c r="Q46" s="268" t="str">
        <f t="shared" si="6"/>
        <v/>
      </c>
      <c r="R46" s="269"/>
      <c r="S46" s="270" t="str">
        <f t="shared" si="21"/>
        <v/>
      </c>
      <c r="T46" s="271" t="str">
        <f t="shared" si="22"/>
        <v/>
      </c>
      <c r="V46" s="3">
        <f t="shared" si="7"/>
        <v>40</v>
      </c>
      <c r="W46" s="3">
        <v>12</v>
      </c>
      <c r="X46" s="3">
        <v>12</v>
      </c>
      <c r="Y46" s="3">
        <v>1</v>
      </c>
      <c r="AY46" s="187"/>
      <c r="AZ46" s="175" t="str">
        <f>"Difusores de "&amp;W46&amp;""""&amp;" × "&amp;X46&amp;""""&amp;" de "&amp;Y46&amp;" vía:"</f>
        <v>Difusores de 12" × 12" de 1 vía:</v>
      </c>
      <c r="BA46" s="174">
        <f t="shared" si="23"/>
        <v>0</v>
      </c>
      <c r="BB46" s="187"/>
      <c r="BC46" s="103">
        <f t="shared" si="24"/>
        <v>0</v>
      </c>
      <c r="BD46" s="103">
        <f t="shared" si="25"/>
        <v>0</v>
      </c>
      <c r="BE46" s="103">
        <f t="shared" si="8"/>
        <v>0</v>
      </c>
      <c r="BF46" s="181">
        <v>8</v>
      </c>
      <c r="BG46" s="181">
        <v>20</v>
      </c>
      <c r="BH46" s="184">
        <f t="shared" si="26"/>
        <v>1.1111111111111112</v>
      </c>
      <c r="BI46" s="185">
        <f t="shared" si="9"/>
        <v>611.11111111111109</v>
      </c>
      <c r="BJ46" s="185">
        <f t="shared" si="10"/>
        <v>0.4</v>
      </c>
      <c r="BK46" s="103">
        <f t="shared" si="27"/>
        <v>820</v>
      </c>
      <c r="BL46" s="103">
        <v>0</v>
      </c>
      <c r="BM46" s="103">
        <v>10</v>
      </c>
      <c r="BN46" s="103">
        <v>10</v>
      </c>
      <c r="BO46" s="103">
        <v>10</v>
      </c>
      <c r="BP46" s="103">
        <f t="shared" si="28"/>
        <v>1010</v>
      </c>
      <c r="BQ46" s="103">
        <f t="shared" si="28"/>
        <v>1010</v>
      </c>
      <c r="BR46" s="173" t="str">
        <f t="shared" si="29"/>
        <v>Rejillas de 10" × 10":</v>
      </c>
      <c r="BS46" s="180">
        <f t="shared" si="11"/>
        <v>0</v>
      </c>
      <c r="BT46" s="180">
        <f t="shared" si="12"/>
        <v>0</v>
      </c>
      <c r="BU46" s="180">
        <f t="shared" si="30"/>
        <v>0</v>
      </c>
      <c r="BV46" s="187"/>
      <c r="BW46" s="103">
        <f t="shared" si="67"/>
        <v>0</v>
      </c>
      <c r="BX46" s="173" t="str">
        <f t="shared" si="13"/>
        <v>Rejillas de 18" × 18":</v>
      </c>
      <c r="BY46" s="180">
        <f t="shared" si="14"/>
        <v>0</v>
      </c>
      <c r="BZ46" s="180">
        <f t="shared" si="15"/>
        <v>0</v>
      </c>
      <c r="CA46" s="180">
        <f t="shared" si="16"/>
        <v>0</v>
      </c>
      <c r="CB46" s="187"/>
      <c r="CC46" s="222" t="str">
        <f t="shared" si="31"/>
        <v/>
      </c>
      <c r="CD46" s="218" t="str">
        <f t="shared" si="62"/>
        <v/>
      </c>
      <c r="CE46" s="198" t="str">
        <f t="shared" si="32"/>
        <v/>
      </c>
      <c r="CF46" s="138" t="str">
        <f t="shared" si="33"/>
        <v/>
      </c>
      <c r="CG46" s="211" t="str">
        <f t="shared" si="34"/>
        <v/>
      </c>
      <c r="CH46" s="212" t="str">
        <f t="shared" si="34"/>
        <v/>
      </c>
      <c r="CI46" s="213" t="str">
        <f t="shared" si="34"/>
        <v/>
      </c>
      <c r="CJ46" s="138" t="str">
        <f t="shared" si="34"/>
        <v/>
      </c>
      <c r="CK46" s="199" t="str">
        <f t="shared" si="35"/>
        <v/>
      </c>
      <c r="CL46" s="200" t="str">
        <f t="shared" si="36"/>
        <v/>
      </c>
      <c r="CM46" s="201" t="str">
        <f t="shared" si="36"/>
        <v/>
      </c>
      <c r="CN46" s="202"/>
      <c r="CO46" s="222" t="str">
        <f t="shared" si="37"/>
        <v/>
      </c>
      <c r="CP46" s="199" t="str">
        <f t="shared" si="63"/>
        <v/>
      </c>
      <c r="CQ46" s="198" t="str">
        <f t="shared" si="38"/>
        <v/>
      </c>
      <c r="CR46" s="138" t="str">
        <f t="shared" si="39"/>
        <v/>
      </c>
      <c r="CS46" s="211" t="str">
        <f t="shared" si="40"/>
        <v/>
      </c>
      <c r="CT46" s="212" t="str">
        <f t="shared" si="40"/>
        <v/>
      </c>
      <c r="CU46" s="213" t="str">
        <f t="shared" si="40"/>
        <v/>
      </c>
      <c r="CV46" s="138" t="str">
        <f t="shared" si="40"/>
        <v/>
      </c>
      <c r="CW46" s="199" t="str">
        <f t="shared" si="41"/>
        <v/>
      </c>
      <c r="CX46" s="200" t="str">
        <f t="shared" si="42"/>
        <v/>
      </c>
      <c r="CY46" s="201" t="str">
        <f t="shared" si="42"/>
        <v/>
      </c>
      <c r="CZ46" s="202"/>
      <c r="DA46" s="222" t="str">
        <f t="shared" si="43"/>
        <v/>
      </c>
      <c r="DB46" s="199" t="str">
        <f t="shared" si="64"/>
        <v/>
      </c>
      <c r="DC46" s="198" t="str">
        <f t="shared" si="44"/>
        <v/>
      </c>
      <c r="DD46" s="138" t="str">
        <f t="shared" si="45"/>
        <v/>
      </c>
      <c r="DE46" s="211" t="str">
        <f t="shared" si="46"/>
        <v/>
      </c>
      <c r="DF46" s="212" t="str">
        <f t="shared" si="46"/>
        <v/>
      </c>
      <c r="DG46" s="213" t="str">
        <f t="shared" si="46"/>
        <v/>
      </c>
      <c r="DH46" s="138" t="str">
        <f t="shared" si="46"/>
        <v/>
      </c>
      <c r="DI46" s="199" t="str">
        <f t="shared" si="47"/>
        <v/>
      </c>
      <c r="DJ46" s="200" t="str">
        <f t="shared" si="48"/>
        <v/>
      </c>
      <c r="DK46" s="201" t="str">
        <f t="shared" si="48"/>
        <v/>
      </c>
      <c r="DL46" s="202"/>
      <c r="DM46" s="222" t="str">
        <f t="shared" si="49"/>
        <v/>
      </c>
      <c r="DN46" s="199" t="str">
        <f t="shared" si="65"/>
        <v/>
      </c>
      <c r="DO46" s="198" t="str">
        <f t="shared" si="50"/>
        <v/>
      </c>
      <c r="DP46" s="138" t="str">
        <f t="shared" si="51"/>
        <v/>
      </c>
      <c r="DQ46" s="211" t="str">
        <f t="shared" si="52"/>
        <v/>
      </c>
      <c r="DR46" s="212" t="str">
        <f t="shared" si="52"/>
        <v/>
      </c>
      <c r="DS46" s="213" t="str">
        <f t="shared" si="52"/>
        <v/>
      </c>
      <c r="DT46" s="138" t="str">
        <f t="shared" si="52"/>
        <v/>
      </c>
      <c r="DU46" s="199" t="str">
        <f t="shared" si="53"/>
        <v/>
      </c>
      <c r="DV46" s="200" t="str">
        <f t="shared" si="54"/>
        <v/>
      </c>
      <c r="DW46" s="201" t="str">
        <f t="shared" si="54"/>
        <v/>
      </c>
      <c r="DX46" s="202"/>
      <c r="DY46" s="222" t="str">
        <f t="shared" si="55"/>
        <v/>
      </c>
      <c r="DZ46" s="199" t="str">
        <f t="shared" si="66"/>
        <v/>
      </c>
      <c r="EA46" s="198" t="str">
        <f t="shared" si="56"/>
        <v/>
      </c>
      <c r="EB46" s="138" t="str">
        <f t="shared" si="57"/>
        <v/>
      </c>
      <c r="EC46" s="211" t="str">
        <f t="shared" si="58"/>
        <v/>
      </c>
      <c r="ED46" s="212" t="str">
        <f t="shared" si="58"/>
        <v/>
      </c>
      <c r="EE46" s="213" t="str">
        <f t="shared" si="58"/>
        <v/>
      </c>
      <c r="EF46" s="138" t="str">
        <f t="shared" si="58"/>
        <v/>
      </c>
      <c r="EG46" s="199" t="str">
        <f t="shared" si="59"/>
        <v/>
      </c>
      <c r="EH46" s="200" t="str">
        <f t="shared" si="60"/>
        <v/>
      </c>
      <c r="EI46" s="201" t="str">
        <f t="shared" si="60"/>
        <v/>
      </c>
      <c r="EJ46" s="229"/>
    </row>
    <row r="47" spans="1:140" x14ac:dyDescent="0.3">
      <c r="A47" s="375">
        <v>14</v>
      </c>
      <c r="B47" s="272"/>
      <c r="C47" s="261">
        <f t="shared" si="17"/>
        <v>4</v>
      </c>
      <c r="D47" s="372"/>
      <c r="E47" s="274"/>
      <c r="F47" s="273" t="str">
        <f t="shared" si="0"/>
        <v/>
      </c>
      <c r="G47" s="275" t="str">
        <f t="shared" si="0"/>
        <v/>
      </c>
      <c r="H47" s="276" t="str">
        <f t="shared" si="1"/>
        <v/>
      </c>
      <c r="I47" s="277" t="str">
        <f t="shared" si="2"/>
        <v/>
      </c>
      <c r="J47" s="276" t="str">
        <f t="shared" si="3"/>
        <v/>
      </c>
      <c r="K47" s="276">
        <f t="shared" si="4"/>
        <v>0</v>
      </c>
      <c r="L47" s="278"/>
      <c r="M47" s="279">
        <f t="shared" si="18"/>
        <v>1</v>
      </c>
      <c r="N47" s="299" t="str">
        <f t="shared" si="19"/>
        <v/>
      </c>
      <c r="O47" s="117" t="str">
        <f t="shared" si="5"/>
        <v/>
      </c>
      <c r="P47" s="300" t="str">
        <f t="shared" si="20"/>
        <v/>
      </c>
      <c r="Q47" s="280" t="str">
        <f t="shared" si="6"/>
        <v/>
      </c>
      <c r="R47" s="281"/>
      <c r="S47" s="282" t="str">
        <f t="shared" si="21"/>
        <v/>
      </c>
      <c r="T47" s="283" t="str">
        <f t="shared" si="22"/>
        <v/>
      </c>
      <c r="V47" s="3">
        <f t="shared" si="7"/>
        <v>40</v>
      </c>
      <c r="W47" s="3">
        <v>12</v>
      </c>
      <c r="X47" s="3">
        <v>12</v>
      </c>
      <c r="Y47" s="3">
        <v>2</v>
      </c>
      <c r="AY47" s="187"/>
      <c r="AZ47" s="175" t="str">
        <f>"Difusores de "&amp;W47&amp;""""&amp;" × "&amp;X47&amp;""""&amp;" de "&amp;Y47&amp;" vías:"</f>
        <v>Difusores de 12" × 12" de 2 vías:</v>
      </c>
      <c r="BA47" s="174">
        <f t="shared" si="23"/>
        <v>0</v>
      </c>
      <c r="BB47" s="187"/>
      <c r="BC47" s="103">
        <f t="shared" si="24"/>
        <v>0</v>
      </c>
      <c r="BD47" s="103">
        <f t="shared" si="25"/>
        <v>0</v>
      </c>
      <c r="BE47" s="103">
        <f t="shared" si="8"/>
        <v>0</v>
      </c>
      <c r="BF47" s="181">
        <v>10</v>
      </c>
      <c r="BG47" s="181">
        <v>6</v>
      </c>
      <c r="BH47" s="184">
        <f t="shared" si="26"/>
        <v>0.41666666666666669</v>
      </c>
      <c r="BI47" s="185">
        <f t="shared" si="9"/>
        <v>229.16666666666669</v>
      </c>
      <c r="BJ47" s="185">
        <f t="shared" si="10"/>
        <v>1.6666666666666667</v>
      </c>
      <c r="BK47" s="103">
        <f t="shared" si="27"/>
        <v>1006</v>
      </c>
      <c r="BL47" s="103">
        <v>0</v>
      </c>
      <c r="BM47" s="103">
        <v>10</v>
      </c>
      <c r="BN47" s="103">
        <v>12</v>
      </c>
      <c r="BO47" s="103">
        <v>10</v>
      </c>
      <c r="BP47" s="103">
        <f t="shared" si="28"/>
        <v>1012</v>
      </c>
      <c r="BQ47" s="103">
        <f t="shared" si="28"/>
        <v>1210</v>
      </c>
      <c r="BR47" s="173" t="str">
        <f t="shared" si="29"/>
        <v>Rejillas de 10" × 12":</v>
      </c>
      <c r="BS47" s="180">
        <f t="shared" si="11"/>
        <v>0</v>
      </c>
      <c r="BT47" s="180">
        <f t="shared" si="12"/>
        <v>0</v>
      </c>
      <c r="BU47" s="180">
        <f t="shared" si="30"/>
        <v>0</v>
      </c>
      <c r="BV47" s="187"/>
      <c r="BW47" s="103">
        <f t="shared" si="67"/>
        <v>0</v>
      </c>
      <c r="BX47" s="173" t="str">
        <f t="shared" si="13"/>
        <v>Rejillas de 18" × 20":</v>
      </c>
      <c r="BY47" s="180">
        <f t="shared" si="14"/>
        <v>0</v>
      </c>
      <c r="BZ47" s="180">
        <f t="shared" si="15"/>
        <v>0</v>
      </c>
      <c r="CA47" s="180">
        <f t="shared" si="16"/>
        <v>0</v>
      </c>
      <c r="CB47" s="187"/>
      <c r="CC47" s="222" t="str">
        <f t="shared" si="31"/>
        <v/>
      </c>
      <c r="CD47" s="218" t="str">
        <f t="shared" si="62"/>
        <v/>
      </c>
      <c r="CE47" s="198" t="str">
        <f t="shared" si="32"/>
        <v/>
      </c>
      <c r="CF47" s="138" t="str">
        <f t="shared" si="33"/>
        <v/>
      </c>
      <c r="CG47" s="211" t="str">
        <f t="shared" si="34"/>
        <v/>
      </c>
      <c r="CH47" s="212" t="str">
        <f t="shared" si="34"/>
        <v/>
      </c>
      <c r="CI47" s="213" t="str">
        <f t="shared" si="34"/>
        <v/>
      </c>
      <c r="CJ47" s="138" t="str">
        <f t="shared" si="34"/>
        <v/>
      </c>
      <c r="CK47" s="199" t="str">
        <f t="shared" si="35"/>
        <v/>
      </c>
      <c r="CL47" s="200" t="str">
        <f t="shared" si="36"/>
        <v/>
      </c>
      <c r="CM47" s="201" t="str">
        <f t="shared" si="36"/>
        <v/>
      </c>
      <c r="CN47" s="202"/>
      <c r="CO47" s="222" t="str">
        <f t="shared" si="37"/>
        <v/>
      </c>
      <c r="CP47" s="199" t="str">
        <f t="shared" si="63"/>
        <v/>
      </c>
      <c r="CQ47" s="198" t="str">
        <f t="shared" si="38"/>
        <v/>
      </c>
      <c r="CR47" s="138" t="str">
        <f t="shared" si="39"/>
        <v/>
      </c>
      <c r="CS47" s="211" t="str">
        <f t="shared" si="40"/>
        <v/>
      </c>
      <c r="CT47" s="212" t="str">
        <f t="shared" si="40"/>
        <v/>
      </c>
      <c r="CU47" s="213" t="str">
        <f t="shared" si="40"/>
        <v/>
      </c>
      <c r="CV47" s="138" t="str">
        <f t="shared" si="40"/>
        <v/>
      </c>
      <c r="CW47" s="199" t="str">
        <f t="shared" si="41"/>
        <v/>
      </c>
      <c r="CX47" s="200" t="str">
        <f t="shared" si="42"/>
        <v/>
      </c>
      <c r="CY47" s="201" t="str">
        <f t="shared" si="42"/>
        <v/>
      </c>
      <c r="CZ47" s="202"/>
      <c r="DA47" s="222" t="str">
        <f t="shared" si="43"/>
        <v/>
      </c>
      <c r="DB47" s="199" t="str">
        <f t="shared" si="64"/>
        <v/>
      </c>
      <c r="DC47" s="198" t="str">
        <f t="shared" si="44"/>
        <v/>
      </c>
      <c r="DD47" s="138" t="str">
        <f t="shared" si="45"/>
        <v/>
      </c>
      <c r="DE47" s="211" t="str">
        <f t="shared" si="46"/>
        <v/>
      </c>
      <c r="DF47" s="212" t="str">
        <f t="shared" si="46"/>
        <v/>
      </c>
      <c r="DG47" s="213" t="str">
        <f t="shared" si="46"/>
        <v/>
      </c>
      <c r="DH47" s="138" t="str">
        <f t="shared" si="46"/>
        <v/>
      </c>
      <c r="DI47" s="199" t="str">
        <f t="shared" si="47"/>
        <v/>
      </c>
      <c r="DJ47" s="200" t="str">
        <f t="shared" si="48"/>
        <v/>
      </c>
      <c r="DK47" s="201" t="str">
        <f t="shared" si="48"/>
        <v/>
      </c>
      <c r="DL47" s="202"/>
      <c r="DM47" s="222" t="str">
        <f t="shared" si="49"/>
        <v/>
      </c>
      <c r="DN47" s="199" t="str">
        <f t="shared" si="65"/>
        <v/>
      </c>
      <c r="DO47" s="198" t="str">
        <f t="shared" si="50"/>
        <v/>
      </c>
      <c r="DP47" s="138" t="str">
        <f t="shared" si="51"/>
        <v/>
      </c>
      <c r="DQ47" s="211" t="str">
        <f t="shared" si="52"/>
        <v/>
      </c>
      <c r="DR47" s="212" t="str">
        <f t="shared" si="52"/>
        <v/>
      </c>
      <c r="DS47" s="213" t="str">
        <f t="shared" si="52"/>
        <v/>
      </c>
      <c r="DT47" s="138" t="str">
        <f t="shared" si="52"/>
        <v/>
      </c>
      <c r="DU47" s="199" t="str">
        <f t="shared" si="53"/>
        <v/>
      </c>
      <c r="DV47" s="200" t="str">
        <f t="shared" si="54"/>
        <v/>
      </c>
      <c r="DW47" s="201" t="str">
        <f t="shared" si="54"/>
        <v/>
      </c>
      <c r="DX47" s="202"/>
      <c r="DY47" s="222" t="str">
        <f t="shared" si="55"/>
        <v/>
      </c>
      <c r="DZ47" s="199" t="str">
        <f t="shared" si="66"/>
        <v/>
      </c>
      <c r="EA47" s="198" t="str">
        <f t="shared" si="56"/>
        <v/>
      </c>
      <c r="EB47" s="138" t="str">
        <f t="shared" si="57"/>
        <v/>
      </c>
      <c r="EC47" s="211" t="str">
        <f t="shared" si="58"/>
        <v/>
      </c>
      <c r="ED47" s="212" t="str">
        <f t="shared" si="58"/>
        <v/>
      </c>
      <c r="EE47" s="213" t="str">
        <f t="shared" si="58"/>
        <v/>
      </c>
      <c r="EF47" s="138" t="str">
        <f t="shared" si="58"/>
        <v/>
      </c>
      <c r="EG47" s="199" t="str">
        <f t="shared" si="59"/>
        <v/>
      </c>
      <c r="EH47" s="200" t="str">
        <f t="shared" si="60"/>
        <v/>
      </c>
      <c r="EI47" s="201" t="str">
        <f t="shared" si="60"/>
        <v/>
      </c>
      <c r="EJ47" s="229"/>
    </row>
    <row r="48" spans="1:140" x14ac:dyDescent="0.3">
      <c r="A48" s="375">
        <v>15</v>
      </c>
      <c r="B48" s="284"/>
      <c r="C48" s="261">
        <f t="shared" si="17"/>
        <v>4</v>
      </c>
      <c r="D48" s="373"/>
      <c r="E48" s="286"/>
      <c r="F48" s="285" t="str">
        <f t="shared" si="0"/>
        <v/>
      </c>
      <c r="G48" s="287" t="str">
        <f t="shared" si="0"/>
        <v/>
      </c>
      <c r="H48" s="288" t="str">
        <f t="shared" si="1"/>
        <v/>
      </c>
      <c r="I48" s="289" t="str">
        <f t="shared" si="2"/>
        <v/>
      </c>
      <c r="J48" s="288" t="str">
        <f t="shared" si="3"/>
        <v/>
      </c>
      <c r="K48" s="288">
        <f t="shared" si="4"/>
        <v>0</v>
      </c>
      <c r="L48" s="290"/>
      <c r="M48" s="291">
        <f t="shared" si="18"/>
        <v>1</v>
      </c>
      <c r="N48" s="301" t="str">
        <f t="shared" si="19"/>
        <v/>
      </c>
      <c r="O48" s="302" t="str">
        <f t="shared" si="5"/>
        <v/>
      </c>
      <c r="P48" s="303" t="str">
        <f t="shared" si="20"/>
        <v/>
      </c>
      <c r="Q48" s="292" t="str">
        <f t="shared" si="6"/>
        <v/>
      </c>
      <c r="R48" s="293"/>
      <c r="S48" s="294" t="str">
        <f t="shared" si="21"/>
        <v/>
      </c>
      <c r="T48" s="295" t="str">
        <f t="shared" si="22"/>
        <v/>
      </c>
      <c r="V48" s="3">
        <f t="shared" si="7"/>
        <v>40</v>
      </c>
      <c r="W48" s="3">
        <v>12</v>
      </c>
      <c r="X48" s="3">
        <v>12</v>
      </c>
      <c r="Y48" s="3">
        <v>3</v>
      </c>
      <c r="AY48" s="187"/>
      <c r="AZ48" s="175" t="str">
        <f t="shared" ref="AZ48:AZ49" si="68">"Difusores de "&amp;W48&amp;""""&amp;" × "&amp;X48&amp;""""&amp;" de "&amp;Y48&amp;" vías:"</f>
        <v>Difusores de 12" × 12" de 3 vías:</v>
      </c>
      <c r="BA48" s="174">
        <f t="shared" si="23"/>
        <v>0</v>
      </c>
      <c r="BB48" s="187"/>
      <c r="BC48" s="103">
        <f t="shared" si="24"/>
        <v>0</v>
      </c>
      <c r="BD48" s="103">
        <f t="shared" si="25"/>
        <v>0</v>
      </c>
      <c r="BE48" s="103">
        <f t="shared" si="8"/>
        <v>0</v>
      </c>
      <c r="BF48" s="181">
        <v>10</v>
      </c>
      <c r="BG48" s="181">
        <v>8</v>
      </c>
      <c r="BH48" s="184">
        <f t="shared" si="26"/>
        <v>0.55555555555555558</v>
      </c>
      <c r="BI48" s="185">
        <f t="shared" si="9"/>
        <v>305.55555555555554</v>
      </c>
      <c r="BJ48" s="185">
        <f t="shared" si="10"/>
        <v>1.25</v>
      </c>
      <c r="BK48" s="103">
        <f t="shared" si="27"/>
        <v>1008</v>
      </c>
      <c r="BL48" s="103">
        <v>0</v>
      </c>
      <c r="BM48" s="103">
        <v>10</v>
      </c>
      <c r="BN48" s="103">
        <v>14</v>
      </c>
      <c r="BO48" s="103">
        <v>10</v>
      </c>
      <c r="BP48" s="103">
        <f t="shared" si="28"/>
        <v>1014</v>
      </c>
      <c r="BQ48" s="103">
        <f t="shared" si="28"/>
        <v>1410</v>
      </c>
      <c r="BR48" s="173" t="str">
        <f t="shared" si="29"/>
        <v>Rejillas de 10" × 14":</v>
      </c>
      <c r="BS48" s="180">
        <f t="shared" si="11"/>
        <v>0</v>
      </c>
      <c r="BT48" s="180">
        <f t="shared" si="12"/>
        <v>0</v>
      </c>
      <c r="BU48" s="180">
        <f t="shared" si="30"/>
        <v>0</v>
      </c>
      <c r="BV48" s="187"/>
      <c r="BW48" s="103">
        <f t="shared" si="67"/>
        <v>0</v>
      </c>
      <c r="BX48" s="248" t="str">
        <f t="shared" si="13"/>
        <v>Rejillas de 30" × 12":</v>
      </c>
      <c r="BY48" s="249">
        <f t="shared" si="14"/>
        <v>0</v>
      </c>
      <c r="BZ48" s="249">
        <f t="shared" si="15"/>
        <v>0</v>
      </c>
      <c r="CA48" s="249">
        <f t="shared" si="16"/>
        <v>0</v>
      </c>
      <c r="CB48" s="187"/>
      <c r="CC48" s="222" t="str">
        <f t="shared" si="31"/>
        <v/>
      </c>
      <c r="CD48" s="218" t="str">
        <f t="shared" si="62"/>
        <v/>
      </c>
      <c r="CE48" s="198" t="str">
        <f t="shared" si="32"/>
        <v/>
      </c>
      <c r="CF48" s="138" t="str">
        <f t="shared" si="33"/>
        <v/>
      </c>
      <c r="CG48" s="211" t="str">
        <f t="shared" si="34"/>
        <v/>
      </c>
      <c r="CH48" s="212" t="str">
        <f t="shared" si="34"/>
        <v/>
      </c>
      <c r="CI48" s="213" t="str">
        <f t="shared" si="34"/>
        <v/>
      </c>
      <c r="CJ48" s="138" t="str">
        <f t="shared" si="34"/>
        <v/>
      </c>
      <c r="CK48" s="199" t="str">
        <f t="shared" si="35"/>
        <v/>
      </c>
      <c r="CL48" s="200" t="str">
        <f t="shared" si="36"/>
        <v/>
      </c>
      <c r="CM48" s="201" t="str">
        <f t="shared" si="36"/>
        <v/>
      </c>
      <c r="CN48" s="202"/>
      <c r="CO48" s="222" t="str">
        <f t="shared" si="37"/>
        <v/>
      </c>
      <c r="CP48" s="199" t="str">
        <f t="shared" si="63"/>
        <v/>
      </c>
      <c r="CQ48" s="198" t="str">
        <f t="shared" si="38"/>
        <v/>
      </c>
      <c r="CR48" s="138" t="str">
        <f t="shared" si="39"/>
        <v/>
      </c>
      <c r="CS48" s="211" t="str">
        <f t="shared" si="40"/>
        <v/>
      </c>
      <c r="CT48" s="212" t="str">
        <f t="shared" si="40"/>
        <v/>
      </c>
      <c r="CU48" s="213" t="str">
        <f t="shared" si="40"/>
        <v/>
      </c>
      <c r="CV48" s="138" t="str">
        <f t="shared" si="40"/>
        <v/>
      </c>
      <c r="CW48" s="199" t="str">
        <f t="shared" si="41"/>
        <v/>
      </c>
      <c r="CX48" s="200" t="str">
        <f t="shared" si="42"/>
        <v/>
      </c>
      <c r="CY48" s="201" t="str">
        <f t="shared" si="42"/>
        <v/>
      </c>
      <c r="CZ48" s="202"/>
      <c r="DA48" s="222" t="str">
        <f t="shared" si="43"/>
        <v/>
      </c>
      <c r="DB48" s="199" t="str">
        <f t="shared" si="64"/>
        <v/>
      </c>
      <c r="DC48" s="198" t="str">
        <f t="shared" si="44"/>
        <v/>
      </c>
      <c r="DD48" s="138" t="str">
        <f t="shared" si="45"/>
        <v/>
      </c>
      <c r="DE48" s="211" t="str">
        <f t="shared" si="46"/>
        <v/>
      </c>
      <c r="DF48" s="212" t="str">
        <f t="shared" si="46"/>
        <v/>
      </c>
      <c r="DG48" s="213" t="str">
        <f t="shared" si="46"/>
        <v/>
      </c>
      <c r="DH48" s="138" t="str">
        <f t="shared" si="46"/>
        <v/>
      </c>
      <c r="DI48" s="199" t="str">
        <f t="shared" si="47"/>
        <v/>
      </c>
      <c r="DJ48" s="200" t="str">
        <f t="shared" si="48"/>
        <v/>
      </c>
      <c r="DK48" s="201" t="str">
        <f t="shared" si="48"/>
        <v/>
      </c>
      <c r="DL48" s="202"/>
      <c r="DM48" s="222" t="str">
        <f t="shared" si="49"/>
        <v/>
      </c>
      <c r="DN48" s="199" t="str">
        <f t="shared" si="65"/>
        <v/>
      </c>
      <c r="DO48" s="198" t="str">
        <f t="shared" si="50"/>
        <v/>
      </c>
      <c r="DP48" s="138" t="str">
        <f t="shared" si="51"/>
        <v/>
      </c>
      <c r="DQ48" s="211" t="str">
        <f t="shared" si="52"/>
        <v/>
      </c>
      <c r="DR48" s="212" t="str">
        <f t="shared" si="52"/>
        <v/>
      </c>
      <c r="DS48" s="213" t="str">
        <f t="shared" si="52"/>
        <v/>
      </c>
      <c r="DT48" s="138" t="str">
        <f t="shared" si="52"/>
        <v/>
      </c>
      <c r="DU48" s="199" t="str">
        <f t="shared" si="53"/>
        <v/>
      </c>
      <c r="DV48" s="200" t="str">
        <f t="shared" si="54"/>
        <v/>
      </c>
      <c r="DW48" s="201" t="str">
        <f t="shared" si="54"/>
        <v/>
      </c>
      <c r="DX48" s="202"/>
      <c r="DY48" s="222" t="str">
        <f t="shared" si="55"/>
        <v/>
      </c>
      <c r="DZ48" s="199" t="str">
        <f t="shared" si="66"/>
        <v/>
      </c>
      <c r="EA48" s="198" t="str">
        <f t="shared" si="56"/>
        <v/>
      </c>
      <c r="EB48" s="138" t="str">
        <f t="shared" si="57"/>
        <v/>
      </c>
      <c r="EC48" s="211" t="str">
        <f t="shared" si="58"/>
        <v/>
      </c>
      <c r="ED48" s="212" t="str">
        <f t="shared" si="58"/>
        <v/>
      </c>
      <c r="EE48" s="213" t="str">
        <f t="shared" si="58"/>
        <v/>
      </c>
      <c r="EF48" s="138" t="str">
        <f t="shared" si="58"/>
        <v/>
      </c>
      <c r="EG48" s="199" t="str">
        <f t="shared" si="59"/>
        <v/>
      </c>
      <c r="EH48" s="200" t="str">
        <f t="shared" si="60"/>
        <v/>
      </c>
      <c r="EI48" s="201" t="str">
        <f t="shared" si="60"/>
        <v/>
      </c>
      <c r="EJ48" s="229"/>
    </row>
    <row r="49" spans="1:140" x14ac:dyDescent="0.3">
      <c r="A49" s="375">
        <v>16</v>
      </c>
      <c r="B49" s="260"/>
      <c r="C49" s="261">
        <f t="shared" si="17"/>
        <v>4</v>
      </c>
      <c r="D49" s="371"/>
      <c r="E49" s="262"/>
      <c r="F49" s="261" t="str">
        <f t="shared" si="0"/>
        <v/>
      </c>
      <c r="G49" s="263" t="str">
        <f t="shared" si="0"/>
        <v/>
      </c>
      <c r="H49" s="264" t="str">
        <f t="shared" si="1"/>
        <v/>
      </c>
      <c r="I49" s="265" t="str">
        <f t="shared" si="2"/>
        <v/>
      </c>
      <c r="J49" s="264" t="str">
        <f t="shared" si="3"/>
        <v/>
      </c>
      <c r="K49" s="264">
        <f t="shared" si="4"/>
        <v>0</v>
      </c>
      <c r="L49" s="266"/>
      <c r="M49" s="267">
        <f t="shared" si="18"/>
        <v>1</v>
      </c>
      <c r="N49" s="296" t="str">
        <f t="shared" si="19"/>
        <v/>
      </c>
      <c r="O49" s="297" t="str">
        <f t="shared" si="5"/>
        <v/>
      </c>
      <c r="P49" s="298" t="str">
        <f t="shared" si="20"/>
        <v/>
      </c>
      <c r="Q49" s="268" t="str">
        <f t="shared" si="6"/>
        <v/>
      </c>
      <c r="R49" s="269"/>
      <c r="S49" s="270" t="str">
        <f t="shared" si="21"/>
        <v/>
      </c>
      <c r="T49" s="271" t="str">
        <f t="shared" si="22"/>
        <v/>
      </c>
      <c r="V49" s="3">
        <f t="shared" si="7"/>
        <v>40</v>
      </c>
      <c r="W49" s="3">
        <v>12</v>
      </c>
      <c r="X49" s="3">
        <v>12</v>
      </c>
      <c r="Y49" s="3">
        <v>4</v>
      </c>
      <c r="AY49" s="187"/>
      <c r="AZ49" s="175" t="str">
        <f t="shared" si="68"/>
        <v>Difusores de 12" × 12" de 4 vías:</v>
      </c>
      <c r="BA49" s="174">
        <f t="shared" si="23"/>
        <v>0</v>
      </c>
      <c r="BB49" s="187"/>
      <c r="BC49" s="103">
        <f t="shared" si="24"/>
        <v>0</v>
      </c>
      <c r="BD49" s="103">
        <f t="shared" si="25"/>
        <v>0</v>
      </c>
      <c r="BE49" s="103">
        <f t="shared" si="8"/>
        <v>0</v>
      </c>
      <c r="BF49" s="181">
        <v>10</v>
      </c>
      <c r="BG49" s="181">
        <v>10</v>
      </c>
      <c r="BH49" s="184">
        <f t="shared" si="26"/>
        <v>0.69444444444444453</v>
      </c>
      <c r="BI49" s="185">
        <f t="shared" si="9"/>
        <v>381.94444444444451</v>
      </c>
      <c r="BJ49" s="185">
        <f t="shared" si="10"/>
        <v>1</v>
      </c>
      <c r="BK49" s="103">
        <f t="shared" si="27"/>
        <v>1010</v>
      </c>
      <c r="BL49" s="103">
        <v>0</v>
      </c>
      <c r="BM49" s="103">
        <v>10</v>
      </c>
      <c r="BN49" s="103">
        <v>16</v>
      </c>
      <c r="BO49" s="103">
        <v>10</v>
      </c>
      <c r="BP49" s="103">
        <f t="shared" si="28"/>
        <v>1016</v>
      </c>
      <c r="BQ49" s="103">
        <f t="shared" si="28"/>
        <v>1610</v>
      </c>
      <c r="BR49" s="173" t="str">
        <f t="shared" si="29"/>
        <v>Rejillas de 10" × 16":</v>
      </c>
      <c r="BS49" s="180">
        <f t="shared" si="11"/>
        <v>0</v>
      </c>
      <c r="BT49" s="180">
        <f t="shared" si="12"/>
        <v>0</v>
      </c>
      <c r="BU49" s="180">
        <f t="shared" si="30"/>
        <v>0</v>
      </c>
      <c r="BV49" s="187"/>
      <c r="BW49" s="103">
        <f t="shared" si="67"/>
        <v>0</v>
      </c>
      <c r="BX49" s="187"/>
      <c r="BY49" s="187"/>
      <c r="BZ49" s="187"/>
      <c r="CA49" s="187"/>
      <c r="CB49" s="187"/>
      <c r="CC49" s="222" t="str">
        <f t="shared" si="31"/>
        <v/>
      </c>
      <c r="CD49" s="218" t="str">
        <f t="shared" si="62"/>
        <v/>
      </c>
      <c r="CE49" s="198" t="str">
        <f t="shared" si="32"/>
        <v/>
      </c>
      <c r="CF49" s="138" t="str">
        <f t="shared" si="33"/>
        <v/>
      </c>
      <c r="CG49" s="211" t="str">
        <f t="shared" si="34"/>
        <v/>
      </c>
      <c r="CH49" s="212" t="str">
        <f t="shared" si="34"/>
        <v/>
      </c>
      <c r="CI49" s="213" t="str">
        <f t="shared" si="34"/>
        <v/>
      </c>
      <c r="CJ49" s="138" t="str">
        <f t="shared" si="34"/>
        <v/>
      </c>
      <c r="CK49" s="199" t="str">
        <f t="shared" si="35"/>
        <v/>
      </c>
      <c r="CL49" s="200" t="str">
        <f t="shared" si="36"/>
        <v/>
      </c>
      <c r="CM49" s="201" t="str">
        <f t="shared" si="36"/>
        <v/>
      </c>
      <c r="CN49" s="202"/>
      <c r="CO49" s="222" t="str">
        <f t="shared" si="37"/>
        <v/>
      </c>
      <c r="CP49" s="199" t="str">
        <f t="shared" si="63"/>
        <v/>
      </c>
      <c r="CQ49" s="198" t="str">
        <f t="shared" si="38"/>
        <v/>
      </c>
      <c r="CR49" s="138" t="str">
        <f t="shared" si="39"/>
        <v/>
      </c>
      <c r="CS49" s="211" t="str">
        <f t="shared" si="40"/>
        <v/>
      </c>
      <c r="CT49" s="212" t="str">
        <f t="shared" si="40"/>
        <v/>
      </c>
      <c r="CU49" s="213" t="str">
        <f t="shared" si="40"/>
        <v/>
      </c>
      <c r="CV49" s="138" t="str">
        <f t="shared" si="40"/>
        <v/>
      </c>
      <c r="CW49" s="199" t="str">
        <f t="shared" si="41"/>
        <v/>
      </c>
      <c r="CX49" s="200" t="str">
        <f t="shared" si="42"/>
        <v/>
      </c>
      <c r="CY49" s="201" t="str">
        <f t="shared" si="42"/>
        <v/>
      </c>
      <c r="CZ49" s="202"/>
      <c r="DA49" s="222" t="str">
        <f t="shared" si="43"/>
        <v/>
      </c>
      <c r="DB49" s="199" t="str">
        <f t="shared" si="64"/>
        <v/>
      </c>
      <c r="DC49" s="198" t="str">
        <f t="shared" si="44"/>
        <v/>
      </c>
      <c r="DD49" s="138" t="str">
        <f t="shared" si="45"/>
        <v/>
      </c>
      <c r="DE49" s="211" t="str">
        <f t="shared" si="46"/>
        <v/>
      </c>
      <c r="DF49" s="212" t="str">
        <f t="shared" si="46"/>
        <v/>
      </c>
      <c r="DG49" s="213" t="str">
        <f t="shared" si="46"/>
        <v/>
      </c>
      <c r="DH49" s="138" t="str">
        <f t="shared" si="46"/>
        <v/>
      </c>
      <c r="DI49" s="199" t="str">
        <f t="shared" si="47"/>
        <v/>
      </c>
      <c r="DJ49" s="200" t="str">
        <f t="shared" si="48"/>
        <v/>
      </c>
      <c r="DK49" s="201" t="str">
        <f t="shared" si="48"/>
        <v/>
      </c>
      <c r="DL49" s="202"/>
      <c r="DM49" s="222" t="str">
        <f t="shared" si="49"/>
        <v/>
      </c>
      <c r="DN49" s="199" t="str">
        <f t="shared" si="65"/>
        <v/>
      </c>
      <c r="DO49" s="198" t="str">
        <f t="shared" si="50"/>
        <v/>
      </c>
      <c r="DP49" s="138" t="str">
        <f t="shared" si="51"/>
        <v/>
      </c>
      <c r="DQ49" s="211" t="str">
        <f t="shared" si="52"/>
        <v/>
      </c>
      <c r="DR49" s="212" t="str">
        <f t="shared" si="52"/>
        <v/>
      </c>
      <c r="DS49" s="213" t="str">
        <f t="shared" si="52"/>
        <v/>
      </c>
      <c r="DT49" s="138" t="str">
        <f t="shared" si="52"/>
        <v/>
      </c>
      <c r="DU49" s="199" t="str">
        <f t="shared" si="53"/>
        <v/>
      </c>
      <c r="DV49" s="200" t="str">
        <f t="shared" si="54"/>
        <v/>
      </c>
      <c r="DW49" s="201" t="str">
        <f t="shared" si="54"/>
        <v/>
      </c>
      <c r="DX49" s="202"/>
      <c r="DY49" s="222" t="str">
        <f t="shared" si="55"/>
        <v/>
      </c>
      <c r="DZ49" s="199" t="str">
        <f t="shared" si="66"/>
        <v/>
      </c>
      <c r="EA49" s="198" t="str">
        <f t="shared" si="56"/>
        <v/>
      </c>
      <c r="EB49" s="138" t="str">
        <f t="shared" si="57"/>
        <v/>
      </c>
      <c r="EC49" s="211" t="str">
        <f t="shared" si="58"/>
        <v/>
      </c>
      <c r="ED49" s="212" t="str">
        <f t="shared" si="58"/>
        <v/>
      </c>
      <c r="EE49" s="213" t="str">
        <f t="shared" si="58"/>
        <v/>
      </c>
      <c r="EF49" s="138" t="str">
        <f t="shared" si="58"/>
        <v/>
      </c>
      <c r="EG49" s="199" t="str">
        <f t="shared" si="59"/>
        <v/>
      </c>
      <c r="EH49" s="200" t="str">
        <f t="shared" si="60"/>
        <v/>
      </c>
      <c r="EI49" s="201" t="str">
        <f t="shared" si="60"/>
        <v/>
      </c>
      <c r="EJ49" s="229"/>
    </row>
    <row r="50" spans="1:140" x14ac:dyDescent="0.3">
      <c r="A50" s="375">
        <v>17</v>
      </c>
      <c r="B50" s="272"/>
      <c r="C50" s="261">
        <f t="shared" si="17"/>
        <v>4</v>
      </c>
      <c r="D50" s="372"/>
      <c r="E50" s="274"/>
      <c r="F50" s="273" t="str">
        <f t="shared" si="0"/>
        <v/>
      </c>
      <c r="G50" s="275" t="str">
        <f t="shared" si="0"/>
        <v/>
      </c>
      <c r="H50" s="276" t="str">
        <f t="shared" si="1"/>
        <v/>
      </c>
      <c r="I50" s="277" t="str">
        <f t="shared" si="2"/>
        <v/>
      </c>
      <c r="J50" s="276" t="str">
        <f t="shared" si="3"/>
        <v/>
      </c>
      <c r="K50" s="276">
        <f t="shared" si="4"/>
        <v>0</v>
      </c>
      <c r="L50" s="278"/>
      <c r="M50" s="279">
        <f t="shared" si="18"/>
        <v>1</v>
      </c>
      <c r="N50" s="299" t="str">
        <f t="shared" si="19"/>
        <v/>
      </c>
      <c r="O50" s="117" t="str">
        <f t="shared" si="5"/>
        <v/>
      </c>
      <c r="P50" s="300" t="str">
        <f t="shared" si="20"/>
        <v/>
      </c>
      <c r="Q50" s="280" t="str">
        <f t="shared" si="6"/>
        <v/>
      </c>
      <c r="R50" s="281"/>
      <c r="S50" s="282" t="str">
        <f t="shared" si="21"/>
        <v/>
      </c>
      <c r="T50" s="283" t="str">
        <f t="shared" si="22"/>
        <v/>
      </c>
      <c r="V50" s="3">
        <f t="shared" si="7"/>
        <v>40</v>
      </c>
      <c r="W50" s="3">
        <v>12</v>
      </c>
      <c r="X50" s="3">
        <v>12</v>
      </c>
      <c r="Y50" s="3" t="s">
        <v>178</v>
      </c>
      <c r="AY50" s="187"/>
      <c r="AZ50" s="175" t="str">
        <f>"Difusores de "&amp;W50&amp;""""&amp;" × "&amp;X50&amp;""""&amp;" de "&amp;Y50</f>
        <v>Difusores de 12" × 12" de plato perforado:</v>
      </c>
      <c r="BA50" s="174">
        <f t="shared" si="23"/>
        <v>0</v>
      </c>
      <c r="BB50" s="187"/>
      <c r="BC50" s="103">
        <f t="shared" si="24"/>
        <v>0</v>
      </c>
      <c r="BD50" s="103">
        <f t="shared" si="25"/>
        <v>0</v>
      </c>
      <c r="BE50" s="103">
        <f t="shared" si="8"/>
        <v>0</v>
      </c>
      <c r="BF50" s="181">
        <v>10</v>
      </c>
      <c r="BG50" s="181">
        <v>12</v>
      </c>
      <c r="BH50" s="184">
        <f t="shared" si="26"/>
        <v>0.83333333333333337</v>
      </c>
      <c r="BI50" s="185">
        <f t="shared" si="9"/>
        <v>458.33333333333337</v>
      </c>
      <c r="BJ50" s="185">
        <f t="shared" si="10"/>
        <v>0.83333333333333337</v>
      </c>
      <c r="BK50" s="103">
        <f t="shared" si="27"/>
        <v>1012</v>
      </c>
      <c r="BL50" s="103">
        <v>0</v>
      </c>
      <c r="BM50" s="103">
        <v>10</v>
      </c>
      <c r="BN50" s="103">
        <v>18</v>
      </c>
      <c r="BO50" s="103">
        <v>10</v>
      </c>
      <c r="BP50" s="103">
        <f t="shared" si="28"/>
        <v>1018</v>
      </c>
      <c r="BQ50" s="103">
        <f t="shared" si="28"/>
        <v>1810</v>
      </c>
      <c r="BR50" s="173" t="str">
        <f t="shared" si="29"/>
        <v>Rejillas de 10" × 18":</v>
      </c>
      <c r="BS50" s="180">
        <f t="shared" si="11"/>
        <v>0</v>
      </c>
      <c r="BT50" s="180">
        <f t="shared" si="12"/>
        <v>0</v>
      </c>
      <c r="BU50" s="180">
        <f t="shared" si="30"/>
        <v>0</v>
      </c>
      <c r="BV50" s="187"/>
      <c r="BW50" s="103">
        <f t="shared" si="67"/>
        <v>0</v>
      </c>
      <c r="BX50" s="187"/>
      <c r="BY50" s="187"/>
      <c r="BZ50" s="187"/>
      <c r="CA50" s="187"/>
      <c r="CB50" s="187"/>
      <c r="CC50" s="222" t="str">
        <f t="shared" si="31"/>
        <v/>
      </c>
      <c r="CD50" s="218" t="str">
        <f t="shared" si="62"/>
        <v/>
      </c>
      <c r="CE50" s="198" t="str">
        <f t="shared" si="32"/>
        <v/>
      </c>
      <c r="CF50" s="138" t="str">
        <f t="shared" si="33"/>
        <v/>
      </c>
      <c r="CG50" s="211" t="str">
        <f t="shared" si="34"/>
        <v/>
      </c>
      <c r="CH50" s="212" t="str">
        <f t="shared" si="34"/>
        <v/>
      </c>
      <c r="CI50" s="213" t="str">
        <f t="shared" si="34"/>
        <v/>
      </c>
      <c r="CJ50" s="138" t="str">
        <f t="shared" si="34"/>
        <v/>
      </c>
      <c r="CK50" s="199" t="str">
        <f t="shared" si="35"/>
        <v/>
      </c>
      <c r="CL50" s="200" t="str">
        <f t="shared" si="36"/>
        <v/>
      </c>
      <c r="CM50" s="201" t="str">
        <f t="shared" si="36"/>
        <v/>
      </c>
      <c r="CN50" s="202"/>
      <c r="CO50" s="222" t="str">
        <f t="shared" si="37"/>
        <v/>
      </c>
      <c r="CP50" s="199" t="str">
        <f t="shared" si="63"/>
        <v/>
      </c>
      <c r="CQ50" s="198" t="str">
        <f t="shared" si="38"/>
        <v/>
      </c>
      <c r="CR50" s="138" t="str">
        <f t="shared" si="39"/>
        <v/>
      </c>
      <c r="CS50" s="211" t="str">
        <f t="shared" si="40"/>
        <v/>
      </c>
      <c r="CT50" s="212" t="str">
        <f t="shared" si="40"/>
        <v/>
      </c>
      <c r="CU50" s="213" t="str">
        <f t="shared" si="40"/>
        <v/>
      </c>
      <c r="CV50" s="138" t="str">
        <f t="shared" si="40"/>
        <v/>
      </c>
      <c r="CW50" s="199" t="str">
        <f t="shared" si="41"/>
        <v/>
      </c>
      <c r="CX50" s="200" t="str">
        <f t="shared" si="42"/>
        <v/>
      </c>
      <c r="CY50" s="201" t="str">
        <f t="shared" si="42"/>
        <v/>
      </c>
      <c r="CZ50" s="202"/>
      <c r="DA50" s="222" t="str">
        <f t="shared" si="43"/>
        <v/>
      </c>
      <c r="DB50" s="199" t="str">
        <f t="shared" si="64"/>
        <v/>
      </c>
      <c r="DC50" s="198" t="str">
        <f t="shared" si="44"/>
        <v/>
      </c>
      <c r="DD50" s="138" t="str">
        <f t="shared" si="45"/>
        <v/>
      </c>
      <c r="DE50" s="211" t="str">
        <f t="shared" si="46"/>
        <v/>
      </c>
      <c r="DF50" s="212" t="str">
        <f t="shared" si="46"/>
        <v/>
      </c>
      <c r="DG50" s="213" t="str">
        <f t="shared" si="46"/>
        <v/>
      </c>
      <c r="DH50" s="138" t="str">
        <f t="shared" si="46"/>
        <v/>
      </c>
      <c r="DI50" s="199" t="str">
        <f t="shared" si="47"/>
        <v/>
      </c>
      <c r="DJ50" s="200" t="str">
        <f t="shared" si="48"/>
        <v/>
      </c>
      <c r="DK50" s="201" t="str">
        <f t="shared" si="48"/>
        <v/>
      </c>
      <c r="DL50" s="202"/>
      <c r="DM50" s="222" t="str">
        <f t="shared" si="49"/>
        <v/>
      </c>
      <c r="DN50" s="199" t="str">
        <f t="shared" si="65"/>
        <v/>
      </c>
      <c r="DO50" s="198" t="str">
        <f t="shared" si="50"/>
        <v/>
      </c>
      <c r="DP50" s="138" t="str">
        <f t="shared" si="51"/>
        <v/>
      </c>
      <c r="DQ50" s="211" t="str">
        <f t="shared" si="52"/>
        <v/>
      </c>
      <c r="DR50" s="212" t="str">
        <f t="shared" si="52"/>
        <v/>
      </c>
      <c r="DS50" s="213" t="str">
        <f t="shared" si="52"/>
        <v/>
      </c>
      <c r="DT50" s="138" t="str">
        <f t="shared" si="52"/>
        <v/>
      </c>
      <c r="DU50" s="199" t="str">
        <f t="shared" si="53"/>
        <v/>
      </c>
      <c r="DV50" s="200" t="str">
        <f t="shared" si="54"/>
        <v/>
      </c>
      <c r="DW50" s="201" t="str">
        <f t="shared" si="54"/>
        <v/>
      </c>
      <c r="DX50" s="202"/>
      <c r="DY50" s="222" t="str">
        <f t="shared" si="55"/>
        <v/>
      </c>
      <c r="DZ50" s="199" t="str">
        <f t="shared" si="66"/>
        <v/>
      </c>
      <c r="EA50" s="198" t="str">
        <f t="shared" si="56"/>
        <v/>
      </c>
      <c r="EB50" s="138" t="str">
        <f t="shared" si="57"/>
        <v/>
      </c>
      <c r="EC50" s="211" t="str">
        <f t="shared" si="58"/>
        <v/>
      </c>
      <c r="ED50" s="212" t="str">
        <f t="shared" si="58"/>
        <v/>
      </c>
      <c r="EE50" s="213" t="str">
        <f t="shared" si="58"/>
        <v/>
      </c>
      <c r="EF50" s="138" t="str">
        <f t="shared" si="58"/>
        <v/>
      </c>
      <c r="EG50" s="199" t="str">
        <f t="shared" si="59"/>
        <v/>
      </c>
      <c r="EH50" s="200" t="str">
        <f t="shared" si="60"/>
        <v/>
      </c>
      <c r="EI50" s="201" t="str">
        <f t="shared" si="60"/>
        <v/>
      </c>
      <c r="EJ50" s="229"/>
    </row>
    <row r="51" spans="1:140" x14ac:dyDescent="0.3">
      <c r="A51" s="375">
        <v>18</v>
      </c>
      <c r="B51" s="284"/>
      <c r="C51" s="261">
        <f t="shared" si="17"/>
        <v>4</v>
      </c>
      <c r="D51" s="373"/>
      <c r="E51" s="286"/>
      <c r="F51" s="285" t="str">
        <f t="shared" si="0"/>
        <v/>
      </c>
      <c r="G51" s="287" t="str">
        <f t="shared" si="0"/>
        <v/>
      </c>
      <c r="H51" s="288" t="str">
        <f t="shared" si="1"/>
        <v/>
      </c>
      <c r="I51" s="289" t="str">
        <f t="shared" si="2"/>
        <v/>
      </c>
      <c r="J51" s="288" t="str">
        <f t="shared" si="3"/>
        <v/>
      </c>
      <c r="K51" s="288">
        <f t="shared" si="4"/>
        <v>0</v>
      </c>
      <c r="L51" s="290"/>
      <c r="M51" s="291">
        <f t="shared" si="18"/>
        <v>1</v>
      </c>
      <c r="N51" s="301" t="str">
        <f t="shared" si="19"/>
        <v/>
      </c>
      <c r="O51" s="302" t="str">
        <f t="shared" si="5"/>
        <v/>
      </c>
      <c r="P51" s="303" t="str">
        <f t="shared" si="20"/>
        <v/>
      </c>
      <c r="Q51" s="292" t="str">
        <f t="shared" si="6"/>
        <v/>
      </c>
      <c r="R51" s="293"/>
      <c r="S51" s="294" t="str">
        <f t="shared" si="21"/>
        <v/>
      </c>
      <c r="T51" s="295" t="str">
        <f t="shared" si="22"/>
        <v/>
      </c>
      <c r="V51" s="3">
        <f t="shared" si="7"/>
        <v>40</v>
      </c>
      <c r="W51" s="3">
        <v>12</v>
      </c>
      <c r="X51" s="3">
        <v>12</v>
      </c>
      <c r="Y51" s="3" t="s">
        <v>179</v>
      </c>
      <c r="AY51" s="187"/>
      <c r="AZ51" s="176" t="str">
        <f>"Difusores de "&amp;W51&amp;""""&amp;" × "&amp;X51&amp;""""&amp;Y51</f>
        <v>Difusores de 12" × 12", número de vías por definir:</v>
      </c>
      <c r="BA51" s="174">
        <f t="shared" si="23"/>
        <v>0</v>
      </c>
      <c r="BB51" s="187"/>
      <c r="BC51" s="103">
        <f t="shared" si="24"/>
        <v>0</v>
      </c>
      <c r="BD51" s="103">
        <f t="shared" si="25"/>
        <v>0</v>
      </c>
      <c r="BE51" s="103">
        <f t="shared" si="8"/>
        <v>0</v>
      </c>
      <c r="BF51" s="181">
        <v>10</v>
      </c>
      <c r="BG51" s="181">
        <v>14</v>
      </c>
      <c r="BH51" s="184">
        <f t="shared" si="26"/>
        <v>0.97222222222222232</v>
      </c>
      <c r="BI51" s="185">
        <f t="shared" si="9"/>
        <v>534.72222222222229</v>
      </c>
      <c r="BJ51" s="185">
        <f t="shared" si="10"/>
        <v>0.7142857142857143</v>
      </c>
      <c r="BK51" s="103">
        <f t="shared" si="27"/>
        <v>1014</v>
      </c>
      <c r="BL51" s="103">
        <v>0</v>
      </c>
      <c r="BM51" s="103">
        <v>10</v>
      </c>
      <c r="BN51" s="103">
        <v>20</v>
      </c>
      <c r="BO51" s="103">
        <v>10</v>
      </c>
      <c r="BP51" s="103">
        <f t="shared" si="28"/>
        <v>1020</v>
      </c>
      <c r="BQ51" s="103">
        <f t="shared" si="28"/>
        <v>2010</v>
      </c>
      <c r="BR51" s="173" t="str">
        <f t="shared" si="29"/>
        <v>Rejillas de 10" × 20":</v>
      </c>
      <c r="BS51" s="180">
        <f t="shared" si="11"/>
        <v>0</v>
      </c>
      <c r="BT51" s="180">
        <f t="shared" si="12"/>
        <v>0</v>
      </c>
      <c r="BU51" s="180">
        <f t="shared" si="30"/>
        <v>0</v>
      </c>
      <c r="BV51" s="187"/>
      <c r="BW51" s="103">
        <f t="shared" si="67"/>
        <v>0</v>
      </c>
      <c r="BX51" s="187"/>
      <c r="BY51" s="187"/>
      <c r="BZ51" s="187"/>
      <c r="CA51" s="187"/>
      <c r="CB51" s="187"/>
      <c r="CC51" s="222" t="str">
        <f t="shared" si="31"/>
        <v/>
      </c>
      <c r="CD51" s="218" t="str">
        <f t="shared" si="62"/>
        <v/>
      </c>
      <c r="CE51" s="198" t="str">
        <f t="shared" si="32"/>
        <v/>
      </c>
      <c r="CF51" s="138" t="str">
        <f t="shared" si="33"/>
        <v/>
      </c>
      <c r="CG51" s="211" t="str">
        <f t="shared" si="34"/>
        <v/>
      </c>
      <c r="CH51" s="212" t="str">
        <f t="shared" si="34"/>
        <v/>
      </c>
      <c r="CI51" s="213" t="str">
        <f t="shared" si="34"/>
        <v/>
      </c>
      <c r="CJ51" s="138" t="str">
        <f t="shared" si="34"/>
        <v/>
      </c>
      <c r="CK51" s="199" t="str">
        <f t="shared" si="35"/>
        <v/>
      </c>
      <c r="CL51" s="200" t="str">
        <f t="shared" si="36"/>
        <v/>
      </c>
      <c r="CM51" s="201" t="str">
        <f t="shared" si="36"/>
        <v/>
      </c>
      <c r="CN51" s="202"/>
      <c r="CO51" s="222" t="str">
        <f t="shared" si="37"/>
        <v/>
      </c>
      <c r="CP51" s="199" t="str">
        <f t="shared" si="63"/>
        <v/>
      </c>
      <c r="CQ51" s="198" t="str">
        <f t="shared" si="38"/>
        <v/>
      </c>
      <c r="CR51" s="138" t="str">
        <f t="shared" si="39"/>
        <v/>
      </c>
      <c r="CS51" s="211" t="str">
        <f t="shared" si="40"/>
        <v/>
      </c>
      <c r="CT51" s="212" t="str">
        <f t="shared" si="40"/>
        <v/>
      </c>
      <c r="CU51" s="213" t="str">
        <f t="shared" si="40"/>
        <v/>
      </c>
      <c r="CV51" s="138" t="str">
        <f t="shared" si="40"/>
        <v/>
      </c>
      <c r="CW51" s="199" t="str">
        <f t="shared" si="41"/>
        <v/>
      </c>
      <c r="CX51" s="200" t="str">
        <f t="shared" si="42"/>
        <v/>
      </c>
      <c r="CY51" s="201" t="str">
        <f t="shared" si="42"/>
        <v/>
      </c>
      <c r="CZ51" s="202"/>
      <c r="DA51" s="222" t="str">
        <f t="shared" si="43"/>
        <v/>
      </c>
      <c r="DB51" s="199" t="str">
        <f t="shared" si="64"/>
        <v/>
      </c>
      <c r="DC51" s="198" t="str">
        <f t="shared" si="44"/>
        <v/>
      </c>
      <c r="DD51" s="138" t="str">
        <f t="shared" si="45"/>
        <v/>
      </c>
      <c r="DE51" s="211" t="str">
        <f t="shared" si="46"/>
        <v/>
      </c>
      <c r="DF51" s="212" t="str">
        <f t="shared" si="46"/>
        <v/>
      </c>
      <c r="DG51" s="213" t="str">
        <f t="shared" si="46"/>
        <v/>
      </c>
      <c r="DH51" s="138" t="str">
        <f t="shared" si="46"/>
        <v/>
      </c>
      <c r="DI51" s="199" t="str">
        <f t="shared" si="47"/>
        <v/>
      </c>
      <c r="DJ51" s="200" t="str">
        <f t="shared" si="48"/>
        <v/>
      </c>
      <c r="DK51" s="201" t="str">
        <f t="shared" si="48"/>
        <v/>
      </c>
      <c r="DL51" s="202"/>
      <c r="DM51" s="222" t="str">
        <f t="shared" si="49"/>
        <v/>
      </c>
      <c r="DN51" s="199" t="str">
        <f t="shared" si="65"/>
        <v/>
      </c>
      <c r="DO51" s="198" t="str">
        <f t="shared" si="50"/>
        <v/>
      </c>
      <c r="DP51" s="138" t="str">
        <f t="shared" si="51"/>
        <v/>
      </c>
      <c r="DQ51" s="211" t="str">
        <f t="shared" si="52"/>
        <v/>
      </c>
      <c r="DR51" s="212" t="str">
        <f t="shared" si="52"/>
        <v/>
      </c>
      <c r="DS51" s="213" t="str">
        <f t="shared" si="52"/>
        <v/>
      </c>
      <c r="DT51" s="138" t="str">
        <f t="shared" si="52"/>
        <v/>
      </c>
      <c r="DU51" s="199" t="str">
        <f t="shared" si="53"/>
        <v/>
      </c>
      <c r="DV51" s="200" t="str">
        <f t="shared" si="54"/>
        <v/>
      </c>
      <c r="DW51" s="201" t="str">
        <f t="shared" si="54"/>
        <v/>
      </c>
      <c r="DX51" s="202"/>
      <c r="DY51" s="222" t="str">
        <f t="shared" si="55"/>
        <v/>
      </c>
      <c r="DZ51" s="199" t="str">
        <f t="shared" si="66"/>
        <v/>
      </c>
      <c r="EA51" s="198" t="str">
        <f t="shared" si="56"/>
        <v/>
      </c>
      <c r="EB51" s="138" t="str">
        <f t="shared" si="57"/>
        <v/>
      </c>
      <c r="EC51" s="211" t="str">
        <f t="shared" si="58"/>
        <v/>
      </c>
      <c r="ED51" s="212" t="str">
        <f t="shared" si="58"/>
        <v/>
      </c>
      <c r="EE51" s="213" t="str">
        <f t="shared" si="58"/>
        <v/>
      </c>
      <c r="EF51" s="138" t="str">
        <f t="shared" si="58"/>
        <v/>
      </c>
      <c r="EG51" s="199" t="str">
        <f t="shared" si="59"/>
        <v/>
      </c>
      <c r="EH51" s="200" t="str">
        <f t="shared" si="60"/>
        <v/>
      </c>
      <c r="EI51" s="201" t="str">
        <f t="shared" si="60"/>
        <v/>
      </c>
      <c r="EJ51" s="229"/>
    </row>
    <row r="52" spans="1:140" x14ac:dyDescent="0.3">
      <c r="A52" s="375">
        <v>19</v>
      </c>
      <c r="B52" s="260"/>
      <c r="C52" s="261">
        <f t="shared" si="17"/>
        <v>4</v>
      </c>
      <c r="D52" s="371"/>
      <c r="E52" s="262"/>
      <c r="F52" s="261" t="str">
        <f t="shared" si="0"/>
        <v/>
      </c>
      <c r="G52" s="263" t="str">
        <f t="shared" si="0"/>
        <v/>
      </c>
      <c r="H52" s="264" t="str">
        <f t="shared" si="1"/>
        <v/>
      </c>
      <c r="I52" s="265" t="str">
        <f t="shared" si="2"/>
        <v/>
      </c>
      <c r="J52" s="264" t="str">
        <f t="shared" si="3"/>
        <v/>
      </c>
      <c r="K52" s="264">
        <f t="shared" si="4"/>
        <v>0</v>
      </c>
      <c r="L52" s="266"/>
      <c r="M52" s="267">
        <f t="shared" si="18"/>
        <v>1</v>
      </c>
      <c r="N52" s="296" t="str">
        <f t="shared" si="19"/>
        <v/>
      </c>
      <c r="O52" s="297" t="str">
        <f t="shared" si="5"/>
        <v/>
      </c>
      <c r="P52" s="298" t="str">
        <f t="shared" si="20"/>
        <v/>
      </c>
      <c r="Q52" s="268" t="str">
        <f t="shared" si="6"/>
        <v/>
      </c>
      <c r="R52" s="269"/>
      <c r="S52" s="270" t="str">
        <f t="shared" si="21"/>
        <v/>
      </c>
      <c r="T52" s="271" t="str">
        <f t="shared" si="22"/>
        <v/>
      </c>
      <c r="V52" s="3">
        <f t="shared" si="7"/>
        <v>40</v>
      </c>
      <c r="W52" s="3">
        <v>15</v>
      </c>
      <c r="X52" s="3">
        <v>15</v>
      </c>
      <c r="Y52" s="3">
        <v>1</v>
      </c>
      <c r="AY52" s="187"/>
      <c r="AZ52" s="175" t="str">
        <f>"Difusores de "&amp;W52&amp;""""&amp;" × "&amp;X52&amp;""""&amp;" de "&amp;Y52&amp;" vía:"</f>
        <v>Difusores de 15" × 15" de 1 vía:</v>
      </c>
      <c r="BA52" s="174">
        <f t="shared" si="23"/>
        <v>0</v>
      </c>
      <c r="BB52" s="187"/>
      <c r="BC52" s="103">
        <f t="shared" si="24"/>
        <v>0</v>
      </c>
      <c r="BD52" s="103">
        <f t="shared" si="25"/>
        <v>0</v>
      </c>
      <c r="BE52" s="103">
        <f t="shared" si="8"/>
        <v>0</v>
      </c>
      <c r="BF52" s="181">
        <v>10</v>
      </c>
      <c r="BG52" s="181">
        <v>16</v>
      </c>
      <c r="BH52" s="184">
        <f t="shared" si="26"/>
        <v>1.1111111111111112</v>
      </c>
      <c r="BI52" s="185">
        <f t="shared" si="9"/>
        <v>611.11111111111109</v>
      </c>
      <c r="BJ52" s="185">
        <f t="shared" si="10"/>
        <v>0.625</v>
      </c>
      <c r="BK52" s="103">
        <f t="shared" si="27"/>
        <v>1016</v>
      </c>
      <c r="BL52" s="103">
        <v>0</v>
      </c>
      <c r="BM52" s="103">
        <v>10</v>
      </c>
      <c r="BN52" s="103">
        <v>22</v>
      </c>
      <c r="BO52" s="103">
        <v>10</v>
      </c>
      <c r="BP52" s="103">
        <f t="shared" si="28"/>
        <v>1022</v>
      </c>
      <c r="BQ52" s="103">
        <f t="shared" si="28"/>
        <v>2210</v>
      </c>
      <c r="BR52" s="173" t="str">
        <f t="shared" si="29"/>
        <v>Rejillas de 10" × 22":</v>
      </c>
      <c r="BS52" s="180">
        <f t="shared" si="11"/>
        <v>0</v>
      </c>
      <c r="BT52" s="180">
        <f t="shared" si="12"/>
        <v>0</v>
      </c>
      <c r="BU52" s="180">
        <f t="shared" si="30"/>
        <v>0</v>
      </c>
      <c r="BV52" s="187"/>
      <c r="BW52" s="103">
        <f t="shared" si="67"/>
        <v>0</v>
      </c>
      <c r="BX52" s="187"/>
      <c r="BY52" s="187"/>
      <c r="BZ52" s="187"/>
      <c r="CA52" s="187"/>
      <c r="CB52" s="187"/>
      <c r="CC52" s="222" t="str">
        <f t="shared" si="31"/>
        <v/>
      </c>
      <c r="CD52" s="218" t="str">
        <f t="shared" si="62"/>
        <v/>
      </c>
      <c r="CE52" s="198" t="str">
        <f t="shared" si="32"/>
        <v/>
      </c>
      <c r="CF52" s="138" t="str">
        <f t="shared" si="33"/>
        <v/>
      </c>
      <c r="CG52" s="211" t="str">
        <f t="shared" si="34"/>
        <v/>
      </c>
      <c r="CH52" s="212" t="str">
        <f t="shared" si="34"/>
        <v/>
      </c>
      <c r="CI52" s="213" t="str">
        <f t="shared" si="34"/>
        <v/>
      </c>
      <c r="CJ52" s="138" t="str">
        <f t="shared" si="34"/>
        <v/>
      </c>
      <c r="CK52" s="199" t="str">
        <f t="shared" si="35"/>
        <v/>
      </c>
      <c r="CL52" s="200" t="str">
        <f t="shared" si="36"/>
        <v/>
      </c>
      <c r="CM52" s="201" t="str">
        <f t="shared" si="36"/>
        <v/>
      </c>
      <c r="CN52" s="202"/>
      <c r="CO52" s="222" t="str">
        <f t="shared" si="37"/>
        <v/>
      </c>
      <c r="CP52" s="199" t="str">
        <f t="shared" si="63"/>
        <v/>
      </c>
      <c r="CQ52" s="198" t="str">
        <f t="shared" si="38"/>
        <v/>
      </c>
      <c r="CR52" s="138" t="str">
        <f t="shared" si="39"/>
        <v/>
      </c>
      <c r="CS52" s="211" t="str">
        <f t="shared" si="40"/>
        <v/>
      </c>
      <c r="CT52" s="212" t="str">
        <f t="shared" si="40"/>
        <v/>
      </c>
      <c r="CU52" s="213" t="str">
        <f t="shared" si="40"/>
        <v/>
      </c>
      <c r="CV52" s="138" t="str">
        <f t="shared" si="40"/>
        <v/>
      </c>
      <c r="CW52" s="199" t="str">
        <f t="shared" si="41"/>
        <v/>
      </c>
      <c r="CX52" s="200" t="str">
        <f t="shared" si="42"/>
        <v/>
      </c>
      <c r="CY52" s="201" t="str">
        <f t="shared" si="42"/>
        <v/>
      </c>
      <c r="CZ52" s="202"/>
      <c r="DA52" s="222" t="str">
        <f t="shared" si="43"/>
        <v/>
      </c>
      <c r="DB52" s="199" t="str">
        <f t="shared" si="64"/>
        <v/>
      </c>
      <c r="DC52" s="198" t="str">
        <f t="shared" si="44"/>
        <v/>
      </c>
      <c r="DD52" s="138" t="str">
        <f t="shared" si="45"/>
        <v/>
      </c>
      <c r="DE52" s="211" t="str">
        <f t="shared" si="46"/>
        <v/>
      </c>
      <c r="DF52" s="212" t="str">
        <f t="shared" si="46"/>
        <v/>
      </c>
      <c r="DG52" s="213" t="str">
        <f t="shared" si="46"/>
        <v/>
      </c>
      <c r="DH52" s="138" t="str">
        <f t="shared" si="46"/>
        <v/>
      </c>
      <c r="DI52" s="199" t="str">
        <f t="shared" si="47"/>
        <v/>
      </c>
      <c r="DJ52" s="200" t="str">
        <f t="shared" si="48"/>
        <v/>
      </c>
      <c r="DK52" s="201" t="str">
        <f t="shared" si="48"/>
        <v/>
      </c>
      <c r="DL52" s="202"/>
      <c r="DM52" s="222" t="str">
        <f t="shared" si="49"/>
        <v/>
      </c>
      <c r="DN52" s="199" t="str">
        <f t="shared" si="65"/>
        <v/>
      </c>
      <c r="DO52" s="198" t="str">
        <f t="shared" si="50"/>
        <v/>
      </c>
      <c r="DP52" s="138" t="str">
        <f t="shared" si="51"/>
        <v/>
      </c>
      <c r="DQ52" s="211" t="str">
        <f t="shared" si="52"/>
        <v/>
      </c>
      <c r="DR52" s="212" t="str">
        <f t="shared" si="52"/>
        <v/>
      </c>
      <c r="DS52" s="213" t="str">
        <f t="shared" si="52"/>
        <v/>
      </c>
      <c r="DT52" s="138" t="str">
        <f t="shared" si="52"/>
        <v/>
      </c>
      <c r="DU52" s="199" t="str">
        <f t="shared" si="53"/>
        <v/>
      </c>
      <c r="DV52" s="200" t="str">
        <f t="shared" si="54"/>
        <v/>
      </c>
      <c r="DW52" s="201" t="str">
        <f t="shared" si="54"/>
        <v/>
      </c>
      <c r="DX52" s="202"/>
      <c r="DY52" s="222" t="str">
        <f t="shared" si="55"/>
        <v/>
      </c>
      <c r="DZ52" s="199" t="str">
        <f t="shared" si="66"/>
        <v/>
      </c>
      <c r="EA52" s="198" t="str">
        <f t="shared" si="56"/>
        <v/>
      </c>
      <c r="EB52" s="138" t="str">
        <f t="shared" si="57"/>
        <v/>
      </c>
      <c r="EC52" s="211" t="str">
        <f t="shared" si="58"/>
        <v/>
      </c>
      <c r="ED52" s="212" t="str">
        <f t="shared" si="58"/>
        <v/>
      </c>
      <c r="EE52" s="213" t="str">
        <f t="shared" si="58"/>
        <v/>
      </c>
      <c r="EF52" s="138" t="str">
        <f t="shared" si="58"/>
        <v/>
      </c>
      <c r="EG52" s="199" t="str">
        <f t="shared" si="59"/>
        <v/>
      </c>
      <c r="EH52" s="200" t="str">
        <f t="shared" si="60"/>
        <v/>
      </c>
      <c r="EI52" s="201" t="str">
        <f t="shared" si="60"/>
        <v/>
      </c>
      <c r="EJ52" s="229"/>
    </row>
    <row r="53" spans="1:140" x14ac:dyDescent="0.3">
      <c r="A53" s="375">
        <v>20</v>
      </c>
      <c r="B53" s="272"/>
      <c r="C53" s="261">
        <f t="shared" si="17"/>
        <v>4</v>
      </c>
      <c r="D53" s="372"/>
      <c r="E53" s="274"/>
      <c r="F53" s="273" t="str">
        <f t="shared" si="0"/>
        <v/>
      </c>
      <c r="G53" s="275" t="str">
        <f t="shared" si="0"/>
        <v/>
      </c>
      <c r="H53" s="276" t="str">
        <f t="shared" si="1"/>
        <v/>
      </c>
      <c r="I53" s="277" t="str">
        <f t="shared" si="2"/>
        <v/>
      </c>
      <c r="J53" s="276" t="str">
        <f t="shared" si="3"/>
        <v/>
      </c>
      <c r="K53" s="276">
        <f t="shared" si="4"/>
        <v>0</v>
      </c>
      <c r="L53" s="278"/>
      <c r="M53" s="279">
        <f t="shared" si="18"/>
        <v>1</v>
      </c>
      <c r="N53" s="299" t="str">
        <f t="shared" si="19"/>
        <v/>
      </c>
      <c r="O53" s="117" t="str">
        <f t="shared" si="5"/>
        <v/>
      </c>
      <c r="P53" s="300" t="str">
        <f t="shared" si="20"/>
        <v/>
      </c>
      <c r="Q53" s="280" t="str">
        <f t="shared" si="6"/>
        <v/>
      </c>
      <c r="R53" s="281"/>
      <c r="S53" s="282" t="str">
        <f t="shared" si="21"/>
        <v/>
      </c>
      <c r="T53" s="283" t="str">
        <f t="shared" si="22"/>
        <v/>
      </c>
      <c r="V53" s="3">
        <f t="shared" si="7"/>
        <v>40</v>
      </c>
      <c r="W53" s="3">
        <v>15</v>
      </c>
      <c r="X53" s="3">
        <v>15</v>
      </c>
      <c r="Y53" s="3">
        <v>2</v>
      </c>
      <c r="AY53" s="187"/>
      <c r="AZ53" s="175" t="str">
        <f>"Difusores de "&amp;W53&amp;""""&amp;" × "&amp;X53&amp;""""&amp;" de "&amp;Y53&amp;" vías:"</f>
        <v>Difusores de 15" × 15" de 2 vías:</v>
      </c>
      <c r="BA53" s="174">
        <f t="shared" si="23"/>
        <v>0</v>
      </c>
      <c r="BB53" s="187"/>
      <c r="BC53" s="103">
        <f t="shared" si="24"/>
        <v>0</v>
      </c>
      <c r="BD53" s="103">
        <f t="shared" si="25"/>
        <v>0</v>
      </c>
      <c r="BE53" s="103">
        <f t="shared" si="8"/>
        <v>0</v>
      </c>
      <c r="BF53" s="181">
        <v>10</v>
      </c>
      <c r="BG53" s="181">
        <v>18</v>
      </c>
      <c r="BH53" s="184">
        <f t="shared" si="26"/>
        <v>1.25</v>
      </c>
      <c r="BI53" s="185">
        <f t="shared" si="9"/>
        <v>687.5</v>
      </c>
      <c r="BJ53" s="185">
        <f t="shared" si="10"/>
        <v>0.55555555555555558</v>
      </c>
      <c r="BK53" s="103">
        <f t="shared" si="27"/>
        <v>1018</v>
      </c>
      <c r="BL53" s="103">
        <v>0</v>
      </c>
      <c r="BM53" s="103">
        <v>10</v>
      </c>
      <c r="BN53" s="103">
        <v>24</v>
      </c>
      <c r="BO53" s="103">
        <v>10</v>
      </c>
      <c r="BP53" s="103">
        <f t="shared" si="28"/>
        <v>1024</v>
      </c>
      <c r="BQ53" s="103">
        <f t="shared" si="28"/>
        <v>2410</v>
      </c>
      <c r="BR53" s="173" t="str">
        <f t="shared" si="29"/>
        <v>Rejillas de 10" × 24":</v>
      </c>
      <c r="BS53" s="180">
        <f t="shared" si="11"/>
        <v>0</v>
      </c>
      <c r="BT53" s="180">
        <f t="shared" si="12"/>
        <v>0</v>
      </c>
      <c r="BU53" s="180">
        <f t="shared" si="30"/>
        <v>0</v>
      </c>
      <c r="BV53" s="187"/>
      <c r="BW53" s="103">
        <f t="shared" si="67"/>
        <v>0</v>
      </c>
      <c r="BX53" s="187"/>
      <c r="BY53" s="187"/>
      <c r="BZ53" s="187"/>
      <c r="CA53" s="187"/>
      <c r="CB53" s="187"/>
      <c r="CC53" s="222" t="str">
        <f t="shared" si="31"/>
        <v/>
      </c>
      <c r="CD53" s="218" t="str">
        <f t="shared" si="62"/>
        <v/>
      </c>
      <c r="CE53" s="198" t="str">
        <f t="shared" si="32"/>
        <v/>
      </c>
      <c r="CF53" s="138" t="str">
        <f t="shared" si="33"/>
        <v/>
      </c>
      <c r="CG53" s="211" t="str">
        <f t="shared" si="34"/>
        <v/>
      </c>
      <c r="CH53" s="212" t="str">
        <f t="shared" si="34"/>
        <v/>
      </c>
      <c r="CI53" s="213" t="str">
        <f t="shared" si="34"/>
        <v/>
      </c>
      <c r="CJ53" s="138" t="str">
        <f t="shared" si="34"/>
        <v/>
      </c>
      <c r="CK53" s="199" t="str">
        <f t="shared" si="35"/>
        <v/>
      </c>
      <c r="CL53" s="200" t="str">
        <f t="shared" si="36"/>
        <v/>
      </c>
      <c r="CM53" s="201" t="str">
        <f t="shared" si="36"/>
        <v/>
      </c>
      <c r="CN53" s="202"/>
      <c r="CO53" s="222" t="str">
        <f t="shared" si="37"/>
        <v/>
      </c>
      <c r="CP53" s="199" t="str">
        <f t="shared" si="63"/>
        <v/>
      </c>
      <c r="CQ53" s="198" t="str">
        <f t="shared" si="38"/>
        <v/>
      </c>
      <c r="CR53" s="138" t="str">
        <f t="shared" si="39"/>
        <v/>
      </c>
      <c r="CS53" s="211" t="str">
        <f t="shared" si="40"/>
        <v/>
      </c>
      <c r="CT53" s="212" t="str">
        <f t="shared" si="40"/>
        <v/>
      </c>
      <c r="CU53" s="213" t="str">
        <f t="shared" si="40"/>
        <v/>
      </c>
      <c r="CV53" s="138" t="str">
        <f t="shared" si="40"/>
        <v/>
      </c>
      <c r="CW53" s="199" t="str">
        <f t="shared" si="41"/>
        <v/>
      </c>
      <c r="CX53" s="200" t="str">
        <f t="shared" si="42"/>
        <v/>
      </c>
      <c r="CY53" s="201" t="str">
        <f t="shared" si="42"/>
        <v/>
      </c>
      <c r="CZ53" s="202"/>
      <c r="DA53" s="222" t="str">
        <f t="shared" si="43"/>
        <v/>
      </c>
      <c r="DB53" s="199" t="str">
        <f t="shared" si="64"/>
        <v/>
      </c>
      <c r="DC53" s="198" t="str">
        <f t="shared" si="44"/>
        <v/>
      </c>
      <c r="DD53" s="138" t="str">
        <f t="shared" si="45"/>
        <v/>
      </c>
      <c r="DE53" s="211" t="str">
        <f t="shared" si="46"/>
        <v/>
      </c>
      <c r="DF53" s="212" t="str">
        <f t="shared" si="46"/>
        <v/>
      </c>
      <c r="DG53" s="213" t="str">
        <f t="shared" si="46"/>
        <v/>
      </c>
      <c r="DH53" s="138" t="str">
        <f t="shared" si="46"/>
        <v/>
      </c>
      <c r="DI53" s="199" t="str">
        <f t="shared" si="47"/>
        <v/>
      </c>
      <c r="DJ53" s="200" t="str">
        <f t="shared" si="48"/>
        <v/>
      </c>
      <c r="DK53" s="201" t="str">
        <f t="shared" si="48"/>
        <v/>
      </c>
      <c r="DL53" s="202"/>
      <c r="DM53" s="222" t="str">
        <f t="shared" si="49"/>
        <v/>
      </c>
      <c r="DN53" s="199" t="str">
        <f t="shared" si="65"/>
        <v/>
      </c>
      <c r="DO53" s="198" t="str">
        <f t="shared" si="50"/>
        <v/>
      </c>
      <c r="DP53" s="138" t="str">
        <f t="shared" si="51"/>
        <v/>
      </c>
      <c r="DQ53" s="211" t="str">
        <f t="shared" si="52"/>
        <v/>
      </c>
      <c r="DR53" s="212" t="str">
        <f t="shared" si="52"/>
        <v/>
      </c>
      <c r="DS53" s="213" t="str">
        <f t="shared" si="52"/>
        <v/>
      </c>
      <c r="DT53" s="138" t="str">
        <f t="shared" si="52"/>
        <v/>
      </c>
      <c r="DU53" s="199" t="str">
        <f t="shared" si="53"/>
        <v/>
      </c>
      <c r="DV53" s="200" t="str">
        <f t="shared" si="54"/>
        <v/>
      </c>
      <c r="DW53" s="201" t="str">
        <f t="shared" si="54"/>
        <v/>
      </c>
      <c r="DX53" s="202"/>
      <c r="DY53" s="222" t="str">
        <f t="shared" si="55"/>
        <v/>
      </c>
      <c r="DZ53" s="199" t="str">
        <f t="shared" si="66"/>
        <v/>
      </c>
      <c r="EA53" s="198" t="str">
        <f t="shared" si="56"/>
        <v/>
      </c>
      <c r="EB53" s="138" t="str">
        <f t="shared" si="57"/>
        <v/>
      </c>
      <c r="EC53" s="211" t="str">
        <f t="shared" si="58"/>
        <v/>
      </c>
      <c r="ED53" s="212" t="str">
        <f t="shared" si="58"/>
        <v/>
      </c>
      <c r="EE53" s="213" t="str">
        <f t="shared" si="58"/>
        <v/>
      </c>
      <c r="EF53" s="138" t="str">
        <f t="shared" si="58"/>
        <v/>
      </c>
      <c r="EG53" s="199" t="str">
        <f t="shared" si="59"/>
        <v/>
      </c>
      <c r="EH53" s="200" t="str">
        <f t="shared" si="60"/>
        <v/>
      </c>
      <c r="EI53" s="201" t="str">
        <f t="shared" si="60"/>
        <v/>
      </c>
      <c r="EJ53" s="229"/>
    </row>
    <row r="54" spans="1:140" x14ac:dyDescent="0.3">
      <c r="A54" s="375">
        <v>21</v>
      </c>
      <c r="B54" s="284"/>
      <c r="C54" s="261">
        <f t="shared" si="17"/>
        <v>4</v>
      </c>
      <c r="D54" s="373"/>
      <c r="E54" s="286"/>
      <c r="F54" s="285" t="str">
        <f t="shared" ref="F54:G73" si="69">IFERROR(VLOOKUP($E54,DMFA,F$29,FALSE),"")</f>
        <v/>
      </c>
      <c r="G54" s="287" t="str">
        <f t="shared" si="69"/>
        <v/>
      </c>
      <c r="H54" s="288" t="str">
        <f t="shared" si="1"/>
        <v/>
      </c>
      <c r="I54" s="289" t="str">
        <f t="shared" si="2"/>
        <v/>
      </c>
      <c r="J54" s="288" t="str">
        <f t="shared" si="3"/>
        <v/>
      </c>
      <c r="K54" s="288">
        <f t="shared" si="4"/>
        <v>0</v>
      </c>
      <c r="L54" s="290"/>
      <c r="M54" s="291">
        <f t="shared" si="18"/>
        <v>1</v>
      </c>
      <c r="N54" s="301" t="str">
        <f t="shared" si="19"/>
        <v/>
      </c>
      <c r="O54" s="302" t="str">
        <f t="shared" si="5"/>
        <v/>
      </c>
      <c r="P54" s="303" t="str">
        <f t="shared" si="20"/>
        <v/>
      </c>
      <c r="Q54" s="292" t="str">
        <f t="shared" si="6"/>
        <v/>
      </c>
      <c r="R54" s="293"/>
      <c r="S54" s="294" t="str">
        <f t="shared" si="21"/>
        <v/>
      </c>
      <c r="T54" s="295" t="str">
        <f t="shared" si="22"/>
        <v/>
      </c>
      <c r="V54" s="3">
        <f t="shared" si="7"/>
        <v>40</v>
      </c>
      <c r="W54" s="3">
        <v>15</v>
      </c>
      <c r="X54" s="3">
        <v>15</v>
      </c>
      <c r="Y54" s="3">
        <v>3</v>
      </c>
      <c r="AY54" s="187"/>
      <c r="AZ54" s="175" t="str">
        <f t="shared" ref="AZ54:AZ55" si="70">"Difusores de "&amp;W54&amp;""""&amp;" × "&amp;X54&amp;""""&amp;" de "&amp;Y54&amp;" vías:"</f>
        <v>Difusores de 15" × 15" de 3 vías:</v>
      </c>
      <c r="BA54" s="174">
        <f t="shared" si="23"/>
        <v>0</v>
      </c>
      <c r="BB54" s="187"/>
      <c r="BC54" s="103">
        <f t="shared" si="24"/>
        <v>0</v>
      </c>
      <c r="BD54" s="103">
        <f t="shared" si="25"/>
        <v>0</v>
      </c>
      <c r="BE54" s="103">
        <f t="shared" si="8"/>
        <v>0</v>
      </c>
      <c r="BF54" s="181">
        <v>10</v>
      </c>
      <c r="BG54" s="181">
        <v>20</v>
      </c>
      <c r="BH54" s="184">
        <f t="shared" si="26"/>
        <v>1.3888888888888891</v>
      </c>
      <c r="BI54" s="185">
        <f t="shared" si="9"/>
        <v>763.88888888888903</v>
      </c>
      <c r="BJ54" s="185">
        <f t="shared" si="10"/>
        <v>0.5</v>
      </c>
      <c r="BK54" s="103">
        <f t="shared" si="27"/>
        <v>1020</v>
      </c>
      <c r="BL54" s="103">
        <v>0</v>
      </c>
      <c r="BM54" s="103">
        <v>12</v>
      </c>
      <c r="BN54" s="103">
        <v>12</v>
      </c>
      <c r="BO54" s="103">
        <v>12</v>
      </c>
      <c r="BP54" s="103">
        <f t="shared" si="28"/>
        <v>1212</v>
      </c>
      <c r="BQ54" s="103">
        <f t="shared" si="28"/>
        <v>1212</v>
      </c>
      <c r="BR54" s="173" t="str">
        <f t="shared" si="29"/>
        <v>Rejillas de 12" × 12":</v>
      </c>
      <c r="BS54" s="180">
        <f t="shared" si="11"/>
        <v>0</v>
      </c>
      <c r="BT54" s="180">
        <f t="shared" si="12"/>
        <v>0</v>
      </c>
      <c r="BU54" s="180">
        <f t="shared" si="30"/>
        <v>0</v>
      </c>
      <c r="BV54" s="187"/>
      <c r="BW54" s="103">
        <f t="shared" si="67"/>
        <v>0</v>
      </c>
      <c r="BX54" s="187"/>
      <c r="BY54" s="187"/>
      <c r="BZ54" s="187"/>
      <c r="CA54" s="187"/>
      <c r="CB54" s="187"/>
      <c r="CC54" s="222" t="str">
        <f t="shared" si="31"/>
        <v/>
      </c>
      <c r="CD54" s="218" t="str">
        <f t="shared" si="62"/>
        <v/>
      </c>
      <c r="CE54" s="198" t="str">
        <f t="shared" si="32"/>
        <v/>
      </c>
      <c r="CF54" s="138" t="str">
        <f t="shared" si="33"/>
        <v/>
      </c>
      <c r="CG54" s="211" t="str">
        <f t="shared" si="34"/>
        <v/>
      </c>
      <c r="CH54" s="212" t="str">
        <f t="shared" si="34"/>
        <v/>
      </c>
      <c r="CI54" s="213" t="str">
        <f t="shared" si="34"/>
        <v/>
      </c>
      <c r="CJ54" s="138" t="str">
        <f t="shared" si="34"/>
        <v/>
      </c>
      <c r="CK54" s="199" t="str">
        <f t="shared" si="35"/>
        <v/>
      </c>
      <c r="CL54" s="200" t="str">
        <f t="shared" si="36"/>
        <v/>
      </c>
      <c r="CM54" s="201" t="str">
        <f t="shared" si="36"/>
        <v/>
      </c>
      <c r="CN54" s="202"/>
      <c r="CO54" s="222" t="str">
        <f t="shared" si="37"/>
        <v/>
      </c>
      <c r="CP54" s="199" t="str">
        <f t="shared" si="63"/>
        <v/>
      </c>
      <c r="CQ54" s="198" t="str">
        <f t="shared" si="38"/>
        <v/>
      </c>
      <c r="CR54" s="138" t="str">
        <f t="shared" si="39"/>
        <v/>
      </c>
      <c r="CS54" s="211" t="str">
        <f t="shared" si="40"/>
        <v/>
      </c>
      <c r="CT54" s="212" t="str">
        <f t="shared" si="40"/>
        <v/>
      </c>
      <c r="CU54" s="213" t="str">
        <f t="shared" si="40"/>
        <v/>
      </c>
      <c r="CV54" s="138" t="str">
        <f t="shared" si="40"/>
        <v/>
      </c>
      <c r="CW54" s="199" t="str">
        <f t="shared" si="41"/>
        <v/>
      </c>
      <c r="CX54" s="200" t="str">
        <f t="shared" si="42"/>
        <v/>
      </c>
      <c r="CY54" s="201" t="str">
        <f t="shared" si="42"/>
        <v/>
      </c>
      <c r="CZ54" s="202"/>
      <c r="DA54" s="222" t="str">
        <f t="shared" si="43"/>
        <v/>
      </c>
      <c r="DB54" s="199" t="str">
        <f t="shared" si="64"/>
        <v/>
      </c>
      <c r="DC54" s="198" t="str">
        <f t="shared" si="44"/>
        <v/>
      </c>
      <c r="DD54" s="138" t="str">
        <f t="shared" si="45"/>
        <v/>
      </c>
      <c r="DE54" s="211" t="str">
        <f t="shared" si="46"/>
        <v/>
      </c>
      <c r="DF54" s="212" t="str">
        <f t="shared" si="46"/>
        <v/>
      </c>
      <c r="DG54" s="213" t="str">
        <f t="shared" si="46"/>
        <v/>
      </c>
      <c r="DH54" s="138" t="str">
        <f t="shared" si="46"/>
        <v/>
      </c>
      <c r="DI54" s="199" t="str">
        <f t="shared" si="47"/>
        <v/>
      </c>
      <c r="DJ54" s="200" t="str">
        <f t="shared" si="48"/>
        <v/>
      </c>
      <c r="DK54" s="201" t="str">
        <f t="shared" si="48"/>
        <v/>
      </c>
      <c r="DL54" s="202"/>
      <c r="DM54" s="222" t="str">
        <f t="shared" si="49"/>
        <v/>
      </c>
      <c r="DN54" s="199" t="str">
        <f t="shared" si="65"/>
        <v/>
      </c>
      <c r="DO54" s="198" t="str">
        <f t="shared" si="50"/>
        <v/>
      </c>
      <c r="DP54" s="138" t="str">
        <f t="shared" si="51"/>
        <v/>
      </c>
      <c r="DQ54" s="211" t="str">
        <f t="shared" si="52"/>
        <v/>
      </c>
      <c r="DR54" s="212" t="str">
        <f t="shared" si="52"/>
        <v/>
      </c>
      <c r="DS54" s="213" t="str">
        <f t="shared" si="52"/>
        <v/>
      </c>
      <c r="DT54" s="138" t="str">
        <f t="shared" si="52"/>
        <v/>
      </c>
      <c r="DU54" s="199" t="str">
        <f t="shared" si="53"/>
        <v/>
      </c>
      <c r="DV54" s="200" t="str">
        <f t="shared" si="54"/>
        <v/>
      </c>
      <c r="DW54" s="201" t="str">
        <f t="shared" si="54"/>
        <v/>
      </c>
      <c r="DX54" s="202"/>
      <c r="DY54" s="222" t="str">
        <f t="shared" si="55"/>
        <v/>
      </c>
      <c r="DZ54" s="199" t="str">
        <f t="shared" si="66"/>
        <v/>
      </c>
      <c r="EA54" s="198" t="str">
        <f t="shared" si="56"/>
        <v/>
      </c>
      <c r="EB54" s="138" t="str">
        <f t="shared" si="57"/>
        <v/>
      </c>
      <c r="EC54" s="211" t="str">
        <f t="shared" si="58"/>
        <v/>
      </c>
      <c r="ED54" s="212" t="str">
        <f t="shared" si="58"/>
        <v/>
      </c>
      <c r="EE54" s="213" t="str">
        <f t="shared" si="58"/>
        <v/>
      </c>
      <c r="EF54" s="138" t="str">
        <f t="shared" si="58"/>
        <v/>
      </c>
      <c r="EG54" s="199" t="str">
        <f t="shared" si="59"/>
        <v/>
      </c>
      <c r="EH54" s="200" t="str">
        <f t="shared" si="60"/>
        <v/>
      </c>
      <c r="EI54" s="201" t="str">
        <f t="shared" si="60"/>
        <v/>
      </c>
      <c r="EJ54" s="229"/>
    </row>
    <row r="55" spans="1:140" x14ac:dyDescent="0.3">
      <c r="A55" s="375">
        <v>22</v>
      </c>
      <c r="B55" s="260"/>
      <c r="C55" s="261">
        <f t="shared" si="17"/>
        <v>4</v>
      </c>
      <c r="D55" s="371"/>
      <c r="E55" s="262"/>
      <c r="F55" s="261" t="str">
        <f t="shared" si="69"/>
        <v/>
      </c>
      <c r="G55" s="263" t="str">
        <f t="shared" si="69"/>
        <v/>
      </c>
      <c r="H55" s="264" t="str">
        <f t="shared" si="1"/>
        <v/>
      </c>
      <c r="I55" s="265" t="str">
        <f t="shared" si="2"/>
        <v/>
      </c>
      <c r="J55" s="264" t="str">
        <f t="shared" si="3"/>
        <v/>
      </c>
      <c r="K55" s="264">
        <f t="shared" si="4"/>
        <v>0</v>
      </c>
      <c r="L55" s="266"/>
      <c r="M55" s="267">
        <f t="shared" si="18"/>
        <v>1</v>
      </c>
      <c r="N55" s="296" t="str">
        <f t="shared" si="19"/>
        <v/>
      </c>
      <c r="O55" s="297" t="str">
        <f t="shared" si="5"/>
        <v/>
      </c>
      <c r="P55" s="298" t="str">
        <f t="shared" si="20"/>
        <v/>
      </c>
      <c r="Q55" s="268" t="str">
        <f t="shared" si="6"/>
        <v/>
      </c>
      <c r="R55" s="269"/>
      <c r="S55" s="270" t="str">
        <f t="shared" si="21"/>
        <v/>
      </c>
      <c r="T55" s="271" t="str">
        <f t="shared" si="22"/>
        <v/>
      </c>
      <c r="V55" s="3">
        <f t="shared" si="7"/>
        <v>40</v>
      </c>
      <c r="W55" s="3">
        <v>15</v>
      </c>
      <c r="X55" s="3">
        <v>15</v>
      </c>
      <c r="Y55" s="3">
        <v>4</v>
      </c>
      <c r="AY55" s="187"/>
      <c r="AZ55" s="175" t="str">
        <f t="shared" si="70"/>
        <v>Difusores de 15" × 15" de 4 vías:</v>
      </c>
      <c r="BA55" s="174">
        <f t="shared" si="23"/>
        <v>0</v>
      </c>
      <c r="BB55" s="187"/>
      <c r="BC55" s="103">
        <f t="shared" si="24"/>
        <v>0</v>
      </c>
      <c r="BD55" s="103">
        <f t="shared" si="25"/>
        <v>0</v>
      </c>
      <c r="BE55" s="103">
        <f t="shared" si="8"/>
        <v>0</v>
      </c>
      <c r="BF55" s="181">
        <v>10</v>
      </c>
      <c r="BG55" s="181">
        <v>22</v>
      </c>
      <c r="BH55" s="184">
        <f t="shared" si="26"/>
        <v>1.5277777777777777</v>
      </c>
      <c r="BI55" s="185">
        <f t="shared" si="9"/>
        <v>840.27777777777771</v>
      </c>
      <c r="BJ55" s="185">
        <f t="shared" si="10"/>
        <v>0.45454545454545453</v>
      </c>
      <c r="BK55" s="103">
        <f t="shared" si="27"/>
        <v>1022</v>
      </c>
      <c r="BL55" s="103">
        <v>0</v>
      </c>
      <c r="BM55" s="103">
        <v>12</v>
      </c>
      <c r="BN55" s="103">
        <v>14</v>
      </c>
      <c r="BO55" s="103">
        <v>12</v>
      </c>
      <c r="BP55" s="103">
        <f t="shared" si="28"/>
        <v>1214</v>
      </c>
      <c r="BQ55" s="103">
        <f t="shared" si="28"/>
        <v>1412</v>
      </c>
      <c r="BR55" s="173" t="str">
        <f t="shared" si="29"/>
        <v>Rejillas de 12" × 14":</v>
      </c>
      <c r="BS55" s="180">
        <f t="shared" si="11"/>
        <v>0</v>
      </c>
      <c r="BT55" s="180">
        <f t="shared" si="12"/>
        <v>0</v>
      </c>
      <c r="BU55" s="180">
        <f t="shared" si="30"/>
        <v>0</v>
      </c>
      <c r="BV55" s="187"/>
      <c r="BW55" s="103">
        <f t="shared" si="67"/>
        <v>0</v>
      </c>
      <c r="BX55" s="187"/>
      <c r="BY55" s="187"/>
      <c r="BZ55" s="187"/>
      <c r="CA55" s="187"/>
      <c r="CB55" s="187"/>
      <c r="CC55" s="222" t="str">
        <f t="shared" si="31"/>
        <v/>
      </c>
      <c r="CD55" s="218" t="str">
        <f t="shared" si="62"/>
        <v/>
      </c>
      <c r="CE55" s="198" t="str">
        <f t="shared" si="32"/>
        <v/>
      </c>
      <c r="CF55" s="138" t="str">
        <f t="shared" si="33"/>
        <v/>
      </c>
      <c r="CG55" s="211" t="str">
        <f t="shared" si="34"/>
        <v/>
      </c>
      <c r="CH55" s="212" t="str">
        <f t="shared" si="34"/>
        <v/>
      </c>
      <c r="CI55" s="213" t="str">
        <f t="shared" si="34"/>
        <v/>
      </c>
      <c r="CJ55" s="138" t="str">
        <f t="shared" si="34"/>
        <v/>
      </c>
      <c r="CK55" s="199" t="str">
        <f t="shared" si="35"/>
        <v/>
      </c>
      <c r="CL55" s="200" t="str">
        <f t="shared" si="36"/>
        <v/>
      </c>
      <c r="CM55" s="201" t="str">
        <f t="shared" si="36"/>
        <v/>
      </c>
      <c r="CN55" s="202"/>
      <c r="CO55" s="222" t="str">
        <f t="shared" si="37"/>
        <v/>
      </c>
      <c r="CP55" s="199" t="str">
        <f t="shared" si="63"/>
        <v/>
      </c>
      <c r="CQ55" s="198" t="str">
        <f t="shared" si="38"/>
        <v/>
      </c>
      <c r="CR55" s="138" t="str">
        <f t="shared" si="39"/>
        <v/>
      </c>
      <c r="CS55" s="211" t="str">
        <f t="shared" si="40"/>
        <v/>
      </c>
      <c r="CT55" s="212" t="str">
        <f t="shared" si="40"/>
        <v/>
      </c>
      <c r="CU55" s="213" t="str">
        <f t="shared" si="40"/>
        <v/>
      </c>
      <c r="CV55" s="138" t="str">
        <f t="shared" si="40"/>
        <v/>
      </c>
      <c r="CW55" s="199" t="str">
        <f t="shared" si="41"/>
        <v/>
      </c>
      <c r="CX55" s="200" t="str">
        <f t="shared" si="42"/>
        <v/>
      </c>
      <c r="CY55" s="201" t="str">
        <f t="shared" si="42"/>
        <v/>
      </c>
      <c r="CZ55" s="202"/>
      <c r="DA55" s="222" t="str">
        <f t="shared" si="43"/>
        <v/>
      </c>
      <c r="DB55" s="199" t="str">
        <f t="shared" si="64"/>
        <v/>
      </c>
      <c r="DC55" s="198" t="str">
        <f t="shared" si="44"/>
        <v/>
      </c>
      <c r="DD55" s="138" t="str">
        <f t="shared" si="45"/>
        <v/>
      </c>
      <c r="DE55" s="211" t="str">
        <f t="shared" si="46"/>
        <v/>
      </c>
      <c r="DF55" s="212" t="str">
        <f t="shared" si="46"/>
        <v/>
      </c>
      <c r="DG55" s="213" t="str">
        <f t="shared" si="46"/>
        <v/>
      </c>
      <c r="DH55" s="138" t="str">
        <f t="shared" si="46"/>
        <v/>
      </c>
      <c r="DI55" s="199" t="str">
        <f t="shared" si="47"/>
        <v/>
      </c>
      <c r="DJ55" s="200" t="str">
        <f t="shared" si="48"/>
        <v/>
      </c>
      <c r="DK55" s="201" t="str">
        <f t="shared" si="48"/>
        <v/>
      </c>
      <c r="DL55" s="202"/>
      <c r="DM55" s="222" t="str">
        <f t="shared" si="49"/>
        <v/>
      </c>
      <c r="DN55" s="199" t="str">
        <f t="shared" si="65"/>
        <v/>
      </c>
      <c r="DO55" s="198" t="str">
        <f t="shared" si="50"/>
        <v/>
      </c>
      <c r="DP55" s="138" t="str">
        <f t="shared" si="51"/>
        <v/>
      </c>
      <c r="DQ55" s="211" t="str">
        <f t="shared" si="52"/>
        <v/>
      </c>
      <c r="DR55" s="212" t="str">
        <f t="shared" si="52"/>
        <v/>
      </c>
      <c r="DS55" s="213" t="str">
        <f t="shared" si="52"/>
        <v/>
      </c>
      <c r="DT55" s="138" t="str">
        <f t="shared" si="52"/>
        <v/>
      </c>
      <c r="DU55" s="199" t="str">
        <f t="shared" si="53"/>
        <v/>
      </c>
      <c r="DV55" s="200" t="str">
        <f t="shared" si="54"/>
        <v/>
      </c>
      <c r="DW55" s="201" t="str">
        <f t="shared" si="54"/>
        <v/>
      </c>
      <c r="DX55" s="202"/>
      <c r="DY55" s="222" t="str">
        <f t="shared" si="55"/>
        <v/>
      </c>
      <c r="DZ55" s="199" t="str">
        <f t="shared" si="66"/>
        <v/>
      </c>
      <c r="EA55" s="198" t="str">
        <f t="shared" si="56"/>
        <v/>
      </c>
      <c r="EB55" s="138" t="str">
        <f t="shared" si="57"/>
        <v/>
      </c>
      <c r="EC55" s="211" t="str">
        <f t="shared" si="58"/>
        <v/>
      </c>
      <c r="ED55" s="212" t="str">
        <f t="shared" si="58"/>
        <v/>
      </c>
      <c r="EE55" s="213" t="str">
        <f t="shared" si="58"/>
        <v/>
      </c>
      <c r="EF55" s="138" t="str">
        <f t="shared" si="58"/>
        <v/>
      </c>
      <c r="EG55" s="199" t="str">
        <f t="shared" si="59"/>
        <v/>
      </c>
      <c r="EH55" s="200" t="str">
        <f t="shared" si="60"/>
        <v/>
      </c>
      <c r="EI55" s="201" t="str">
        <f t="shared" si="60"/>
        <v/>
      </c>
      <c r="EJ55" s="229"/>
    </row>
    <row r="56" spans="1:140" x14ac:dyDescent="0.3">
      <c r="A56" s="375">
        <v>23</v>
      </c>
      <c r="B56" s="272"/>
      <c r="C56" s="261">
        <f t="shared" si="17"/>
        <v>4</v>
      </c>
      <c r="D56" s="372"/>
      <c r="E56" s="274"/>
      <c r="F56" s="273" t="str">
        <f t="shared" si="69"/>
        <v/>
      </c>
      <c r="G56" s="275" t="str">
        <f t="shared" si="69"/>
        <v/>
      </c>
      <c r="H56" s="276" t="str">
        <f t="shared" si="1"/>
        <v/>
      </c>
      <c r="I56" s="277" t="str">
        <f t="shared" si="2"/>
        <v/>
      </c>
      <c r="J56" s="276" t="str">
        <f t="shared" si="3"/>
        <v/>
      </c>
      <c r="K56" s="276">
        <f t="shared" si="4"/>
        <v>0</v>
      </c>
      <c r="L56" s="278"/>
      <c r="M56" s="279">
        <f t="shared" si="18"/>
        <v>1</v>
      </c>
      <c r="N56" s="299" t="str">
        <f t="shared" si="19"/>
        <v/>
      </c>
      <c r="O56" s="117" t="str">
        <f t="shared" si="5"/>
        <v/>
      </c>
      <c r="P56" s="300" t="str">
        <f t="shared" si="20"/>
        <v/>
      </c>
      <c r="Q56" s="280" t="str">
        <f t="shared" si="6"/>
        <v/>
      </c>
      <c r="R56" s="281"/>
      <c r="S56" s="282" t="str">
        <f t="shared" si="21"/>
        <v/>
      </c>
      <c r="T56" s="283" t="str">
        <f t="shared" si="22"/>
        <v/>
      </c>
      <c r="V56" s="3">
        <f t="shared" si="7"/>
        <v>40</v>
      </c>
      <c r="W56" s="3">
        <v>15</v>
      </c>
      <c r="X56" s="3">
        <v>15</v>
      </c>
      <c r="Y56" s="3" t="s">
        <v>178</v>
      </c>
      <c r="AY56" s="187"/>
      <c r="AZ56" s="175" t="str">
        <f>"Difusores de "&amp;W56&amp;""""&amp;" × "&amp;X56&amp;""""&amp;" de "&amp;Y56</f>
        <v>Difusores de 15" × 15" de plato perforado:</v>
      </c>
      <c r="BA56" s="174">
        <f t="shared" si="23"/>
        <v>0</v>
      </c>
      <c r="BB56" s="187"/>
      <c r="BC56" s="103">
        <f t="shared" si="24"/>
        <v>0</v>
      </c>
      <c r="BD56" s="103">
        <f t="shared" si="25"/>
        <v>0</v>
      </c>
      <c r="BE56" s="103">
        <f t="shared" si="8"/>
        <v>0</v>
      </c>
      <c r="BF56" s="181">
        <v>10</v>
      </c>
      <c r="BG56" s="181">
        <v>24</v>
      </c>
      <c r="BH56" s="184">
        <f t="shared" si="26"/>
        <v>1.6666666666666667</v>
      </c>
      <c r="BI56" s="185">
        <f t="shared" si="9"/>
        <v>916.66666666666674</v>
      </c>
      <c r="BJ56" s="185">
        <f t="shared" si="10"/>
        <v>0.41666666666666669</v>
      </c>
      <c r="BK56" s="103">
        <f t="shared" si="27"/>
        <v>1024</v>
      </c>
      <c r="BL56" s="103">
        <v>0</v>
      </c>
      <c r="BM56" s="103">
        <v>12</v>
      </c>
      <c r="BN56" s="103">
        <v>16</v>
      </c>
      <c r="BO56" s="103">
        <v>12</v>
      </c>
      <c r="BP56" s="103">
        <f t="shared" si="28"/>
        <v>1216</v>
      </c>
      <c r="BQ56" s="103">
        <f t="shared" si="28"/>
        <v>1612</v>
      </c>
      <c r="BR56" s="173" t="str">
        <f t="shared" si="29"/>
        <v>Rejillas de 12" × 16":</v>
      </c>
      <c r="BS56" s="180">
        <f t="shared" si="11"/>
        <v>0</v>
      </c>
      <c r="BT56" s="180">
        <f t="shared" si="12"/>
        <v>0</v>
      </c>
      <c r="BU56" s="180">
        <f t="shared" si="30"/>
        <v>0</v>
      </c>
      <c r="BV56" s="187"/>
      <c r="BW56" s="3">
        <f t="shared" si="67"/>
        <v>0</v>
      </c>
      <c r="BX56" s="647" t="s">
        <v>228</v>
      </c>
      <c r="BY56" s="647"/>
      <c r="BZ56" s="647"/>
      <c r="CA56" s="182" t="s">
        <v>208</v>
      </c>
      <c r="CB56" s="187"/>
      <c r="CC56" s="222" t="str">
        <f t="shared" si="31"/>
        <v/>
      </c>
      <c r="CD56" s="218" t="str">
        <f t="shared" si="62"/>
        <v/>
      </c>
      <c r="CE56" s="198" t="str">
        <f t="shared" si="32"/>
        <v/>
      </c>
      <c r="CF56" s="138" t="str">
        <f t="shared" si="33"/>
        <v/>
      </c>
      <c r="CG56" s="211" t="str">
        <f t="shared" si="34"/>
        <v/>
      </c>
      <c r="CH56" s="212" t="str">
        <f t="shared" si="34"/>
        <v/>
      </c>
      <c r="CI56" s="213" t="str">
        <f t="shared" si="34"/>
        <v/>
      </c>
      <c r="CJ56" s="138" t="str">
        <f t="shared" si="34"/>
        <v/>
      </c>
      <c r="CK56" s="199" t="str">
        <f t="shared" si="35"/>
        <v/>
      </c>
      <c r="CL56" s="200" t="str">
        <f t="shared" si="36"/>
        <v/>
      </c>
      <c r="CM56" s="201" t="str">
        <f t="shared" si="36"/>
        <v/>
      </c>
      <c r="CN56" s="202"/>
      <c r="CO56" s="222" t="str">
        <f t="shared" si="37"/>
        <v/>
      </c>
      <c r="CP56" s="199" t="str">
        <f t="shared" si="63"/>
        <v/>
      </c>
      <c r="CQ56" s="198" t="str">
        <f t="shared" si="38"/>
        <v/>
      </c>
      <c r="CR56" s="138" t="str">
        <f t="shared" si="39"/>
        <v/>
      </c>
      <c r="CS56" s="211" t="str">
        <f t="shared" si="40"/>
        <v/>
      </c>
      <c r="CT56" s="212" t="str">
        <f t="shared" si="40"/>
        <v/>
      </c>
      <c r="CU56" s="213" t="str">
        <f t="shared" si="40"/>
        <v/>
      </c>
      <c r="CV56" s="138" t="str">
        <f t="shared" si="40"/>
        <v/>
      </c>
      <c r="CW56" s="199" t="str">
        <f t="shared" si="41"/>
        <v/>
      </c>
      <c r="CX56" s="200" t="str">
        <f t="shared" si="42"/>
        <v/>
      </c>
      <c r="CY56" s="201" t="str">
        <f t="shared" si="42"/>
        <v/>
      </c>
      <c r="CZ56" s="202"/>
      <c r="DA56" s="222" t="str">
        <f t="shared" si="43"/>
        <v/>
      </c>
      <c r="DB56" s="199" t="str">
        <f t="shared" si="64"/>
        <v/>
      </c>
      <c r="DC56" s="198" t="str">
        <f t="shared" si="44"/>
        <v/>
      </c>
      <c r="DD56" s="138" t="str">
        <f t="shared" si="45"/>
        <v/>
      </c>
      <c r="DE56" s="211" t="str">
        <f t="shared" si="46"/>
        <v/>
      </c>
      <c r="DF56" s="212" t="str">
        <f t="shared" si="46"/>
        <v/>
      </c>
      <c r="DG56" s="213" t="str">
        <f t="shared" si="46"/>
        <v/>
      </c>
      <c r="DH56" s="138" t="str">
        <f t="shared" si="46"/>
        <v/>
      </c>
      <c r="DI56" s="199" t="str">
        <f t="shared" si="47"/>
        <v/>
      </c>
      <c r="DJ56" s="200" t="str">
        <f t="shared" si="48"/>
        <v/>
      </c>
      <c r="DK56" s="201" t="str">
        <f t="shared" si="48"/>
        <v/>
      </c>
      <c r="DL56" s="202"/>
      <c r="DM56" s="222" t="str">
        <f t="shared" si="49"/>
        <v/>
      </c>
      <c r="DN56" s="199" t="str">
        <f t="shared" si="65"/>
        <v/>
      </c>
      <c r="DO56" s="198" t="str">
        <f t="shared" si="50"/>
        <v/>
      </c>
      <c r="DP56" s="138" t="str">
        <f t="shared" si="51"/>
        <v/>
      </c>
      <c r="DQ56" s="211" t="str">
        <f t="shared" si="52"/>
        <v/>
      </c>
      <c r="DR56" s="212" t="str">
        <f t="shared" si="52"/>
        <v/>
      </c>
      <c r="DS56" s="213" t="str">
        <f t="shared" si="52"/>
        <v/>
      </c>
      <c r="DT56" s="138" t="str">
        <f t="shared" si="52"/>
        <v/>
      </c>
      <c r="DU56" s="199" t="str">
        <f t="shared" si="53"/>
        <v/>
      </c>
      <c r="DV56" s="200" t="str">
        <f t="shared" si="54"/>
        <v/>
      </c>
      <c r="DW56" s="201" t="str">
        <f t="shared" si="54"/>
        <v/>
      </c>
      <c r="DX56" s="202"/>
      <c r="DY56" s="222" t="str">
        <f t="shared" si="55"/>
        <v/>
      </c>
      <c r="DZ56" s="199" t="str">
        <f t="shared" si="66"/>
        <v/>
      </c>
      <c r="EA56" s="198" t="str">
        <f t="shared" si="56"/>
        <v/>
      </c>
      <c r="EB56" s="138" t="str">
        <f t="shared" si="57"/>
        <v/>
      </c>
      <c r="EC56" s="211" t="str">
        <f t="shared" si="58"/>
        <v/>
      </c>
      <c r="ED56" s="212" t="str">
        <f t="shared" si="58"/>
        <v/>
      </c>
      <c r="EE56" s="213" t="str">
        <f t="shared" si="58"/>
        <v/>
      </c>
      <c r="EF56" s="138" t="str">
        <f t="shared" si="58"/>
        <v/>
      </c>
      <c r="EG56" s="199" t="str">
        <f t="shared" si="59"/>
        <v/>
      </c>
      <c r="EH56" s="200" t="str">
        <f t="shared" si="60"/>
        <v/>
      </c>
      <c r="EI56" s="201" t="str">
        <f t="shared" si="60"/>
        <v/>
      </c>
      <c r="EJ56" s="229"/>
    </row>
    <row r="57" spans="1:140" x14ac:dyDescent="0.3">
      <c r="A57" s="375">
        <v>24</v>
      </c>
      <c r="B57" s="284"/>
      <c r="C57" s="261">
        <f t="shared" si="17"/>
        <v>4</v>
      </c>
      <c r="D57" s="373"/>
      <c r="E57" s="286"/>
      <c r="F57" s="285" t="str">
        <f t="shared" si="69"/>
        <v/>
      </c>
      <c r="G57" s="287" t="str">
        <f t="shared" si="69"/>
        <v/>
      </c>
      <c r="H57" s="288" t="str">
        <f t="shared" si="1"/>
        <v/>
      </c>
      <c r="I57" s="289" t="str">
        <f t="shared" si="2"/>
        <v/>
      </c>
      <c r="J57" s="288" t="str">
        <f t="shared" si="3"/>
        <v/>
      </c>
      <c r="K57" s="288">
        <f t="shared" si="4"/>
        <v>0</v>
      </c>
      <c r="L57" s="290"/>
      <c r="M57" s="291">
        <f t="shared" si="18"/>
        <v>1</v>
      </c>
      <c r="N57" s="301" t="str">
        <f t="shared" si="19"/>
        <v/>
      </c>
      <c r="O57" s="302" t="str">
        <f t="shared" si="5"/>
        <v/>
      </c>
      <c r="P57" s="303" t="str">
        <f t="shared" si="20"/>
        <v/>
      </c>
      <c r="Q57" s="292" t="str">
        <f t="shared" si="6"/>
        <v/>
      </c>
      <c r="R57" s="293"/>
      <c r="S57" s="294" t="str">
        <f t="shared" si="21"/>
        <v/>
      </c>
      <c r="T57" s="295" t="str">
        <f t="shared" si="22"/>
        <v/>
      </c>
      <c r="V57" s="3">
        <f t="shared" si="7"/>
        <v>40</v>
      </c>
      <c r="W57" s="3">
        <v>15</v>
      </c>
      <c r="X57" s="3">
        <v>15</v>
      </c>
      <c r="Y57" s="3" t="s">
        <v>179</v>
      </c>
      <c r="AY57" s="187"/>
      <c r="AZ57" s="176" t="str">
        <f>"Difusores de "&amp;W57&amp;""""&amp;" × "&amp;X57&amp;""""&amp;Y57</f>
        <v>Difusores de 15" × 15", número de vías por definir:</v>
      </c>
      <c r="BA57" s="174">
        <f t="shared" si="23"/>
        <v>0</v>
      </c>
      <c r="BB57" s="187"/>
      <c r="BC57" s="103">
        <f t="shared" si="24"/>
        <v>0</v>
      </c>
      <c r="BD57" s="103">
        <f t="shared" si="25"/>
        <v>0</v>
      </c>
      <c r="BE57" s="103">
        <f t="shared" si="8"/>
        <v>0</v>
      </c>
      <c r="BF57" s="181">
        <v>12</v>
      </c>
      <c r="BG57" s="181">
        <v>6</v>
      </c>
      <c r="BH57" s="184">
        <f t="shared" si="26"/>
        <v>0.5</v>
      </c>
      <c r="BI57" s="185">
        <f t="shared" si="9"/>
        <v>275</v>
      </c>
      <c r="BJ57" s="185">
        <f t="shared" si="10"/>
        <v>2</v>
      </c>
      <c r="BK57" s="103">
        <f t="shared" si="27"/>
        <v>1206</v>
      </c>
      <c r="BL57" s="103">
        <v>0</v>
      </c>
      <c r="BM57" s="103">
        <v>12</v>
      </c>
      <c r="BN57" s="103">
        <v>18</v>
      </c>
      <c r="BO57" s="103">
        <v>12</v>
      </c>
      <c r="BP57" s="103">
        <f t="shared" si="28"/>
        <v>1218</v>
      </c>
      <c r="BQ57" s="103">
        <f t="shared" si="28"/>
        <v>1812</v>
      </c>
      <c r="BR57" s="173" t="str">
        <f t="shared" si="29"/>
        <v>Rejillas de 12" × 18":</v>
      </c>
      <c r="BS57" s="180">
        <f t="shared" si="11"/>
        <v>0</v>
      </c>
      <c r="BT57" s="180">
        <f t="shared" si="12"/>
        <v>0</v>
      </c>
      <c r="BU57" s="180">
        <f t="shared" si="30"/>
        <v>0</v>
      </c>
      <c r="BV57" s="187"/>
      <c r="BW57" s="3">
        <f t="shared" si="67"/>
        <v>0</v>
      </c>
      <c r="BX57" s="647"/>
      <c r="BY57" s="647"/>
      <c r="BZ57" s="647"/>
      <c r="CA57" s="182">
        <f>SUM(CA58:CA60)</f>
        <v>0</v>
      </c>
      <c r="CB57" s="187"/>
      <c r="CC57" s="222" t="str">
        <f t="shared" si="31"/>
        <v/>
      </c>
      <c r="CD57" s="218" t="str">
        <f t="shared" si="62"/>
        <v/>
      </c>
      <c r="CE57" s="198" t="str">
        <f t="shared" si="32"/>
        <v/>
      </c>
      <c r="CF57" s="138" t="str">
        <f t="shared" si="33"/>
        <v/>
      </c>
      <c r="CG57" s="211" t="str">
        <f t="shared" si="34"/>
        <v/>
      </c>
      <c r="CH57" s="212" t="str">
        <f t="shared" si="34"/>
        <v/>
      </c>
      <c r="CI57" s="213" t="str">
        <f t="shared" si="34"/>
        <v/>
      </c>
      <c r="CJ57" s="138" t="str">
        <f t="shared" si="34"/>
        <v/>
      </c>
      <c r="CK57" s="199" t="str">
        <f t="shared" si="35"/>
        <v/>
      </c>
      <c r="CL57" s="200" t="str">
        <f t="shared" si="36"/>
        <v/>
      </c>
      <c r="CM57" s="201" t="str">
        <f t="shared" si="36"/>
        <v/>
      </c>
      <c r="CN57" s="202"/>
      <c r="CO57" s="222" t="str">
        <f t="shared" si="37"/>
        <v/>
      </c>
      <c r="CP57" s="199" t="str">
        <f t="shared" si="63"/>
        <v/>
      </c>
      <c r="CQ57" s="198" t="str">
        <f t="shared" si="38"/>
        <v/>
      </c>
      <c r="CR57" s="138" t="str">
        <f t="shared" si="39"/>
        <v/>
      </c>
      <c r="CS57" s="211" t="str">
        <f t="shared" si="40"/>
        <v/>
      </c>
      <c r="CT57" s="212" t="str">
        <f t="shared" si="40"/>
        <v/>
      </c>
      <c r="CU57" s="213" t="str">
        <f t="shared" si="40"/>
        <v/>
      </c>
      <c r="CV57" s="138" t="str">
        <f t="shared" si="40"/>
        <v/>
      </c>
      <c r="CW57" s="199" t="str">
        <f t="shared" si="41"/>
        <v/>
      </c>
      <c r="CX57" s="200" t="str">
        <f t="shared" si="42"/>
        <v/>
      </c>
      <c r="CY57" s="201" t="str">
        <f t="shared" si="42"/>
        <v/>
      </c>
      <c r="CZ57" s="202"/>
      <c r="DA57" s="222" t="str">
        <f t="shared" si="43"/>
        <v/>
      </c>
      <c r="DB57" s="199" t="str">
        <f t="shared" si="64"/>
        <v/>
      </c>
      <c r="DC57" s="198" t="str">
        <f t="shared" si="44"/>
        <v/>
      </c>
      <c r="DD57" s="138" t="str">
        <f t="shared" si="45"/>
        <v/>
      </c>
      <c r="DE57" s="211" t="str">
        <f t="shared" si="46"/>
        <v/>
      </c>
      <c r="DF57" s="212" t="str">
        <f t="shared" si="46"/>
        <v/>
      </c>
      <c r="DG57" s="213" t="str">
        <f t="shared" si="46"/>
        <v/>
      </c>
      <c r="DH57" s="138" t="str">
        <f t="shared" si="46"/>
        <v/>
      </c>
      <c r="DI57" s="199" t="str">
        <f t="shared" si="47"/>
        <v/>
      </c>
      <c r="DJ57" s="200" t="str">
        <f t="shared" si="48"/>
        <v/>
      </c>
      <c r="DK57" s="201" t="str">
        <f t="shared" si="48"/>
        <v/>
      </c>
      <c r="DL57" s="202"/>
      <c r="DM57" s="222" t="str">
        <f t="shared" si="49"/>
        <v/>
      </c>
      <c r="DN57" s="199" t="str">
        <f t="shared" si="65"/>
        <v/>
      </c>
      <c r="DO57" s="198" t="str">
        <f t="shared" si="50"/>
        <v/>
      </c>
      <c r="DP57" s="138" t="str">
        <f t="shared" si="51"/>
        <v/>
      </c>
      <c r="DQ57" s="211" t="str">
        <f t="shared" si="52"/>
        <v/>
      </c>
      <c r="DR57" s="212" t="str">
        <f t="shared" si="52"/>
        <v/>
      </c>
      <c r="DS57" s="213" t="str">
        <f t="shared" si="52"/>
        <v/>
      </c>
      <c r="DT57" s="138" t="str">
        <f t="shared" si="52"/>
        <v/>
      </c>
      <c r="DU57" s="199" t="str">
        <f t="shared" si="53"/>
        <v/>
      </c>
      <c r="DV57" s="200" t="str">
        <f t="shared" si="54"/>
        <v/>
      </c>
      <c r="DW57" s="201" t="str">
        <f t="shared" si="54"/>
        <v/>
      </c>
      <c r="DX57" s="202"/>
      <c r="DY57" s="222" t="str">
        <f t="shared" si="55"/>
        <v/>
      </c>
      <c r="DZ57" s="199" t="str">
        <f t="shared" si="66"/>
        <v/>
      </c>
      <c r="EA57" s="198" t="str">
        <f t="shared" si="56"/>
        <v/>
      </c>
      <c r="EB57" s="138" t="str">
        <f t="shared" si="57"/>
        <v/>
      </c>
      <c r="EC57" s="211" t="str">
        <f t="shared" si="58"/>
        <v/>
      </c>
      <c r="ED57" s="212" t="str">
        <f t="shared" si="58"/>
        <v/>
      </c>
      <c r="EE57" s="213" t="str">
        <f t="shared" si="58"/>
        <v/>
      </c>
      <c r="EF57" s="138" t="str">
        <f t="shared" si="58"/>
        <v/>
      </c>
      <c r="EG57" s="199" t="str">
        <f t="shared" si="59"/>
        <v/>
      </c>
      <c r="EH57" s="200" t="str">
        <f t="shared" si="60"/>
        <v/>
      </c>
      <c r="EI57" s="201" t="str">
        <f t="shared" si="60"/>
        <v/>
      </c>
      <c r="EJ57" s="229"/>
    </row>
    <row r="58" spans="1:140" x14ac:dyDescent="0.3">
      <c r="A58" s="375">
        <v>25</v>
      </c>
      <c r="B58" s="260"/>
      <c r="C58" s="261">
        <f t="shared" si="17"/>
        <v>4</v>
      </c>
      <c r="D58" s="371"/>
      <c r="E58" s="262"/>
      <c r="F58" s="261" t="str">
        <f t="shared" si="69"/>
        <v/>
      </c>
      <c r="G58" s="263" t="str">
        <f t="shared" si="69"/>
        <v/>
      </c>
      <c r="H58" s="264" t="str">
        <f t="shared" si="1"/>
        <v/>
      </c>
      <c r="I58" s="265" t="str">
        <f t="shared" si="2"/>
        <v/>
      </c>
      <c r="J58" s="264" t="str">
        <f t="shared" si="3"/>
        <v/>
      </c>
      <c r="K58" s="264">
        <f t="shared" si="4"/>
        <v>0</v>
      </c>
      <c r="L58" s="266"/>
      <c r="M58" s="267">
        <f t="shared" si="18"/>
        <v>1</v>
      </c>
      <c r="N58" s="296" t="str">
        <f t="shared" si="19"/>
        <v/>
      </c>
      <c r="O58" s="297" t="str">
        <f t="shared" si="5"/>
        <v/>
      </c>
      <c r="P58" s="298" t="str">
        <f t="shared" si="20"/>
        <v/>
      </c>
      <c r="Q58" s="268" t="str">
        <f t="shared" si="6"/>
        <v/>
      </c>
      <c r="R58" s="269"/>
      <c r="S58" s="270" t="str">
        <f t="shared" si="21"/>
        <v/>
      </c>
      <c r="T58" s="271" t="str">
        <f t="shared" si="22"/>
        <v/>
      </c>
      <c r="V58" s="3">
        <f t="shared" si="7"/>
        <v>40</v>
      </c>
      <c r="W58" s="3">
        <v>18</v>
      </c>
      <c r="X58" s="3">
        <v>18</v>
      </c>
      <c r="Y58" s="3">
        <v>1</v>
      </c>
      <c r="AY58" s="187"/>
      <c r="AZ58" s="175" t="str">
        <f>"Difusores de "&amp;W58&amp;""""&amp;" × "&amp;X58&amp;""""&amp;" de "&amp;Y58&amp;" vía:"</f>
        <v>Difusores de 18" × 18" de 1 vía:</v>
      </c>
      <c r="BA58" s="174">
        <f t="shared" si="23"/>
        <v>0</v>
      </c>
      <c r="BB58" s="187"/>
      <c r="BC58" s="103">
        <f t="shared" si="24"/>
        <v>0</v>
      </c>
      <c r="BD58" s="103">
        <f t="shared" si="25"/>
        <v>0</v>
      </c>
      <c r="BE58" s="103">
        <f t="shared" si="8"/>
        <v>0</v>
      </c>
      <c r="BF58" s="181">
        <v>12</v>
      </c>
      <c r="BG58" s="181">
        <v>8</v>
      </c>
      <c r="BH58" s="184">
        <f t="shared" si="26"/>
        <v>0.66666666666666663</v>
      </c>
      <c r="BI58" s="185">
        <f t="shared" si="9"/>
        <v>366.66666666666663</v>
      </c>
      <c r="BJ58" s="185">
        <f t="shared" si="10"/>
        <v>1.5</v>
      </c>
      <c r="BK58" s="103">
        <f t="shared" si="27"/>
        <v>1208</v>
      </c>
      <c r="BL58" s="103">
        <v>0</v>
      </c>
      <c r="BM58" s="103">
        <v>12</v>
      </c>
      <c r="BN58" s="103">
        <v>20</v>
      </c>
      <c r="BO58" s="103">
        <v>12</v>
      </c>
      <c r="BP58" s="103">
        <f t="shared" si="28"/>
        <v>1220</v>
      </c>
      <c r="BQ58" s="103">
        <f t="shared" si="28"/>
        <v>2012</v>
      </c>
      <c r="BR58" s="173" t="str">
        <f t="shared" si="29"/>
        <v>Rejillas de 12" × 20":</v>
      </c>
      <c r="BS58" s="180">
        <f t="shared" si="11"/>
        <v>0</v>
      </c>
      <c r="BT58" s="180">
        <f t="shared" si="12"/>
        <v>0</v>
      </c>
      <c r="BU58" s="180">
        <f t="shared" si="30"/>
        <v>0</v>
      </c>
      <c r="BV58" s="187"/>
      <c r="BW58" s="183">
        <f t="shared" si="67"/>
        <v>0</v>
      </c>
      <c r="BX58" s="240" t="str">
        <f>"Filtros HEPA de "&amp;R16&amp;":"</f>
        <v>Filtros HEPA de :</v>
      </c>
      <c r="BY58" s="241"/>
      <c r="BZ58" s="241"/>
      <c r="CA58" s="242">
        <f>COUNTIF($BW$34:$BW$183,S16)</f>
        <v>0</v>
      </c>
      <c r="CB58" s="187"/>
      <c r="CC58" s="222" t="str">
        <f t="shared" si="31"/>
        <v/>
      </c>
      <c r="CD58" s="218" t="str">
        <f t="shared" si="62"/>
        <v/>
      </c>
      <c r="CE58" s="198" t="str">
        <f t="shared" si="32"/>
        <v/>
      </c>
      <c r="CF58" s="138" t="str">
        <f t="shared" si="33"/>
        <v/>
      </c>
      <c r="CG58" s="211" t="str">
        <f t="shared" si="34"/>
        <v/>
      </c>
      <c r="CH58" s="212" t="str">
        <f t="shared" si="34"/>
        <v/>
      </c>
      <c r="CI58" s="213" t="str">
        <f t="shared" si="34"/>
        <v/>
      </c>
      <c r="CJ58" s="138" t="str">
        <f t="shared" si="34"/>
        <v/>
      </c>
      <c r="CK58" s="199" t="str">
        <f t="shared" si="35"/>
        <v/>
      </c>
      <c r="CL58" s="200" t="str">
        <f t="shared" si="36"/>
        <v/>
      </c>
      <c r="CM58" s="201" t="str">
        <f t="shared" si="36"/>
        <v/>
      </c>
      <c r="CN58" s="202"/>
      <c r="CO58" s="222" t="str">
        <f t="shared" si="37"/>
        <v/>
      </c>
      <c r="CP58" s="199" t="str">
        <f t="shared" si="63"/>
        <v/>
      </c>
      <c r="CQ58" s="198" t="str">
        <f t="shared" si="38"/>
        <v/>
      </c>
      <c r="CR58" s="138" t="str">
        <f t="shared" si="39"/>
        <v/>
      </c>
      <c r="CS58" s="211" t="str">
        <f t="shared" si="40"/>
        <v/>
      </c>
      <c r="CT58" s="212" t="str">
        <f t="shared" si="40"/>
        <v/>
      </c>
      <c r="CU58" s="213" t="str">
        <f t="shared" si="40"/>
        <v/>
      </c>
      <c r="CV58" s="138" t="str">
        <f t="shared" si="40"/>
        <v/>
      </c>
      <c r="CW58" s="199" t="str">
        <f t="shared" si="41"/>
        <v/>
      </c>
      <c r="CX58" s="200" t="str">
        <f t="shared" si="42"/>
        <v/>
      </c>
      <c r="CY58" s="201" t="str">
        <f t="shared" si="42"/>
        <v/>
      </c>
      <c r="CZ58" s="202"/>
      <c r="DA58" s="222" t="str">
        <f t="shared" si="43"/>
        <v/>
      </c>
      <c r="DB58" s="199" t="str">
        <f t="shared" si="64"/>
        <v/>
      </c>
      <c r="DC58" s="198" t="str">
        <f t="shared" si="44"/>
        <v/>
      </c>
      <c r="DD58" s="138" t="str">
        <f t="shared" si="45"/>
        <v/>
      </c>
      <c r="DE58" s="211" t="str">
        <f t="shared" si="46"/>
        <v/>
      </c>
      <c r="DF58" s="212" t="str">
        <f t="shared" si="46"/>
        <v/>
      </c>
      <c r="DG58" s="213" t="str">
        <f t="shared" si="46"/>
        <v/>
      </c>
      <c r="DH58" s="138" t="str">
        <f t="shared" si="46"/>
        <v/>
      </c>
      <c r="DI58" s="199" t="str">
        <f t="shared" si="47"/>
        <v/>
      </c>
      <c r="DJ58" s="200" t="str">
        <f t="shared" si="48"/>
        <v/>
      </c>
      <c r="DK58" s="201" t="str">
        <f t="shared" si="48"/>
        <v/>
      </c>
      <c r="DL58" s="202"/>
      <c r="DM58" s="222" t="str">
        <f t="shared" si="49"/>
        <v/>
      </c>
      <c r="DN58" s="199" t="str">
        <f t="shared" si="65"/>
        <v/>
      </c>
      <c r="DO58" s="198" t="str">
        <f t="shared" si="50"/>
        <v/>
      </c>
      <c r="DP58" s="138" t="str">
        <f t="shared" si="51"/>
        <v/>
      </c>
      <c r="DQ58" s="211" t="str">
        <f t="shared" si="52"/>
        <v/>
      </c>
      <c r="DR58" s="212" t="str">
        <f t="shared" si="52"/>
        <v/>
      </c>
      <c r="DS58" s="213" t="str">
        <f t="shared" si="52"/>
        <v/>
      </c>
      <c r="DT58" s="138" t="str">
        <f t="shared" si="52"/>
        <v/>
      </c>
      <c r="DU58" s="199" t="str">
        <f t="shared" si="53"/>
        <v/>
      </c>
      <c r="DV58" s="200" t="str">
        <f t="shared" si="54"/>
        <v/>
      </c>
      <c r="DW58" s="201" t="str">
        <f t="shared" si="54"/>
        <v/>
      </c>
      <c r="DX58" s="202"/>
      <c r="DY58" s="222" t="str">
        <f t="shared" si="55"/>
        <v/>
      </c>
      <c r="DZ58" s="199" t="str">
        <f t="shared" si="66"/>
        <v/>
      </c>
      <c r="EA58" s="198" t="str">
        <f t="shared" si="56"/>
        <v/>
      </c>
      <c r="EB58" s="138" t="str">
        <f t="shared" si="57"/>
        <v/>
      </c>
      <c r="EC58" s="211" t="str">
        <f t="shared" si="58"/>
        <v/>
      </c>
      <c r="ED58" s="212" t="str">
        <f t="shared" si="58"/>
        <v/>
      </c>
      <c r="EE58" s="213" t="str">
        <f t="shared" si="58"/>
        <v/>
      </c>
      <c r="EF58" s="138" t="str">
        <f t="shared" si="58"/>
        <v/>
      </c>
      <c r="EG58" s="199" t="str">
        <f t="shared" si="59"/>
        <v/>
      </c>
      <c r="EH58" s="200" t="str">
        <f t="shared" si="60"/>
        <v/>
      </c>
      <c r="EI58" s="201" t="str">
        <f t="shared" si="60"/>
        <v/>
      </c>
      <c r="EJ58" s="229"/>
    </row>
    <row r="59" spans="1:140" x14ac:dyDescent="0.3">
      <c r="A59" s="375">
        <v>26</v>
      </c>
      <c r="B59" s="272"/>
      <c r="C59" s="261">
        <f t="shared" si="17"/>
        <v>4</v>
      </c>
      <c r="D59" s="372"/>
      <c r="E59" s="274"/>
      <c r="F59" s="273" t="str">
        <f t="shared" si="69"/>
        <v/>
      </c>
      <c r="G59" s="275" t="str">
        <f t="shared" si="69"/>
        <v/>
      </c>
      <c r="H59" s="276" t="str">
        <f t="shared" si="1"/>
        <v/>
      </c>
      <c r="I59" s="277" t="str">
        <f t="shared" si="2"/>
        <v/>
      </c>
      <c r="J59" s="276" t="str">
        <f t="shared" si="3"/>
        <v/>
      </c>
      <c r="K59" s="276">
        <f t="shared" si="4"/>
        <v>0</v>
      </c>
      <c r="L59" s="278"/>
      <c r="M59" s="279">
        <f t="shared" si="18"/>
        <v>1</v>
      </c>
      <c r="N59" s="299" t="str">
        <f t="shared" si="19"/>
        <v/>
      </c>
      <c r="O59" s="117" t="str">
        <f t="shared" si="5"/>
        <v/>
      </c>
      <c r="P59" s="300" t="str">
        <f t="shared" si="20"/>
        <v/>
      </c>
      <c r="Q59" s="280" t="str">
        <f t="shared" si="6"/>
        <v/>
      </c>
      <c r="R59" s="281"/>
      <c r="S59" s="282" t="str">
        <f t="shared" si="21"/>
        <v/>
      </c>
      <c r="T59" s="283" t="str">
        <f t="shared" si="22"/>
        <v/>
      </c>
      <c r="V59" s="3">
        <f t="shared" si="7"/>
        <v>40</v>
      </c>
      <c r="W59" s="3">
        <v>18</v>
      </c>
      <c r="X59" s="3">
        <v>18</v>
      </c>
      <c r="Y59" s="3">
        <v>2</v>
      </c>
      <c r="AY59" s="187"/>
      <c r="AZ59" s="175" t="str">
        <f>"Difusores de "&amp;W59&amp;""""&amp;" × "&amp;X59&amp;""""&amp;" de "&amp;Y59&amp;" vías:"</f>
        <v>Difusores de 18" × 18" de 2 vías:</v>
      </c>
      <c r="BA59" s="174">
        <f t="shared" si="23"/>
        <v>0</v>
      </c>
      <c r="BB59" s="187"/>
      <c r="BC59" s="103">
        <f t="shared" si="24"/>
        <v>0</v>
      </c>
      <c r="BD59" s="103">
        <f t="shared" si="25"/>
        <v>0</v>
      </c>
      <c r="BE59" s="103">
        <f t="shared" si="8"/>
        <v>0</v>
      </c>
      <c r="BF59" s="181">
        <v>12</v>
      </c>
      <c r="BG59" s="181">
        <v>10</v>
      </c>
      <c r="BH59" s="184">
        <f t="shared" si="26"/>
        <v>0.83333333333333337</v>
      </c>
      <c r="BI59" s="185">
        <f t="shared" si="9"/>
        <v>458.33333333333337</v>
      </c>
      <c r="BJ59" s="185">
        <f t="shared" si="10"/>
        <v>1.2</v>
      </c>
      <c r="BK59" s="103">
        <f t="shared" si="27"/>
        <v>1210</v>
      </c>
      <c r="BL59" s="103">
        <v>0</v>
      </c>
      <c r="BM59" s="103">
        <v>12</v>
      </c>
      <c r="BN59" s="103">
        <v>22</v>
      </c>
      <c r="BO59" s="103">
        <v>12</v>
      </c>
      <c r="BP59" s="103">
        <f t="shared" si="28"/>
        <v>1222</v>
      </c>
      <c r="BQ59" s="103">
        <f t="shared" si="28"/>
        <v>2212</v>
      </c>
      <c r="BR59" s="173" t="str">
        <f t="shared" si="29"/>
        <v>Rejillas de 12" × 22":</v>
      </c>
      <c r="BS59" s="180">
        <f t="shared" si="11"/>
        <v>0</v>
      </c>
      <c r="BT59" s="180">
        <f t="shared" si="12"/>
        <v>0</v>
      </c>
      <c r="BU59" s="180">
        <f t="shared" si="30"/>
        <v>0</v>
      </c>
      <c r="BV59" s="187"/>
      <c r="BW59" s="183">
        <f t="shared" si="67"/>
        <v>0</v>
      </c>
      <c r="BX59" s="172" t="str">
        <f>"Filtros HEPA de "&amp;R17&amp;":"</f>
        <v>Filtros HEPA de :</v>
      </c>
      <c r="BY59" s="239"/>
      <c r="BZ59" s="239"/>
      <c r="CA59" s="174">
        <f>COUNTIF($BW$34:$BW$183,S17)</f>
        <v>0</v>
      </c>
      <c r="CB59" s="187"/>
      <c r="CC59" s="222" t="str">
        <f t="shared" si="31"/>
        <v/>
      </c>
      <c r="CD59" s="218" t="str">
        <f t="shared" si="62"/>
        <v/>
      </c>
      <c r="CE59" s="198" t="str">
        <f t="shared" si="32"/>
        <v/>
      </c>
      <c r="CF59" s="138" t="str">
        <f t="shared" si="33"/>
        <v/>
      </c>
      <c r="CG59" s="211" t="str">
        <f t="shared" si="34"/>
        <v/>
      </c>
      <c r="CH59" s="212" t="str">
        <f t="shared" si="34"/>
        <v/>
      </c>
      <c r="CI59" s="213" t="str">
        <f t="shared" si="34"/>
        <v/>
      </c>
      <c r="CJ59" s="138" t="str">
        <f t="shared" si="34"/>
        <v/>
      </c>
      <c r="CK59" s="199" t="str">
        <f t="shared" si="35"/>
        <v/>
      </c>
      <c r="CL59" s="200" t="str">
        <f t="shared" si="36"/>
        <v/>
      </c>
      <c r="CM59" s="201" t="str">
        <f t="shared" si="36"/>
        <v/>
      </c>
      <c r="CN59" s="202"/>
      <c r="CO59" s="222" t="str">
        <f t="shared" si="37"/>
        <v/>
      </c>
      <c r="CP59" s="199" t="str">
        <f t="shared" si="63"/>
        <v/>
      </c>
      <c r="CQ59" s="198" t="str">
        <f t="shared" si="38"/>
        <v/>
      </c>
      <c r="CR59" s="138" t="str">
        <f t="shared" si="39"/>
        <v/>
      </c>
      <c r="CS59" s="211" t="str">
        <f t="shared" si="40"/>
        <v/>
      </c>
      <c r="CT59" s="212" t="str">
        <f t="shared" si="40"/>
        <v/>
      </c>
      <c r="CU59" s="213" t="str">
        <f t="shared" si="40"/>
        <v/>
      </c>
      <c r="CV59" s="138" t="str">
        <f t="shared" si="40"/>
        <v/>
      </c>
      <c r="CW59" s="199" t="str">
        <f t="shared" si="41"/>
        <v/>
      </c>
      <c r="CX59" s="200" t="str">
        <f t="shared" si="42"/>
        <v/>
      </c>
      <c r="CY59" s="201" t="str">
        <f t="shared" si="42"/>
        <v/>
      </c>
      <c r="CZ59" s="202"/>
      <c r="DA59" s="222" t="str">
        <f t="shared" si="43"/>
        <v/>
      </c>
      <c r="DB59" s="199" t="str">
        <f t="shared" si="64"/>
        <v/>
      </c>
      <c r="DC59" s="198" t="str">
        <f t="shared" si="44"/>
        <v/>
      </c>
      <c r="DD59" s="138" t="str">
        <f t="shared" si="45"/>
        <v/>
      </c>
      <c r="DE59" s="211" t="str">
        <f t="shared" si="46"/>
        <v/>
      </c>
      <c r="DF59" s="212" t="str">
        <f t="shared" si="46"/>
        <v/>
      </c>
      <c r="DG59" s="213" t="str">
        <f t="shared" si="46"/>
        <v/>
      </c>
      <c r="DH59" s="138" t="str">
        <f t="shared" si="46"/>
        <v/>
      </c>
      <c r="DI59" s="199" t="str">
        <f t="shared" si="47"/>
        <v/>
      </c>
      <c r="DJ59" s="200" t="str">
        <f t="shared" si="48"/>
        <v/>
      </c>
      <c r="DK59" s="201" t="str">
        <f t="shared" si="48"/>
        <v/>
      </c>
      <c r="DL59" s="202"/>
      <c r="DM59" s="222" t="str">
        <f t="shared" si="49"/>
        <v/>
      </c>
      <c r="DN59" s="199" t="str">
        <f t="shared" si="65"/>
        <v/>
      </c>
      <c r="DO59" s="198" t="str">
        <f t="shared" si="50"/>
        <v/>
      </c>
      <c r="DP59" s="138" t="str">
        <f t="shared" si="51"/>
        <v/>
      </c>
      <c r="DQ59" s="211" t="str">
        <f t="shared" si="52"/>
        <v/>
      </c>
      <c r="DR59" s="212" t="str">
        <f t="shared" si="52"/>
        <v/>
      </c>
      <c r="DS59" s="213" t="str">
        <f t="shared" si="52"/>
        <v/>
      </c>
      <c r="DT59" s="138" t="str">
        <f t="shared" si="52"/>
        <v/>
      </c>
      <c r="DU59" s="199" t="str">
        <f t="shared" si="53"/>
        <v/>
      </c>
      <c r="DV59" s="200" t="str">
        <f t="shared" si="54"/>
        <v/>
      </c>
      <c r="DW59" s="201" t="str">
        <f t="shared" si="54"/>
        <v/>
      </c>
      <c r="DX59" s="202"/>
      <c r="DY59" s="222" t="str">
        <f t="shared" si="55"/>
        <v/>
      </c>
      <c r="DZ59" s="199" t="str">
        <f t="shared" si="66"/>
        <v/>
      </c>
      <c r="EA59" s="198" t="str">
        <f t="shared" si="56"/>
        <v/>
      </c>
      <c r="EB59" s="138" t="str">
        <f t="shared" si="57"/>
        <v/>
      </c>
      <c r="EC59" s="211" t="str">
        <f t="shared" si="58"/>
        <v/>
      </c>
      <c r="ED59" s="212" t="str">
        <f t="shared" si="58"/>
        <v/>
      </c>
      <c r="EE59" s="213" t="str">
        <f t="shared" si="58"/>
        <v/>
      </c>
      <c r="EF59" s="138" t="str">
        <f t="shared" si="58"/>
        <v/>
      </c>
      <c r="EG59" s="199" t="str">
        <f t="shared" si="59"/>
        <v/>
      </c>
      <c r="EH59" s="200" t="str">
        <f t="shared" si="60"/>
        <v/>
      </c>
      <c r="EI59" s="201" t="str">
        <f t="shared" si="60"/>
        <v/>
      </c>
      <c r="EJ59" s="229"/>
    </row>
    <row r="60" spans="1:140" x14ac:dyDescent="0.3">
      <c r="A60" s="375">
        <v>27</v>
      </c>
      <c r="B60" s="284"/>
      <c r="C60" s="261">
        <f t="shared" si="17"/>
        <v>4</v>
      </c>
      <c r="D60" s="373"/>
      <c r="E60" s="286"/>
      <c r="F60" s="285" t="str">
        <f t="shared" si="69"/>
        <v/>
      </c>
      <c r="G60" s="287" t="str">
        <f t="shared" si="69"/>
        <v/>
      </c>
      <c r="H60" s="288" t="str">
        <f t="shared" si="1"/>
        <v/>
      </c>
      <c r="I60" s="289" t="str">
        <f t="shared" si="2"/>
        <v/>
      </c>
      <c r="J60" s="288" t="str">
        <f t="shared" si="3"/>
        <v/>
      </c>
      <c r="K60" s="288">
        <f t="shared" si="4"/>
        <v>0</v>
      </c>
      <c r="L60" s="290"/>
      <c r="M60" s="291">
        <f t="shared" si="18"/>
        <v>1</v>
      </c>
      <c r="N60" s="301" t="str">
        <f t="shared" si="19"/>
        <v/>
      </c>
      <c r="O60" s="302" t="str">
        <f t="shared" si="5"/>
        <v/>
      </c>
      <c r="P60" s="303" t="str">
        <f t="shared" si="20"/>
        <v/>
      </c>
      <c r="Q60" s="292" t="str">
        <f t="shared" si="6"/>
        <v/>
      </c>
      <c r="R60" s="293"/>
      <c r="S60" s="294" t="str">
        <f t="shared" si="21"/>
        <v/>
      </c>
      <c r="T60" s="295" t="str">
        <f t="shared" si="22"/>
        <v/>
      </c>
      <c r="V60" s="3">
        <f t="shared" si="7"/>
        <v>40</v>
      </c>
      <c r="W60" s="3">
        <v>18</v>
      </c>
      <c r="X60" s="3">
        <v>18</v>
      </c>
      <c r="Y60" s="3">
        <v>3</v>
      </c>
      <c r="AY60" s="187"/>
      <c r="AZ60" s="175" t="str">
        <f t="shared" ref="AZ60:AZ61" si="71">"Difusores de "&amp;W60&amp;""""&amp;" × "&amp;X60&amp;""""&amp;" de "&amp;Y60&amp;" vías:"</f>
        <v>Difusores de 18" × 18" de 3 vías:</v>
      </c>
      <c r="BA60" s="174">
        <f t="shared" si="23"/>
        <v>0</v>
      </c>
      <c r="BB60" s="187"/>
      <c r="BC60" s="103">
        <f t="shared" si="24"/>
        <v>0</v>
      </c>
      <c r="BD60" s="103">
        <f t="shared" si="25"/>
        <v>0</v>
      </c>
      <c r="BE60" s="103">
        <f t="shared" si="8"/>
        <v>0</v>
      </c>
      <c r="BF60" s="181">
        <v>12</v>
      </c>
      <c r="BG60" s="181">
        <v>12</v>
      </c>
      <c r="BH60" s="184">
        <f t="shared" si="26"/>
        <v>1</v>
      </c>
      <c r="BI60" s="185">
        <f t="shared" si="9"/>
        <v>550</v>
      </c>
      <c r="BJ60" s="185">
        <f t="shared" si="10"/>
        <v>1</v>
      </c>
      <c r="BK60" s="103">
        <f t="shared" si="27"/>
        <v>1212</v>
      </c>
      <c r="BL60" s="103">
        <v>0</v>
      </c>
      <c r="BM60" s="103">
        <v>12</v>
      </c>
      <c r="BN60" s="103">
        <v>24</v>
      </c>
      <c r="BO60" s="103">
        <v>12</v>
      </c>
      <c r="BP60" s="103">
        <f t="shared" si="28"/>
        <v>1224</v>
      </c>
      <c r="BQ60" s="103">
        <f t="shared" si="28"/>
        <v>2412</v>
      </c>
      <c r="BR60" s="173" t="str">
        <f t="shared" si="29"/>
        <v>Rejillas de 12" × 24":</v>
      </c>
      <c r="BS60" s="180">
        <f t="shared" si="11"/>
        <v>0</v>
      </c>
      <c r="BT60" s="180">
        <f t="shared" si="12"/>
        <v>0</v>
      </c>
      <c r="BU60" s="180">
        <f t="shared" si="30"/>
        <v>0</v>
      </c>
      <c r="BV60" s="187"/>
      <c r="BW60" s="183">
        <f t="shared" si="67"/>
        <v>0</v>
      </c>
      <c r="BX60" s="243" t="str">
        <f>"Filtros HEPA de "&amp;R18&amp;":"</f>
        <v>Filtros HEPA de :</v>
      </c>
      <c r="BY60" s="244"/>
      <c r="BZ60" s="244"/>
      <c r="CA60" s="245">
        <f>COUNTIF($BW$34:$BW$183,S18)</f>
        <v>0</v>
      </c>
      <c r="CB60" s="187"/>
      <c r="CC60" s="222" t="str">
        <f t="shared" si="31"/>
        <v/>
      </c>
      <c r="CD60" s="218" t="str">
        <f t="shared" si="62"/>
        <v/>
      </c>
      <c r="CE60" s="198" t="str">
        <f t="shared" si="32"/>
        <v/>
      </c>
      <c r="CF60" s="138" t="str">
        <f t="shared" si="33"/>
        <v/>
      </c>
      <c r="CG60" s="211" t="str">
        <f t="shared" si="34"/>
        <v/>
      </c>
      <c r="CH60" s="212" t="str">
        <f t="shared" si="34"/>
        <v/>
      </c>
      <c r="CI60" s="213" t="str">
        <f t="shared" si="34"/>
        <v/>
      </c>
      <c r="CJ60" s="138" t="str">
        <f t="shared" si="34"/>
        <v/>
      </c>
      <c r="CK60" s="199" t="str">
        <f t="shared" si="35"/>
        <v/>
      </c>
      <c r="CL60" s="200" t="str">
        <f t="shared" si="36"/>
        <v/>
      </c>
      <c r="CM60" s="201" t="str">
        <f t="shared" si="36"/>
        <v/>
      </c>
      <c r="CN60" s="202"/>
      <c r="CO60" s="222" t="str">
        <f t="shared" si="37"/>
        <v/>
      </c>
      <c r="CP60" s="199" t="str">
        <f t="shared" si="63"/>
        <v/>
      </c>
      <c r="CQ60" s="198" t="str">
        <f t="shared" si="38"/>
        <v/>
      </c>
      <c r="CR60" s="138" t="str">
        <f t="shared" si="39"/>
        <v/>
      </c>
      <c r="CS60" s="211" t="str">
        <f t="shared" si="40"/>
        <v/>
      </c>
      <c r="CT60" s="212" t="str">
        <f t="shared" si="40"/>
        <v/>
      </c>
      <c r="CU60" s="213" t="str">
        <f t="shared" si="40"/>
        <v/>
      </c>
      <c r="CV60" s="138" t="str">
        <f t="shared" si="40"/>
        <v/>
      </c>
      <c r="CW60" s="199" t="str">
        <f t="shared" si="41"/>
        <v/>
      </c>
      <c r="CX60" s="200" t="str">
        <f t="shared" si="42"/>
        <v/>
      </c>
      <c r="CY60" s="201" t="str">
        <f t="shared" si="42"/>
        <v/>
      </c>
      <c r="CZ60" s="202"/>
      <c r="DA60" s="222" t="str">
        <f t="shared" si="43"/>
        <v/>
      </c>
      <c r="DB60" s="199" t="str">
        <f t="shared" si="64"/>
        <v/>
      </c>
      <c r="DC60" s="198" t="str">
        <f t="shared" si="44"/>
        <v/>
      </c>
      <c r="DD60" s="138" t="str">
        <f t="shared" si="45"/>
        <v/>
      </c>
      <c r="DE60" s="211" t="str">
        <f t="shared" si="46"/>
        <v/>
      </c>
      <c r="DF60" s="212" t="str">
        <f t="shared" si="46"/>
        <v/>
      </c>
      <c r="DG60" s="213" t="str">
        <f t="shared" si="46"/>
        <v/>
      </c>
      <c r="DH60" s="138" t="str">
        <f t="shared" si="46"/>
        <v/>
      </c>
      <c r="DI60" s="199" t="str">
        <f t="shared" si="47"/>
        <v/>
      </c>
      <c r="DJ60" s="200" t="str">
        <f t="shared" si="48"/>
        <v/>
      </c>
      <c r="DK60" s="201" t="str">
        <f t="shared" si="48"/>
        <v/>
      </c>
      <c r="DL60" s="202"/>
      <c r="DM60" s="222" t="str">
        <f t="shared" si="49"/>
        <v/>
      </c>
      <c r="DN60" s="199" t="str">
        <f t="shared" si="65"/>
        <v/>
      </c>
      <c r="DO60" s="198" t="str">
        <f t="shared" si="50"/>
        <v/>
      </c>
      <c r="DP60" s="138" t="str">
        <f t="shared" si="51"/>
        <v/>
      </c>
      <c r="DQ60" s="211" t="str">
        <f t="shared" si="52"/>
        <v/>
      </c>
      <c r="DR60" s="212" t="str">
        <f t="shared" si="52"/>
        <v/>
      </c>
      <c r="DS60" s="213" t="str">
        <f t="shared" si="52"/>
        <v/>
      </c>
      <c r="DT60" s="138" t="str">
        <f t="shared" si="52"/>
        <v/>
      </c>
      <c r="DU60" s="199" t="str">
        <f t="shared" si="53"/>
        <v/>
      </c>
      <c r="DV60" s="200" t="str">
        <f t="shared" si="54"/>
        <v/>
      </c>
      <c r="DW60" s="201" t="str">
        <f t="shared" si="54"/>
        <v/>
      </c>
      <c r="DX60" s="202"/>
      <c r="DY60" s="222" t="str">
        <f t="shared" si="55"/>
        <v/>
      </c>
      <c r="DZ60" s="199" t="str">
        <f t="shared" si="66"/>
        <v/>
      </c>
      <c r="EA60" s="198" t="str">
        <f t="shared" si="56"/>
        <v/>
      </c>
      <c r="EB60" s="138" t="str">
        <f t="shared" si="57"/>
        <v/>
      </c>
      <c r="EC60" s="211" t="str">
        <f t="shared" si="58"/>
        <v/>
      </c>
      <c r="ED60" s="212" t="str">
        <f t="shared" si="58"/>
        <v/>
      </c>
      <c r="EE60" s="213" t="str">
        <f t="shared" si="58"/>
        <v/>
      </c>
      <c r="EF60" s="138" t="str">
        <f t="shared" si="58"/>
        <v/>
      </c>
      <c r="EG60" s="199" t="str">
        <f t="shared" si="59"/>
        <v/>
      </c>
      <c r="EH60" s="200" t="str">
        <f t="shared" si="60"/>
        <v/>
      </c>
      <c r="EI60" s="201" t="str">
        <f t="shared" si="60"/>
        <v/>
      </c>
      <c r="EJ60" s="229"/>
    </row>
    <row r="61" spans="1:140" x14ac:dyDescent="0.3">
      <c r="A61" s="375">
        <v>28</v>
      </c>
      <c r="B61" s="260"/>
      <c r="C61" s="261">
        <f t="shared" si="17"/>
        <v>4</v>
      </c>
      <c r="D61" s="371"/>
      <c r="E61" s="262"/>
      <c r="F61" s="261" t="str">
        <f t="shared" si="69"/>
        <v/>
      </c>
      <c r="G61" s="263" t="str">
        <f t="shared" si="69"/>
        <v/>
      </c>
      <c r="H61" s="264" t="str">
        <f t="shared" si="1"/>
        <v/>
      </c>
      <c r="I61" s="265" t="str">
        <f t="shared" si="2"/>
        <v/>
      </c>
      <c r="J61" s="264" t="str">
        <f t="shared" si="3"/>
        <v/>
      </c>
      <c r="K61" s="264">
        <f t="shared" si="4"/>
        <v>0</v>
      </c>
      <c r="L61" s="266"/>
      <c r="M61" s="267">
        <f t="shared" si="18"/>
        <v>1</v>
      </c>
      <c r="N61" s="296" t="str">
        <f t="shared" si="19"/>
        <v/>
      </c>
      <c r="O61" s="297" t="str">
        <f t="shared" si="5"/>
        <v/>
      </c>
      <c r="P61" s="298" t="str">
        <f t="shared" si="20"/>
        <v/>
      </c>
      <c r="Q61" s="268" t="str">
        <f t="shared" si="6"/>
        <v/>
      </c>
      <c r="R61" s="269"/>
      <c r="S61" s="270" t="str">
        <f t="shared" si="21"/>
        <v/>
      </c>
      <c r="T61" s="271" t="str">
        <f t="shared" si="22"/>
        <v/>
      </c>
      <c r="V61" s="3">
        <f t="shared" si="7"/>
        <v>40</v>
      </c>
      <c r="W61" s="3">
        <v>18</v>
      </c>
      <c r="X61" s="3">
        <v>18</v>
      </c>
      <c r="Y61" s="3">
        <v>4</v>
      </c>
      <c r="AY61" s="187"/>
      <c r="AZ61" s="175" t="str">
        <f t="shared" si="71"/>
        <v>Difusores de 18" × 18" de 4 vías:</v>
      </c>
      <c r="BA61" s="174">
        <f t="shared" si="23"/>
        <v>0</v>
      </c>
      <c r="BB61" s="187"/>
      <c r="BC61" s="103">
        <f t="shared" si="24"/>
        <v>0</v>
      </c>
      <c r="BD61" s="103">
        <f t="shared" si="25"/>
        <v>0</v>
      </c>
      <c r="BE61" s="103">
        <f t="shared" si="8"/>
        <v>0</v>
      </c>
      <c r="BF61" s="181">
        <v>12</v>
      </c>
      <c r="BG61" s="181">
        <v>14</v>
      </c>
      <c r="BH61" s="184">
        <f t="shared" si="26"/>
        <v>1.1666666666666667</v>
      </c>
      <c r="BI61" s="185">
        <f t="shared" si="9"/>
        <v>641.66666666666674</v>
      </c>
      <c r="BJ61" s="185">
        <f t="shared" si="10"/>
        <v>0.8571428571428571</v>
      </c>
      <c r="BK61" s="103">
        <f t="shared" si="27"/>
        <v>1214</v>
      </c>
      <c r="BL61" s="103">
        <v>0</v>
      </c>
      <c r="BM61" s="103">
        <v>12</v>
      </c>
      <c r="BN61" s="103">
        <v>26</v>
      </c>
      <c r="BO61" s="103">
        <v>12</v>
      </c>
      <c r="BP61" s="103">
        <f t="shared" si="28"/>
        <v>1226</v>
      </c>
      <c r="BQ61" s="103">
        <f t="shared" si="28"/>
        <v>2612</v>
      </c>
      <c r="BR61" s="173" t="str">
        <f t="shared" si="29"/>
        <v>Rejillas de 12" × 26":</v>
      </c>
      <c r="BS61" s="180">
        <f t="shared" si="11"/>
        <v>0</v>
      </c>
      <c r="BT61" s="180">
        <f t="shared" si="12"/>
        <v>0</v>
      </c>
      <c r="BU61" s="180">
        <f t="shared" si="30"/>
        <v>0</v>
      </c>
      <c r="BV61" s="187"/>
      <c r="BW61" s="183">
        <f t="shared" si="67"/>
        <v>0</v>
      </c>
      <c r="BX61" s="187"/>
      <c r="BY61" s="187"/>
      <c r="BZ61" s="187"/>
      <c r="CA61" s="187"/>
      <c r="CB61" s="187"/>
      <c r="CC61" s="222" t="str">
        <f t="shared" si="31"/>
        <v/>
      </c>
      <c r="CD61" s="218" t="str">
        <f t="shared" si="62"/>
        <v/>
      </c>
      <c r="CE61" s="198" t="str">
        <f t="shared" si="32"/>
        <v/>
      </c>
      <c r="CF61" s="138" t="str">
        <f t="shared" si="33"/>
        <v/>
      </c>
      <c r="CG61" s="211" t="str">
        <f t="shared" si="34"/>
        <v/>
      </c>
      <c r="CH61" s="212" t="str">
        <f t="shared" si="34"/>
        <v/>
      </c>
      <c r="CI61" s="213" t="str">
        <f t="shared" si="34"/>
        <v/>
      </c>
      <c r="CJ61" s="138" t="str">
        <f t="shared" si="34"/>
        <v/>
      </c>
      <c r="CK61" s="199" t="str">
        <f t="shared" si="35"/>
        <v/>
      </c>
      <c r="CL61" s="200" t="str">
        <f t="shared" si="36"/>
        <v/>
      </c>
      <c r="CM61" s="201" t="str">
        <f t="shared" si="36"/>
        <v/>
      </c>
      <c r="CN61" s="202"/>
      <c r="CO61" s="222" t="str">
        <f t="shared" si="37"/>
        <v/>
      </c>
      <c r="CP61" s="199" t="str">
        <f t="shared" si="63"/>
        <v/>
      </c>
      <c r="CQ61" s="198" t="str">
        <f t="shared" si="38"/>
        <v/>
      </c>
      <c r="CR61" s="138" t="str">
        <f t="shared" si="39"/>
        <v/>
      </c>
      <c r="CS61" s="211" t="str">
        <f t="shared" si="40"/>
        <v/>
      </c>
      <c r="CT61" s="212" t="str">
        <f t="shared" si="40"/>
        <v/>
      </c>
      <c r="CU61" s="213" t="str">
        <f t="shared" si="40"/>
        <v/>
      </c>
      <c r="CV61" s="138" t="str">
        <f t="shared" si="40"/>
        <v/>
      </c>
      <c r="CW61" s="199" t="str">
        <f t="shared" si="41"/>
        <v/>
      </c>
      <c r="CX61" s="200" t="str">
        <f t="shared" si="42"/>
        <v/>
      </c>
      <c r="CY61" s="201" t="str">
        <f t="shared" si="42"/>
        <v/>
      </c>
      <c r="CZ61" s="202"/>
      <c r="DA61" s="222" t="str">
        <f t="shared" si="43"/>
        <v/>
      </c>
      <c r="DB61" s="199" t="str">
        <f t="shared" si="64"/>
        <v/>
      </c>
      <c r="DC61" s="198" t="str">
        <f t="shared" si="44"/>
        <v/>
      </c>
      <c r="DD61" s="138" t="str">
        <f t="shared" si="45"/>
        <v/>
      </c>
      <c r="DE61" s="211" t="str">
        <f t="shared" si="46"/>
        <v/>
      </c>
      <c r="DF61" s="212" t="str">
        <f t="shared" si="46"/>
        <v/>
      </c>
      <c r="DG61" s="213" t="str">
        <f t="shared" si="46"/>
        <v/>
      </c>
      <c r="DH61" s="138" t="str">
        <f t="shared" si="46"/>
        <v/>
      </c>
      <c r="DI61" s="199" t="str">
        <f t="shared" si="47"/>
        <v/>
      </c>
      <c r="DJ61" s="200" t="str">
        <f t="shared" si="48"/>
        <v/>
      </c>
      <c r="DK61" s="201" t="str">
        <f t="shared" si="48"/>
        <v/>
      </c>
      <c r="DL61" s="202"/>
      <c r="DM61" s="222" t="str">
        <f t="shared" si="49"/>
        <v/>
      </c>
      <c r="DN61" s="199" t="str">
        <f t="shared" si="65"/>
        <v/>
      </c>
      <c r="DO61" s="198" t="str">
        <f t="shared" si="50"/>
        <v/>
      </c>
      <c r="DP61" s="138" t="str">
        <f t="shared" si="51"/>
        <v/>
      </c>
      <c r="DQ61" s="211" t="str">
        <f t="shared" si="52"/>
        <v/>
      </c>
      <c r="DR61" s="212" t="str">
        <f t="shared" si="52"/>
        <v/>
      </c>
      <c r="DS61" s="213" t="str">
        <f t="shared" si="52"/>
        <v/>
      </c>
      <c r="DT61" s="138" t="str">
        <f t="shared" si="52"/>
        <v/>
      </c>
      <c r="DU61" s="199" t="str">
        <f t="shared" si="53"/>
        <v/>
      </c>
      <c r="DV61" s="200" t="str">
        <f t="shared" si="54"/>
        <v/>
      </c>
      <c r="DW61" s="201" t="str">
        <f t="shared" si="54"/>
        <v/>
      </c>
      <c r="DX61" s="202"/>
      <c r="DY61" s="222" t="str">
        <f t="shared" si="55"/>
        <v/>
      </c>
      <c r="DZ61" s="199" t="str">
        <f t="shared" si="66"/>
        <v/>
      </c>
      <c r="EA61" s="198" t="str">
        <f t="shared" si="56"/>
        <v/>
      </c>
      <c r="EB61" s="138" t="str">
        <f t="shared" si="57"/>
        <v/>
      </c>
      <c r="EC61" s="211" t="str">
        <f t="shared" si="58"/>
        <v/>
      </c>
      <c r="ED61" s="212" t="str">
        <f t="shared" si="58"/>
        <v/>
      </c>
      <c r="EE61" s="213" t="str">
        <f t="shared" si="58"/>
        <v/>
      </c>
      <c r="EF61" s="138" t="str">
        <f t="shared" si="58"/>
        <v/>
      </c>
      <c r="EG61" s="199" t="str">
        <f t="shared" si="59"/>
        <v/>
      </c>
      <c r="EH61" s="200" t="str">
        <f t="shared" si="60"/>
        <v/>
      </c>
      <c r="EI61" s="201" t="str">
        <f t="shared" si="60"/>
        <v/>
      </c>
      <c r="EJ61" s="229"/>
    </row>
    <row r="62" spans="1:140" x14ac:dyDescent="0.3">
      <c r="A62" s="375">
        <v>29</v>
      </c>
      <c r="B62" s="272"/>
      <c r="C62" s="261">
        <f t="shared" si="17"/>
        <v>4</v>
      </c>
      <c r="D62" s="372"/>
      <c r="E62" s="274"/>
      <c r="F62" s="273" t="str">
        <f t="shared" si="69"/>
        <v/>
      </c>
      <c r="G62" s="275" t="str">
        <f t="shared" si="69"/>
        <v/>
      </c>
      <c r="H62" s="276" t="str">
        <f t="shared" si="1"/>
        <v/>
      </c>
      <c r="I62" s="277" t="str">
        <f t="shared" si="2"/>
        <v/>
      </c>
      <c r="J62" s="276" t="str">
        <f t="shared" si="3"/>
        <v/>
      </c>
      <c r="K62" s="276">
        <f t="shared" si="4"/>
        <v>0</v>
      </c>
      <c r="L62" s="278"/>
      <c r="M62" s="279">
        <f t="shared" si="18"/>
        <v>1</v>
      </c>
      <c r="N62" s="299" t="str">
        <f t="shared" si="19"/>
        <v/>
      </c>
      <c r="O62" s="117" t="str">
        <f t="shared" si="5"/>
        <v/>
      </c>
      <c r="P62" s="300" t="str">
        <f t="shared" si="20"/>
        <v/>
      </c>
      <c r="Q62" s="280" t="str">
        <f t="shared" si="6"/>
        <v/>
      </c>
      <c r="R62" s="281"/>
      <c r="S62" s="282" t="str">
        <f t="shared" si="21"/>
        <v/>
      </c>
      <c r="T62" s="283" t="str">
        <f t="shared" si="22"/>
        <v/>
      </c>
      <c r="V62" s="3">
        <f t="shared" si="7"/>
        <v>40</v>
      </c>
      <c r="W62" s="3">
        <v>18</v>
      </c>
      <c r="X62" s="3">
        <v>18</v>
      </c>
      <c r="Y62" s="3" t="s">
        <v>178</v>
      </c>
      <c r="AY62" s="187"/>
      <c r="AZ62" s="175" t="str">
        <f>"Difusores de "&amp;W62&amp;""""&amp;" × "&amp;X62&amp;""""&amp;" de "&amp;Y62</f>
        <v>Difusores de 18" × 18" de plato perforado:</v>
      </c>
      <c r="BA62" s="174">
        <f t="shared" si="23"/>
        <v>0</v>
      </c>
      <c r="BB62" s="187"/>
      <c r="BC62" s="103">
        <f t="shared" si="24"/>
        <v>0</v>
      </c>
      <c r="BD62" s="103">
        <f t="shared" si="25"/>
        <v>0</v>
      </c>
      <c r="BE62" s="103">
        <f t="shared" si="8"/>
        <v>0</v>
      </c>
      <c r="BF62" s="181">
        <v>12</v>
      </c>
      <c r="BG62" s="181">
        <v>16</v>
      </c>
      <c r="BH62" s="184">
        <f t="shared" si="26"/>
        <v>1.3333333333333333</v>
      </c>
      <c r="BI62" s="185">
        <f t="shared" si="9"/>
        <v>733.33333333333326</v>
      </c>
      <c r="BJ62" s="185">
        <f t="shared" si="10"/>
        <v>0.75</v>
      </c>
      <c r="BK62" s="103">
        <f t="shared" si="27"/>
        <v>1216</v>
      </c>
      <c r="BL62" s="103">
        <v>0</v>
      </c>
      <c r="BM62" s="103">
        <v>12</v>
      </c>
      <c r="BN62" s="103">
        <v>28</v>
      </c>
      <c r="BO62" s="103">
        <v>12</v>
      </c>
      <c r="BP62" s="103">
        <f t="shared" si="28"/>
        <v>1228</v>
      </c>
      <c r="BQ62" s="103">
        <f t="shared" si="28"/>
        <v>2812</v>
      </c>
      <c r="BR62" s="173" t="str">
        <f t="shared" si="29"/>
        <v>Rejillas de 12" × 28":</v>
      </c>
      <c r="BS62" s="180">
        <f t="shared" si="11"/>
        <v>0</v>
      </c>
      <c r="BT62" s="180">
        <f t="shared" si="12"/>
        <v>0</v>
      </c>
      <c r="BU62" s="180">
        <f t="shared" si="30"/>
        <v>0</v>
      </c>
      <c r="BV62" s="187"/>
      <c r="BW62" s="183">
        <f t="shared" si="67"/>
        <v>0</v>
      </c>
      <c r="BX62" s="187"/>
      <c r="BY62" s="187"/>
      <c r="BZ62" s="187"/>
      <c r="CA62" s="187"/>
      <c r="CB62" s="187"/>
      <c r="CC62" s="222" t="str">
        <f t="shared" si="31"/>
        <v/>
      </c>
      <c r="CD62" s="218" t="str">
        <f t="shared" si="62"/>
        <v/>
      </c>
      <c r="CE62" s="198" t="str">
        <f t="shared" si="32"/>
        <v/>
      </c>
      <c r="CF62" s="138" t="str">
        <f t="shared" si="33"/>
        <v/>
      </c>
      <c r="CG62" s="211" t="str">
        <f t="shared" si="34"/>
        <v/>
      </c>
      <c r="CH62" s="212" t="str">
        <f t="shared" si="34"/>
        <v/>
      </c>
      <c r="CI62" s="213" t="str">
        <f t="shared" si="34"/>
        <v/>
      </c>
      <c r="CJ62" s="138" t="str">
        <f t="shared" si="34"/>
        <v/>
      </c>
      <c r="CK62" s="199" t="str">
        <f t="shared" si="35"/>
        <v/>
      </c>
      <c r="CL62" s="200" t="str">
        <f t="shared" si="36"/>
        <v/>
      </c>
      <c r="CM62" s="201" t="str">
        <f t="shared" si="36"/>
        <v/>
      </c>
      <c r="CN62" s="202"/>
      <c r="CO62" s="222" t="str">
        <f t="shared" si="37"/>
        <v/>
      </c>
      <c r="CP62" s="199" t="str">
        <f t="shared" si="63"/>
        <v/>
      </c>
      <c r="CQ62" s="198" t="str">
        <f t="shared" si="38"/>
        <v/>
      </c>
      <c r="CR62" s="138" t="str">
        <f t="shared" si="39"/>
        <v/>
      </c>
      <c r="CS62" s="211" t="str">
        <f t="shared" si="40"/>
        <v/>
      </c>
      <c r="CT62" s="212" t="str">
        <f t="shared" si="40"/>
        <v/>
      </c>
      <c r="CU62" s="213" t="str">
        <f t="shared" si="40"/>
        <v/>
      </c>
      <c r="CV62" s="138" t="str">
        <f t="shared" si="40"/>
        <v/>
      </c>
      <c r="CW62" s="199" t="str">
        <f t="shared" si="41"/>
        <v/>
      </c>
      <c r="CX62" s="200" t="str">
        <f t="shared" si="42"/>
        <v/>
      </c>
      <c r="CY62" s="201" t="str">
        <f t="shared" si="42"/>
        <v/>
      </c>
      <c r="CZ62" s="202"/>
      <c r="DA62" s="222" t="str">
        <f t="shared" si="43"/>
        <v/>
      </c>
      <c r="DB62" s="199" t="str">
        <f t="shared" si="64"/>
        <v/>
      </c>
      <c r="DC62" s="198" t="str">
        <f t="shared" si="44"/>
        <v/>
      </c>
      <c r="DD62" s="138" t="str">
        <f t="shared" si="45"/>
        <v/>
      </c>
      <c r="DE62" s="211" t="str">
        <f t="shared" si="46"/>
        <v/>
      </c>
      <c r="DF62" s="212" t="str">
        <f t="shared" si="46"/>
        <v/>
      </c>
      <c r="DG62" s="213" t="str">
        <f t="shared" si="46"/>
        <v/>
      </c>
      <c r="DH62" s="138" t="str">
        <f t="shared" si="46"/>
        <v/>
      </c>
      <c r="DI62" s="199" t="str">
        <f t="shared" si="47"/>
        <v/>
      </c>
      <c r="DJ62" s="200" t="str">
        <f t="shared" si="48"/>
        <v/>
      </c>
      <c r="DK62" s="201" t="str">
        <f t="shared" si="48"/>
        <v/>
      </c>
      <c r="DL62" s="202"/>
      <c r="DM62" s="222" t="str">
        <f t="shared" si="49"/>
        <v/>
      </c>
      <c r="DN62" s="199" t="str">
        <f t="shared" si="65"/>
        <v/>
      </c>
      <c r="DO62" s="198" t="str">
        <f t="shared" si="50"/>
        <v/>
      </c>
      <c r="DP62" s="138" t="str">
        <f t="shared" si="51"/>
        <v/>
      </c>
      <c r="DQ62" s="211" t="str">
        <f t="shared" si="52"/>
        <v/>
      </c>
      <c r="DR62" s="212" t="str">
        <f t="shared" si="52"/>
        <v/>
      </c>
      <c r="DS62" s="213" t="str">
        <f t="shared" si="52"/>
        <v/>
      </c>
      <c r="DT62" s="138" t="str">
        <f t="shared" si="52"/>
        <v/>
      </c>
      <c r="DU62" s="199" t="str">
        <f t="shared" si="53"/>
        <v/>
      </c>
      <c r="DV62" s="200" t="str">
        <f t="shared" si="54"/>
        <v/>
      </c>
      <c r="DW62" s="201" t="str">
        <f t="shared" si="54"/>
        <v/>
      </c>
      <c r="DX62" s="202"/>
      <c r="DY62" s="222" t="str">
        <f t="shared" si="55"/>
        <v/>
      </c>
      <c r="DZ62" s="199" t="str">
        <f t="shared" si="66"/>
        <v/>
      </c>
      <c r="EA62" s="198" t="str">
        <f t="shared" si="56"/>
        <v/>
      </c>
      <c r="EB62" s="138" t="str">
        <f t="shared" si="57"/>
        <v/>
      </c>
      <c r="EC62" s="211" t="str">
        <f t="shared" si="58"/>
        <v/>
      </c>
      <c r="ED62" s="212" t="str">
        <f t="shared" si="58"/>
        <v/>
      </c>
      <c r="EE62" s="213" t="str">
        <f t="shared" si="58"/>
        <v/>
      </c>
      <c r="EF62" s="138" t="str">
        <f t="shared" si="58"/>
        <v/>
      </c>
      <c r="EG62" s="199" t="str">
        <f t="shared" si="59"/>
        <v/>
      </c>
      <c r="EH62" s="200" t="str">
        <f t="shared" si="60"/>
        <v/>
      </c>
      <c r="EI62" s="201" t="str">
        <f t="shared" si="60"/>
        <v/>
      </c>
      <c r="EJ62" s="229"/>
    </row>
    <row r="63" spans="1:140" x14ac:dyDescent="0.3">
      <c r="A63" s="375">
        <v>30</v>
      </c>
      <c r="B63" s="284"/>
      <c r="C63" s="261">
        <f t="shared" si="17"/>
        <v>4</v>
      </c>
      <c r="D63" s="373"/>
      <c r="E63" s="286"/>
      <c r="F63" s="285" t="str">
        <f t="shared" si="69"/>
        <v/>
      </c>
      <c r="G63" s="287" t="str">
        <f t="shared" si="69"/>
        <v/>
      </c>
      <c r="H63" s="288" t="str">
        <f t="shared" si="1"/>
        <v/>
      </c>
      <c r="I63" s="289" t="str">
        <f t="shared" si="2"/>
        <v/>
      </c>
      <c r="J63" s="288" t="str">
        <f t="shared" si="3"/>
        <v/>
      </c>
      <c r="K63" s="288">
        <f t="shared" si="4"/>
        <v>0</v>
      </c>
      <c r="L63" s="290"/>
      <c r="M63" s="291">
        <f t="shared" si="18"/>
        <v>1</v>
      </c>
      <c r="N63" s="301" t="str">
        <f t="shared" si="19"/>
        <v/>
      </c>
      <c r="O63" s="302" t="str">
        <f t="shared" si="5"/>
        <v/>
      </c>
      <c r="P63" s="303" t="str">
        <f t="shared" si="20"/>
        <v/>
      </c>
      <c r="Q63" s="292" t="str">
        <f t="shared" si="6"/>
        <v/>
      </c>
      <c r="R63" s="293"/>
      <c r="S63" s="294" t="str">
        <f t="shared" si="21"/>
        <v/>
      </c>
      <c r="T63" s="295" t="str">
        <f t="shared" si="22"/>
        <v/>
      </c>
      <c r="V63" s="3">
        <f t="shared" si="7"/>
        <v>40</v>
      </c>
      <c r="W63" s="3">
        <v>18</v>
      </c>
      <c r="X63" s="3">
        <v>18</v>
      </c>
      <c r="Y63" s="3" t="s">
        <v>179</v>
      </c>
      <c r="AY63" s="187"/>
      <c r="AZ63" s="250" t="str">
        <f>"Difusores de "&amp;W63&amp;""""&amp;" × "&amp;X63&amp;""""&amp;Y63</f>
        <v>Difusores de 18" × 18", número de vías por definir:</v>
      </c>
      <c r="BA63" s="245">
        <f t="shared" si="23"/>
        <v>0</v>
      </c>
      <c r="BB63" s="187"/>
      <c r="BC63" s="103">
        <f t="shared" si="24"/>
        <v>0</v>
      </c>
      <c r="BD63" s="103">
        <f t="shared" si="25"/>
        <v>0</v>
      </c>
      <c r="BE63" s="103">
        <f t="shared" si="8"/>
        <v>0</v>
      </c>
      <c r="BF63" s="181">
        <v>12</v>
      </c>
      <c r="BG63" s="181">
        <v>18</v>
      </c>
      <c r="BH63" s="184">
        <f t="shared" si="26"/>
        <v>1.5</v>
      </c>
      <c r="BI63" s="185">
        <f t="shared" si="9"/>
        <v>825</v>
      </c>
      <c r="BJ63" s="185">
        <f t="shared" si="10"/>
        <v>0.66666666666666663</v>
      </c>
      <c r="BK63" s="103">
        <f t="shared" si="27"/>
        <v>1218</v>
      </c>
      <c r="BL63" s="103">
        <v>0</v>
      </c>
      <c r="BM63" s="103">
        <v>14</v>
      </c>
      <c r="BN63" s="103">
        <v>14</v>
      </c>
      <c r="BO63" s="103">
        <v>14</v>
      </c>
      <c r="BP63" s="103">
        <f t="shared" si="28"/>
        <v>1414</v>
      </c>
      <c r="BQ63" s="103">
        <f t="shared" si="28"/>
        <v>1414</v>
      </c>
      <c r="BR63" s="248" t="str">
        <f t="shared" si="29"/>
        <v>Rejillas de 14" × 14":</v>
      </c>
      <c r="BS63" s="249">
        <f t="shared" si="11"/>
        <v>0</v>
      </c>
      <c r="BT63" s="249">
        <f t="shared" si="12"/>
        <v>0</v>
      </c>
      <c r="BU63" s="249">
        <f t="shared" si="30"/>
        <v>0</v>
      </c>
      <c r="BV63" s="187"/>
      <c r="BW63" s="183">
        <f t="shared" si="67"/>
        <v>0</v>
      </c>
      <c r="BX63" s="187"/>
      <c r="BY63" s="187"/>
      <c r="BZ63" s="187"/>
      <c r="CA63" s="187"/>
      <c r="CB63" s="187"/>
      <c r="CC63" s="222" t="str">
        <f t="shared" si="31"/>
        <v/>
      </c>
      <c r="CD63" s="218" t="str">
        <f t="shared" si="62"/>
        <v/>
      </c>
      <c r="CE63" s="198" t="str">
        <f t="shared" si="32"/>
        <v/>
      </c>
      <c r="CF63" s="138" t="str">
        <f t="shared" si="33"/>
        <v/>
      </c>
      <c r="CG63" s="211" t="str">
        <f t="shared" si="34"/>
        <v/>
      </c>
      <c r="CH63" s="212" t="str">
        <f t="shared" si="34"/>
        <v/>
      </c>
      <c r="CI63" s="213" t="str">
        <f t="shared" si="34"/>
        <v/>
      </c>
      <c r="CJ63" s="138" t="str">
        <f t="shared" si="34"/>
        <v/>
      </c>
      <c r="CK63" s="199" t="str">
        <f t="shared" si="35"/>
        <v/>
      </c>
      <c r="CL63" s="200" t="str">
        <f t="shared" si="36"/>
        <v/>
      </c>
      <c r="CM63" s="201" t="str">
        <f t="shared" si="36"/>
        <v/>
      </c>
      <c r="CN63" s="202"/>
      <c r="CO63" s="222" t="str">
        <f t="shared" si="37"/>
        <v/>
      </c>
      <c r="CP63" s="199" t="str">
        <f t="shared" si="63"/>
        <v/>
      </c>
      <c r="CQ63" s="198" t="str">
        <f t="shared" si="38"/>
        <v/>
      </c>
      <c r="CR63" s="138" t="str">
        <f t="shared" si="39"/>
        <v/>
      </c>
      <c r="CS63" s="211" t="str">
        <f t="shared" si="40"/>
        <v/>
      </c>
      <c r="CT63" s="212" t="str">
        <f t="shared" si="40"/>
        <v/>
      </c>
      <c r="CU63" s="213" t="str">
        <f t="shared" si="40"/>
        <v/>
      </c>
      <c r="CV63" s="138" t="str">
        <f t="shared" si="40"/>
        <v/>
      </c>
      <c r="CW63" s="199" t="str">
        <f t="shared" si="41"/>
        <v/>
      </c>
      <c r="CX63" s="200" t="str">
        <f t="shared" si="42"/>
        <v/>
      </c>
      <c r="CY63" s="201" t="str">
        <f t="shared" si="42"/>
        <v/>
      </c>
      <c r="CZ63" s="202"/>
      <c r="DA63" s="222" t="str">
        <f t="shared" si="43"/>
        <v/>
      </c>
      <c r="DB63" s="199" t="str">
        <f t="shared" si="64"/>
        <v/>
      </c>
      <c r="DC63" s="198" t="str">
        <f t="shared" si="44"/>
        <v/>
      </c>
      <c r="DD63" s="138" t="str">
        <f t="shared" si="45"/>
        <v/>
      </c>
      <c r="DE63" s="211" t="str">
        <f t="shared" si="46"/>
        <v/>
      </c>
      <c r="DF63" s="212" t="str">
        <f t="shared" si="46"/>
        <v/>
      </c>
      <c r="DG63" s="213" t="str">
        <f t="shared" si="46"/>
        <v/>
      </c>
      <c r="DH63" s="138" t="str">
        <f t="shared" si="46"/>
        <v/>
      </c>
      <c r="DI63" s="199" t="str">
        <f t="shared" si="47"/>
        <v/>
      </c>
      <c r="DJ63" s="200" t="str">
        <f t="shared" si="48"/>
        <v/>
      </c>
      <c r="DK63" s="201" t="str">
        <f t="shared" si="48"/>
        <v/>
      </c>
      <c r="DL63" s="202"/>
      <c r="DM63" s="222" t="str">
        <f t="shared" si="49"/>
        <v/>
      </c>
      <c r="DN63" s="199" t="str">
        <f t="shared" si="65"/>
        <v/>
      </c>
      <c r="DO63" s="198" t="str">
        <f t="shared" si="50"/>
        <v/>
      </c>
      <c r="DP63" s="138" t="str">
        <f t="shared" si="51"/>
        <v/>
      </c>
      <c r="DQ63" s="211" t="str">
        <f t="shared" si="52"/>
        <v/>
      </c>
      <c r="DR63" s="212" t="str">
        <f t="shared" si="52"/>
        <v/>
      </c>
      <c r="DS63" s="213" t="str">
        <f t="shared" si="52"/>
        <v/>
      </c>
      <c r="DT63" s="138" t="str">
        <f t="shared" si="52"/>
        <v/>
      </c>
      <c r="DU63" s="199" t="str">
        <f t="shared" si="53"/>
        <v/>
      </c>
      <c r="DV63" s="200" t="str">
        <f t="shared" si="54"/>
        <v/>
      </c>
      <c r="DW63" s="201" t="str">
        <f t="shared" si="54"/>
        <v/>
      </c>
      <c r="DX63" s="202"/>
      <c r="DY63" s="222" t="str">
        <f t="shared" si="55"/>
        <v/>
      </c>
      <c r="DZ63" s="199" t="str">
        <f t="shared" si="66"/>
        <v/>
      </c>
      <c r="EA63" s="198" t="str">
        <f t="shared" si="56"/>
        <v/>
      </c>
      <c r="EB63" s="138" t="str">
        <f t="shared" si="57"/>
        <v/>
      </c>
      <c r="EC63" s="211" t="str">
        <f t="shared" si="58"/>
        <v/>
      </c>
      <c r="ED63" s="212" t="str">
        <f t="shared" si="58"/>
        <v/>
      </c>
      <c r="EE63" s="213" t="str">
        <f t="shared" si="58"/>
        <v/>
      </c>
      <c r="EF63" s="138" t="str">
        <f t="shared" si="58"/>
        <v/>
      </c>
      <c r="EG63" s="199" t="str">
        <f t="shared" si="59"/>
        <v/>
      </c>
      <c r="EH63" s="200" t="str">
        <f t="shared" si="60"/>
        <v/>
      </c>
      <c r="EI63" s="201" t="str">
        <f t="shared" si="60"/>
        <v/>
      </c>
      <c r="EJ63" s="229"/>
    </row>
    <row r="64" spans="1:140" x14ac:dyDescent="0.3">
      <c r="A64" s="375">
        <v>31</v>
      </c>
      <c r="B64" s="260"/>
      <c r="C64" s="261">
        <f t="shared" si="17"/>
        <v>4</v>
      </c>
      <c r="D64" s="371"/>
      <c r="E64" s="262"/>
      <c r="F64" s="261" t="str">
        <f t="shared" si="69"/>
        <v/>
      </c>
      <c r="G64" s="263" t="str">
        <f t="shared" si="69"/>
        <v/>
      </c>
      <c r="H64" s="264" t="str">
        <f t="shared" si="1"/>
        <v/>
      </c>
      <c r="I64" s="265" t="str">
        <f t="shared" si="2"/>
        <v/>
      </c>
      <c r="J64" s="264" t="str">
        <f t="shared" si="3"/>
        <v/>
      </c>
      <c r="K64" s="264">
        <f t="shared" si="4"/>
        <v>0</v>
      </c>
      <c r="L64" s="266"/>
      <c r="M64" s="267">
        <f t="shared" si="18"/>
        <v>1</v>
      </c>
      <c r="N64" s="296" t="str">
        <f t="shared" si="19"/>
        <v/>
      </c>
      <c r="O64" s="297" t="str">
        <f t="shared" si="5"/>
        <v/>
      </c>
      <c r="P64" s="298" t="str">
        <f t="shared" si="20"/>
        <v/>
      </c>
      <c r="Q64" s="268" t="str">
        <f t="shared" si="6"/>
        <v/>
      </c>
      <c r="R64" s="269"/>
      <c r="S64" s="270" t="str">
        <f t="shared" si="21"/>
        <v/>
      </c>
      <c r="T64" s="271" t="str">
        <f t="shared" si="22"/>
        <v/>
      </c>
      <c r="V64" s="3">
        <f t="shared" si="7"/>
        <v>40</v>
      </c>
      <c r="AY64" s="187"/>
      <c r="AZ64" s="187"/>
      <c r="BA64" s="187"/>
      <c r="BB64" s="187"/>
      <c r="BC64" s="187">
        <f t="shared" si="24"/>
        <v>0</v>
      </c>
      <c r="BD64" s="187">
        <f t="shared" si="25"/>
        <v>0</v>
      </c>
      <c r="BE64" s="187">
        <f t="shared" si="8"/>
        <v>0</v>
      </c>
      <c r="BF64" s="186">
        <v>12</v>
      </c>
      <c r="BG64" s="186">
        <v>20</v>
      </c>
      <c r="BH64" s="188">
        <f t="shared" si="26"/>
        <v>1.6666666666666667</v>
      </c>
      <c r="BI64" s="189">
        <f t="shared" si="9"/>
        <v>916.66666666666674</v>
      </c>
      <c r="BJ64" s="189">
        <f t="shared" si="10"/>
        <v>0.6</v>
      </c>
      <c r="BK64" s="187">
        <f t="shared" si="27"/>
        <v>1220</v>
      </c>
      <c r="BL64" s="187">
        <v>0</v>
      </c>
      <c r="BM64" s="187">
        <v>14</v>
      </c>
      <c r="BN64" s="187">
        <v>16</v>
      </c>
      <c r="BO64" s="187">
        <v>14</v>
      </c>
      <c r="BP64" s="187">
        <f t="shared" si="28"/>
        <v>1416</v>
      </c>
      <c r="BQ64" s="187">
        <f t="shared" si="28"/>
        <v>1614</v>
      </c>
      <c r="BR64" s="187"/>
      <c r="BS64" s="187"/>
      <c r="BT64" s="187"/>
      <c r="BU64" s="187"/>
      <c r="BV64" s="187"/>
      <c r="BW64" s="187">
        <f t="shared" si="67"/>
        <v>0</v>
      </c>
      <c r="BX64" s="187"/>
      <c r="BY64" s="187"/>
      <c r="BZ64" s="187"/>
      <c r="CA64" s="187"/>
      <c r="CB64" s="187"/>
      <c r="CC64" s="223" t="str">
        <f t="shared" si="31"/>
        <v/>
      </c>
      <c r="CD64" s="219" t="str">
        <f t="shared" si="62"/>
        <v/>
      </c>
      <c r="CE64" s="203" t="str">
        <f t="shared" si="32"/>
        <v/>
      </c>
      <c r="CF64" s="144" t="str">
        <f t="shared" si="33"/>
        <v/>
      </c>
      <c r="CG64" s="214" t="str">
        <f t="shared" si="34"/>
        <v/>
      </c>
      <c r="CH64" s="215" t="str">
        <f t="shared" si="34"/>
        <v/>
      </c>
      <c r="CI64" s="216" t="str">
        <f t="shared" si="34"/>
        <v/>
      </c>
      <c r="CJ64" s="144" t="str">
        <f t="shared" si="34"/>
        <v/>
      </c>
      <c r="CK64" s="204" t="str">
        <f t="shared" si="35"/>
        <v/>
      </c>
      <c r="CL64" s="205" t="str">
        <f t="shared" si="36"/>
        <v/>
      </c>
      <c r="CM64" s="206" t="str">
        <f t="shared" si="36"/>
        <v/>
      </c>
      <c r="CN64" s="207"/>
      <c r="CO64" s="223" t="str">
        <f t="shared" si="37"/>
        <v/>
      </c>
      <c r="CP64" s="204" t="str">
        <f t="shared" si="63"/>
        <v/>
      </c>
      <c r="CQ64" s="203" t="str">
        <f t="shared" si="38"/>
        <v/>
      </c>
      <c r="CR64" s="144" t="str">
        <f t="shared" si="39"/>
        <v/>
      </c>
      <c r="CS64" s="214" t="str">
        <f t="shared" si="40"/>
        <v/>
      </c>
      <c r="CT64" s="215" t="str">
        <f t="shared" si="40"/>
        <v/>
      </c>
      <c r="CU64" s="216" t="str">
        <f t="shared" si="40"/>
        <v/>
      </c>
      <c r="CV64" s="144" t="str">
        <f t="shared" si="40"/>
        <v/>
      </c>
      <c r="CW64" s="204" t="str">
        <f t="shared" si="41"/>
        <v/>
      </c>
      <c r="CX64" s="205" t="str">
        <f t="shared" si="42"/>
        <v/>
      </c>
      <c r="CY64" s="206" t="str">
        <f t="shared" si="42"/>
        <v/>
      </c>
      <c r="CZ64" s="207"/>
      <c r="DA64" s="223" t="str">
        <f t="shared" si="43"/>
        <v/>
      </c>
      <c r="DB64" s="204" t="str">
        <f t="shared" si="64"/>
        <v/>
      </c>
      <c r="DC64" s="203" t="str">
        <f t="shared" si="44"/>
        <v/>
      </c>
      <c r="DD64" s="144" t="str">
        <f t="shared" si="45"/>
        <v/>
      </c>
      <c r="DE64" s="214" t="str">
        <f t="shared" si="46"/>
        <v/>
      </c>
      <c r="DF64" s="215" t="str">
        <f t="shared" si="46"/>
        <v/>
      </c>
      <c r="DG64" s="216" t="str">
        <f t="shared" si="46"/>
        <v/>
      </c>
      <c r="DH64" s="144" t="str">
        <f t="shared" si="46"/>
        <v/>
      </c>
      <c r="DI64" s="204" t="str">
        <f t="shared" si="47"/>
        <v/>
      </c>
      <c r="DJ64" s="205" t="str">
        <f t="shared" si="48"/>
        <v/>
      </c>
      <c r="DK64" s="206" t="str">
        <f t="shared" si="48"/>
        <v/>
      </c>
      <c r="DL64" s="207"/>
      <c r="DM64" s="223" t="str">
        <f t="shared" si="49"/>
        <v/>
      </c>
      <c r="DN64" s="204" t="str">
        <f t="shared" si="65"/>
        <v/>
      </c>
      <c r="DO64" s="203" t="str">
        <f t="shared" si="50"/>
        <v/>
      </c>
      <c r="DP64" s="144" t="str">
        <f t="shared" si="51"/>
        <v/>
      </c>
      <c r="DQ64" s="214" t="str">
        <f t="shared" si="52"/>
        <v/>
      </c>
      <c r="DR64" s="215" t="str">
        <f t="shared" si="52"/>
        <v/>
      </c>
      <c r="DS64" s="216" t="str">
        <f t="shared" si="52"/>
        <v/>
      </c>
      <c r="DT64" s="144" t="str">
        <f t="shared" si="52"/>
        <v/>
      </c>
      <c r="DU64" s="204" t="str">
        <f t="shared" si="53"/>
        <v/>
      </c>
      <c r="DV64" s="205" t="str">
        <f t="shared" si="54"/>
        <v/>
      </c>
      <c r="DW64" s="206" t="str">
        <f t="shared" si="54"/>
        <v/>
      </c>
      <c r="DX64" s="207"/>
      <c r="DY64" s="223" t="str">
        <f t="shared" si="55"/>
        <v/>
      </c>
      <c r="DZ64" s="204" t="str">
        <f t="shared" si="66"/>
        <v/>
      </c>
      <c r="EA64" s="203" t="str">
        <f t="shared" si="56"/>
        <v/>
      </c>
      <c r="EB64" s="144" t="str">
        <f t="shared" si="57"/>
        <v/>
      </c>
      <c r="EC64" s="214" t="str">
        <f t="shared" si="58"/>
        <v/>
      </c>
      <c r="ED64" s="215" t="str">
        <f t="shared" si="58"/>
        <v/>
      </c>
      <c r="EE64" s="216" t="str">
        <f t="shared" si="58"/>
        <v/>
      </c>
      <c r="EF64" s="144" t="str">
        <f t="shared" si="58"/>
        <v/>
      </c>
      <c r="EG64" s="204" t="str">
        <f t="shared" si="59"/>
        <v/>
      </c>
      <c r="EH64" s="205" t="str">
        <f t="shared" si="60"/>
        <v/>
      </c>
      <c r="EI64" s="206" t="str">
        <f t="shared" si="60"/>
        <v/>
      </c>
      <c r="EJ64" s="230"/>
    </row>
    <row r="65" spans="1:80" x14ac:dyDescent="0.3">
      <c r="A65" s="375">
        <v>32</v>
      </c>
      <c r="B65" s="272"/>
      <c r="C65" s="261">
        <f t="shared" si="17"/>
        <v>4</v>
      </c>
      <c r="D65" s="372"/>
      <c r="E65" s="274"/>
      <c r="F65" s="273" t="str">
        <f t="shared" si="69"/>
        <v/>
      </c>
      <c r="G65" s="275" t="str">
        <f t="shared" si="69"/>
        <v/>
      </c>
      <c r="H65" s="276" t="str">
        <f t="shared" si="1"/>
        <v/>
      </c>
      <c r="I65" s="277" t="str">
        <f t="shared" si="2"/>
        <v/>
      </c>
      <c r="J65" s="276" t="str">
        <f t="shared" si="3"/>
        <v/>
      </c>
      <c r="K65" s="276">
        <f t="shared" si="4"/>
        <v>0</v>
      </c>
      <c r="L65" s="278"/>
      <c r="M65" s="279">
        <f t="shared" si="18"/>
        <v>1</v>
      </c>
      <c r="N65" s="299" t="str">
        <f t="shared" si="19"/>
        <v/>
      </c>
      <c r="O65" s="117" t="str">
        <f t="shared" si="5"/>
        <v/>
      </c>
      <c r="P65" s="300" t="str">
        <f t="shared" si="20"/>
        <v/>
      </c>
      <c r="Q65" s="280" t="str">
        <f t="shared" si="6"/>
        <v/>
      </c>
      <c r="R65" s="281"/>
      <c r="S65" s="282" t="str">
        <f t="shared" si="21"/>
        <v/>
      </c>
      <c r="T65" s="283" t="str">
        <f t="shared" si="22"/>
        <v/>
      </c>
      <c r="V65" s="3">
        <f t="shared" si="7"/>
        <v>40</v>
      </c>
      <c r="AZ65" s="103"/>
      <c r="BA65" s="103"/>
      <c r="BB65" s="103"/>
      <c r="BC65" s="103">
        <f t="shared" si="24"/>
        <v>0</v>
      </c>
      <c r="BD65" s="103">
        <f t="shared" si="25"/>
        <v>0</v>
      </c>
      <c r="BE65" s="103">
        <f t="shared" si="8"/>
        <v>0</v>
      </c>
      <c r="BF65" s="181">
        <v>12</v>
      </c>
      <c r="BG65" s="181">
        <v>22</v>
      </c>
      <c r="BH65" s="184">
        <f t="shared" si="26"/>
        <v>1.8333333333333333</v>
      </c>
      <c r="BI65" s="185">
        <f t="shared" si="9"/>
        <v>1008.3333333333333</v>
      </c>
      <c r="BJ65" s="185">
        <f t="shared" si="10"/>
        <v>0.54545454545454541</v>
      </c>
      <c r="BK65" s="103">
        <f t="shared" si="27"/>
        <v>1222</v>
      </c>
      <c r="BL65" s="103">
        <v>0</v>
      </c>
      <c r="BM65" s="103">
        <v>14</v>
      </c>
      <c r="BN65" s="103">
        <v>18</v>
      </c>
      <c r="BO65" s="103">
        <v>14</v>
      </c>
      <c r="BP65" s="103">
        <f t="shared" si="28"/>
        <v>1418</v>
      </c>
      <c r="BQ65" s="103">
        <f t="shared" si="28"/>
        <v>1814</v>
      </c>
      <c r="BR65" s="103"/>
      <c r="BS65" s="103"/>
      <c r="BT65" s="103"/>
      <c r="BU65" s="103"/>
      <c r="BV65" s="103"/>
      <c r="BW65" s="183">
        <f t="shared" si="67"/>
        <v>0</v>
      </c>
      <c r="BX65" s="103"/>
      <c r="BY65" s="103"/>
      <c r="BZ65" s="103"/>
      <c r="CA65" s="103"/>
      <c r="CB65" s="103"/>
    </row>
    <row r="66" spans="1:80" x14ac:dyDescent="0.3">
      <c r="A66" s="375">
        <v>33</v>
      </c>
      <c r="B66" s="284"/>
      <c r="C66" s="261">
        <f t="shared" si="17"/>
        <v>4</v>
      </c>
      <c r="D66" s="373"/>
      <c r="E66" s="286"/>
      <c r="F66" s="285" t="str">
        <f t="shared" si="69"/>
        <v/>
      </c>
      <c r="G66" s="287" t="str">
        <f t="shared" si="69"/>
        <v/>
      </c>
      <c r="H66" s="288" t="str">
        <f t="shared" si="1"/>
        <v/>
      </c>
      <c r="I66" s="289" t="str">
        <f t="shared" si="2"/>
        <v/>
      </c>
      <c r="J66" s="288" t="str">
        <f t="shared" si="3"/>
        <v/>
      </c>
      <c r="K66" s="288">
        <f t="shared" si="4"/>
        <v>0</v>
      </c>
      <c r="L66" s="290"/>
      <c r="M66" s="291">
        <f t="shared" si="18"/>
        <v>1</v>
      </c>
      <c r="N66" s="301" t="str">
        <f t="shared" si="19"/>
        <v/>
      </c>
      <c r="O66" s="302" t="str">
        <f t="shared" si="5"/>
        <v/>
      </c>
      <c r="P66" s="303" t="str">
        <f t="shared" si="20"/>
        <v/>
      </c>
      <c r="Q66" s="292" t="str">
        <f t="shared" si="6"/>
        <v/>
      </c>
      <c r="R66" s="293"/>
      <c r="S66" s="294" t="str">
        <f t="shared" si="21"/>
        <v/>
      </c>
      <c r="T66" s="295" t="str">
        <f t="shared" si="22"/>
        <v/>
      </c>
      <c r="V66" s="3">
        <f t="shared" si="7"/>
        <v>40</v>
      </c>
      <c r="AZ66" s="103"/>
      <c r="BA66" s="103"/>
      <c r="BB66" s="103"/>
      <c r="BC66" s="103">
        <f t="shared" si="24"/>
        <v>0</v>
      </c>
      <c r="BD66" s="103">
        <f t="shared" si="25"/>
        <v>0</v>
      </c>
      <c r="BE66" s="103">
        <f t="shared" si="8"/>
        <v>0</v>
      </c>
      <c r="BF66" s="181">
        <v>12</v>
      </c>
      <c r="BG66" s="181">
        <v>24</v>
      </c>
      <c r="BH66" s="184">
        <f t="shared" si="26"/>
        <v>2</v>
      </c>
      <c r="BI66" s="185">
        <f t="shared" si="9"/>
        <v>1100</v>
      </c>
      <c r="BJ66" s="185">
        <f t="shared" si="10"/>
        <v>0.5</v>
      </c>
      <c r="BK66" s="103">
        <f t="shared" si="27"/>
        <v>1224</v>
      </c>
      <c r="BL66" s="103">
        <v>0</v>
      </c>
      <c r="BM66" s="103">
        <v>14</v>
      </c>
      <c r="BN66" s="103">
        <v>20</v>
      </c>
      <c r="BO66" s="103">
        <v>14</v>
      </c>
      <c r="BP66" s="103">
        <f t="shared" si="28"/>
        <v>1420</v>
      </c>
      <c r="BQ66" s="103">
        <f t="shared" si="28"/>
        <v>2014</v>
      </c>
      <c r="BR66" s="103"/>
      <c r="BS66" s="103"/>
      <c r="BT66" s="103"/>
      <c r="BU66" s="103"/>
      <c r="BV66" s="103"/>
      <c r="BW66" s="183">
        <f t="shared" si="67"/>
        <v>0</v>
      </c>
      <c r="BX66" s="103"/>
      <c r="BY66" s="103"/>
      <c r="BZ66" s="103"/>
      <c r="CA66" s="103"/>
      <c r="CB66" s="103"/>
    </row>
    <row r="67" spans="1:80" x14ac:dyDescent="0.3">
      <c r="A67" s="375">
        <v>34</v>
      </c>
      <c r="B67" s="260"/>
      <c r="C67" s="261">
        <f t="shared" si="17"/>
        <v>4</v>
      </c>
      <c r="D67" s="371"/>
      <c r="E67" s="262"/>
      <c r="F67" s="261" t="str">
        <f t="shared" si="69"/>
        <v/>
      </c>
      <c r="G67" s="263" t="str">
        <f t="shared" si="69"/>
        <v/>
      </c>
      <c r="H67" s="264" t="str">
        <f t="shared" si="1"/>
        <v/>
      </c>
      <c r="I67" s="265" t="str">
        <f t="shared" si="2"/>
        <v/>
      </c>
      <c r="J67" s="264" t="str">
        <f t="shared" si="3"/>
        <v/>
      </c>
      <c r="K67" s="264">
        <f t="shared" si="4"/>
        <v>0</v>
      </c>
      <c r="L67" s="266"/>
      <c r="M67" s="267">
        <f t="shared" si="18"/>
        <v>1</v>
      </c>
      <c r="N67" s="296" t="str">
        <f t="shared" si="19"/>
        <v/>
      </c>
      <c r="O67" s="297" t="str">
        <f t="shared" si="5"/>
        <v/>
      </c>
      <c r="P67" s="298" t="str">
        <f t="shared" si="20"/>
        <v/>
      </c>
      <c r="Q67" s="268" t="str">
        <f t="shared" si="6"/>
        <v/>
      </c>
      <c r="R67" s="269"/>
      <c r="S67" s="270" t="str">
        <f t="shared" si="21"/>
        <v/>
      </c>
      <c r="T67" s="271" t="str">
        <f t="shared" si="22"/>
        <v/>
      </c>
      <c r="V67" s="3">
        <f t="shared" si="7"/>
        <v>40</v>
      </c>
      <c r="AZ67" s="103"/>
      <c r="BA67" s="103"/>
      <c r="BB67" s="103"/>
      <c r="BC67" s="103">
        <f t="shared" si="24"/>
        <v>0</v>
      </c>
      <c r="BD67" s="103">
        <f t="shared" si="25"/>
        <v>0</v>
      </c>
      <c r="BE67" s="103">
        <f t="shared" si="8"/>
        <v>0</v>
      </c>
      <c r="BF67" s="181">
        <v>12</v>
      </c>
      <c r="BG67" s="181">
        <v>26</v>
      </c>
      <c r="BH67" s="184">
        <f t="shared" si="26"/>
        <v>2.1666666666666665</v>
      </c>
      <c r="BI67" s="185">
        <f t="shared" si="9"/>
        <v>1191.6666666666665</v>
      </c>
      <c r="BJ67" s="185">
        <f t="shared" si="10"/>
        <v>0.46153846153846156</v>
      </c>
      <c r="BK67" s="103">
        <f t="shared" si="27"/>
        <v>1226</v>
      </c>
      <c r="BL67" s="103">
        <v>0</v>
      </c>
      <c r="BM67" s="103">
        <v>14</v>
      </c>
      <c r="BN67" s="103">
        <v>22</v>
      </c>
      <c r="BO67" s="103">
        <v>14</v>
      </c>
      <c r="BP67" s="103">
        <f t="shared" si="28"/>
        <v>1422</v>
      </c>
      <c r="BQ67" s="103">
        <f t="shared" si="28"/>
        <v>2214</v>
      </c>
      <c r="BR67" s="103"/>
      <c r="BS67" s="103"/>
      <c r="BT67" s="103"/>
      <c r="BU67" s="103"/>
      <c r="BV67" s="103"/>
      <c r="BW67" s="183">
        <f t="shared" si="67"/>
        <v>0</v>
      </c>
      <c r="BX67" s="103"/>
      <c r="BY67" s="103"/>
      <c r="BZ67" s="103"/>
      <c r="CA67" s="103"/>
      <c r="CB67" s="103"/>
    </row>
    <row r="68" spans="1:80" x14ac:dyDescent="0.3">
      <c r="A68" s="375">
        <v>35</v>
      </c>
      <c r="B68" s="272"/>
      <c r="C68" s="261">
        <f t="shared" si="17"/>
        <v>4</v>
      </c>
      <c r="D68" s="372"/>
      <c r="E68" s="274"/>
      <c r="F68" s="273" t="str">
        <f t="shared" si="69"/>
        <v/>
      </c>
      <c r="G68" s="275" t="str">
        <f t="shared" si="69"/>
        <v/>
      </c>
      <c r="H68" s="276" t="str">
        <f t="shared" si="1"/>
        <v/>
      </c>
      <c r="I68" s="277" t="str">
        <f t="shared" si="2"/>
        <v/>
      </c>
      <c r="J68" s="276" t="str">
        <f t="shared" si="3"/>
        <v/>
      </c>
      <c r="K68" s="276">
        <f t="shared" si="4"/>
        <v>0</v>
      </c>
      <c r="L68" s="278"/>
      <c r="M68" s="279">
        <f t="shared" si="18"/>
        <v>1</v>
      </c>
      <c r="N68" s="299" t="str">
        <f t="shared" si="19"/>
        <v/>
      </c>
      <c r="O68" s="117" t="str">
        <f t="shared" si="5"/>
        <v/>
      </c>
      <c r="P68" s="300" t="str">
        <f t="shared" si="20"/>
        <v/>
      </c>
      <c r="Q68" s="280" t="str">
        <f t="shared" si="6"/>
        <v/>
      </c>
      <c r="R68" s="281"/>
      <c r="S68" s="282" t="str">
        <f t="shared" si="21"/>
        <v/>
      </c>
      <c r="T68" s="283" t="str">
        <f t="shared" si="22"/>
        <v/>
      </c>
      <c r="V68" s="3">
        <f t="shared" si="7"/>
        <v>40</v>
      </c>
      <c r="BC68" s="3">
        <f t="shared" si="24"/>
        <v>0</v>
      </c>
      <c r="BD68" s="3">
        <f t="shared" si="25"/>
        <v>0</v>
      </c>
      <c r="BE68" s="3">
        <f t="shared" si="8"/>
        <v>0</v>
      </c>
      <c r="BF68" s="374">
        <v>12</v>
      </c>
      <c r="BG68" s="374">
        <v>28</v>
      </c>
      <c r="BH68" s="121">
        <f t="shared" si="26"/>
        <v>2.3333333333333335</v>
      </c>
      <c r="BI68" s="8">
        <f t="shared" si="9"/>
        <v>1283.3333333333335</v>
      </c>
      <c r="BJ68" s="8">
        <f t="shared" si="10"/>
        <v>0.42857142857142855</v>
      </c>
      <c r="BK68" s="3">
        <f t="shared" si="27"/>
        <v>1228</v>
      </c>
      <c r="BL68" s="3">
        <v>0</v>
      </c>
      <c r="BM68" s="3">
        <v>14</v>
      </c>
      <c r="BN68" s="3">
        <v>24</v>
      </c>
      <c r="BO68" s="3">
        <v>14</v>
      </c>
      <c r="BP68" s="3">
        <f t="shared" si="28"/>
        <v>1424</v>
      </c>
      <c r="BQ68" s="3">
        <f t="shared" si="28"/>
        <v>2414</v>
      </c>
      <c r="BV68" s="103"/>
      <c r="BW68" s="3">
        <f t="shared" si="67"/>
        <v>0</v>
      </c>
      <c r="BX68" s="103"/>
      <c r="BY68" s="103"/>
      <c r="BZ68" s="103"/>
      <c r="CA68" s="103"/>
      <c r="CB68" s="103"/>
    </row>
    <row r="69" spans="1:80" x14ac:dyDescent="0.3">
      <c r="A69" s="375">
        <v>36</v>
      </c>
      <c r="B69" s="284"/>
      <c r="C69" s="261">
        <f t="shared" si="17"/>
        <v>4</v>
      </c>
      <c r="D69" s="373"/>
      <c r="E69" s="286"/>
      <c r="F69" s="285" t="str">
        <f t="shared" si="69"/>
        <v/>
      </c>
      <c r="G69" s="287" t="str">
        <f t="shared" si="69"/>
        <v/>
      </c>
      <c r="H69" s="288" t="str">
        <f t="shared" si="1"/>
        <v/>
      </c>
      <c r="I69" s="289" t="str">
        <f t="shared" si="2"/>
        <v/>
      </c>
      <c r="J69" s="288" t="str">
        <f t="shared" si="3"/>
        <v/>
      </c>
      <c r="K69" s="288">
        <f t="shared" si="4"/>
        <v>0</v>
      </c>
      <c r="L69" s="290"/>
      <c r="M69" s="291">
        <f t="shared" si="18"/>
        <v>1</v>
      </c>
      <c r="N69" s="301" t="str">
        <f t="shared" si="19"/>
        <v/>
      </c>
      <c r="O69" s="302" t="str">
        <f t="shared" si="5"/>
        <v/>
      </c>
      <c r="P69" s="303" t="str">
        <f t="shared" si="20"/>
        <v/>
      </c>
      <c r="Q69" s="292" t="str">
        <f t="shared" si="6"/>
        <v/>
      </c>
      <c r="R69" s="293"/>
      <c r="S69" s="294" t="str">
        <f t="shared" si="21"/>
        <v/>
      </c>
      <c r="T69" s="295" t="str">
        <f t="shared" si="22"/>
        <v/>
      </c>
      <c r="V69" s="3">
        <f t="shared" si="7"/>
        <v>40</v>
      </c>
      <c r="BC69" s="3">
        <f t="shared" si="24"/>
        <v>0</v>
      </c>
      <c r="BD69" s="3">
        <f t="shared" si="25"/>
        <v>0</v>
      </c>
      <c r="BE69" s="3">
        <f t="shared" si="8"/>
        <v>0</v>
      </c>
      <c r="BF69" s="374">
        <v>14</v>
      </c>
      <c r="BG69" s="374">
        <v>6</v>
      </c>
      <c r="BH69" s="121">
        <f t="shared" si="26"/>
        <v>0.58333333333333337</v>
      </c>
      <c r="BI69" s="8">
        <f t="shared" si="9"/>
        <v>320.83333333333337</v>
      </c>
      <c r="BJ69" s="8">
        <f t="shared" si="10"/>
        <v>2.3333333333333335</v>
      </c>
      <c r="BK69" s="3">
        <f t="shared" si="27"/>
        <v>1406</v>
      </c>
      <c r="BL69" s="3">
        <v>0</v>
      </c>
      <c r="BM69" s="3">
        <v>14</v>
      </c>
      <c r="BN69" s="3">
        <v>26</v>
      </c>
      <c r="BO69" s="3">
        <v>14</v>
      </c>
      <c r="BP69" s="3">
        <f t="shared" si="28"/>
        <v>1426</v>
      </c>
      <c r="BQ69" s="3">
        <f t="shared" si="28"/>
        <v>2614</v>
      </c>
      <c r="BV69" s="103"/>
      <c r="BW69" s="3">
        <f t="shared" si="67"/>
        <v>0</v>
      </c>
    </row>
    <row r="70" spans="1:80" x14ac:dyDescent="0.3">
      <c r="A70" s="375">
        <v>37</v>
      </c>
      <c r="B70" s="260"/>
      <c r="C70" s="261">
        <f t="shared" si="17"/>
        <v>4</v>
      </c>
      <c r="D70" s="371"/>
      <c r="E70" s="262"/>
      <c r="F70" s="261" t="str">
        <f t="shared" si="69"/>
        <v/>
      </c>
      <c r="G70" s="263" t="str">
        <f t="shared" si="69"/>
        <v/>
      </c>
      <c r="H70" s="264" t="str">
        <f t="shared" si="1"/>
        <v/>
      </c>
      <c r="I70" s="265" t="str">
        <f t="shared" si="2"/>
        <v/>
      </c>
      <c r="J70" s="264" t="str">
        <f t="shared" si="3"/>
        <v/>
      </c>
      <c r="K70" s="264">
        <f t="shared" si="4"/>
        <v>0</v>
      </c>
      <c r="L70" s="266"/>
      <c r="M70" s="267">
        <f t="shared" si="18"/>
        <v>1</v>
      </c>
      <c r="N70" s="296" t="str">
        <f t="shared" si="19"/>
        <v/>
      </c>
      <c r="O70" s="297" t="str">
        <f t="shared" si="5"/>
        <v/>
      </c>
      <c r="P70" s="298" t="str">
        <f t="shared" si="20"/>
        <v/>
      </c>
      <c r="Q70" s="268" t="str">
        <f t="shared" si="6"/>
        <v/>
      </c>
      <c r="R70" s="269"/>
      <c r="S70" s="270" t="str">
        <f t="shared" si="21"/>
        <v/>
      </c>
      <c r="T70" s="271" t="str">
        <f t="shared" si="22"/>
        <v/>
      </c>
      <c r="V70" s="3">
        <f t="shared" si="7"/>
        <v>40</v>
      </c>
      <c r="BC70" s="3">
        <f t="shared" si="24"/>
        <v>0</v>
      </c>
      <c r="BD70" s="3">
        <f t="shared" si="25"/>
        <v>0</v>
      </c>
      <c r="BE70" s="3">
        <f t="shared" si="8"/>
        <v>0</v>
      </c>
      <c r="BF70" s="374">
        <v>14</v>
      </c>
      <c r="BG70" s="374">
        <v>8</v>
      </c>
      <c r="BH70" s="121">
        <f t="shared" si="26"/>
        <v>0.77777777777777779</v>
      </c>
      <c r="BI70" s="8">
        <f t="shared" si="9"/>
        <v>427.77777777777777</v>
      </c>
      <c r="BJ70" s="8">
        <f t="shared" si="10"/>
        <v>1.75</v>
      </c>
      <c r="BK70" s="3">
        <f t="shared" si="27"/>
        <v>1408</v>
      </c>
      <c r="BL70" s="3">
        <v>0</v>
      </c>
      <c r="BM70" s="3">
        <v>14</v>
      </c>
      <c r="BN70" s="3">
        <v>28</v>
      </c>
      <c r="BO70" s="3">
        <v>14</v>
      </c>
      <c r="BP70" s="3">
        <f t="shared" si="28"/>
        <v>1428</v>
      </c>
      <c r="BQ70" s="3">
        <f t="shared" si="28"/>
        <v>2814</v>
      </c>
      <c r="BW70" s="3">
        <f t="shared" si="67"/>
        <v>0</v>
      </c>
    </row>
    <row r="71" spans="1:80" x14ac:dyDescent="0.3">
      <c r="A71" s="375">
        <v>38</v>
      </c>
      <c r="B71" s="272"/>
      <c r="C71" s="261">
        <f t="shared" si="17"/>
        <v>4</v>
      </c>
      <c r="D71" s="372"/>
      <c r="E71" s="274"/>
      <c r="F71" s="273" t="str">
        <f t="shared" si="69"/>
        <v/>
      </c>
      <c r="G71" s="275" t="str">
        <f t="shared" si="69"/>
        <v/>
      </c>
      <c r="H71" s="276" t="str">
        <f t="shared" si="1"/>
        <v/>
      </c>
      <c r="I71" s="277" t="str">
        <f t="shared" si="2"/>
        <v/>
      </c>
      <c r="J71" s="276" t="str">
        <f t="shared" si="3"/>
        <v/>
      </c>
      <c r="K71" s="276">
        <f t="shared" si="4"/>
        <v>0</v>
      </c>
      <c r="L71" s="278"/>
      <c r="M71" s="279">
        <f t="shared" si="18"/>
        <v>1</v>
      </c>
      <c r="N71" s="299" t="str">
        <f t="shared" si="19"/>
        <v/>
      </c>
      <c r="O71" s="117" t="str">
        <f t="shared" si="5"/>
        <v/>
      </c>
      <c r="P71" s="300" t="str">
        <f t="shared" si="20"/>
        <v/>
      </c>
      <c r="Q71" s="280" t="str">
        <f t="shared" si="6"/>
        <v/>
      </c>
      <c r="R71" s="281"/>
      <c r="S71" s="282" t="str">
        <f t="shared" si="21"/>
        <v/>
      </c>
      <c r="T71" s="283" t="str">
        <f t="shared" si="22"/>
        <v/>
      </c>
      <c r="V71" s="3">
        <f t="shared" si="7"/>
        <v>40</v>
      </c>
      <c r="BC71" s="3">
        <f t="shared" si="24"/>
        <v>0</v>
      </c>
      <c r="BD71" s="3">
        <f t="shared" si="25"/>
        <v>0</v>
      </c>
      <c r="BE71" s="3">
        <f t="shared" si="8"/>
        <v>0</v>
      </c>
      <c r="BF71" s="374">
        <v>14</v>
      </c>
      <c r="BG71" s="374">
        <v>10</v>
      </c>
      <c r="BH71" s="121">
        <f t="shared" si="26"/>
        <v>0.97222222222222232</v>
      </c>
      <c r="BI71" s="8">
        <f t="shared" si="9"/>
        <v>534.72222222222229</v>
      </c>
      <c r="BJ71" s="8">
        <f t="shared" si="10"/>
        <v>1.4</v>
      </c>
      <c r="BK71" s="3">
        <f t="shared" si="27"/>
        <v>1410</v>
      </c>
      <c r="BL71" s="3">
        <v>0</v>
      </c>
      <c r="BM71" s="3">
        <v>16</v>
      </c>
      <c r="BN71" s="3">
        <v>16</v>
      </c>
      <c r="BO71" s="3">
        <v>16</v>
      </c>
      <c r="BP71" s="3">
        <f t="shared" si="28"/>
        <v>1616</v>
      </c>
      <c r="BQ71" s="3">
        <f t="shared" si="28"/>
        <v>1616</v>
      </c>
      <c r="BW71" s="3">
        <f t="shared" si="67"/>
        <v>0</v>
      </c>
    </row>
    <row r="72" spans="1:80" x14ac:dyDescent="0.3">
      <c r="A72" s="375">
        <v>39</v>
      </c>
      <c r="B72" s="284"/>
      <c r="C72" s="261">
        <f t="shared" si="17"/>
        <v>4</v>
      </c>
      <c r="D72" s="373"/>
      <c r="E72" s="286"/>
      <c r="F72" s="285" t="str">
        <f t="shared" si="69"/>
        <v/>
      </c>
      <c r="G72" s="287" t="str">
        <f t="shared" si="69"/>
        <v/>
      </c>
      <c r="H72" s="288" t="str">
        <f t="shared" si="1"/>
        <v/>
      </c>
      <c r="I72" s="289" t="str">
        <f t="shared" si="2"/>
        <v/>
      </c>
      <c r="J72" s="288" t="str">
        <f t="shared" si="3"/>
        <v/>
      </c>
      <c r="K72" s="288">
        <f t="shared" si="4"/>
        <v>0</v>
      </c>
      <c r="L72" s="290"/>
      <c r="M72" s="291">
        <f t="shared" si="18"/>
        <v>1</v>
      </c>
      <c r="N72" s="301" t="str">
        <f t="shared" si="19"/>
        <v/>
      </c>
      <c r="O72" s="302" t="str">
        <f t="shared" si="5"/>
        <v/>
      </c>
      <c r="P72" s="303" t="str">
        <f t="shared" si="20"/>
        <v/>
      </c>
      <c r="Q72" s="292" t="str">
        <f t="shared" si="6"/>
        <v/>
      </c>
      <c r="R72" s="293"/>
      <c r="S72" s="294" t="str">
        <f t="shared" si="21"/>
        <v/>
      </c>
      <c r="T72" s="295" t="str">
        <f t="shared" si="22"/>
        <v/>
      </c>
      <c r="V72" s="3">
        <f t="shared" si="7"/>
        <v>40</v>
      </c>
      <c r="BC72" s="3">
        <f t="shared" si="24"/>
        <v>0</v>
      </c>
      <c r="BD72" s="3">
        <f t="shared" si="25"/>
        <v>0</v>
      </c>
      <c r="BE72" s="3">
        <f t="shared" si="8"/>
        <v>0</v>
      </c>
      <c r="BF72" s="374">
        <v>14</v>
      </c>
      <c r="BG72" s="374">
        <v>12</v>
      </c>
      <c r="BH72" s="121">
        <f t="shared" si="26"/>
        <v>1.1666666666666667</v>
      </c>
      <c r="BI72" s="8">
        <f t="shared" si="9"/>
        <v>641.66666666666674</v>
      </c>
      <c r="BJ72" s="8">
        <f t="shared" si="10"/>
        <v>1.1666666666666667</v>
      </c>
      <c r="BK72" s="3">
        <f t="shared" si="27"/>
        <v>1412</v>
      </c>
      <c r="BL72" s="3">
        <v>0</v>
      </c>
      <c r="BM72" s="3">
        <v>16</v>
      </c>
      <c r="BN72" s="3">
        <v>18</v>
      </c>
      <c r="BO72" s="3">
        <v>16</v>
      </c>
      <c r="BP72" s="3">
        <f t="shared" si="28"/>
        <v>1618</v>
      </c>
      <c r="BQ72" s="3">
        <f t="shared" si="28"/>
        <v>1816</v>
      </c>
      <c r="BW72" s="3">
        <f t="shared" si="67"/>
        <v>0</v>
      </c>
    </row>
    <row r="73" spans="1:80" x14ac:dyDescent="0.3">
      <c r="A73" s="375">
        <v>40</v>
      </c>
      <c r="B73" s="260"/>
      <c r="C73" s="261">
        <f t="shared" si="17"/>
        <v>4</v>
      </c>
      <c r="D73" s="371"/>
      <c r="E73" s="262"/>
      <c r="F73" s="261" t="str">
        <f t="shared" si="69"/>
        <v/>
      </c>
      <c r="G73" s="263" t="str">
        <f t="shared" si="69"/>
        <v/>
      </c>
      <c r="H73" s="264" t="str">
        <f t="shared" si="1"/>
        <v/>
      </c>
      <c r="I73" s="265" t="str">
        <f t="shared" si="2"/>
        <v/>
      </c>
      <c r="J73" s="264" t="str">
        <f t="shared" si="3"/>
        <v/>
      </c>
      <c r="K73" s="264">
        <f t="shared" si="4"/>
        <v>0</v>
      </c>
      <c r="L73" s="266"/>
      <c r="M73" s="267">
        <f t="shared" si="18"/>
        <v>1</v>
      </c>
      <c r="N73" s="296" t="str">
        <f t="shared" si="19"/>
        <v/>
      </c>
      <c r="O73" s="297" t="str">
        <f t="shared" si="5"/>
        <v/>
      </c>
      <c r="P73" s="298" t="str">
        <f t="shared" si="20"/>
        <v/>
      </c>
      <c r="Q73" s="268" t="str">
        <f t="shared" si="6"/>
        <v/>
      </c>
      <c r="R73" s="269"/>
      <c r="S73" s="270" t="str">
        <f t="shared" si="21"/>
        <v/>
      </c>
      <c r="T73" s="271" t="str">
        <f t="shared" si="22"/>
        <v/>
      </c>
      <c r="V73" s="3">
        <f t="shared" si="7"/>
        <v>40</v>
      </c>
      <c r="BC73" s="3">
        <f t="shared" si="24"/>
        <v>0</v>
      </c>
      <c r="BD73" s="3">
        <f t="shared" si="25"/>
        <v>0</v>
      </c>
      <c r="BE73" s="3">
        <f t="shared" si="8"/>
        <v>0</v>
      </c>
      <c r="BF73" s="374">
        <v>14</v>
      </c>
      <c r="BG73" s="374">
        <v>14</v>
      </c>
      <c r="BH73" s="121">
        <f t="shared" si="26"/>
        <v>1.3611111111111114</v>
      </c>
      <c r="BI73" s="8">
        <f t="shared" si="9"/>
        <v>748.61111111111131</v>
      </c>
      <c r="BJ73" s="8">
        <f t="shared" si="10"/>
        <v>1</v>
      </c>
      <c r="BK73" s="3">
        <f t="shared" si="27"/>
        <v>1414</v>
      </c>
      <c r="BL73" s="3">
        <v>0</v>
      </c>
      <c r="BM73" s="3">
        <v>16</v>
      </c>
      <c r="BN73" s="3">
        <v>20</v>
      </c>
      <c r="BO73" s="3">
        <v>16</v>
      </c>
      <c r="BP73" s="3">
        <f t="shared" si="28"/>
        <v>1620</v>
      </c>
      <c r="BQ73" s="3">
        <f t="shared" si="28"/>
        <v>2016</v>
      </c>
      <c r="BW73" s="3">
        <f t="shared" si="67"/>
        <v>0</v>
      </c>
    </row>
    <row r="74" spans="1:80" x14ac:dyDescent="0.3">
      <c r="A74" s="375">
        <v>41</v>
      </c>
      <c r="B74" s="272"/>
      <c r="C74" s="261">
        <f t="shared" si="17"/>
        <v>4</v>
      </c>
      <c r="D74" s="372"/>
      <c r="E74" s="274"/>
      <c r="F74" s="273" t="str">
        <f t="shared" ref="F74:G93" si="72">IFERROR(VLOOKUP($E74,DMFA,F$29,FALSE),"")</f>
        <v/>
      </c>
      <c r="G74" s="275" t="str">
        <f t="shared" si="72"/>
        <v/>
      </c>
      <c r="H74" s="276" t="str">
        <f t="shared" si="1"/>
        <v/>
      </c>
      <c r="I74" s="277" t="str">
        <f t="shared" si="2"/>
        <v/>
      </c>
      <c r="J74" s="276" t="str">
        <f t="shared" si="3"/>
        <v/>
      </c>
      <c r="K74" s="276">
        <f t="shared" si="4"/>
        <v>0</v>
      </c>
      <c r="L74" s="278"/>
      <c r="M74" s="279">
        <f t="shared" si="18"/>
        <v>1</v>
      </c>
      <c r="N74" s="299" t="str">
        <f t="shared" si="19"/>
        <v/>
      </c>
      <c r="O74" s="117" t="str">
        <f t="shared" si="5"/>
        <v/>
      </c>
      <c r="P74" s="300" t="str">
        <f t="shared" si="20"/>
        <v/>
      </c>
      <c r="Q74" s="280" t="str">
        <f t="shared" si="6"/>
        <v/>
      </c>
      <c r="R74" s="281"/>
      <c r="S74" s="282" t="str">
        <f t="shared" si="21"/>
        <v/>
      </c>
      <c r="T74" s="283" t="str">
        <f t="shared" si="22"/>
        <v/>
      </c>
      <c r="V74" s="3">
        <f t="shared" si="7"/>
        <v>40</v>
      </c>
      <c r="BC74" s="3">
        <f t="shared" si="24"/>
        <v>0</v>
      </c>
      <c r="BD74" s="3">
        <f t="shared" si="25"/>
        <v>0</v>
      </c>
      <c r="BE74" s="3">
        <f t="shared" si="8"/>
        <v>0</v>
      </c>
      <c r="BF74" s="374">
        <v>14</v>
      </c>
      <c r="BG74" s="374">
        <v>16</v>
      </c>
      <c r="BH74" s="121">
        <f t="shared" si="26"/>
        <v>1.5555555555555556</v>
      </c>
      <c r="BI74" s="8">
        <f t="shared" si="9"/>
        <v>855.55555555555554</v>
      </c>
      <c r="BJ74" s="8">
        <f t="shared" si="10"/>
        <v>0.875</v>
      </c>
      <c r="BK74" s="3">
        <f t="shared" si="27"/>
        <v>1416</v>
      </c>
      <c r="BL74" s="3">
        <v>0</v>
      </c>
      <c r="BM74" s="3">
        <v>16</v>
      </c>
      <c r="BN74" s="3">
        <v>22</v>
      </c>
      <c r="BO74" s="3">
        <v>16</v>
      </c>
      <c r="BP74" s="3">
        <f t="shared" si="28"/>
        <v>1622</v>
      </c>
      <c r="BQ74" s="3">
        <f t="shared" si="28"/>
        <v>2216</v>
      </c>
      <c r="BW74" s="3">
        <f t="shared" si="67"/>
        <v>0</v>
      </c>
    </row>
    <row r="75" spans="1:80" x14ac:dyDescent="0.3">
      <c r="A75" s="375">
        <v>42</v>
      </c>
      <c r="B75" s="284"/>
      <c r="C75" s="261">
        <f t="shared" si="17"/>
        <v>4</v>
      </c>
      <c r="D75" s="373"/>
      <c r="E75" s="286"/>
      <c r="F75" s="285" t="str">
        <f t="shared" si="72"/>
        <v/>
      </c>
      <c r="G75" s="287" t="str">
        <f t="shared" si="72"/>
        <v/>
      </c>
      <c r="H75" s="288" t="str">
        <f t="shared" si="1"/>
        <v/>
      </c>
      <c r="I75" s="289" t="str">
        <f t="shared" si="2"/>
        <v/>
      </c>
      <c r="J75" s="288" t="str">
        <f t="shared" si="3"/>
        <v/>
      </c>
      <c r="K75" s="288">
        <f t="shared" si="4"/>
        <v>0</v>
      </c>
      <c r="L75" s="290"/>
      <c r="M75" s="291">
        <f t="shared" si="18"/>
        <v>1</v>
      </c>
      <c r="N75" s="301" t="str">
        <f t="shared" si="19"/>
        <v/>
      </c>
      <c r="O75" s="302" t="str">
        <f t="shared" si="5"/>
        <v/>
      </c>
      <c r="P75" s="303" t="str">
        <f t="shared" si="20"/>
        <v/>
      </c>
      <c r="Q75" s="292" t="str">
        <f t="shared" si="6"/>
        <v/>
      </c>
      <c r="R75" s="293"/>
      <c r="S75" s="294" t="str">
        <f t="shared" si="21"/>
        <v/>
      </c>
      <c r="T75" s="295" t="str">
        <f t="shared" si="22"/>
        <v/>
      </c>
      <c r="V75" s="3">
        <f t="shared" si="7"/>
        <v>40</v>
      </c>
      <c r="BC75" s="3">
        <f t="shared" si="24"/>
        <v>0</v>
      </c>
      <c r="BD75" s="3">
        <f t="shared" si="25"/>
        <v>0</v>
      </c>
      <c r="BE75" s="3">
        <f t="shared" si="8"/>
        <v>0</v>
      </c>
      <c r="BF75" s="374">
        <v>14</v>
      </c>
      <c r="BG75" s="374">
        <v>18</v>
      </c>
      <c r="BH75" s="121">
        <f t="shared" si="26"/>
        <v>1.75</v>
      </c>
      <c r="BI75" s="8">
        <f t="shared" si="9"/>
        <v>962.5</v>
      </c>
      <c r="BJ75" s="8">
        <f t="shared" si="10"/>
        <v>0.77777777777777779</v>
      </c>
      <c r="BK75" s="3">
        <f t="shared" si="27"/>
        <v>1418</v>
      </c>
      <c r="BL75" s="3">
        <v>0</v>
      </c>
      <c r="BM75" s="3">
        <v>16</v>
      </c>
      <c r="BN75" s="3">
        <v>24</v>
      </c>
      <c r="BO75" s="3">
        <v>16</v>
      </c>
      <c r="BP75" s="3">
        <f t="shared" si="28"/>
        <v>1624</v>
      </c>
      <c r="BQ75" s="3">
        <f t="shared" si="28"/>
        <v>2416</v>
      </c>
      <c r="BW75" s="3">
        <f t="shared" si="67"/>
        <v>0</v>
      </c>
    </row>
    <row r="76" spans="1:80" x14ac:dyDescent="0.3">
      <c r="A76" s="375">
        <v>43</v>
      </c>
      <c r="B76" s="260"/>
      <c r="C76" s="261">
        <f t="shared" si="17"/>
        <v>4</v>
      </c>
      <c r="D76" s="371"/>
      <c r="E76" s="262"/>
      <c r="F76" s="261" t="str">
        <f t="shared" si="72"/>
        <v/>
      </c>
      <c r="G76" s="263" t="str">
        <f t="shared" si="72"/>
        <v/>
      </c>
      <c r="H76" s="264" t="str">
        <f t="shared" si="1"/>
        <v/>
      </c>
      <c r="I76" s="265" t="str">
        <f t="shared" si="2"/>
        <v/>
      </c>
      <c r="J76" s="264" t="str">
        <f t="shared" si="3"/>
        <v/>
      </c>
      <c r="K76" s="264">
        <f t="shared" si="4"/>
        <v>0</v>
      </c>
      <c r="L76" s="266"/>
      <c r="M76" s="267">
        <f t="shared" si="18"/>
        <v>1</v>
      </c>
      <c r="N76" s="296" t="str">
        <f t="shared" si="19"/>
        <v/>
      </c>
      <c r="O76" s="297" t="str">
        <f t="shared" si="5"/>
        <v/>
      </c>
      <c r="P76" s="298" t="str">
        <f t="shared" si="20"/>
        <v/>
      </c>
      <c r="Q76" s="268" t="str">
        <f t="shared" si="6"/>
        <v/>
      </c>
      <c r="R76" s="269"/>
      <c r="S76" s="270" t="str">
        <f t="shared" si="21"/>
        <v/>
      </c>
      <c r="T76" s="271" t="str">
        <f t="shared" si="22"/>
        <v/>
      </c>
      <c r="V76" s="3">
        <f t="shared" si="7"/>
        <v>40</v>
      </c>
      <c r="BC76" s="3">
        <f t="shared" si="24"/>
        <v>0</v>
      </c>
      <c r="BD76" s="3">
        <f t="shared" si="25"/>
        <v>0</v>
      </c>
      <c r="BE76" s="3">
        <f t="shared" si="8"/>
        <v>0</v>
      </c>
      <c r="BF76" s="374">
        <v>14</v>
      </c>
      <c r="BG76" s="374">
        <v>20</v>
      </c>
      <c r="BH76" s="121">
        <f t="shared" si="26"/>
        <v>1.9444444444444446</v>
      </c>
      <c r="BI76" s="8">
        <f t="shared" si="9"/>
        <v>1069.4444444444446</v>
      </c>
      <c r="BJ76" s="8">
        <f t="shared" si="10"/>
        <v>0.7</v>
      </c>
      <c r="BK76" s="3">
        <f t="shared" si="27"/>
        <v>1420</v>
      </c>
      <c r="BL76" s="3">
        <v>0</v>
      </c>
      <c r="BM76" s="3">
        <v>18</v>
      </c>
      <c r="BN76" s="3">
        <v>18</v>
      </c>
      <c r="BO76" s="3">
        <v>18</v>
      </c>
      <c r="BP76" s="3">
        <f t="shared" si="28"/>
        <v>1818</v>
      </c>
      <c r="BQ76" s="3">
        <f t="shared" si="28"/>
        <v>1818</v>
      </c>
      <c r="BW76" s="3">
        <f t="shared" si="67"/>
        <v>0</v>
      </c>
    </row>
    <row r="77" spans="1:80" x14ac:dyDescent="0.3">
      <c r="A77" s="375">
        <v>44</v>
      </c>
      <c r="B77" s="272"/>
      <c r="C77" s="261">
        <f t="shared" si="17"/>
        <v>4</v>
      </c>
      <c r="D77" s="372"/>
      <c r="E77" s="274"/>
      <c r="F77" s="273" t="str">
        <f t="shared" si="72"/>
        <v/>
      </c>
      <c r="G77" s="275" t="str">
        <f t="shared" si="72"/>
        <v/>
      </c>
      <c r="H77" s="276" t="str">
        <f t="shared" si="1"/>
        <v/>
      </c>
      <c r="I77" s="277" t="str">
        <f t="shared" si="2"/>
        <v/>
      </c>
      <c r="J77" s="276" t="str">
        <f t="shared" si="3"/>
        <v/>
      </c>
      <c r="K77" s="276">
        <f t="shared" si="4"/>
        <v>0</v>
      </c>
      <c r="L77" s="278"/>
      <c r="M77" s="279">
        <f t="shared" si="18"/>
        <v>1</v>
      </c>
      <c r="N77" s="299" t="str">
        <f t="shared" si="19"/>
        <v/>
      </c>
      <c r="O77" s="117" t="str">
        <f t="shared" si="5"/>
        <v/>
      </c>
      <c r="P77" s="300" t="str">
        <f t="shared" si="20"/>
        <v/>
      </c>
      <c r="Q77" s="280" t="str">
        <f t="shared" si="6"/>
        <v/>
      </c>
      <c r="R77" s="281"/>
      <c r="S77" s="282" t="str">
        <f t="shared" si="21"/>
        <v/>
      </c>
      <c r="T77" s="283" t="str">
        <f t="shared" si="22"/>
        <v/>
      </c>
      <c r="V77" s="3">
        <f t="shared" si="7"/>
        <v>40</v>
      </c>
      <c r="BC77" s="3">
        <f t="shared" si="24"/>
        <v>0</v>
      </c>
      <c r="BD77" s="3">
        <f t="shared" si="25"/>
        <v>0</v>
      </c>
      <c r="BE77" s="3">
        <f t="shared" si="8"/>
        <v>0</v>
      </c>
      <c r="BF77" s="374">
        <v>14</v>
      </c>
      <c r="BG77" s="374">
        <v>22</v>
      </c>
      <c r="BH77" s="121">
        <f t="shared" si="26"/>
        <v>2.1388888888888888</v>
      </c>
      <c r="BI77" s="8">
        <f t="shared" si="9"/>
        <v>1176.3888888888889</v>
      </c>
      <c r="BJ77" s="8">
        <f t="shared" si="10"/>
        <v>0.63636363636363635</v>
      </c>
      <c r="BK77" s="3">
        <f t="shared" si="27"/>
        <v>1422</v>
      </c>
      <c r="BL77" s="3">
        <v>0</v>
      </c>
      <c r="BM77" s="3">
        <v>18</v>
      </c>
      <c r="BN77" s="3">
        <v>20</v>
      </c>
      <c r="BO77" s="3">
        <v>18</v>
      </c>
      <c r="BP77" s="3">
        <f t="shared" si="28"/>
        <v>1820</v>
      </c>
      <c r="BQ77" s="3">
        <f t="shared" si="28"/>
        <v>2018</v>
      </c>
      <c r="BW77" s="3">
        <f t="shared" si="67"/>
        <v>0</v>
      </c>
    </row>
    <row r="78" spans="1:80" x14ac:dyDescent="0.3">
      <c r="A78" s="375">
        <v>45</v>
      </c>
      <c r="B78" s="284"/>
      <c r="C78" s="261">
        <f t="shared" si="17"/>
        <v>4</v>
      </c>
      <c r="D78" s="373"/>
      <c r="E78" s="286"/>
      <c r="F78" s="285" t="str">
        <f t="shared" si="72"/>
        <v/>
      </c>
      <c r="G78" s="287" t="str">
        <f t="shared" si="72"/>
        <v/>
      </c>
      <c r="H78" s="288" t="str">
        <f t="shared" si="1"/>
        <v/>
      </c>
      <c r="I78" s="289" t="str">
        <f t="shared" si="2"/>
        <v/>
      </c>
      <c r="J78" s="288" t="str">
        <f t="shared" si="3"/>
        <v/>
      </c>
      <c r="K78" s="288">
        <f t="shared" si="4"/>
        <v>0</v>
      </c>
      <c r="L78" s="290"/>
      <c r="M78" s="291">
        <f t="shared" si="18"/>
        <v>1</v>
      </c>
      <c r="N78" s="301" t="str">
        <f t="shared" si="19"/>
        <v/>
      </c>
      <c r="O78" s="302" t="str">
        <f t="shared" si="5"/>
        <v/>
      </c>
      <c r="P78" s="303" t="str">
        <f t="shared" si="20"/>
        <v/>
      </c>
      <c r="Q78" s="292" t="str">
        <f t="shared" si="6"/>
        <v/>
      </c>
      <c r="R78" s="293"/>
      <c r="S78" s="294" t="str">
        <f t="shared" si="21"/>
        <v/>
      </c>
      <c r="T78" s="295" t="str">
        <f t="shared" si="22"/>
        <v/>
      </c>
      <c r="V78" s="3">
        <f t="shared" si="7"/>
        <v>40</v>
      </c>
      <c r="BC78" s="3">
        <f t="shared" si="24"/>
        <v>0</v>
      </c>
      <c r="BD78" s="3">
        <f t="shared" si="25"/>
        <v>0</v>
      </c>
      <c r="BE78" s="3">
        <f t="shared" si="8"/>
        <v>0</v>
      </c>
      <c r="BF78" s="374">
        <v>14</v>
      </c>
      <c r="BG78" s="374">
        <v>24</v>
      </c>
      <c r="BH78" s="121">
        <f t="shared" si="26"/>
        <v>2.3333333333333335</v>
      </c>
      <c r="BI78" s="8">
        <f t="shared" si="9"/>
        <v>1283.3333333333335</v>
      </c>
      <c r="BJ78" s="8">
        <f t="shared" si="10"/>
        <v>0.58333333333333337</v>
      </c>
      <c r="BK78" s="3">
        <f t="shared" si="27"/>
        <v>1424</v>
      </c>
      <c r="BL78" s="3">
        <v>0</v>
      </c>
      <c r="BM78" s="3">
        <v>30</v>
      </c>
      <c r="BN78" s="3">
        <v>12</v>
      </c>
      <c r="BO78" s="3">
        <v>30</v>
      </c>
      <c r="BP78" s="3">
        <f t="shared" si="28"/>
        <v>3012</v>
      </c>
      <c r="BQ78" s="3">
        <f t="shared" si="28"/>
        <v>1230</v>
      </c>
      <c r="BW78" s="3">
        <f t="shared" si="67"/>
        <v>0</v>
      </c>
    </row>
    <row r="79" spans="1:80" x14ac:dyDescent="0.3">
      <c r="A79" s="375">
        <v>46</v>
      </c>
      <c r="B79" s="260"/>
      <c r="C79" s="261">
        <f t="shared" si="17"/>
        <v>4</v>
      </c>
      <c r="D79" s="371"/>
      <c r="E79" s="262"/>
      <c r="F79" s="261" t="str">
        <f t="shared" si="72"/>
        <v/>
      </c>
      <c r="G79" s="263" t="str">
        <f t="shared" si="72"/>
        <v/>
      </c>
      <c r="H79" s="264" t="str">
        <f t="shared" si="1"/>
        <v/>
      </c>
      <c r="I79" s="265" t="str">
        <f t="shared" si="2"/>
        <v/>
      </c>
      <c r="J79" s="264" t="str">
        <f t="shared" si="3"/>
        <v/>
      </c>
      <c r="K79" s="264">
        <f t="shared" si="4"/>
        <v>0</v>
      </c>
      <c r="L79" s="266"/>
      <c r="M79" s="267">
        <f t="shared" si="18"/>
        <v>1</v>
      </c>
      <c r="N79" s="296" t="str">
        <f t="shared" si="19"/>
        <v/>
      </c>
      <c r="O79" s="297" t="str">
        <f t="shared" si="5"/>
        <v/>
      </c>
      <c r="P79" s="298" t="str">
        <f t="shared" si="20"/>
        <v/>
      </c>
      <c r="Q79" s="268" t="str">
        <f t="shared" si="6"/>
        <v/>
      </c>
      <c r="R79" s="269"/>
      <c r="S79" s="270" t="str">
        <f t="shared" si="21"/>
        <v/>
      </c>
      <c r="T79" s="271" t="str">
        <f t="shared" si="22"/>
        <v/>
      </c>
      <c r="V79" s="3">
        <f t="shared" si="7"/>
        <v>40</v>
      </c>
      <c r="BC79" s="3">
        <f t="shared" si="24"/>
        <v>0</v>
      </c>
      <c r="BD79" s="3">
        <f t="shared" si="25"/>
        <v>0</v>
      </c>
      <c r="BE79" s="3">
        <f t="shared" si="8"/>
        <v>0</v>
      </c>
      <c r="BF79" s="374">
        <v>14</v>
      </c>
      <c r="BG79" s="374">
        <v>26</v>
      </c>
      <c r="BH79" s="121">
        <f t="shared" si="26"/>
        <v>2.5277777777777777</v>
      </c>
      <c r="BI79" s="8">
        <f t="shared" si="9"/>
        <v>1390.2777777777778</v>
      </c>
      <c r="BJ79" s="8">
        <f t="shared" si="10"/>
        <v>0.53846153846153844</v>
      </c>
      <c r="BK79" s="3">
        <f t="shared" si="27"/>
        <v>1426</v>
      </c>
      <c r="BL79" s="3">
        <v>0</v>
      </c>
      <c r="BW79" s="3">
        <f t="shared" si="67"/>
        <v>0</v>
      </c>
    </row>
    <row r="80" spans="1:80" x14ac:dyDescent="0.3">
      <c r="A80" s="375">
        <v>47</v>
      </c>
      <c r="B80" s="272"/>
      <c r="C80" s="261">
        <f t="shared" si="17"/>
        <v>4</v>
      </c>
      <c r="D80" s="372"/>
      <c r="E80" s="274"/>
      <c r="F80" s="273" t="str">
        <f t="shared" si="72"/>
        <v/>
      </c>
      <c r="G80" s="275" t="str">
        <f t="shared" si="72"/>
        <v/>
      </c>
      <c r="H80" s="276" t="str">
        <f t="shared" si="1"/>
        <v/>
      </c>
      <c r="I80" s="277" t="str">
        <f t="shared" si="2"/>
        <v/>
      </c>
      <c r="J80" s="276" t="str">
        <f t="shared" si="3"/>
        <v/>
      </c>
      <c r="K80" s="276">
        <f t="shared" si="4"/>
        <v>0</v>
      </c>
      <c r="L80" s="278"/>
      <c r="M80" s="279">
        <f t="shared" si="18"/>
        <v>1</v>
      </c>
      <c r="N80" s="299" t="str">
        <f t="shared" si="19"/>
        <v/>
      </c>
      <c r="O80" s="117" t="str">
        <f t="shared" si="5"/>
        <v/>
      </c>
      <c r="P80" s="300" t="str">
        <f t="shared" si="20"/>
        <v/>
      </c>
      <c r="Q80" s="280" t="str">
        <f t="shared" si="6"/>
        <v/>
      </c>
      <c r="R80" s="281"/>
      <c r="S80" s="282" t="str">
        <f t="shared" si="21"/>
        <v/>
      </c>
      <c r="T80" s="283" t="str">
        <f t="shared" si="22"/>
        <v/>
      </c>
      <c r="V80" s="3">
        <f t="shared" si="7"/>
        <v>40</v>
      </c>
      <c r="BC80" s="3">
        <f t="shared" si="24"/>
        <v>0</v>
      </c>
      <c r="BD80" s="3">
        <f t="shared" si="25"/>
        <v>0</v>
      </c>
      <c r="BE80" s="3">
        <f t="shared" si="8"/>
        <v>0</v>
      </c>
      <c r="BF80" s="374">
        <v>14</v>
      </c>
      <c r="BG80" s="374">
        <v>28</v>
      </c>
      <c r="BH80" s="121">
        <f t="shared" si="26"/>
        <v>2.7222222222222228</v>
      </c>
      <c r="BI80" s="8">
        <f t="shared" si="9"/>
        <v>1497.2222222222226</v>
      </c>
      <c r="BJ80" s="8">
        <f t="shared" si="10"/>
        <v>0.5</v>
      </c>
      <c r="BK80" s="3">
        <f t="shared" si="27"/>
        <v>1428</v>
      </c>
      <c r="BL80" s="3">
        <v>0</v>
      </c>
      <c r="BW80" s="3">
        <f t="shared" si="67"/>
        <v>0</v>
      </c>
    </row>
    <row r="81" spans="1:75" x14ac:dyDescent="0.3">
      <c r="A81" s="375">
        <v>48</v>
      </c>
      <c r="B81" s="284"/>
      <c r="C81" s="261">
        <f t="shared" si="17"/>
        <v>4</v>
      </c>
      <c r="D81" s="373"/>
      <c r="E81" s="286"/>
      <c r="F81" s="285" t="str">
        <f t="shared" si="72"/>
        <v/>
      </c>
      <c r="G81" s="287" t="str">
        <f t="shared" si="72"/>
        <v/>
      </c>
      <c r="H81" s="288" t="str">
        <f t="shared" si="1"/>
        <v/>
      </c>
      <c r="I81" s="289" t="str">
        <f t="shared" si="2"/>
        <v/>
      </c>
      <c r="J81" s="288" t="str">
        <f t="shared" si="3"/>
        <v/>
      </c>
      <c r="K81" s="288">
        <f t="shared" si="4"/>
        <v>0</v>
      </c>
      <c r="L81" s="290"/>
      <c r="M81" s="291">
        <f t="shared" si="18"/>
        <v>1</v>
      </c>
      <c r="N81" s="301" t="str">
        <f t="shared" si="19"/>
        <v/>
      </c>
      <c r="O81" s="302" t="str">
        <f t="shared" si="5"/>
        <v/>
      </c>
      <c r="P81" s="303" t="str">
        <f t="shared" si="20"/>
        <v/>
      </c>
      <c r="Q81" s="292" t="str">
        <f t="shared" si="6"/>
        <v/>
      </c>
      <c r="R81" s="293"/>
      <c r="S81" s="294" t="str">
        <f t="shared" si="21"/>
        <v/>
      </c>
      <c r="T81" s="295" t="str">
        <f t="shared" si="22"/>
        <v/>
      </c>
      <c r="V81" s="3">
        <f t="shared" si="7"/>
        <v>40</v>
      </c>
      <c r="BC81" s="3">
        <f t="shared" si="24"/>
        <v>0</v>
      </c>
      <c r="BD81" s="3">
        <f t="shared" si="25"/>
        <v>0</v>
      </c>
      <c r="BE81" s="3">
        <f t="shared" si="8"/>
        <v>0</v>
      </c>
      <c r="BF81" s="374">
        <v>16</v>
      </c>
      <c r="BG81" s="374">
        <v>8</v>
      </c>
      <c r="BH81" s="121">
        <f t="shared" si="26"/>
        <v>0.88888888888888884</v>
      </c>
      <c r="BI81" s="8">
        <f t="shared" si="9"/>
        <v>488.88888888888886</v>
      </c>
      <c r="BJ81" s="8">
        <f t="shared" si="10"/>
        <v>2</v>
      </c>
      <c r="BK81" s="3">
        <f t="shared" si="27"/>
        <v>1608</v>
      </c>
      <c r="BL81" s="3">
        <v>0</v>
      </c>
      <c r="BW81" s="3">
        <f t="shared" si="67"/>
        <v>0</v>
      </c>
    </row>
    <row r="82" spans="1:75" x14ac:dyDescent="0.3">
      <c r="A82" s="375">
        <v>49</v>
      </c>
      <c r="B82" s="260"/>
      <c r="C82" s="261">
        <f t="shared" si="17"/>
        <v>4</v>
      </c>
      <c r="D82" s="371"/>
      <c r="E82" s="262"/>
      <c r="F82" s="261" t="str">
        <f t="shared" si="72"/>
        <v/>
      </c>
      <c r="G82" s="263" t="str">
        <f t="shared" si="72"/>
        <v/>
      </c>
      <c r="H82" s="264" t="str">
        <f t="shared" si="1"/>
        <v/>
      </c>
      <c r="I82" s="265" t="str">
        <f t="shared" si="2"/>
        <v/>
      </c>
      <c r="J82" s="264" t="str">
        <f t="shared" si="3"/>
        <v/>
      </c>
      <c r="K82" s="264">
        <f t="shared" si="4"/>
        <v>0</v>
      </c>
      <c r="L82" s="266"/>
      <c r="M82" s="267">
        <f t="shared" si="18"/>
        <v>1</v>
      </c>
      <c r="N82" s="296" t="str">
        <f t="shared" si="19"/>
        <v/>
      </c>
      <c r="O82" s="297" t="str">
        <f t="shared" si="5"/>
        <v/>
      </c>
      <c r="P82" s="298" t="str">
        <f t="shared" si="20"/>
        <v/>
      </c>
      <c r="Q82" s="268" t="str">
        <f t="shared" si="6"/>
        <v/>
      </c>
      <c r="R82" s="269"/>
      <c r="S82" s="270" t="str">
        <f t="shared" si="21"/>
        <v/>
      </c>
      <c r="T82" s="271" t="str">
        <f t="shared" si="22"/>
        <v/>
      </c>
      <c r="V82" s="3">
        <f t="shared" si="7"/>
        <v>40</v>
      </c>
      <c r="BC82" s="3">
        <f t="shared" si="24"/>
        <v>0</v>
      </c>
      <c r="BD82" s="3">
        <f t="shared" si="25"/>
        <v>0</v>
      </c>
      <c r="BE82" s="3">
        <f t="shared" si="8"/>
        <v>0</v>
      </c>
      <c r="BF82" s="374">
        <v>16</v>
      </c>
      <c r="BG82" s="374">
        <v>10</v>
      </c>
      <c r="BH82" s="121">
        <f t="shared" si="26"/>
        <v>1.1111111111111112</v>
      </c>
      <c r="BI82" s="8">
        <f t="shared" si="9"/>
        <v>611.11111111111109</v>
      </c>
      <c r="BJ82" s="8">
        <f t="shared" si="10"/>
        <v>1.6</v>
      </c>
      <c r="BK82" s="3">
        <f t="shared" si="27"/>
        <v>1610</v>
      </c>
      <c r="BL82" s="3">
        <v>0</v>
      </c>
      <c r="BW82" s="3">
        <f t="shared" si="67"/>
        <v>0</v>
      </c>
    </row>
    <row r="83" spans="1:75" x14ac:dyDescent="0.3">
      <c r="A83" s="375">
        <v>50</v>
      </c>
      <c r="B83" s="272"/>
      <c r="C83" s="261">
        <f t="shared" si="17"/>
        <v>4</v>
      </c>
      <c r="D83" s="372"/>
      <c r="E83" s="274"/>
      <c r="F83" s="273" t="str">
        <f t="shared" si="72"/>
        <v/>
      </c>
      <c r="G83" s="275" t="str">
        <f t="shared" si="72"/>
        <v/>
      </c>
      <c r="H83" s="276" t="str">
        <f t="shared" si="1"/>
        <v/>
      </c>
      <c r="I83" s="277" t="str">
        <f t="shared" si="2"/>
        <v/>
      </c>
      <c r="J83" s="276" t="str">
        <f t="shared" si="3"/>
        <v/>
      </c>
      <c r="K83" s="276">
        <f t="shared" si="4"/>
        <v>0</v>
      </c>
      <c r="L83" s="278"/>
      <c r="M83" s="279">
        <f t="shared" si="18"/>
        <v>1</v>
      </c>
      <c r="N83" s="299" t="str">
        <f t="shared" si="19"/>
        <v/>
      </c>
      <c r="O83" s="117" t="str">
        <f t="shared" si="5"/>
        <v/>
      </c>
      <c r="P83" s="300" t="str">
        <f t="shared" si="20"/>
        <v/>
      </c>
      <c r="Q83" s="280" t="str">
        <f t="shared" si="6"/>
        <v/>
      </c>
      <c r="R83" s="281"/>
      <c r="S83" s="282" t="str">
        <f t="shared" si="21"/>
        <v/>
      </c>
      <c r="T83" s="283" t="str">
        <f t="shared" si="22"/>
        <v/>
      </c>
      <c r="V83" s="3">
        <f t="shared" si="7"/>
        <v>40</v>
      </c>
      <c r="BC83" s="3">
        <f t="shared" si="24"/>
        <v>0</v>
      </c>
      <c r="BD83" s="3">
        <f t="shared" si="25"/>
        <v>0</v>
      </c>
      <c r="BE83" s="3">
        <f t="shared" si="8"/>
        <v>0</v>
      </c>
      <c r="BF83" s="374">
        <v>16</v>
      </c>
      <c r="BG83" s="374">
        <v>12</v>
      </c>
      <c r="BH83" s="121">
        <f t="shared" si="26"/>
        <v>1.3333333333333333</v>
      </c>
      <c r="BI83" s="8">
        <f t="shared" si="9"/>
        <v>733.33333333333326</v>
      </c>
      <c r="BJ83" s="8">
        <f t="shared" si="10"/>
        <v>1.3333333333333333</v>
      </c>
      <c r="BK83" s="3">
        <f t="shared" si="27"/>
        <v>1612</v>
      </c>
      <c r="BL83" s="3">
        <v>0</v>
      </c>
      <c r="BW83" s="3">
        <f t="shared" si="67"/>
        <v>0</v>
      </c>
    </row>
    <row r="84" spans="1:75" x14ac:dyDescent="0.3">
      <c r="A84" s="375">
        <v>51</v>
      </c>
      <c r="B84" s="284"/>
      <c r="C84" s="261">
        <f t="shared" si="17"/>
        <v>4</v>
      </c>
      <c r="D84" s="373"/>
      <c r="E84" s="286"/>
      <c r="F84" s="285" t="str">
        <f t="shared" si="72"/>
        <v/>
      </c>
      <c r="G84" s="287" t="str">
        <f t="shared" si="72"/>
        <v/>
      </c>
      <c r="H84" s="288" t="str">
        <f t="shared" si="1"/>
        <v/>
      </c>
      <c r="I84" s="289" t="str">
        <f t="shared" si="2"/>
        <v/>
      </c>
      <c r="J84" s="288" t="str">
        <f t="shared" si="3"/>
        <v/>
      </c>
      <c r="K84" s="288">
        <f t="shared" si="4"/>
        <v>0</v>
      </c>
      <c r="L84" s="290"/>
      <c r="M84" s="291">
        <f t="shared" si="18"/>
        <v>1</v>
      </c>
      <c r="N84" s="301" t="str">
        <f t="shared" si="19"/>
        <v/>
      </c>
      <c r="O84" s="302" t="str">
        <f t="shared" si="5"/>
        <v/>
      </c>
      <c r="P84" s="303" t="str">
        <f t="shared" si="20"/>
        <v/>
      </c>
      <c r="Q84" s="292" t="str">
        <f t="shared" si="6"/>
        <v/>
      </c>
      <c r="R84" s="293"/>
      <c r="S84" s="294" t="str">
        <f t="shared" si="21"/>
        <v/>
      </c>
      <c r="T84" s="295" t="str">
        <f t="shared" si="22"/>
        <v/>
      </c>
      <c r="V84" s="3">
        <f t="shared" si="7"/>
        <v>40</v>
      </c>
      <c r="BC84" s="3">
        <f t="shared" si="24"/>
        <v>0</v>
      </c>
      <c r="BD84" s="3">
        <f t="shared" si="25"/>
        <v>0</v>
      </c>
      <c r="BE84" s="3">
        <f t="shared" si="8"/>
        <v>0</v>
      </c>
      <c r="BF84" s="374">
        <v>16</v>
      </c>
      <c r="BG84" s="374">
        <v>14</v>
      </c>
      <c r="BH84" s="121">
        <f t="shared" si="26"/>
        <v>1.5555555555555556</v>
      </c>
      <c r="BI84" s="8">
        <f t="shared" si="9"/>
        <v>855.55555555555554</v>
      </c>
      <c r="BJ84" s="8">
        <f t="shared" si="10"/>
        <v>1.1428571428571428</v>
      </c>
      <c r="BK84" s="3">
        <f t="shared" si="27"/>
        <v>1614</v>
      </c>
      <c r="BL84" s="3">
        <v>0</v>
      </c>
      <c r="BW84" s="3">
        <f t="shared" si="67"/>
        <v>0</v>
      </c>
    </row>
    <row r="85" spans="1:75" x14ac:dyDescent="0.3">
      <c r="A85" s="375">
        <v>52</v>
      </c>
      <c r="B85" s="260"/>
      <c r="C85" s="261">
        <f t="shared" si="17"/>
        <v>4</v>
      </c>
      <c r="D85" s="371"/>
      <c r="E85" s="262"/>
      <c r="F85" s="261" t="str">
        <f t="shared" si="72"/>
        <v/>
      </c>
      <c r="G85" s="263" t="str">
        <f t="shared" si="72"/>
        <v/>
      </c>
      <c r="H85" s="264" t="str">
        <f t="shared" si="1"/>
        <v/>
      </c>
      <c r="I85" s="265" t="str">
        <f t="shared" si="2"/>
        <v/>
      </c>
      <c r="J85" s="264" t="str">
        <f t="shared" si="3"/>
        <v/>
      </c>
      <c r="K85" s="264">
        <f t="shared" si="4"/>
        <v>0</v>
      </c>
      <c r="L85" s="266"/>
      <c r="M85" s="267">
        <f t="shared" si="18"/>
        <v>1</v>
      </c>
      <c r="N85" s="296" t="str">
        <f t="shared" si="19"/>
        <v/>
      </c>
      <c r="O85" s="297" t="str">
        <f t="shared" si="5"/>
        <v/>
      </c>
      <c r="P85" s="298" t="str">
        <f t="shared" si="20"/>
        <v/>
      </c>
      <c r="Q85" s="268" t="str">
        <f t="shared" si="6"/>
        <v/>
      </c>
      <c r="R85" s="269"/>
      <c r="S85" s="270" t="str">
        <f t="shared" si="21"/>
        <v/>
      </c>
      <c r="T85" s="271" t="str">
        <f t="shared" si="22"/>
        <v/>
      </c>
      <c r="V85" s="3">
        <f t="shared" si="7"/>
        <v>40</v>
      </c>
      <c r="BC85" s="3">
        <f t="shared" si="24"/>
        <v>0</v>
      </c>
      <c r="BD85" s="3">
        <f t="shared" si="25"/>
        <v>0</v>
      </c>
      <c r="BE85" s="3">
        <f t="shared" si="8"/>
        <v>0</v>
      </c>
      <c r="BF85" s="374">
        <v>16</v>
      </c>
      <c r="BG85" s="374">
        <v>16</v>
      </c>
      <c r="BH85" s="121">
        <f t="shared" si="26"/>
        <v>1.7777777777777777</v>
      </c>
      <c r="BI85" s="8">
        <f t="shared" si="9"/>
        <v>977.77777777777771</v>
      </c>
      <c r="BJ85" s="8">
        <f t="shared" si="10"/>
        <v>1</v>
      </c>
      <c r="BK85" s="3">
        <f t="shared" si="27"/>
        <v>1616</v>
      </c>
      <c r="BL85" s="3">
        <v>0</v>
      </c>
      <c r="BW85" s="3">
        <f t="shared" si="67"/>
        <v>0</v>
      </c>
    </row>
    <row r="86" spans="1:75" x14ac:dyDescent="0.3">
      <c r="A86" s="375">
        <v>53</v>
      </c>
      <c r="B86" s="272"/>
      <c r="C86" s="261">
        <f t="shared" si="17"/>
        <v>4</v>
      </c>
      <c r="D86" s="372"/>
      <c r="E86" s="274"/>
      <c r="F86" s="273" t="str">
        <f t="shared" si="72"/>
        <v/>
      </c>
      <c r="G86" s="275" t="str">
        <f t="shared" si="72"/>
        <v/>
      </c>
      <c r="H86" s="276" t="str">
        <f t="shared" si="1"/>
        <v/>
      </c>
      <c r="I86" s="277" t="str">
        <f t="shared" si="2"/>
        <v/>
      </c>
      <c r="J86" s="276" t="str">
        <f t="shared" si="3"/>
        <v/>
      </c>
      <c r="K86" s="276">
        <f t="shared" si="4"/>
        <v>0</v>
      </c>
      <c r="L86" s="278"/>
      <c r="M86" s="279">
        <f t="shared" si="18"/>
        <v>1</v>
      </c>
      <c r="N86" s="299" t="str">
        <f t="shared" si="19"/>
        <v/>
      </c>
      <c r="O86" s="117" t="str">
        <f t="shared" si="5"/>
        <v/>
      </c>
      <c r="P86" s="300" t="str">
        <f t="shared" si="20"/>
        <v/>
      </c>
      <c r="Q86" s="280" t="str">
        <f t="shared" si="6"/>
        <v/>
      </c>
      <c r="R86" s="281"/>
      <c r="S86" s="282" t="str">
        <f t="shared" si="21"/>
        <v/>
      </c>
      <c r="T86" s="283" t="str">
        <f t="shared" si="22"/>
        <v/>
      </c>
      <c r="V86" s="3">
        <f t="shared" si="7"/>
        <v>40</v>
      </c>
      <c r="BC86" s="3">
        <f t="shared" si="24"/>
        <v>0</v>
      </c>
      <c r="BD86" s="3">
        <f t="shared" si="25"/>
        <v>0</v>
      </c>
      <c r="BE86" s="3">
        <f t="shared" si="8"/>
        <v>0</v>
      </c>
      <c r="BF86" s="374">
        <v>16</v>
      </c>
      <c r="BG86" s="374">
        <v>18</v>
      </c>
      <c r="BH86" s="121">
        <f t="shared" si="26"/>
        <v>2</v>
      </c>
      <c r="BI86" s="8">
        <f t="shared" si="9"/>
        <v>1100</v>
      </c>
      <c r="BJ86" s="8">
        <f t="shared" si="10"/>
        <v>0.88888888888888884</v>
      </c>
      <c r="BK86" s="3">
        <f t="shared" si="27"/>
        <v>1618</v>
      </c>
      <c r="BL86" s="3">
        <v>0</v>
      </c>
      <c r="BW86" s="3">
        <f t="shared" si="67"/>
        <v>0</v>
      </c>
    </row>
    <row r="87" spans="1:75" x14ac:dyDescent="0.3">
      <c r="A87" s="375">
        <v>54</v>
      </c>
      <c r="B87" s="284"/>
      <c r="C87" s="261">
        <f t="shared" si="17"/>
        <v>4</v>
      </c>
      <c r="D87" s="373"/>
      <c r="E87" s="286"/>
      <c r="F87" s="285" t="str">
        <f t="shared" si="72"/>
        <v/>
      </c>
      <c r="G87" s="287" t="str">
        <f t="shared" si="72"/>
        <v/>
      </c>
      <c r="H87" s="288" t="str">
        <f t="shared" si="1"/>
        <v/>
      </c>
      <c r="I87" s="289" t="str">
        <f t="shared" si="2"/>
        <v/>
      </c>
      <c r="J87" s="288" t="str">
        <f t="shared" si="3"/>
        <v/>
      </c>
      <c r="K87" s="288">
        <f t="shared" si="4"/>
        <v>0</v>
      </c>
      <c r="L87" s="290"/>
      <c r="M87" s="291">
        <f t="shared" si="18"/>
        <v>1</v>
      </c>
      <c r="N87" s="301" t="str">
        <f t="shared" si="19"/>
        <v/>
      </c>
      <c r="O87" s="302" t="str">
        <f t="shared" si="5"/>
        <v/>
      </c>
      <c r="P87" s="303" t="str">
        <f t="shared" si="20"/>
        <v/>
      </c>
      <c r="Q87" s="292" t="str">
        <f t="shared" si="6"/>
        <v/>
      </c>
      <c r="R87" s="293"/>
      <c r="S87" s="294" t="str">
        <f t="shared" si="21"/>
        <v/>
      </c>
      <c r="T87" s="295" t="str">
        <f t="shared" si="22"/>
        <v/>
      </c>
      <c r="V87" s="3">
        <f t="shared" si="7"/>
        <v>40</v>
      </c>
      <c r="BC87" s="3">
        <f t="shared" si="24"/>
        <v>0</v>
      </c>
      <c r="BD87" s="3">
        <f t="shared" si="25"/>
        <v>0</v>
      </c>
      <c r="BE87" s="3">
        <f t="shared" si="8"/>
        <v>0</v>
      </c>
      <c r="BF87" s="374">
        <v>16</v>
      </c>
      <c r="BG87" s="374">
        <v>20</v>
      </c>
      <c r="BH87" s="121">
        <f t="shared" si="26"/>
        <v>2.2222222222222223</v>
      </c>
      <c r="BI87" s="8">
        <f t="shared" si="9"/>
        <v>1222.2222222222222</v>
      </c>
      <c r="BJ87" s="8">
        <f t="shared" si="10"/>
        <v>0.8</v>
      </c>
      <c r="BK87" s="3">
        <f t="shared" si="27"/>
        <v>1620</v>
      </c>
      <c r="BL87" s="3">
        <v>0</v>
      </c>
      <c r="BW87" s="3">
        <f t="shared" si="67"/>
        <v>0</v>
      </c>
    </row>
    <row r="88" spans="1:75" x14ac:dyDescent="0.3">
      <c r="A88" s="375">
        <v>55</v>
      </c>
      <c r="B88" s="260"/>
      <c r="C88" s="261">
        <f t="shared" si="17"/>
        <v>4</v>
      </c>
      <c r="D88" s="371"/>
      <c r="E88" s="262"/>
      <c r="F88" s="261" t="str">
        <f t="shared" si="72"/>
        <v/>
      </c>
      <c r="G88" s="263" t="str">
        <f t="shared" si="72"/>
        <v/>
      </c>
      <c r="H88" s="264" t="str">
        <f t="shared" si="1"/>
        <v/>
      </c>
      <c r="I88" s="265" t="str">
        <f t="shared" si="2"/>
        <v/>
      </c>
      <c r="J88" s="264" t="str">
        <f t="shared" si="3"/>
        <v/>
      </c>
      <c r="K88" s="264">
        <f t="shared" si="4"/>
        <v>0</v>
      </c>
      <c r="L88" s="266"/>
      <c r="M88" s="267">
        <f t="shared" si="18"/>
        <v>1</v>
      </c>
      <c r="N88" s="296" t="str">
        <f t="shared" si="19"/>
        <v/>
      </c>
      <c r="O88" s="297" t="str">
        <f t="shared" si="5"/>
        <v/>
      </c>
      <c r="P88" s="298" t="str">
        <f t="shared" si="20"/>
        <v/>
      </c>
      <c r="Q88" s="268" t="str">
        <f t="shared" si="6"/>
        <v/>
      </c>
      <c r="R88" s="269"/>
      <c r="S88" s="270" t="str">
        <f t="shared" si="21"/>
        <v/>
      </c>
      <c r="T88" s="271" t="str">
        <f t="shared" si="22"/>
        <v/>
      </c>
      <c r="V88" s="3">
        <f t="shared" si="7"/>
        <v>40</v>
      </c>
      <c r="BC88" s="3">
        <f t="shared" si="24"/>
        <v>0</v>
      </c>
      <c r="BD88" s="3">
        <f t="shared" si="25"/>
        <v>0</v>
      </c>
      <c r="BE88" s="3">
        <f t="shared" si="8"/>
        <v>0</v>
      </c>
      <c r="BF88" s="374">
        <v>16</v>
      </c>
      <c r="BG88" s="374">
        <v>22</v>
      </c>
      <c r="BH88" s="121">
        <f t="shared" si="26"/>
        <v>2.4444444444444442</v>
      </c>
      <c r="BI88" s="8">
        <f t="shared" si="9"/>
        <v>1344.4444444444443</v>
      </c>
      <c r="BJ88" s="8">
        <f t="shared" si="10"/>
        <v>0.72727272727272729</v>
      </c>
      <c r="BK88" s="3">
        <f t="shared" si="27"/>
        <v>1622</v>
      </c>
      <c r="BL88" s="3">
        <v>0</v>
      </c>
      <c r="BW88" s="3">
        <f t="shared" si="67"/>
        <v>0</v>
      </c>
    </row>
    <row r="89" spans="1:75" x14ac:dyDescent="0.3">
      <c r="A89" s="375">
        <v>56</v>
      </c>
      <c r="B89" s="272"/>
      <c r="C89" s="261">
        <f t="shared" si="17"/>
        <v>4</v>
      </c>
      <c r="D89" s="372"/>
      <c r="E89" s="274"/>
      <c r="F89" s="273" t="str">
        <f t="shared" si="72"/>
        <v/>
      </c>
      <c r="G89" s="275" t="str">
        <f t="shared" si="72"/>
        <v/>
      </c>
      <c r="H89" s="276" t="str">
        <f t="shared" si="1"/>
        <v/>
      </c>
      <c r="I89" s="277" t="str">
        <f t="shared" si="2"/>
        <v/>
      </c>
      <c r="J89" s="276" t="str">
        <f t="shared" si="3"/>
        <v/>
      </c>
      <c r="K89" s="276">
        <f t="shared" si="4"/>
        <v>0</v>
      </c>
      <c r="L89" s="278"/>
      <c r="M89" s="279">
        <f t="shared" si="18"/>
        <v>1</v>
      </c>
      <c r="N89" s="299" t="str">
        <f t="shared" si="19"/>
        <v/>
      </c>
      <c r="O89" s="117" t="str">
        <f t="shared" si="5"/>
        <v/>
      </c>
      <c r="P89" s="300" t="str">
        <f t="shared" si="20"/>
        <v/>
      </c>
      <c r="Q89" s="280" t="str">
        <f t="shared" si="6"/>
        <v/>
      </c>
      <c r="R89" s="281"/>
      <c r="S89" s="282" t="str">
        <f t="shared" si="21"/>
        <v/>
      </c>
      <c r="T89" s="283" t="str">
        <f t="shared" si="22"/>
        <v/>
      </c>
      <c r="V89" s="3">
        <f t="shared" si="7"/>
        <v>40</v>
      </c>
      <c r="BC89" s="3">
        <f t="shared" si="24"/>
        <v>0</v>
      </c>
      <c r="BD89" s="3">
        <f t="shared" si="25"/>
        <v>0</v>
      </c>
      <c r="BE89" s="3">
        <f t="shared" si="8"/>
        <v>0</v>
      </c>
      <c r="BF89" s="374">
        <v>16</v>
      </c>
      <c r="BG89" s="374">
        <v>24</v>
      </c>
      <c r="BH89" s="121">
        <f t="shared" si="26"/>
        <v>2.6666666666666665</v>
      </c>
      <c r="BI89" s="8">
        <f t="shared" si="9"/>
        <v>1466.6666666666665</v>
      </c>
      <c r="BJ89" s="8">
        <f t="shared" si="10"/>
        <v>0.66666666666666663</v>
      </c>
      <c r="BK89" s="3">
        <f t="shared" si="27"/>
        <v>1624</v>
      </c>
      <c r="BL89" s="3">
        <v>0</v>
      </c>
      <c r="BW89" s="3">
        <f t="shared" si="67"/>
        <v>0</v>
      </c>
    </row>
    <row r="90" spans="1:75" x14ac:dyDescent="0.3">
      <c r="A90" s="375">
        <v>57</v>
      </c>
      <c r="B90" s="284"/>
      <c r="C90" s="261">
        <f t="shared" si="17"/>
        <v>4</v>
      </c>
      <c r="D90" s="373"/>
      <c r="E90" s="286"/>
      <c r="F90" s="285" t="str">
        <f t="shared" si="72"/>
        <v/>
      </c>
      <c r="G90" s="287" t="str">
        <f t="shared" si="72"/>
        <v/>
      </c>
      <c r="H90" s="288" t="str">
        <f t="shared" si="1"/>
        <v/>
      </c>
      <c r="I90" s="289" t="str">
        <f t="shared" si="2"/>
        <v/>
      </c>
      <c r="J90" s="288" t="str">
        <f t="shared" si="3"/>
        <v/>
      </c>
      <c r="K90" s="288">
        <f t="shared" si="4"/>
        <v>0</v>
      </c>
      <c r="L90" s="290"/>
      <c r="M90" s="291">
        <f t="shared" si="18"/>
        <v>1</v>
      </c>
      <c r="N90" s="301" t="str">
        <f t="shared" si="19"/>
        <v/>
      </c>
      <c r="O90" s="302" t="str">
        <f t="shared" si="5"/>
        <v/>
      </c>
      <c r="P90" s="303" t="str">
        <f t="shared" si="20"/>
        <v/>
      </c>
      <c r="Q90" s="292" t="str">
        <f t="shared" si="6"/>
        <v/>
      </c>
      <c r="R90" s="293"/>
      <c r="S90" s="294" t="str">
        <f t="shared" si="21"/>
        <v/>
      </c>
      <c r="T90" s="295" t="str">
        <f t="shared" si="22"/>
        <v/>
      </c>
      <c r="V90" s="3">
        <f t="shared" si="7"/>
        <v>40</v>
      </c>
      <c r="BC90" s="3">
        <f t="shared" si="24"/>
        <v>0</v>
      </c>
      <c r="BD90" s="3">
        <f t="shared" si="25"/>
        <v>0</v>
      </c>
      <c r="BE90" s="3">
        <f t="shared" si="8"/>
        <v>0</v>
      </c>
      <c r="BF90" s="374">
        <v>18</v>
      </c>
      <c r="BG90" s="374">
        <v>8</v>
      </c>
      <c r="BH90" s="121">
        <f t="shared" si="26"/>
        <v>1</v>
      </c>
      <c r="BI90" s="8">
        <f t="shared" si="9"/>
        <v>550</v>
      </c>
      <c r="BJ90" s="8">
        <f t="shared" si="10"/>
        <v>2.25</v>
      </c>
      <c r="BK90" s="3">
        <f t="shared" si="27"/>
        <v>1808</v>
      </c>
      <c r="BL90" s="3">
        <v>0</v>
      </c>
      <c r="BW90" s="3">
        <f t="shared" si="67"/>
        <v>0</v>
      </c>
    </row>
    <row r="91" spans="1:75" x14ac:dyDescent="0.3">
      <c r="A91" s="375">
        <v>58</v>
      </c>
      <c r="B91" s="260"/>
      <c r="C91" s="261">
        <f t="shared" si="17"/>
        <v>4</v>
      </c>
      <c r="D91" s="371"/>
      <c r="E91" s="262"/>
      <c r="F91" s="261" t="str">
        <f t="shared" si="72"/>
        <v/>
      </c>
      <c r="G91" s="263" t="str">
        <f t="shared" si="72"/>
        <v/>
      </c>
      <c r="H91" s="264" t="str">
        <f t="shared" si="1"/>
        <v/>
      </c>
      <c r="I91" s="265" t="str">
        <f t="shared" si="2"/>
        <v/>
      </c>
      <c r="J91" s="264" t="str">
        <f t="shared" si="3"/>
        <v/>
      </c>
      <c r="K91" s="264">
        <f t="shared" si="4"/>
        <v>0</v>
      </c>
      <c r="L91" s="266"/>
      <c r="M91" s="267">
        <f t="shared" si="18"/>
        <v>1</v>
      </c>
      <c r="N91" s="296" t="str">
        <f t="shared" si="19"/>
        <v/>
      </c>
      <c r="O91" s="297" t="str">
        <f t="shared" si="5"/>
        <v/>
      </c>
      <c r="P91" s="298" t="str">
        <f t="shared" si="20"/>
        <v/>
      </c>
      <c r="Q91" s="268" t="str">
        <f t="shared" si="6"/>
        <v/>
      </c>
      <c r="R91" s="269"/>
      <c r="S91" s="270" t="str">
        <f t="shared" si="21"/>
        <v/>
      </c>
      <c r="T91" s="271" t="str">
        <f t="shared" si="22"/>
        <v/>
      </c>
      <c r="V91" s="3">
        <f t="shared" si="7"/>
        <v>40</v>
      </c>
      <c r="BC91" s="3">
        <f t="shared" si="24"/>
        <v>0</v>
      </c>
      <c r="BD91" s="3">
        <f t="shared" si="25"/>
        <v>0</v>
      </c>
      <c r="BE91" s="3">
        <f t="shared" si="8"/>
        <v>0</v>
      </c>
      <c r="BF91" s="374">
        <v>18</v>
      </c>
      <c r="BG91" s="374">
        <v>10</v>
      </c>
      <c r="BH91" s="121">
        <f t="shared" si="26"/>
        <v>1.25</v>
      </c>
      <c r="BI91" s="8">
        <f t="shared" si="9"/>
        <v>687.5</v>
      </c>
      <c r="BJ91" s="8">
        <f t="shared" si="10"/>
        <v>1.8</v>
      </c>
      <c r="BK91" s="3">
        <f t="shared" si="27"/>
        <v>1810</v>
      </c>
      <c r="BL91" s="3">
        <v>0</v>
      </c>
      <c r="BW91" s="3">
        <f t="shared" si="67"/>
        <v>0</v>
      </c>
    </row>
    <row r="92" spans="1:75" x14ac:dyDescent="0.3">
      <c r="A92" s="375">
        <v>59</v>
      </c>
      <c r="B92" s="272"/>
      <c r="C92" s="261">
        <f t="shared" si="17"/>
        <v>4</v>
      </c>
      <c r="D92" s="372"/>
      <c r="E92" s="274"/>
      <c r="F92" s="273" t="str">
        <f t="shared" si="72"/>
        <v/>
      </c>
      <c r="G92" s="275" t="str">
        <f t="shared" si="72"/>
        <v/>
      </c>
      <c r="H92" s="276" t="str">
        <f t="shared" si="1"/>
        <v/>
      </c>
      <c r="I92" s="277" t="str">
        <f t="shared" si="2"/>
        <v/>
      </c>
      <c r="J92" s="276" t="str">
        <f t="shared" si="3"/>
        <v/>
      </c>
      <c r="K92" s="276">
        <f t="shared" si="4"/>
        <v>0</v>
      </c>
      <c r="L92" s="278"/>
      <c r="M92" s="279">
        <f t="shared" si="18"/>
        <v>1</v>
      </c>
      <c r="N92" s="299" t="str">
        <f t="shared" si="19"/>
        <v/>
      </c>
      <c r="O92" s="117" t="str">
        <f t="shared" si="5"/>
        <v/>
      </c>
      <c r="P92" s="300" t="str">
        <f t="shared" si="20"/>
        <v/>
      </c>
      <c r="Q92" s="280" t="str">
        <f t="shared" si="6"/>
        <v/>
      </c>
      <c r="R92" s="281"/>
      <c r="S92" s="282" t="str">
        <f t="shared" si="21"/>
        <v/>
      </c>
      <c r="T92" s="283" t="str">
        <f t="shared" si="22"/>
        <v/>
      </c>
      <c r="V92" s="3">
        <f t="shared" si="7"/>
        <v>40</v>
      </c>
      <c r="BC92" s="3">
        <f t="shared" si="24"/>
        <v>0</v>
      </c>
      <c r="BD92" s="3">
        <f t="shared" si="25"/>
        <v>0</v>
      </c>
      <c r="BE92" s="3">
        <f t="shared" si="8"/>
        <v>0</v>
      </c>
      <c r="BF92" s="374">
        <v>18</v>
      </c>
      <c r="BG92" s="374">
        <v>12</v>
      </c>
      <c r="BH92" s="121">
        <f t="shared" si="26"/>
        <v>1.5</v>
      </c>
      <c r="BI92" s="8">
        <f t="shared" si="9"/>
        <v>825</v>
      </c>
      <c r="BJ92" s="8">
        <f t="shared" si="10"/>
        <v>1.5</v>
      </c>
      <c r="BK92" s="3">
        <f t="shared" si="27"/>
        <v>1812</v>
      </c>
      <c r="BL92" s="3">
        <v>0</v>
      </c>
      <c r="BW92" s="3">
        <f t="shared" si="67"/>
        <v>0</v>
      </c>
    </row>
    <row r="93" spans="1:75" x14ac:dyDescent="0.3">
      <c r="A93" s="375">
        <v>60</v>
      </c>
      <c r="B93" s="284"/>
      <c r="C93" s="261">
        <f t="shared" si="17"/>
        <v>4</v>
      </c>
      <c r="D93" s="373"/>
      <c r="E93" s="286"/>
      <c r="F93" s="285" t="str">
        <f t="shared" si="72"/>
        <v/>
      </c>
      <c r="G93" s="287" t="str">
        <f t="shared" si="72"/>
        <v/>
      </c>
      <c r="H93" s="288" t="str">
        <f t="shared" si="1"/>
        <v/>
      </c>
      <c r="I93" s="289" t="str">
        <f t="shared" si="2"/>
        <v/>
      </c>
      <c r="J93" s="288" t="str">
        <f t="shared" si="3"/>
        <v/>
      </c>
      <c r="K93" s="288">
        <f t="shared" si="4"/>
        <v>0</v>
      </c>
      <c r="L93" s="290"/>
      <c r="M93" s="291">
        <f t="shared" si="18"/>
        <v>1</v>
      </c>
      <c r="N93" s="301" t="str">
        <f t="shared" si="19"/>
        <v/>
      </c>
      <c r="O93" s="302" t="str">
        <f t="shared" si="5"/>
        <v/>
      </c>
      <c r="P93" s="303" t="str">
        <f t="shared" si="20"/>
        <v/>
      </c>
      <c r="Q93" s="292" t="str">
        <f t="shared" si="6"/>
        <v/>
      </c>
      <c r="R93" s="293"/>
      <c r="S93" s="294" t="str">
        <f t="shared" si="21"/>
        <v/>
      </c>
      <c r="T93" s="295" t="str">
        <f t="shared" si="22"/>
        <v/>
      </c>
      <c r="V93" s="3">
        <f t="shared" si="7"/>
        <v>40</v>
      </c>
      <c r="BC93" s="3">
        <f t="shared" si="24"/>
        <v>0</v>
      </c>
      <c r="BD93" s="3">
        <f t="shared" si="25"/>
        <v>0</v>
      </c>
      <c r="BE93" s="3">
        <f t="shared" si="8"/>
        <v>0</v>
      </c>
      <c r="BF93" s="374">
        <v>18</v>
      </c>
      <c r="BG93" s="374">
        <v>14</v>
      </c>
      <c r="BH93" s="121">
        <f t="shared" si="26"/>
        <v>1.75</v>
      </c>
      <c r="BI93" s="8">
        <f t="shared" si="9"/>
        <v>962.5</v>
      </c>
      <c r="BJ93" s="8">
        <f t="shared" si="10"/>
        <v>1.2857142857142858</v>
      </c>
      <c r="BK93" s="3">
        <f t="shared" si="27"/>
        <v>1814</v>
      </c>
      <c r="BL93" s="3">
        <v>0</v>
      </c>
      <c r="BW93" s="3">
        <f t="shared" si="67"/>
        <v>0</v>
      </c>
    </row>
    <row r="94" spans="1:75" x14ac:dyDescent="0.3">
      <c r="A94" s="375">
        <v>61</v>
      </c>
      <c r="B94" s="260"/>
      <c r="C94" s="261">
        <f t="shared" si="17"/>
        <v>4</v>
      </c>
      <c r="D94" s="371"/>
      <c r="E94" s="262"/>
      <c r="F94" s="261" t="str">
        <f t="shared" ref="F94:G113" si="73">IFERROR(VLOOKUP($E94,DMFA,F$29,FALSE),"")</f>
        <v/>
      </c>
      <c r="G94" s="263" t="str">
        <f t="shared" si="73"/>
        <v/>
      </c>
      <c r="H94" s="264" t="str">
        <f t="shared" si="1"/>
        <v/>
      </c>
      <c r="I94" s="265" t="str">
        <f t="shared" si="2"/>
        <v/>
      </c>
      <c r="J94" s="264" t="str">
        <f t="shared" si="3"/>
        <v/>
      </c>
      <c r="K94" s="264">
        <f t="shared" si="4"/>
        <v>0</v>
      </c>
      <c r="L94" s="266"/>
      <c r="M94" s="267">
        <f t="shared" si="18"/>
        <v>1</v>
      </c>
      <c r="N94" s="296" t="str">
        <f t="shared" si="19"/>
        <v/>
      </c>
      <c r="O94" s="297" t="str">
        <f t="shared" si="5"/>
        <v/>
      </c>
      <c r="P94" s="298" t="str">
        <f t="shared" si="20"/>
        <v/>
      </c>
      <c r="Q94" s="268" t="str">
        <f t="shared" si="6"/>
        <v/>
      </c>
      <c r="R94" s="269"/>
      <c r="S94" s="270" t="str">
        <f t="shared" si="21"/>
        <v/>
      </c>
      <c r="T94" s="271" t="str">
        <f t="shared" si="22"/>
        <v/>
      </c>
      <c r="V94" s="3">
        <f t="shared" si="7"/>
        <v>40</v>
      </c>
      <c r="BC94" s="3">
        <f t="shared" si="24"/>
        <v>0</v>
      </c>
      <c r="BD94" s="3">
        <f t="shared" si="25"/>
        <v>0</v>
      </c>
      <c r="BE94" s="3">
        <f t="shared" si="8"/>
        <v>0</v>
      </c>
      <c r="BF94" s="374">
        <v>18</v>
      </c>
      <c r="BG94" s="374">
        <v>16</v>
      </c>
      <c r="BH94" s="121">
        <f t="shared" si="26"/>
        <v>2</v>
      </c>
      <c r="BI94" s="8">
        <f t="shared" si="9"/>
        <v>1100</v>
      </c>
      <c r="BJ94" s="8">
        <f t="shared" si="10"/>
        <v>1.125</v>
      </c>
      <c r="BK94" s="3">
        <f t="shared" si="27"/>
        <v>1816</v>
      </c>
      <c r="BL94" s="3">
        <v>0</v>
      </c>
      <c r="BW94" s="3">
        <f t="shared" si="67"/>
        <v>0</v>
      </c>
    </row>
    <row r="95" spans="1:75" x14ac:dyDescent="0.3">
      <c r="A95" s="375">
        <v>62</v>
      </c>
      <c r="B95" s="272"/>
      <c r="C95" s="261">
        <f t="shared" si="17"/>
        <v>4</v>
      </c>
      <c r="D95" s="372"/>
      <c r="E95" s="274"/>
      <c r="F95" s="273" t="str">
        <f t="shared" si="73"/>
        <v/>
      </c>
      <c r="G95" s="275" t="str">
        <f t="shared" si="73"/>
        <v/>
      </c>
      <c r="H95" s="276" t="str">
        <f t="shared" si="1"/>
        <v/>
      </c>
      <c r="I95" s="277" t="str">
        <f t="shared" si="2"/>
        <v/>
      </c>
      <c r="J95" s="276" t="str">
        <f t="shared" si="3"/>
        <v/>
      </c>
      <c r="K95" s="276">
        <f t="shared" si="4"/>
        <v>0</v>
      </c>
      <c r="L95" s="278"/>
      <c r="M95" s="279">
        <f t="shared" si="18"/>
        <v>1</v>
      </c>
      <c r="N95" s="299" t="str">
        <f t="shared" si="19"/>
        <v/>
      </c>
      <c r="O95" s="117" t="str">
        <f t="shared" si="5"/>
        <v/>
      </c>
      <c r="P95" s="300" t="str">
        <f t="shared" si="20"/>
        <v/>
      </c>
      <c r="Q95" s="280" t="str">
        <f t="shared" si="6"/>
        <v/>
      </c>
      <c r="R95" s="281"/>
      <c r="S95" s="282" t="str">
        <f t="shared" si="21"/>
        <v/>
      </c>
      <c r="T95" s="283" t="str">
        <f t="shared" si="22"/>
        <v/>
      </c>
      <c r="V95" s="3">
        <f t="shared" si="7"/>
        <v>40</v>
      </c>
      <c r="BC95" s="3">
        <f t="shared" si="24"/>
        <v>0</v>
      </c>
      <c r="BD95" s="3">
        <f t="shared" si="25"/>
        <v>0</v>
      </c>
      <c r="BE95" s="3">
        <f t="shared" si="8"/>
        <v>0</v>
      </c>
      <c r="BF95" s="374">
        <v>18</v>
      </c>
      <c r="BG95" s="374">
        <v>18</v>
      </c>
      <c r="BH95" s="121">
        <f t="shared" si="26"/>
        <v>2.25</v>
      </c>
      <c r="BI95" s="8">
        <f t="shared" si="9"/>
        <v>1237.5</v>
      </c>
      <c r="BJ95" s="8">
        <f t="shared" si="10"/>
        <v>1</v>
      </c>
      <c r="BK95" s="3">
        <f t="shared" si="27"/>
        <v>1818</v>
      </c>
      <c r="BL95" s="3">
        <v>0</v>
      </c>
      <c r="BW95" s="3">
        <f t="shared" si="67"/>
        <v>0</v>
      </c>
    </row>
    <row r="96" spans="1:75" x14ac:dyDescent="0.3">
      <c r="A96" s="375">
        <v>63</v>
      </c>
      <c r="B96" s="284"/>
      <c r="C96" s="261">
        <f t="shared" si="17"/>
        <v>4</v>
      </c>
      <c r="D96" s="373"/>
      <c r="E96" s="286"/>
      <c r="F96" s="285" t="str">
        <f t="shared" si="73"/>
        <v/>
      </c>
      <c r="G96" s="287" t="str">
        <f t="shared" si="73"/>
        <v/>
      </c>
      <c r="H96" s="288" t="str">
        <f t="shared" si="1"/>
        <v/>
      </c>
      <c r="I96" s="289" t="str">
        <f t="shared" si="2"/>
        <v/>
      </c>
      <c r="J96" s="288" t="str">
        <f t="shared" si="3"/>
        <v/>
      </c>
      <c r="K96" s="288">
        <f t="shared" si="4"/>
        <v>0</v>
      </c>
      <c r="L96" s="290"/>
      <c r="M96" s="291">
        <f t="shared" si="18"/>
        <v>1</v>
      </c>
      <c r="N96" s="301" t="str">
        <f t="shared" si="19"/>
        <v/>
      </c>
      <c r="O96" s="302" t="str">
        <f t="shared" si="5"/>
        <v/>
      </c>
      <c r="P96" s="303" t="str">
        <f t="shared" si="20"/>
        <v/>
      </c>
      <c r="Q96" s="292" t="str">
        <f t="shared" si="6"/>
        <v/>
      </c>
      <c r="R96" s="293"/>
      <c r="S96" s="294" t="str">
        <f t="shared" si="21"/>
        <v/>
      </c>
      <c r="T96" s="295" t="str">
        <f t="shared" si="22"/>
        <v/>
      </c>
      <c r="V96" s="3">
        <f t="shared" si="7"/>
        <v>40</v>
      </c>
      <c r="BC96" s="3">
        <f t="shared" si="24"/>
        <v>0</v>
      </c>
      <c r="BD96" s="3">
        <f t="shared" si="25"/>
        <v>0</v>
      </c>
      <c r="BE96" s="3">
        <f t="shared" si="8"/>
        <v>0</v>
      </c>
      <c r="BF96" s="374">
        <v>18</v>
      </c>
      <c r="BG96" s="374">
        <v>20</v>
      </c>
      <c r="BH96" s="121">
        <f t="shared" si="26"/>
        <v>2.5</v>
      </c>
      <c r="BI96" s="8">
        <f t="shared" si="9"/>
        <v>1375</v>
      </c>
      <c r="BJ96" s="8">
        <f t="shared" si="10"/>
        <v>0.9</v>
      </c>
      <c r="BK96" s="3">
        <f t="shared" si="27"/>
        <v>1820</v>
      </c>
      <c r="BL96" s="3">
        <v>0</v>
      </c>
      <c r="BW96" s="3">
        <f t="shared" si="67"/>
        <v>0</v>
      </c>
    </row>
    <row r="97" spans="1:75" x14ac:dyDescent="0.3">
      <c r="A97" s="375">
        <v>64</v>
      </c>
      <c r="B97" s="260"/>
      <c r="C97" s="261">
        <f t="shared" si="17"/>
        <v>4</v>
      </c>
      <c r="D97" s="371"/>
      <c r="E97" s="262"/>
      <c r="F97" s="261" t="str">
        <f t="shared" si="73"/>
        <v/>
      </c>
      <c r="G97" s="263" t="str">
        <f t="shared" si="73"/>
        <v/>
      </c>
      <c r="H97" s="264" t="str">
        <f t="shared" si="1"/>
        <v/>
      </c>
      <c r="I97" s="265" t="str">
        <f t="shared" si="2"/>
        <v/>
      </c>
      <c r="J97" s="264" t="str">
        <f t="shared" si="3"/>
        <v/>
      </c>
      <c r="K97" s="264">
        <f t="shared" si="4"/>
        <v>0</v>
      </c>
      <c r="L97" s="266"/>
      <c r="M97" s="267">
        <f t="shared" si="18"/>
        <v>1</v>
      </c>
      <c r="N97" s="296" t="str">
        <f t="shared" si="19"/>
        <v/>
      </c>
      <c r="O97" s="297" t="str">
        <f t="shared" si="5"/>
        <v/>
      </c>
      <c r="P97" s="298" t="str">
        <f t="shared" si="20"/>
        <v/>
      </c>
      <c r="Q97" s="268" t="str">
        <f t="shared" si="6"/>
        <v/>
      </c>
      <c r="R97" s="269"/>
      <c r="S97" s="270" t="str">
        <f t="shared" si="21"/>
        <v/>
      </c>
      <c r="T97" s="271" t="str">
        <f t="shared" si="22"/>
        <v/>
      </c>
      <c r="V97" s="3">
        <f t="shared" si="7"/>
        <v>40</v>
      </c>
      <c r="BC97" s="3">
        <f t="shared" si="24"/>
        <v>0</v>
      </c>
      <c r="BD97" s="3">
        <f t="shared" si="25"/>
        <v>0</v>
      </c>
      <c r="BE97" s="3">
        <f t="shared" si="8"/>
        <v>0</v>
      </c>
      <c r="BF97" s="374">
        <v>20</v>
      </c>
      <c r="BG97" s="374">
        <v>10</v>
      </c>
      <c r="BH97" s="121">
        <f t="shared" si="26"/>
        <v>1.3888888888888891</v>
      </c>
      <c r="BI97" s="8">
        <f t="shared" si="9"/>
        <v>763.88888888888903</v>
      </c>
      <c r="BJ97" s="8">
        <f t="shared" si="10"/>
        <v>2</v>
      </c>
      <c r="BK97" s="3">
        <f t="shared" si="27"/>
        <v>2010</v>
      </c>
      <c r="BL97" s="3">
        <v>0</v>
      </c>
      <c r="BW97" s="3">
        <f t="shared" si="67"/>
        <v>0</v>
      </c>
    </row>
    <row r="98" spans="1:75" x14ac:dyDescent="0.3">
      <c r="A98" s="375">
        <v>65</v>
      </c>
      <c r="B98" s="272"/>
      <c r="C98" s="261">
        <f t="shared" si="17"/>
        <v>4</v>
      </c>
      <c r="D98" s="372"/>
      <c r="E98" s="274"/>
      <c r="F98" s="273" t="str">
        <f t="shared" si="73"/>
        <v/>
      </c>
      <c r="G98" s="275" t="str">
        <f t="shared" si="73"/>
        <v/>
      </c>
      <c r="H98" s="276" t="str">
        <f t="shared" ref="H98:H161" si="74">IF(COUNTIF($E$34:$E$183,E98)=0,"",COUNTIF($E$34:$E$183,E98))</f>
        <v/>
      </c>
      <c r="I98" s="277" t="str">
        <f t="shared" si="2"/>
        <v/>
      </c>
      <c r="J98" s="276" t="str">
        <f t="shared" ref="J98:J161" si="75">IF(I98="","",TEXT(I98/G98,"0.0 %"))</f>
        <v/>
      </c>
      <c r="K98" s="276">
        <f t="shared" ref="K98:K161" si="76">IF(C98=1,$J$16,IF(C98=2,$J$17,IF(C98=3,$J$18,0)))</f>
        <v>0</v>
      </c>
      <c r="L98" s="278"/>
      <c r="M98" s="279">
        <f t="shared" si="18"/>
        <v>1</v>
      </c>
      <c r="N98" s="299" t="str">
        <f t="shared" si="19"/>
        <v/>
      </c>
      <c r="O98" s="117" t="str">
        <f t="shared" ref="O98:O161" si="77">IF(I98="","","×")</f>
        <v/>
      </c>
      <c r="P98" s="300" t="str">
        <f t="shared" si="20"/>
        <v/>
      </c>
      <c r="Q98" s="280" t="str">
        <f t="shared" ref="Q98:Q161" si="78">IF(I98="","",IF(N98="---","---",I98/((N98/12)*(P98/12))))</f>
        <v/>
      </c>
      <c r="R98" s="281"/>
      <c r="S98" s="282" t="str">
        <f t="shared" si="21"/>
        <v/>
      </c>
      <c r="T98" s="283" t="str">
        <f t="shared" si="22"/>
        <v/>
      </c>
      <c r="V98" s="3">
        <f t="shared" ref="V98:V161" si="79">IFERROR(VALUE(TEXT(C98,"00")&amp;TEXT(N98,"00")&amp;TEXT(P98,"00")&amp;IF(R98="Plato perforado",5,IF(OR(R98="N/A",R98=""),0,R98))),"")</f>
        <v>40</v>
      </c>
      <c r="BC98" s="3">
        <f t="shared" si="24"/>
        <v>0</v>
      </c>
      <c r="BD98" s="3">
        <f t="shared" si="25"/>
        <v>0</v>
      </c>
      <c r="BE98" s="3">
        <f t="shared" ref="BE98:BE161" si="80">VALUE(TEXT(BC98,"00")&amp;TEXT(BD98,"00"))</f>
        <v>0</v>
      </c>
      <c r="BF98" s="374">
        <v>20</v>
      </c>
      <c r="BG98" s="374">
        <v>12</v>
      </c>
      <c r="BH98" s="121">
        <f t="shared" si="26"/>
        <v>1.6666666666666667</v>
      </c>
      <c r="BI98" s="8">
        <f t="shared" ref="BI98:BI114" si="81">BH98*$BI$31</f>
        <v>916.66666666666674</v>
      </c>
      <c r="BJ98" s="8">
        <f t="shared" ref="BJ98:BJ109" si="82">BF98/BG98</f>
        <v>1.6666666666666667</v>
      </c>
      <c r="BK98" s="3">
        <f t="shared" si="27"/>
        <v>2012</v>
      </c>
      <c r="BL98" s="3">
        <v>0</v>
      </c>
      <c r="BW98" s="3">
        <f t="shared" si="67"/>
        <v>0</v>
      </c>
    </row>
    <row r="99" spans="1:75" x14ac:dyDescent="0.3">
      <c r="A99" s="375">
        <v>66</v>
      </c>
      <c r="B99" s="284"/>
      <c r="C99" s="261">
        <f t="shared" ref="C99:C162" si="83">IF(B99="DI",1,IF(B99="CP",2,IF(B99="FT",3,4)))</f>
        <v>4</v>
      </c>
      <c r="D99" s="373"/>
      <c r="E99" s="286"/>
      <c r="F99" s="285" t="str">
        <f t="shared" si="73"/>
        <v/>
      </c>
      <c r="G99" s="287" t="str">
        <f t="shared" si="73"/>
        <v/>
      </c>
      <c r="H99" s="288" t="str">
        <f t="shared" si="74"/>
        <v/>
      </c>
      <c r="I99" s="289" t="str">
        <f t="shared" ref="I99:I162" si="84">IF(OR(G99="",H99=""),"",G99/H99)</f>
        <v/>
      </c>
      <c r="J99" s="288" t="str">
        <f t="shared" si="75"/>
        <v/>
      </c>
      <c r="K99" s="288">
        <f t="shared" si="76"/>
        <v>0</v>
      </c>
      <c r="L99" s="290"/>
      <c r="M99" s="291">
        <f t="shared" ref="M99:M162" si="85">IF(OR(L99=0,C99=1,C99=4),1,L99)</f>
        <v>1</v>
      </c>
      <c r="N99" s="301" t="str">
        <f t="shared" ref="N99:N162" si="86">IFERROR(IF(I99="","",IF(SQRT((I99*M99)/IF(C99=1,$D$16,IF(C99=2,$D$17,IF(C99=3,$D$18,0))))*12&lt;9,9,IF(CEILING(SQRT((I99*M99)/IF(C99=1,$D$16,IF(C99=2,$D$17,IF(C99=3,$D$18,0))))*12,K99)&gt;48,"+",CEILING(SQRT((I99*M99)/IF(C99=1,$D$16,IF(C99=2,$D$17,IF(C99=3,$D$18,0))))*12,K99)))),"---")</f>
        <v/>
      </c>
      <c r="O99" s="302" t="str">
        <f t="shared" si="77"/>
        <v/>
      </c>
      <c r="P99" s="303" t="str">
        <f t="shared" ref="P99:P162" si="87">IFERROR(IF(I99="","",IF((1/M99)*SQRT((I99*M99)/IF(C99=1,$D$16,IF(C99=2,$D$17,IF(C99=3,$D$18,0))))*12&lt;9,9,IF(CEILING((1/M99)*SQRT((I99*M99)/IF(C99=1,$D$16,IF(C99=2,$D$17,IF(C99=3,$D$18,0))))*12,K99)&gt;48,"+",CEILING((1/M99)*SQRT((I99*M99)/IF(C99=1,$D$16,IF(C99=2,$D$17,IF(C99=3,$D$18,0))))*12,K99)))),"---")</f>
        <v/>
      </c>
      <c r="Q99" s="292" t="str">
        <f t="shared" si="78"/>
        <v/>
      </c>
      <c r="R99" s="293"/>
      <c r="S99" s="294" t="str">
        <f t="shared" ref="S99:S162" si="88">IF(C99=1,$S$15,IF(C99=2,IF(N99&gt;=P99,"RR","RR"),IF(C99=3,IF(OR(N99=12,P99=12),$S$16,IF(AND(N99=24,P99=24),$S$17,IF(OR(AND(N99=24,P99=48),AND(N99=48,P99=24)),$S$18,IF(I99="","","N/A")))),"")))</f>
        <v/>
      </c>
      <c r="T99" s="295" t="str">
        <f t="shared" ref="T99:T162" si="89">IFERROR(IF(C99=1,(0.000000468)*Q99^2.0001,IF(C99=2,(0.000000275)*Q99^1.993,IF(C99=3,1,IF(AND(I99&lt;&gt;"",C99=4),"---","")))),"")</f>
        <v/>
      </c>
      <c r="V99" s="3">
        <f t="shared" si="79"/>
        <v>40</v>
      </c>
      <c r="BC99" s="3">
        <f t="shared" ref="BC99:BC162" si="90">IF(C99=2,N99,0)</f>
        <v>0</v>
      </c>
      <c r="BD99" s="3">
        <f t="shared" ref="BD99:BD162" si="91">IF(C99=2,P99,0)</f>
        <v>0</v>
      </c>
      <c r="BE99" s="3">
        <f t="shared" si="80"/>
        <v>0</v>
      </c>
      <c r="BF99" s="374">
        <v>20</v>
      </c>
      <c r="BG99" s="374">
        <v>14</v>
      </c>
      <c r="BH99" s="121">
        <f t="shared" ref="BH99:BH109" si="92">(BF99/12)*(BG99/12)</f>
        <v>1.9444444444444446</v>
      </c>
      <c r="BI99" s="8">
        <f t="shared" si="81"/>
        <v>1069.4444444444446</v>
      </c>
      <c r="BJ99" s="8">
        <f t="shared" si="82"/>
        <v>1.4285714285714286</v>
      </c>
      <c r="BK99" s="3">
        <f t="shared" ref="BK99:BK114" si="93">VALUE(TEXT(BF99,"00")&amp;TEXT(BG99,"00"))</f>
        <v>2014</v>
      </c>
      <c r="BL99" s="3">
        <v>0</v>
      </c>
      <c r="BW99" s="3">
        <f t="shared" si="67"/>
        <v>0</v>
      </c>
    </row>
    <row r="100" spans="1:75" x14ac:dyDescent="0.3">
      <c r="A100" s="375">
        <v>67</v>
      </c>
      <c r="B100" s="260"/>
      <c r="C100" s="261">
        <f t="shared" si="83"/>
        <v>4</v>
      </c>
      <c r="D100" s="371"/>
      <c r="E100" s="262"/>
      <c r="F100" s="261" t="str">
        <f t="shared" si="73"/>
        <v/>
      </c>
      <c r="G100" s="263" t="str">
        <f t="shared" si="73"/>
        <v/>
      </c>
      <c r="H100" s="264" t="str">
        <f t="shared" si="74"/>
        <v/>
      </c>
      <c r="I100" s="265" t="str">
        <f t="shared" si="84"/>
        <v/>
      </c>
      <c r="J100" s="264" t="str">
        <f t="shared" si="75"/>
        <v/>
      </c>
      <c r="K100" s="264">
        <f t="shared" si="76"/>
        <v>0</v>
      </c>
      <c r="L100" s="266"/>
      <c r="M100" s="267">
        <f t="shared" si="85"/>
        <v>1</v>
      </c>
      <c r="N100" s="296" t="str">
        <f t="shared" si="86"/>
        <v/>
      </c>
      <c r="O100" s="297" t="str">
        <f t="shared" si="77"/>
        <v/>
      </c>
      <c r="P100" s="298" t="str">
        <f t="shared" si="87"/>
        <v/>
      </c>
      <c r="Q100" s="268" t="str">
        <f t="shared" si="78"/>
        <v/>
      </c>
      <c r="R100" s="269"/>
      <c r="S100" s="270" t="str">
        <f t="shared" si="88"/>
        <v/>
      </c>
      <c r="T100" s="271" t="str">
        <f t="shared" si="89"/>
        <v/>
      </c>
      <c r="V100" s="3">
        <f t="shared" si="79"/>
        <v>40</v>
      </c>
      <c r="BC100" s="3">
        <f t="shared" si="90"/>
        <v>0</v>
      </c>
      <c r="BD100" s="3">
        <f t="shared" si="91"/>
        <v>0</v>
      </c>
      <c r="BE100" s="3">
        <f t="shared" si="80"/>
        <v>0</v>
      </c>
      <c r="BF100" s="374">
        <v>20</v>
      </c>
      <c r="BG100" s="374">
        <v>16</v>
      </c>
      <c r="BH100" s="121">
        <f t="shared" si="92"/>
        <v>2.2222222222222223</v>
      </c>
      <c r="BI100" s="8">
        <f t="shared" si="81"/>
        <v>1222.2222222222222</v>
      </c>
      <c r="BJ100" s="8">
        <f t="shared" si="82"/>
        <v>1.25</v>
      </c>
      <c r="BK100" s="3">
        <f t="shared" si="93"/>
        <v>2016</v>
      </c>
      <c r="BL100" s="3">
        <v>0</v>
      </c>
      <c r="BW100" s="3">
        <f t="shared" si="67"/>
        <v>0</v>
      </c>
    </row>
    <row r="101" spans="1:75" x14ac:dyDescent="0.3">
      <c r="A101" s="375">
        <v>68</v>
      </c>
      <c r="B101" s="272"/>
      <c r="C101" s="261">
        <f t="shared" si="83"/>
        <v>4</v>
      </c>
      <c r="D101" s="372"/>
      <c r="E101" s="274"/>
      <c r="F101" s="273" t="str">
        <f t="shared" si="73"/>
        <v/>
      </c>
      <c r="G101" s="275" t="str">
        <f t="shared" si="73"/>
        <v/>
      </c>
      <c r="H101" s="276" t="str">
        <f t="shared" si="74"/>
        <v/>
      </c>
      <c r="I101" s="277" t="str">
        <f t="shared" si="84"/>
        <v/>
      </c>
      <c r="J101" s="276" t="str">
        <f t="shared" si="75"/>
        <v/>
      </c>
      <c r="K101" s="276">
        <f t="shared" si="76"/>
        <v>0</v>
      </c>
      <c r="L101" s="278"/>
      <c r="M101" s="279">
        <f t="shared" si="85"/>
        <v>1</v>
      </c>
      <c r="N101" s="299" t="str">
        <f t="shared" si="86"/>
        <v/>
      </c>
      <c r="O101" s="117" t="str">
        <f t="shared" si="77"/>
        <v/>
      </c>
      <c r="P101" s="300" t="str">
        <f t="shared" si="87"/>
        <v/>
      </c>
      <c r="Q101" s="280" t="str">
        <f t="shared" si="78"/>
        <v/>
      </c>
      <c r="R101" s="281"/>
      <c r="S101" s="282" t="str">
        <f t="shared" si="88"/>
        <v/>
      </c>
      <c r="T101" s="283" t="str">
        <f t="shared" si="89"/>
        <v/>
      </c>
      <c r="V101" s="3">
        <f t="shared" si="79"/>
        <v>40</v>
      </c>
      <c r="BC101" s="3">
        <f t="shared" si="90"/>
        <v>0</v>
      </c>
      <c r="BD101" s="3">
        <f t="shared" si="91"/>
        <v>0</v>
      </c>
      <c r="BE101" s="3">
        <f t="shared" si="80"/>
        <v>0</v>
      </c>
      <c r="BF101" s="374">
        <v>20</v>
      </c>
      <c r="BG101" s="374">
        <v>18</v>
      </c>
      <c r="BH101" s="121">
        <f t="shared" si="92"/>
        <v>2.5</v>
      </c>
      <c r="BI101" s="8">
        <f t="shared" si="81"/>
        <v>1375</v>
      </c>
      <c r="BJ101" s="8">
        <f t="shared" si="82"/>
        <v>1.1111111111111112</v>
      </c>
      <c r="BK101" s="3">
        <f t="shared" si="93"/>
        <v>2018</v>
      </c>
      <c r="BL101" s="3">
        <v>0</v>
      </c>
      <c r="BW101" s="3">
        <f t="shared" ref="BW101:BW164" si="94">IF(C101=3,S101,0)</f>
        <v>0</v>
      </c>
    </row>
    <row r="102" spans="1:75" x14ac:dyDescent="0.3">
      <c r="A102" s="375">
        <v>69</v>
      </c>
      <c r="B102" s="284"/>
      <c r="C102" s="261">
        <f t="shared" si="83"/>
        <v>4</v>
      </c>
      <c r="D102" s="373"/>
      <c r="E102" s="286"/>
      <c r="F102" s="285" t="str">
        <f t="shared" si="73"/>
        <v/>
      </c>
      <c r="G102" s="287" t="str">
        <f t="shared" si="73"/>
        <v/>
      </c>
      <c r="H102" s="288" t="str">
        <f t="shared" si="74"/>
        <v/>
      </c>
      <c r="I102" s="289" t="str">
        <f t="shared" si="84"/>
        <v/>
      </c>
      <c r="J102" s="288" t="str">
        <f t="shared" si="75"/>
        <v/>
      </c>
      <c r="K102" s="288">
        <f t="shared" si="76"/>
        <v>0</v>
      </c>
      <c r="L102" s="290"/>
      <c r="M102" s="291">
        <f t="shared" si="85"/>
        <v>1</v>
      </c>
      <c r="N102" s="301" t="str">
        <f t="shared" si="86"/>
        <v/>
      </c>
      <c r="O102" s="302" t="str">
        <f t="shared" si="77"/>
        <v/>
      </c>
      <c r="P102" s="303" t="str">
        <f t="shared" si="87"/>
        <v/>
      </c>
      <c r="Q102" s="292" t="str">
        <f t="shared" si="78"/>
        <v/>
      </c>
      <c r="R102" s="293"/>
      <c r="S102" s="294" t="str">
        <f t="shared" si="88"/>
        <v/>
      </c>
      <c r="T102" s="295" t="str">
        <f t="shared" si="89"/>
        <v/>
      </c>
      <c r="V102" s="3">
        <f t="shared" si="79"/>
        <v>40</v>
      </c>
      <c r="BC102" s="3">
        <f t="shared" si="90"/>
        <v>0</v>
      </c>
      <c r="BD102" s="3">
        <f t="shared" si="91"/>
        <v>0</v>
      </c>
      <c r="BE102" s="3">
        <f t="shared" si="80"/>
        <v>0</v>
      </c>
      <c r="BF102" s="374">
        <v>22</v>
      </c>
      <c r="BG102" s="374">
        <v>10</v>
      </c>
      <c r="BH102" s="121">
        <f t="shared" si="92"/>
        <v>1.5277777777777777</v>
      </c>
      <c r="BI102" s="8">
        <f t="shared" si="81"/>
        <v>840.27777777777771</v>
      </c>
      <c r="BJ102" s="8">
        <f t="shared" si="82"/>
        <v>2.2000000000000002</v>
      </c>
      <c r="BK102" s="3">
        <f t="shared" si="93"/>
        <v>2210</v>
      </c>
      <c r="BL102" s="3">
        <v>0</v>
      </c>
      <c r="BW102" s="3">
        <f t="shared" si="94"/>
        <v>0</v>
      </c>
    </row>
    <row r="103" spans="1:75" x14ac:dyDescent="0.3">
      <c r="A103" s="375">
        <v>70</v>
      </c>
      <c r="B103" s="260"/>
      <c r="C103" s="261">
        <f t="shared" si="83"/>
        <v>4</v>
      </c>
      <c r="D103" s="371"/>
      <c r="E103" s="262"/>
      <c r="F103" s="261" t="str">
        <f t="shared" si="73"/>
        <v/>
      </c>
      <c r="G103" s="263" t="str">
        <f t="shared" si="73"/>
        <v/>
      </c>
      <c r="H103" s="264" t="str">
        <f t="shared" si="74"/>
        <v/>
      </c>
      <c r="I103" s="265" t="str">
        <f t="shared" si="84"/>
        <v/>
      </c>
      <c r="J103" s="264" t="str">
        <f t="shared" si="75"/>
        <v/>
      </c>
      <c r="K103" s="264">
        <f t="shared" si="76"/>
        <v>0</v>
      </c>
      <c r="L103" s="266"/>
      <c r="M103" s="267">
        <f t="shared" si="85"/>
        <v>1</v>
      </c>
      <c r="N103" s="296" t="str">
        <f t="shared" si="86"/>
        <v/>
      </c>
      <c r="O103" s="297" t="str">
        <f t="shared" si="77"/>
        <v/>
      </c>
      <c r="P103" s="298" t="str">
        <f t="shared" si="87"/>
        <v/>
      </c>
      <c r="Q103" s="268" t="str">
        <f t="shared" si="78"/>
        <v/>
      </c>
      <c r="R103" s="269"/>
      <c r="S103" s="270" t="str">
        <f t="shared" si="88"/>
        <v/>
      </c>
      <c r="T103" s="271" t="str">
        <f t="shared" si="89"/>
        <v/>
      </c>
      <c r="V103" s="3">
        <f t="shared" si="79"/>
        <v>40</v>
      </c>
      <c r="BC103" s="3">
        <f t="shared" si="90"/>
        <v>0</v>
      </c>
      <c r="BD103" s="3">
        <f t="shared" si="91"/>
        <v>0</v>
      </c>
      <c r="BE103" s="3">
        <f t="shared" si="80"/>
        <v>0</v>
      </c>
      <c r="BF103" s="374">
        <v>22</v>
      </c>
      <c r="BG103" s="374">
        <v>12</v>
      </c>
      <c r="BH103" s="121">
        <f t="shared" si="92"/>
        <v>1.8333333333333333</v>
      </c>
      <c r="BI103" s="8">
        <f t="shared" si="81"/>
        <v>1008.3333333333333</v>
      </c>
      <c r="BJ103" s="8">
        <f t="shared" si="82"/>
        <v>1.8333333333333333</v>
      </c>
      <c r="BK103" s="3">
        <f t="shared" si="93"/>
        <v>2212</v>
      </c>
      <c r="BL103" s="3">
        <v>0</v>
      </c>
      <c r="BW103" s="3">
        <f t="shared" si="94"/>
        <v>0</v>
      </c>
    </row>
    <row r="104" spans="1:75" x14ac:dyDescent="0.3">
      <c r="A104" s="375">
        <v>71</v>
      </c>
      <c r="B104" s="272"/>
      <c r="C104" s="261">
        <f t="shared" si="83"/>
        <v>4</v>
      </c>
      <c r="D104" s="372"/>
      <c r="E104" s="274"/>
      <c r="F104" s="273" t="str">
        <f t="shared" si="73"/>
        <v/>
      </c>
      <c r="G104" s="275" t="str">
        <f t="shared" si="73"/>
        <v/>
      </c>
      <c r="H104" s="276" t="str">
        <f t="shared" si="74"/>
        <v/>
      </c>
      <c r="I104" s="277" t="str">
        <f t="shared" si="84"/>
        <v/>
      </c>
      <c r="J104" s="276" t="str">
        <f t="shared" si="75"/>
        <v/>
      </c>
      <c r="K104" s="276">
        <f t="shared" si="76"/>
        <v>0</v>
      </c>
      <c r="L104" s="278"/>
      <c r="M104" s="279">
        <f t="shared" si="85"/>
        <v>1</v>
      </c>
      <c r="N104" s="299" t="str">
        <f t="shared" si="86"/>
        <v/>
      </c>
      <c r="O104" s="117" t="str">
        <f t="shared" si="77"/>
        <v/>
      </c>
      <c r="P104" s="300" t="str">
        <f t="shared" si="87"/>
        <v/>
      </c>
      <c r="Q104" s="280" t="str">
        <f t="shared" si="78"/>
        <v/>
      </c>
      <c r="R104" s="281"/>
      <c r="S104" s="282" t="str">
        <f t="shared" si="88"/>
        <v/>
      </c>
      <c r="T104" s="283" t="str">
        <f t="shared" si="89"/>
        <v/>
      </c>
      <c r="V104" s="3">
        <f t="shared" si="79"/>
        <v>40</v>
      </c>
      <c r="BC104" s="3">
        <f t="shared" si="90"/>
        <v>0</v>
      </c>
      <c r="BD104" s="3">
        <f t="shared" si="91"/>
        <v>0</v>
      </c>
      <c r="BE104" s="3">
        <f t="shared" si="80"/>
        <v>0</v>
      </c>
      <c r="BF104" s="374">
        <v>22</v>
      </c>
      <c r="BG104" s="374">
        <v>14</v>
      </c>
      <c r="BH104" s="121">
        <f t="shared" si="92"/>
        <v>2.1388888888888888</v>
      </c>
      <c r="BI104" s="8">
        <f t="shared" si="81"/>
        <v>1176.3888888888889</v>
      </c>
      <c r="BJ104" s="8">
        <f t="shared" si="82"/>
        <v>1.5714285714285714</v>
      </c>
      <c r="BK104" s="3">
        <f t="shared" si="93"/>
        <v>2214</v>
      </c>
      <c r="BL104" s="3">
        <v>0</v>
      </c>
      <c r="BW104" s="3">
        <f t="shared" si="94"/>
        <v>0</v>
      </c>
    </row>
    <row r="105" spans="1:75" x14ac:dyDescent="0.3">
      <c r="A105" s="375">
        <v>72</v>
      </c>
      <c r="B105" s="284"/>
      <c r="C105" s="261">
        <f t="shared" si="83"/>
        <v>4</v>
      </c>
      <c r="D105" s="373"/>
      <c r="E105" s="286"/>
      <c r="F105" s="285" t="str">
        <f t="shared" si="73"/>
        <v/>
      </c>
      <c r="G105" s="287" t="str">
        <f t="shared" si="73"/>
        <v/>
      </c>
      <c r="H105" s="288" t="str">
        <f t="shared" si="74"/>
        <v/>
      </c>
      <c r="I105" s="289" t="str">
        <f t="shared" si="84"/>
        <v/>
      </c>
      <c r="J105" s="288" t="str">
        <f t="shared" si="75"/>
        <v/>
      </c>
      <c r="K105" s="288">
        <f t="shared" si="76"/>
        <v>0</v>
      </c>
      <c r="L105" s="290"/>
      <c r="M105" s="291">
        <f t="shared" si="85"/>
        <v>1</v>
      </c>
      <c r="N105" s="301" t="str">
        <f t="shared" si="86"/>
        <v/>
      </c>
      <c r="O105" s="302" t="str">
        <f t="shared" si="77"/>
        <v/>
      </c>
      <c r="P105" s="303" t="str">
        <f t="shared" si="87"/>
        <v/>
      </c>
      <c r="Q105" s="292" t="str">
        <f t="shared" si="78"/>
        <v/>
      </c>
      <c r="R105" s="293"/>
      <c r="S105" s="294" t="str">
        <f t="shared" si="88"/>
        <v/>
      </c>
      <c r="T105" s="295" t="str">
        <f t="shared" si="89"/>
        <v/>
      </c>
      <c r="V105" s="3">
        <f t="shared" si="79"/>
        <v>40</v>
      </c>
      <c r="BC105" s="3">
        <f t="shared" si="90"/>
        <v>0</v>
      </c>
      <c r="BD105" s="3">
        <f t="shared" si="91"/>
        <v>0</v>
      </c>
      <c r="BE105" s="3">
        <f t="shared" si="80"/>
        <v>0</v>
      </c>
      <c r="BF105" s="374">
        <v>22</v>
      </c>
      <c r="BG105" s="374">
        <v>16</v>
      </c>
      <c r="BH105" s="121">
        <f t="shared" si="92"/>
        <v>2.4444444444444442</v>
      </c>
      <c r="BI105" s="8">
        <f t="shared" si="81"/>
        <v>1344.4444444444443</v>
      </c>
      <c r="BJ105" s="8">
        <f t="shared" si="82"/>
        <v>1.375</v>
      </c>
      <c r="BK105" s="3">
        <f t="shared" si="93"/>
        <v>2216</v>
      </c>
      <c r="BL105" s="3">
        <v>0</v>
      </c>
      <c r="BW105" s="3">
        <f t="shared" si="94"/>
        <v>0</v>
      </c>
    </row>
    <row r="106" spans="1:75" x14ac:dyDescent="0.3">
      <c r="A106" s="375">
        <v>73</v>
      </c>
      <c r="B106" s="260"/>
      <c r="C106" s="261">
        <f t="shared" si="83"/>
        <v>4</v>
      </c>
      <c r="D106" s="371"/>
      <c r="E106" s="262"/>
      <c r="F106" s="261" t="str">
        <f t="shared" si="73"/>
        <v/>
      </c>
      <c r="G106" s="263" t="str">
        <f t="shared" si="73"/>
        <v/>
      </c>
      <c r="H106" s="264" t="str">
        <f t="shared" si="74"/>
        <v/>
      </c>
      <c r="I106" s="265" t="str">
        <f t="shared" si="84"/>
        <v/>
      </c>
      <c r="J106" s="264" t="str">
        <f t="shared" si="75"/>
        <v/>
      </c>
      <c r="K106" s="264">
        <f t="shared" si="76"/>
        <v>0</v>
      </c>
      <c r="L106" s="266"/>
      <c r="M106" s="267">
        <f t="shared" si="85"/>
        <v>1</v>
      </c>
      <c r="N106" s="296" t="str">
        <f t="shared" si="86"/>
        <v/>
      </c>
      <c r="O106" s="297" t="str">
        <f t="shared" si="77"/>
        <v/>
      </c>
      <c r="P106" s="298" t="str">
        <f t="shared" si="87"/>
        <v/>
      </c>
      <c r="Q106" s="268" t="str">
        <f t="shared" si="78"/>
        <v/>
      </c>
      <c r="R106" s="269"/>
      <c r="S106" s="270" t="str">
        <f t="shared" si="88"/>
        <v/>
      </c>
      <c r="T106" s="271" t="str">
        <f t="shared" si="89"/>
        <v/>
      </c>
      <c r="V106" s="3">
        <f t="shared" si="79"/>
        <v>40</v>
      </c>
      <c r="BC106" s="3">
        <f t="shared" si="90"/>
        <v>0</v>
      </c>
      <c r="BD106" s="3">
        <f t="shared" si="91"/>
        <v>0</v>
      </c>
      <c r="BE106" s="3">
        <f t="shared" si="80"/>
        <v>0</v>
      </c>
      <c r="BF106" s="374">
        <v>24</v>
      </c>
      <c r="BG106" s="374">
        <v>10</v>
      </c>
      <c r="BH106" s="121">
        <f t="shared" si="92"/>
        <v>1.6666666666666667</v>
      </c>
      <c r="BI106" s="8">
        <f t="shared" si="81"/>
        <v>916.66666666666674</v>
      </c>
      <c r="BJ106" s="8">
        <f t="shared" si="82"/>
        <v>2.4</v>
      </c>
      <c r="BK106" s="3">
        <f t="shared" si="93"/>
        <v>2410</v>
      </c>
      <c r="BL106" s="3">
        <v>0</v>
      </c>
      <c r="BW106" s="3">
        <f t="shared" si="94"/>
        <v>0</v>
      </c>
    </row>
    <row r="107" spans="1:75" x14ac:dyDescent="0.3">
      <c r="A107" s="375">
        <v>74</v>
      </c>
      <c r="B107" s="272"/>
      <c r="C107" s="261">
        <f t="shared" si="83"/>
        <v>4</v>
      </c>
      <c r="D107" s="372"/>
      <c r="E107" s="274"/>
      <c r="F107" s="273" t="str">
        <f t="shared" si="73"/>
        <v/>
      </c>
      <c r="G107" s="275" t="str">
        <f t="shared" si="73"/>
        <v/>
      </c>
      <c r="H107" s="276" t="str">
        <f t="shared" si="74"/>
        <v/>
      </c>
      <c r="I107" s="277" t="str">
        <f t="shared" si="84"/>
        <v/>
      </c>
      <c r="J107" s="276" t="str">
        <f t="shared" si="75"/>
        <v/>
      </c>
      <c r="K107" s="276">
        <f t="shared" si="76"/>
        <v>0</v>
      </c>
      <c r="L107" s="278"/>
      <c r="M107" s="279">
        <f t="shared" si="85"/>
        <v>1</v>
      </c>
      <c r="N107" s="299" t="str">
        <f t="shared" si="86"/>
        <v/>
      </c>
      <c r="O107" s="117" t="str">
        <f t="shared" si="77"/>
        <v/>
      </c>
      <c r="P107" s="300" t="str">
        <f t="shared" si="87"/>
        <v/>
      </c>
      <c r="Q107" s="280" t="str">
        <f t="shared" si="78"/>
        <v/>
      </c>
      <c r="R107" s="281"/>
      <c r="S107" s="282" t="str">
        <f t="shared" si="88"/>
        <v/>
      </c>
      <c r="T107" s="283" t="str">
        <f t="shared" si="89"/>
        <v/>
      </c>
      <c r="V107" s="3">
        <f t="shared" si="79"/>
        <v>40</v>
      </c>
      <c r="BC107" s="3">
        <f t="shared" si="90"/>
        <v>0</v>
      </c>
      <c r="BD107" s="3">
        <f t="shared" si="91"/>
        <v>0</v>
      </c>
      <c r="BE107" s="3">
        <f t="shared" si="80"/>
        <v>0</v>
      </c>
      <c r="BF107" s="374">
        <v>24</v>
      </c>
      <c r="BG107" s="374">
        <v>12</v>
      </c>
      <c r="BH107" s="121">
        <f t="shared" si="92"/>
        <v>2</v>
      </c>
      <c r="BI107" s="8">
        <f t="shared" si="81"/>
        <v>1100</v>
      </c>
      <c r="BJ107" s="8">
        <f t="shared" si="82"/>
        <v>2</v>
      </c>
      <c r="BK107" s="3">
        <f t="shared" si="93"/>
        <v>2412</v>
      </c>
      <c r="BL107" s="3">
        <v>0</v>
      </c>
      <c r="BW107" s="3">
        <f t="shared" si="94"/>
        <v>0</v>
      </c>
    </row>
    <row r="108" spans="1:75" x14ac:dyDescent="0.3">
      <c r="A108" s="375">
        <v>75</v>
      </c>
      <c r="B108" s="284"/>
      <c r="C108" s="261">
        <f t="shared" si="83"/>
        <v>4</v>
      </c>
      <c r="D108" s="373"/>
      <c r="E108" s="286"/>
      <c r="F108" s="285" t="str">
        <f t="shared" si="73"/>
        <v/>
      </c>
      <c r="G108" s="287" t="str">
        <f t="shared" si="73"/>
        <v/>
      </c>
      <c r="H108" s="288" t="str">
        <f t="shared" si="74"/>
        <v/>
      </c>
      <c r="I108" s="289" t="str">
        <f t="shared" si="84"/>
        <v/>
      </c>
      <c r="J108" s="288" t="str">
        <f t="shared" si="75"/>
        <v/>
      </c>
      <c r="K108" s="288">
        <f t="shared" si="76"/>
        <v>0</v>
      </c>
      <c r="L108" s="290"/>
      <c r="M108" s="291">
        <f t="shared" si="85"/>
        <v>1</v>
      </c>
      <c r="N108" s="301" t="str">
        <f t="shared" si="86"/>
        <v/>
      </c>
      <c r="O108" s="302" t="str">
        <f t="shared" si="77"/>
        <v/>
      </c>
      <c r="P108" s="303" t="str">
        <f t="shared" si="87"/>
        <v/>
      </c>
      <c r="Q108" s="292" t="str">
        <f t="shared" si="78"/>
        <v/>
      </c>
      <c r="R108" s="293"/>
      <c r="S108" s="294" t="str">
        <f t="shared" si="88"/>
        <v/>
      </c>
      <c r="T108" s="295" t="str">
        <f t="shared" si="89"/>
        <v/>
      </c>
      <c r="V108" s="3">
        <f t="shared" si="79"/>
        <v>40</v>
      </c>
      <c r="BC108" s="3">
        <f t="shared" si="90"/>
        <v>0</v>
      </c>
      <c r="BD108" s="3">
        <f t="shared" si="91"/>
        <v>0</v>
      </c>
      <c r="BE108" s="3">
        <f t="shared" si="80"/>
        <v>0</v>
      </c>
      <c r="BF108" s="374">
        <v>24</v>
      </c>
      <c r="BG108" s="374">
        <v>14</v>
      </c>
      <c r="BH108" s="121">
        <f t="shared" si="92"/>
        <v>2.3333333333333335</v>
      </c>
      <c r="BI108" s="8">
        <f t="shared" si="81"/>
        <v>1283.3333333333335</v>
      </c>
      <c r="BJ108" s="8">
        <f t="shared" si="82"/>
        <v>1.7142857142857142</v>
      </c>
      <c r="BK108" s="3">
        <f t="shared" si="93"/>
        <v>2414</v>
      </c>
      <c r="BL108" s="3">
        <v>0</v>
      </c>
      <c r="BW108" s="3">
        <f t="shared" si="94"/>
        <v>0</v>
      </c>
    </row>
    <row r="109" spans="1:75" x14ac:dyDescent="0.3">
      <c r="A109" s="375">
        <v>76</v>
      </c>
      <c r="B109" s="260"/>
      <c r="C109" s="261">
        <f t="shared" si="83"/>
        <v>4</v>
      </c>
      <c r="D109" s="371"/>
      <c r="E109" s="262"/>
      <c r="F109" s="261" t="str">
        <f t="shared" si="73"/>
        <v/>
      </c>
      <c r="G109" s="263" t="str">
        <f t="shared" si="73"/>
        <v/>
      </c>
      <c r="H109" s="264" t="str">
        <f t="shared" si="74"/>
        <v/>
      </c>
      <c r="I109" s="265" t="str">
        <f t="shared" si="84"/>
        <v/>
      </c>
      <c r="J109" s="264" t="str">
        <f t="shared" si="75"/>
        <v/>
      </c>
      <c r="K109" s="264">
        <f t="shared" si="76"/>
        <v>0</v>
      </c>
      <c r="L109" s="266"/>
      <c r="M109" s="267">
        <f t="shared" si="85"/>
        <v>1</v>
      </c>
      <c r="N109" s="296" t="str">
        <f t="shared" si="86"/>
        <v/>
      </c>
      <c r="O109" s="297" t="str">
        <f t="shared" si="77"/>
        <v/>
      </c>
      <c r="P109" s="298" t="str">
        <f t="shared" si="87"/>
        <v/>
      </c>
      <c r="Q109" s="268" t="str">
        <f t="shared" si="78"/>
        <v/>
      </c>
      <c r="R109" s="269"/>
      <c r="S109" s="270" t="str">
        <f t="shared" si="88"/>
        <v/>
      </c>
      <c r="T109" s="271" t="str">
        <f t="shared" si="89"/>
        <v/>
      </c>
      <c r="V109" s="3">
        <f t="shared" si="79"/>
        <v>40</v>
      </c>
      <c r="BC109" s="3">
        <f t="shared" si="90"/>
        <v>0</v>
      </c>
      <c r="BD109" s="3">
        <f t="shared" si="91"/>
        <v>0</v>
      </c>
      <c r="BE109" s="3">
        <f t="shared" si="80"/>
        <v>0</v>
      </c>
      <c r="BF109" s="374">
        <v>24</v>
      </c>
      <c r="BG109" s="374">
        <v>16</v>
      </c>
      <c r="BH109" s="121">
        <f t="shared" si="92"/>
        <v>2.6666666666666665</v>
      </c>
      <c r="BI109" s="8">
        <f t="shared" si="81"/>
        <v>1466.6666666666665</v>
      </c>
      <c r="BJ109" s="8">
        <f t="shared" si="82"/>
        <v>1.5</v>
      </c>
      <c r="BK109" s="3">
        <f t="shared" si="93"/>
        <v>2416</v>
      </c>
      <c r="BL109" s="3">
        <v>0</v>
      </c>
      <c r="BW109" s="3">
        <f t="shared" si="94"/>
        <v>0</v>
      </c>
    </row>
    <row r="110" spans="1:75" x14ac:dyDescent="0.3">
      <c r="A110" s="375">
        <v>77</v>
      </c>
      <c r="B110" s="272"/>
      <c r="C110" s="261">
        <f t="shared" si="83"/>
        <v>4</v>
      </c>
      <c r="D110" s="372"/>
      <c r="E110" s="274"/>
      <c r="F110" s="273" t="str">
        <f t="shared" si="73"/>
        <v/>
      </c>
      <c r="G110" s="275" t="str">
        <f t="shared" si="73"/>
        <v/>
      </c>
      <c r="H110" s="276" t="str">
        <f t="shared" si="74"/>
        <v/>
      </c>
      <c r="I110" s="277" t="str">
        <f t="shared" si="84"/>
        <v/>
      </c>
      <c r="J110" s="276" t="str">
        <f t="shared" si="75"/>
        <v/>
      </c>
      <c r="K110" s="276">
        <f t="shared" si="76"/>
        <v>0</v>
      </c>
      <c r="L110" s="278"/>
      <c r="M110" s="279">
        <f t="shared" si="85"/>
        <v>1</v>
      </c>
      <c r="N110" s="299" t="str">
        <f t="shared" si="86"/>
        <v/>
      </c>
      <c r="O110" s="117" t="str">
        <f t="shared" si="77"/>
        <v/>
      </c>
      <c r="P110" s="300" t="str">
        <f t="shared" si="87"/>
        <v/>
      </c>
      <c r="Q110" s="280" t="str">
        <f t="shared" si="78"/>
        <v/>
      </c>
      <c r="R110" s="281"/>
      <c r="S110" s="282" t="str">
        <f t="shared" si="88"/>
        <v/>
      </c>
      <c r="T110" s="283" t="str">
        <f t="shared" si="89"/>
        <v/>
      </c>
      <c r="V110" s="3">
        <f t="shared" si="79"/>
        <v>40</v>
      </c>
      <c r="BC110" s="3">
        <f t="shared" si="90"/>
        <v>0</v>
      </c>
      <c r="BD110" s="3">
        <f t="shared" si="91"/>
        <v>0</v>
      </c>
      <c r="BE110" s="3">
        <f t="shared" si="80"/>
        <v>0</v>
      </c>
      <c r="BF110" s="374">
        <v>26</v>
      </c>
      <c r="BG110" s="374">
        <v>12</v>
      </c>
      <c r="BH110" s="121">
        <f>(BF110/12)*(BG110/12)</f>
        <v>2.1666666666666665</v>
      </c>
      <c r="BI110" s="8">
        <f t="shared" si="81"/>
        <v>1191.6666666666665</v>
      </c>
      <c r="BJ110" s="8">
        <f>BF110/BG110</f>
        <v>2.1666666666666665</v>
      </c>
      <c r="BK110" s="3">
        <f t="shared" si="93"/>
        <v>2612</v>
      </c>
      <c r="BL110" s="3">
        <v>0</v>
      </c>
      <c r="BW110" s="3">
        <f t="shared" si="94"/>
        <v>0</v>
      </c>
    </row>
    <row r="111" spans="1:75" x14ac:dyDescent="0.3">
      <c r="A111" s="375">
        <v>78</v>
      </c>
      <c r="B111" s="284"/>
      <c r="C111" s="261">
        <f t="shared" si="83"/>
        <v>4</v>
      </c>
      <c r="D111" s="373"/>
      <c r="E111" s="286"/>
      <c r="F111" s="285" t="str">
        <f t="shared" si="73"/>
        <v/>
      </c>
      <c r="G111" s="287" t="str">
        <f t="shared" si="73"/>
        <v/>
      </c>
      <c r="H111" s="288" t="str">
        <f t="shared" si="74"/>
        <v/>
      </c>
      <c r="I111" s="289" t="str">
        <f t="shared" si="84"/>
        <v/>
      </c>
      <c r="J111" s="288" t="str">
        <f t="shared" si="75"/>
        <v/>
      </c>
      <c r="K111" s="288">
        <f t="shared" si="76"/>
        <v>0</v>
      </c>
      <c r="L111" s="290"/>
      <c r="M111" s="291">
        <f t="shared" si="85"/>
        <v>1</v>
      </c>
      <c r="N111" s="301" t="str">
        <f t="shared" si="86"/>
        <v/>
      </c>
      <c r="O111" s="302" t="str">
        <f t="shared" si="77"/>
        <v/>
      </c>
      <c r="P111" s="303" t="str">
        <f t="shared" si="87"/>
        <v/>
      </c>
      <c r="Q111" s="292" t="str">
        <f t="shared" si="78"/>
        <v/>
      </c>
      <c r="R111" s="293"/>
      <c r="S111" s="294" t="str">
        <f t="shared" si="88"/>
        <v/>
      </c>
      <c r="T111" s="295" t="str">
        <f t="shared" si="89"/>
        <v/>
      </c>
      <c r="V111" s="3">
        <f t="shared" si="79"/>
        <v>40</v>
      </c>
      <c r="BC111" s="3">
        <f t="shared" si="90"/>
        <v>0</v>
      </c>
      <c r="BD111" s="3">
        <f t="shared" si="91"/>
        <v>0</v>
      </c>
      <c r="BE111" s="3">
        <f t="shared" si="80"/>
        <v>0</v>
      </c>
      <c r="BF111" s="374">
        <v>26</v>
      </c>
      <c r="BG111" s="374">
        <v>14</v>
      </c>
      <c r="BH111" s="121">
        <f>(BF111/12)*(BG111/12)</f>
        <v>2.5277777777777777</v>
      </c>
      <c r="BI111" s="8">
        <f t="shared" si="81"/>
        <v>1390.2777777777778</v>
      </c>
      <c r="BJ111" s="8">
        <f>BF111/BG111</f>
        <v>1.8571428571428572</v>
      </c>
      <c r="BK111" s="3">
        <f t="shared" si="93"/>
        <v>2614</v>
      </c>
      <c r="BL111" s="3">
        <v>0</v>
      </c>
      <c r="BW111" s="3">
        <f t="shared" si="94"/>
        <v>0</v>
      </c>
    </row>
    <row r="112" spans="1:75" x14ac:dyDescent="0.3">
      <c r="A112" s="375">
        <v>79</v>
      </c>
      <c r="B112" s="260"/>
      <c r="C112" s="261">
        <f t="shared" si="83"/>
        <v>4</v>
      </c>
      <c r="D112" s="371"/>
      <c r="E112" s="262"/>
      <c r="F112" s="261" t="str">
        <f t="shared" si="73"/>
        <v/>
      </c>
      <c r="G112" s="263" t="str">
        <f t="shared" si="73"/>
        <v/>
      </c>
      <c r="H112" s="264" t="str">
        <f t="shared" si="74"/>
        <v/>
      </c>
      <c r="I112" s="265" t="str">
        <f t="shared" si="84"/>
        <v/>
      </c>
      <c r="J112" s="264" t="str">
        <f t="shared" si="75"/>
        <v/>
      </c>
      <c r="K112" s="264">
        <f t="shared" si="76"/>
        <v>0</v>
      </c>
      <c r="L112" s="266"/>
      <c r="M112" s="267">
        <f t="shared" si="85"/>
        <v>1</v>
      </c>
      <c r="N112" s="296" t="str">
        <f t="shared" si="86"/>
        <v/>
      </c>
      <c r="O112" s="297" t="str">
        <f t="shared" si="77"/>
        <v/>
      </c>
      <c r="P112" s="298" t="str">
        <f t="shared" si="87"/>
        <v/>
      </c>
      <c r="Q112" s="268" t="str">
        <f t="shared" si="78"/>
        <v/>
      </c>
      <c r="R112" s="269"/>
      <c r="S112" s="270" t="str">
        <f t="shared" si="88"/>
        <v/>
      </c>
      <c r="T112" s="271" t="str">
        <f t="shared" si="89"/>
        <v/>
      </c>
      <c r="V112" s="3">
        <f t="shared" si="79"/>
        <v>40</v>
      </c>
      <c r="BC112" s="3">
        <f t="shared" si="90"/>
        <v>0</v>
      </c>
      <c r="BD112" s="3">
        <f t="shared" si="91"/>
        <v>0</v>
      </c>
      <c r="BE112" s="3">
        <f t="shared" si="80"/>
        <v>0</v>
      </c>
      <c r="BF112" s="374">
        <v>28</v>
      </c>
      <c r="BG112" s="374">
        <v>12</v>
      </c>
      <c r="BH112" s="121">
        <f>(BF112/12)*(BG112/12)</f>
        <v>2.3333333333333335</v>
      </c>
      <c r="BI112" s="8">
        <f t="shared" si="81"/>
        <v>1283.3333333333335</v>
      </c>
      <c r="BJ112" s="8">
        <f>BF112/BG112</f>
        <v>2.3333333333333335</v>
      </c>
      <c r="BK112" s="3">
        <f t="shared" si="93"/>
        <v>2812</v>
      </c>
      <c r="BL112" s="3">
        <v>0</v>
      </c>
      <c r="BW112" s="3">
        <f t="shared" si="94"/>
        <v>0</v>
      </c>
    </row>
    <row r="113" spans="1:75" x14ac:dyDescent="0.3">
      <c r="A113" s="375">
        <v>80</v>
      </c>
      <c r="B113" s="272"/>
      <c r="C113" s="261">
        <f t="shared" si="83"/>
        <v>4</v>
      </c>
      <c r="D113" s="372"/>
      <c r="E113" s="274"/>
      <c r="F113" s="273" t="str">
        <f t="shared" si="73"/>
        <v/>
      </c>
      <c r="G113" s="275" t="str">
        <f t="shared" si="73"/>
        <v/>
      </c>
      <c r="H113" s="276" t="str">
        <f t="shared" si="74"/>
        <v/>
      </c>
      <c r="I113" s="277" t="str">
        <f t="shared" si="84"/>
        <v/>
      </c>
      <c r="J113" s="276" t="str">
        <f t="shared" si="75"/>
        <v/>
      </c>
      <c r="K113" s="276">
        <f t="shared" si="76"/>
        <v>0</v>
      </c>
      <c r="L113" s="278"/>
      <c r="M113" s="279">
        <f t="shared" si="85"/>
        <v>1</v>
      </c>
      <c r="N113" s="299" t="str">
        <f t="shared" si="86"/>
        <v/>
      </c>
      <c r="O113" s="117" t="str">
        <f t="shared" si="77"/>
        <v/>
      </c>
      <c r="P113" s="300" t="str">
        <f t="shared" si="87"/>
        <v/>
      </c>
      <c r="Q113" s="280" t="str">
        <f t="shared" si="78"/>
        <v/>
      </c>
      <c r="R113" s="281"/>
      <c r="S113" s="282" t="str">
        <f t="shared" si="88"/>
        <v/>
      </c>
      <c r="T113" s="283" t="str">
        <f t="shared" si="89"/>
        <v/>
      </c>
      <c r="V113" s="3">
        <f t="shared" si="79"/>
        <v>40</v>
      </c>
      <c r="BC113" s="3">
        <f t="shared" si="90"/>
        <v>0</v>
      </c>
      <c r="BD113" s="3">
        <f t="shared" si="91"/>
        <v>0</v>
      </c>
      <c r="BE113" s="3">
        <f t="shared" si="80"/>
        <v>0</v>
      </c>
      <c r="BF113" s="374">
        <v>28</v>
      </c>
      <c r="BG113" s="374">
        <v>14</v>
      </c>
      <c r="BH113" s="121">
        <f>(BF113/12)*(BG113/12)</f>
        <v>2.7222222222222228</v>
      </c>
      <c r="BI113" s="8">
        <f t="shared" si="81"/>
        <v>1497.2222222222226</v>
      </c>
      <c r="BJ113" s="8">
        <f>BF113/BG113</f>
        <v>2</v>
      </c>
      <c r="BK113" s="3">
        <f t="shared" si="93"/>
        <v>2814</v>
      </c>
      <c r="BL113" s="3">
        <v>0</v>
      </c>
      <c r="BW113" s="3">
        <f t="shared" si="94"/>
        <v>0</v>
      </c>
    </row>
    <row r="114" spans="1:75" x14ac:dyDescent="0.3">
      <c r="A114" s="375">
        <v>81</v>
      </c>
      <c r="B114" s="284"/>
      <c r="C114" s="261">
        <f t="shared" si="83"/>
        <v>4</v>
      </c>
      <c r="D114" s="373"/>
      <c r="E114" s="286"/>
      <c r="F114" s="285" t="str">
        <f t="shared" ref="F114:G133" si="95">IFERROR(VLOOKUP($E114,DMFA,F$29,FALSE),"")</f>
        <v/>
      </c>
      <c r="G114" s="287" t="str">
        <f t="shared" si="95"/>
        <v/>
      </c>
      <c r="H114" s="288" t="str">
        <f t="shared" si="74"/>
        <v/>
      </c>
      <c r="I114" s="289" t="str">
        <f t="shared" si="84"/>
        <v/>
      </c>
      <c r="J114" s="288" t="str">
        <f t="shared" si="75"/>
        <v/>
      </c>
      <c r="K114" s="288">
        <f t="shared" si="76"/>
        <v>0</v>
      </c>
      <c r="L114" s="290"/>
      <c r="M114" s="291">
        <f t="shared" si="85"/>
        <v>1</v>
      </c>
      <c r="N114" s="301" t="str">
        <f t="shared" si="86"/>
        <v/>
      </c>
      <c r="O114" s="302" t="str">
        <f t="shared" si="77"/>
        <v/>
      </c>
      <c r="P114" s="303" t="str">
        <f t="shared" si="87"/>
        <v/>
      </c>
      <c r="Q114" s="292" t="str">
        <f t="shared" si="78"/>
        <v/>
      </c>
      <c r="R114" s="293"/>
      <c r="S114" s="294" t="str">
        <f t="shared" si="88"/>
        <v/>
      </c>
      <c r="T114" s="295" t="str">
        <f t="shared" si="89"/>
        <v/>
      </c>
      <c r="V114" s="3">
        <f t="shared" si="79"/>
        <v>40</v>
      </c>
      <c r="BC114" s="3">
        <f t="shared" si="90"/>
        <v>0</v>
      </c>
      <c r="BD114" s="3">
        <f t="shared" si="91"/>
        <v>0</v>
      </c>
      <c r="BE114" s="3">
        <f t="shared" si="80"/>
        <v>0</v>
      </c>
      <c r="BF114" s="374">
        <v>30</v>
      </c>
      <c r="BG114" s="374">
        <v>12</v>
      </c>
      <c r="BH114" s="121">
        <f>(BF114/12)*(BG114/12)</f>
        <v>2.5</v>
      </c>
      <c r="BI114" s="8">
        <f t="shared" si="81"/>
        <v>1375</v>
      </c>
      <c r="BJ114" s="8">
        <f>BF114/BG114</f>
        <v>2.5</v>
      </c>
      <c r="BK114" s="3">
        <f t="shared" si="93"/>
        <v>3012</v>
      </c>
      <c r="BL114" s="3">
        <v>0</v>
      </c>
      <c r="BW114" s="3">
        <f t="shared" si="94"/>
        <v>0</v>
      </c>
    </row>
    <row r="115" spans="1:75" x14ac:dyDescent="0.3">
      <c r="A115" s="375">
        <v>82</v>
      </c>
      <c r="B115" s="260"/>
      <c r="C115" s="261">
        <f t="shared" si="83"/>
        <v>4</v>
      </c>
      <c r="D115" s="371"/>
      <c r="E115" s="262"/>
      <c r="F115" s="261" t="str">
        <f t="shared" si="95"/>
        <v/>
      </c>
      <c r="G115" s="263" t="str">
        <f t="shared" si="95"/>
        <v/>
      </c>
      <c r="H115" s="264" t="str">
        <f t="shared" si="74"/>
        <v/>
      </c>
      <c r="I115" s="265" t="str">
        <f t="shared" si="84"/>
        <v/>
      </c>
      <c r="J115" s="264" t="str">
        <f t="shared" si="75"/>
        <v/>
      </c>
      <c r="K115" s="264">
        <f t="shared" si="76"/>
        <v>0</v>
      </c>
      <c r="L115" s="266"/>
      <c r="M115" s="267">
        <f t="shared" si="85"/>
        <v>1</v>
      </c>
      <c r="N115" s="296" t="str">
        <f t="shared" si="86"/>
        <v/>
      </c>
      <c r="O115" s="297" t="str">
        <f t="shared" si="77"/>
        <v/>
      </c>
      <c r="P115" s="298" t="str">
        <f t="shared" si="87"/>
        <v/>
      </c>
      <c r="Q115" s="268" t="str">
        <f t="shared" si="78"/>
        <v/>
      </c>
      <c r="R115" s="269"/>
      <c r="S115" s="270" t="str">
        <f t="shared" si="88"/>
        <v/>
      </c>
      <c r="T115" s="271" t="str">
        <f t="shared" si="89"/>
        <v/>
      </c>
      <c r="V115" s="3">
        <f t="shared" si="79"/>
        <v>40</v>
      </c>
      <c r="BC115" s="3">
        <f t="shared" si="90"/>
        <v>0</v>
      </c>
      <c r="BD115" s="3">
        <f t="shared" si="91"/>
        <v>0</v>
      </c>
      <c r="BE115" s="3">
        <f t="shared" si="80"/>
        <v>0</v>
      </c>
      <c r="BL115" s="3">
        <v>0</v>
      </c>
      <c r="BW115" s="3">
        <f t="shared" si="94"/>
        <v>0</v>
      </c>
    </row>
    <row r="116" spans="1:75" x14ac:dyDescent="0.3">
      <c r="A116" s="375">
        <v>83</v>
      </c>
      <c r="B116" s="272"/>
      <c r="C116" s="261">
        <f t="shared" si="83"/>
        <v>4</v>
      </c>
      <c r="D116" s="372"/>
      <c r="E116" s="274"/>
      <c r="F116" s="273" t="str">
        <f t="shared" si="95"/>
        <v/>
      </c>
      <c r="G116" s="275" t="str">
        <f t="shared" si="95"/>
        <v/>
      </c>
      <c r="H116" s="276" t="str">
        <f t="shared" si="74"/>
        <v/>
      </c>
      <c r="I116" s="277" t="str">
        <f t="shared" si="84"/>
        <v/>
      </c>
      <c r="J116" s="276" t="str">
        <f t="shared" si="75"/>
        <v/>
      </c>
      <c r="K116" s="276">
        <f t="shared" si="76"/>
        <v>0</v>
      </c>
      <c r="L116" s="278"/>
      <c r="M116" s="279">
        <f t="shared" si="85"/>
        <v>1</v>
      </c>
      <c r="N116" s="299" t="str">
        <f t="shared" si="86"/>
        <v/>
      </c>
      <c r="O116" s="117" t="str">
        <f t="shared" si="77"/>
        <v/>
      </c>
      <c r="P116" s="300" t="str">
        <f t="shared" si="87"/>
        <v/>
      </c>
      <c r="Q116" s="280" t="str">
        <f t="shared" si="78"/>
        <v/>
      </c>
      <c r="R116" s="281"/>
      <c r="S116" s="282" t="str">
        <f t="shared" si="88"/>
        <v/>
      </c>
      <c r="T116" s="283" t="str">
        <f t="shared" si="89"/>
        <v/>
      </c>
      <c r="V116" s="3">
        <f t="shared" si="79"/>
        <v>40</v>
      </c>
      <c r="BC116" s="3">
        <f t="shared" si="90"/>
        <v>0</v>
      </c>
      <c r="BD116" s="3">
        <f t="shared" si="91"/>
        <v>0</v>
      </c>
      <c r="BE116" s="3">
        <f t="shared" si="80"/>
        <v>0</v>
      </c>
      <c r="BW116" s="3">
        <f t="shared" si="94"/>
        <v>0</v>
      </c>
    </row>
    <row r="117" spans="1:75" x14ac:dyDescent="0.3">
      <c r="A117" s="375">
        <v>84</v>
      </c>
      <c r="B117" s="284"/>
      <c r="C117" s="261">
        <f t="shared" si="83"/>
        <v>4</v>
      </c>
      <c r="D117" s="373"/>
      <c r="E117" s="286"/>
      <c r="F117" s="285" t="str">
        <f t="shared" si="95"/>
        <v/>
      </c>
      <c r="G117" s="287" t="str">
        <f t="shared" si="95"/>
        <v/>
      </c>
      <c r="H117" s="288" t="str">
        <f t="shared" si="74"/>
        <v/>
      </c>
      <c r="I117" s="289" t="str">
        <f t="shared" si="84"/>
        <v/>
      </c>
      <c r="J117" s="288" t="str">
        <f t="shared" si="75"/>
        <v/>
      </c>
      <c r="K117" s="288">
        <f t="shared" si="76"/>
        <v>0</v>
      </c>
      <c r="L117" s="290"/>
      <c r="M117" s="291">
        <f t="shared" si="85"/>
        <v>1</v>
      </c>
      <c r="N117" s="301" t="str">
        <f t="shared" si="86"/>
        <v/>
      </c>
      <c r="O117" s="302" t="str">
        <f t="shared" si="77"/>
        <v/>
      </c>
      <c r="P117" s="303" t="str">
        <f t="shared" si="87"/>
        <v/>
      </c>
      <c r="Q117" s="292" t="str">
        <f t="shared" si="78"/>
        <v/>
      </c>
      <c r="R117" s="293"/>
      <c r="S117" s="294" t="str">
        <f t="shared" si="88"/>
        <v/>
      </c>
      <c r="T117" s="295" t="str">
        <f t="shared" si="89"/>
        <v/>
      </c>
      <c r="V117" s="3">
        <f t="shared" si="79"/>
        <v>40</v>
      </c>
      <c r="BC117" s="3">
        <f t="shared" si="90"/>
        <v>0</v>
      </c>
      <c r="BD117" s="3">
        <f t="shared" si="91"/>
        <v>0</v>
      </c>
      <c r="BE117" s="3">
        <f t="shared" si="80"/>
        <v>0</v>
      </c>
      <c r="BW117" s="3">
        <f t="shared" si="94"/>
        <v>0</v>
      </c>
    </row>
    <row r="118" spans="1:75" x14ac:dyDescent="0.3">
      <c r="A118" s="375">
        <v>85</v>
      </c>
      <c r="B118" s="260"/>
      <c r="C118" s="261">
        <f t="shared" si="83"/>
        <v>4</v>
      </c>
      <c r="D118" s="371"/>
      <c r="E118" s="262"/>
      <c r="F118" s="261" t="str">
        <f t="shared" si="95"/>
        <v/>
      </c>
      <c r="G118" s="263" t="str">
        <f t="shared" si="95"/>
        <v/>
      </c>
      <c r="H118" s="264" t="str">
        <f t="shared" si="74"/>
        <v/>
      </c>
      <c r="I118" s="265" t="str">
        <f t="shared" si="84"/>
        <v/>
      </c>
      <c r="J118" s="264" t="str">
        <f t="shared" si="75"/>
        <v/>
      </c>
      <c r="K118" s="264">
        <f t="shared" si="76"/>
        <v>0</v>
      </c>
      <c r="L118" s="266"/>
      <c r="M118" s="267">
        <f t="shared" si="85"/>
        <v>1</v>
      </c>
      <c r="N118" s="296" t="str">
        <f t="shared" si="86"/>
        <v/>
      </c>
      <c r="O118" s="297" t="str">
        <f t="shared" si="77"/>
        <v/>
      </c>
      <c r="P118" s="298" t="str">
        <f t="shared" si="87"/>
        <v/>
      </c>
      <c r="Q118" s="268" t="str">
        <f t="shared" si="78"/>
        <v/>
      </c>
      <c r="R118" s="269"/>
      <c r="S118" s="270" t="str">
        <f t="shared" si="88"/>
        <v/>
      </c>
      <c r="T118" s="271" t="str">
        <f t="shared" si="89"/>
        <v/>
      </c>
      <c r="V118" s="3">
        <f t="shared" si="79"/>
        <v>40</v>
      </c>
      <c r="BC118" s="3">
        <f t="shared" si="90"/>
        <v>0</v>
      </c>
      <c r="BD118" s="3">
        <f t="shared" si="91"/>
        <v>0</v>
      </c>
      <c r="BE118" s="3">
        <f t="shared" si="80"/>
        <v>0</v>
      </c>
      <c r="BW118" s="3">
        <f t="shared" si="94"/>
        <v>0</v>
      </c>
    </row>
    <row r="119" spans="1:75" x14ac:dyDescent="0.3">
      <c r="A119" s="375">
        <v>86</v>
      </c>
      <c r="B119" s="272"/>
      <c r="C119" s="261">
        <f t="shared" si="83"/>
        <v>4</v>
      </c>
      <c r="D119" s="372"/>
      <c r="E119" s="274"/>
      <c r="F119" s="273" t="str">
        <f t="shared" si="95"/>
        <v/>
      </c>
      <c r="G119" s="275" t="str">
        <f t="shared" si="95"/>
        <v/>
      </c>
      <c r="H119" s="276" t="str">
        <f t="shared" si="74"/>
        <v/>
      </c>
      <c r="I119" s="277" t="str">
        <f t="shared" si="84"/>
        <v/>
      </c>
      <c r="J119" s="276" t="str">
        <f t="shared" si="75"/>
        <v/>
      </c>
      <c r="K119" s="276">
        <f t="shared" si="76"/>
        <v>0</v>
      </c>
      <c r="L119" s="278"/>
      <c r="M119" s="279">
        <f t="shared" si="85"/>
        <v>1</v>
      </c>
      <c r="N119" s="299" t="str">
        <f t="shared" si="86"/>
        <v/>
      </c>
      <c r="O119" s="117" t="str">
        <f t="shared" si="77"/>
        <v/>
      </c>
      <c r="P119" s="300" t="str">
        <f t="shared" si="87"/>
        <v/>
      </c>
      <c r="Q119" s="280" t="str">
        <f t="shared" si="78"/>
        <v/>
      </c>
      <c r="R119" s="281"/>
      <c r="S119" s="282" t="str">
        <f t="shared" si="88"/>
        <v/>
      </c>
      <c r="T119" s="283" t="str">
        <f t="shared" si="89"/>
        <v/>
      </c>
      <c r="V119" s="3">
        <f t="shared" si="79"/>
        <v>40</v>
      </c>
      <c r="BC119" s="3">
        <f t="shared" si="90"/>
        <v>0</v>
      </c>
      <c r="BD119" s="3">
        <f t="shared" si="91"/>
        <v>0</v>
      </c>
      <c r="BE119" s="3">
        <f t="shared" si="80"/>
        <v>0</v>
      </c>
      <c r="BW119" s="3">
        <f t="shared" si="94"/>
        <v>0</v>
      </c>
    </row>
    <row r="120" spans="1:75" x14ac:dyDescent="0.3">
      <c r="A120" s="259">
        <v>87</v>
      </c>
      <c r="B120" s="284"/>
      <c r="C120" s="261">
        <f t="shared" si="83"/>
        <v>4</v>
      </c>
      <c r="D120" s="373"/>
      <c r="E120" s="286"/>
      <c r="F120" s="285" t="str">
        <f t="shared" si="95"/>
        <v/>
      </c>
      <c r="G120" s="287" t="str">
        <f t="shared" si="95"/>
        <v/>
      </c>
      <c r="H120" s="288" t="str">
        <f t="shared" si="74"/>
        <v/>
      </c>
      <c r="I120" s="289" t="str">
        <f t="shared" si="84"/>
        <v/>
      </c>
      <c r="J120" s="288" t="str">
        <f t="shared" si="75"/>
        <v/>
      </c>
      <c r="K120" s="288">
        <f t="shared" si="76"/>
        <v>0</v>
      </c>
      <c r="L120" s="290"/>
      <c r="M120" s="291">
        <f t="shared" si="85"/>
        <v>1</v>
      </c>
      <c r="N120" s="301" t="str">
        <f t="shared" si="86"/>
        <v/>
      </c>
      <c r="O120" s="302" t="str">
        <f t="shared" si="77"/>
        <v/>
      </c>
      <c r="P120" s="303" t="str">
        <f t="shared" si="87"/>
        <v/>
      </c>
      <c r="Q120" s="292" t="str">
        <f t="shared" si="78"/>
        <v/>
      </c>
      <c r="R120" s="293"/>
      <c r="S120" s="294" t="str">
        <f t="shared" si="88"/>
        <v/>
      </c>
      <c r="T120" s="295" t="str">
        <f t="shared" si="89"/>
        <v/>
      </c>
      <c r="V120" s="3">
        <f t="shared" si="79"/>
        <v>40</v>
      </c>
      <c r="BC120" s="3">
        <f t="shared" si="90"/>
        <v>0</v>
      </c>
      <c r="BD120" s="3">
        <f t="shared" si="91"/>
        <v>0</v>
      </c>
      <c r="BE120" s="3">
        <f t="shared" si="80"/>
        <v>0</v>
      </c>
      <c r="BW120" s="3">
        <f t="shared" si="94"/>
        <v>0</v>
      </c>
    </row>
    <row r="121" spans="1:75" x14ac:dyDescent="0.3">
      <c r="A121" s="375">
        <v>88</v>
      </c>
      <c r="B121" s="260"/>
      <c r="C121" s="261">
        <f t="shared" si="83"/>
        <v>4</v>
      </c>
      <c r="D121" s="371"/>
      <c r="E121" s="262"/>
      <c r="F121" s="261" t="str">
        <f t="shared" si="95"/>
        <v/>
      </c>
      <c r="G121" s="263" t="str">
        <f t="shared" si="95"/>
        <v/>
      </c>
      <c r="H121" s="264" t="str">
        <f t="shared" si="74"/>
        <v/>
      </c>
      <c r="I121" s="265" t="str">
        <f t="shared" si="84"/>
        <v/>
      </c>
      <c r="J121" s="264" t="str">
        <f t="shared" si="75"/>
        <v/>
      </c>
      <c r="K121" s="264">
        <f t="shared" si="76"/>
        <v>0</v>
      </c>
      <c r="L121" s="266"/>
      <c r="M121" s="267">
        <f t="shared" si="85"/>
        <v>1</v>
      </c>
      <c r="N121" s="296" t="str">
        <f t="shared" si="86"/>
        <v/>
      </c>
      <c r="O121" s="297" t="str">
        <f t="shared" si="77"/>
        <v/>
      </c>
      <c r="P121" s="298" t="str">
        <f t="shared" si="87"/>
        <v/>
      </c>
      <c r="Q121" s="268" t="str">
        <f t="shared" si="78"/>
        <v/>
      </c>
      <c r="R121" s="269"/>
      <c r="S121" s="270" t="str">
        <f t="shared" si="88"/>
        <v/>
      </c>
      <c r="T121" s="271" t="str">
        <f t="shared" si="89"/>
        <v/>
      </c>
      <c r="V121" s="3">
        <f t="shared" si="79"/>
        <v>40</v>
      </c>
      <c r="BC121" s="3">
        <f t="shared" si="90"/>
        <v>0</v>
      </c>
      <c r="BD121" s="3">
        <f t="shared" si="91"/>
        <v>0</v>
      </c>
      <c r="BE121" s="3">
        <f t="shared" si="80"/>
        <v>0</v>
      </c>
      <c r="BW121" s="3">
        <f t="shared" si="94"/>
        <v>0</v>
      </c>
    </row>
    <row r="122" spans="1:75" x14ac:dyDescent="0.3">
      <c r="A122" s="375">
        <v>89</v>
      </c>
      <c r="B122" s="272"/>
      <c r="C122" s="261">
        <f t="shared" si="83"/>
        <v>4</v>
      </c>
      <c r="D122" s="372"/>
      <c r="E122" s="274"/>
      <c r="F122" s="273" t="str">
        <f t="shared" si="95"/>
        <v/>
      </c>
      <c r="G122" s="275" t="str">
        <f t="shared" si="95"/>
        <v/>
      </c>
      <c r="H122" s="276" t="str">
        <f t="shared" si="74"/>
        <v/>
      </c>
      <c r="I122" s="277" t="str">
        <f t="shared" si="84"/>
        <v/>
      </c>
      <c r="J122" s="276" t="str">
        <f t="shared" si="75"/>
        <v/>
      </c>
      <c r="K122" s="276">
        <f t="shared" si="76"/>
        <v>0</v>
      </c>
      <c r="L122" s="278"/>
      <c r="M122" s="279">
        <f t="shared" si="85"/>
        <v>1</v>
      </c>
      <c r="N122" s="299" t="str">
        <f t="shared" si="86"/>
        <v/>
      </c>
      <c r="O122" s="117" t="str">
        <f t="shared" si="77"/>
        <v/>
      </c>
      <c r="P122" s="300" t="str">
        <f t="shared" si="87"/>
        <v/>
      </c>
      <c r="Q122" s="280" t="str">
        <f t="shared" si="78"/>
        <v/>
      </c>
      <c r="R122" s="281"/>
      <c r="S122" s="282" t="str">
        <f t="shared" si="88"/>
        <v/>
      </c>
      <c r="T122" s="283" t="str">
        <f t="shared" si="89"/>
        <v/>
      </c>
      <c r="V122" s="3">
        <f t="shared" si="79"/>
        <v>40</v>
      </c>
      <c r="BC122" s="3">
        <f t="shared" si="90"/>
        <v>0</v>
      </c>
      <c r="BD122" s="3">
        <f t="shared" si="91"/>
        <v>0</v>
      </c>
      <c r="BE122" s="3">
        <f t="shared" si="80"/>
        <v>0</v>
      </c>
      <c r="BW122" s="3">
        <f t="shared" si="94"/>
        <v>0</v>
      </c>
    </row>
    <row r="123" spans="1:75" x14ac:dyDescent="0.3">
      <c r="A123" s="375">
        <v>90</v>
      </c>
      <c r="B123" s="284"/>
      <c r="C123" s="261">
        <f t="shared" si="83"/>
        <v>4</v>
      </c>
      <c r="D123" s="373"/>
      <c r="E123" s="286"/>
      <c r="F123" s="285" t="str">
        <f t="shared" si="95"/>
        <v/>
      </c>
      <c r="G123" s="287" t="str">
        <f t="shared" si="95"/>
        <v/>
      </c>
      <c r="H123" s="288" t="str">
        <f t="shared" si="74"/>
        <v/>
      </c>
      <c r="I123" s="289" t="str">
        <f t="shared" si="84"/>
        <v/>
      </c>
      <c r="J123" s="288" t="str">
        <f t="shared" si="75"/>
        <v/>
      </c>
      <c r="K123" s="288">
        <f t="shared" si="76"/>
        <v>0</v>
      </c>
      <c r="L123" s="290"/>
      <c r="M123" s="291">
        <f t="shared" si="85"/>
        <v>1</v>
      </c>
      <c r="N123" s="301" t="str">
        <f t="shared" si="86"/>
        <v/>
      </c>
      <c r="O123" s="302" t="str">
        <f t="shared" si="77"/>
        <v/>
      </c>
      <c r="P123" s="303" t="str">
        <f t="shared" si="87"/>
        <v/>
      </c>
      <c r="Q123" s="292" t="str">
        <f t="shared" si="78"/>
        <v/>
      </c>
      <c r="R123" s="293"/>
      <c r="S123" s="294" t="str">
        <f t="shared" si="88"/>
        <v/>
      </c>
      <c r="T123" s="295" t="str">
        <f t="shared" si="89"/>
        <v/>
      </c>
      <c r="V123" s="3">
        <f t="shared" si="79"/>
        <v>40</v>
      </c>
      <c r="BC123" s="3">
        <f t="shared" si="90"/>
        <v>0</v>
      </c>
      <c r="BD123" s="3">
        <f t="shared" si="91"/>
        <v>0</v>
      </c>
      <c r="BE123" s="3">
        <f t="shared" si="80"/>
        <v>0</v>
      </c>
      <c r="BH123" s="121"/>
      <c r="BI123" s="8"/>
      <c r="BJ123" s="8"/>
      <c r="BW123" s="3">
        <f t="shared" si="94"/>
        <v>0</v>
      </c>
    </row>
    <row r="124" spans="1:75" x14ac:dyDescent="0.3">
      <c r="A124" s="375">
        <v>91</v>
      </c>
      <c r="B124" s="260"/>
      <c r="C124" s="261">
        <f t="shared" si="83"/>
        <v>4</v>
      </c>
      <c r="D124" s="371"/>
      <c r="E124" s="262"/>
      <c r="F124" s="261" t="str">
        <f t="shared" si="95"/>
        <v/>
      </c>
      <c r="G124" s="263" t="str">
        <f t="shared" si="95"/>
        <v/>
      </c>
      <c r="H124" s="264" t="str">
        <f t="shared" si="74"/>
        <v/>
      </c>
      <c r="I124" s="265" t="str">
        <f t="shared" si="84"/>
        <v/>
      </c>
      <c r="J124" s="264" t="str">
        <f t="shared" si="75"/>
        <v/>
      </c>
      <c r="K124" s="264">
        <f t="shared" si="76"/>
        <v>0</v>
      </c>
      <c r="L124" s="266"/>
      <c r="M124" s="267">
        <f t="shared" si="85"/>
        <v>1</v>
      </c>
      <c r="N124" s="296" t="str">
        <f t="shared" si="86"/>
        <v/>
      </c>
      <c r="O124" s="297" t="str">
        <f t="shared" si="77"/>
        <v/>
      </c>
      <c r="P124" s="298" t="str">
        <f t="shared" si="87"/>
        <v/>
      </c>
      <c r="Q124" s="268" t="str">
        <f t="shared" si="78"/>
        <v/>
      </c>
      <c r="R124" s="269"/>
      <c r="S124" s="270" t="str">
        <f t="shared" si="88"/>
        <v/>
      </c>
      <c r="T124" s="271" t="str">
        <f t="shared" si="89"/>
        <v/>
      </c>
      <c r="V124" s="3">
        <f t="shared" si="79"/>
        <v>40</v>
      </c>
      <c r="BC124" s="3">
        <f t="shared" si="90"/>
        <v>0</v>
      </c>
      <c r="BD124" s="3">
        <f t="shared" si="91"/>
        <v>0</v>
      </c>
      <c r="BE124" s="3">
        <f t="shared" si="80"/>
        <v>0</v>
      </c>
      <c r="BH124" s="121"/>
      <c r="BI124" s="8"/>
      <c r="BJ124" s="8"/>
      <c r="BW124" s="3">
        <f t="shared" si="94"/>
        <v>0</v>
      </c>
    </row>
    <row r="125" spans="1:75" x14ac:dyDescent="0.3">
      <c r="A125" s="375">
        <v>92</v>
      </c>
      <c r="B125" s="272"/>
      <c r="C125" s="261">
        <f t="shared" si="83"/>
        <v>4</v>
      </c>
      <c r="D125" s="372"/>
      <c r="E125" s="274"/>
      <c r="F125" s="273" t="str">
        <f t="shared" si="95"/>
        <v/>
      </c>
      <c r="G125" s="275" t="str">
        <f t="shared" si="95"/>
        <v/>
      </c>
      <c r="H125" s="276" t="str">
        <f t="shared" si="74"/>
        <v/>
      </c>
      <c r="I125" s="277" t="str">
        <f t="shared" si="84"/>
        <v/>
      </c>
      <c r="J125" s="276" t="str">
        <f t="shared" si="75"/>
        <v/>
      </c>
      <c r="K125" s="276">
        <f t="shared" si="76"/>
        <v>0</v>
      </c>
      <c r="L125" s="278"/>
      <c r="M125" s="279">
        <f t="shared" si="85"/>
        <v>1</v>
      </c>
      <c r="N125" s="299" t="str">
        <f t="shared" si="86"/>
        <v/>
      </c>
      <c r="O125" s="117" t="str">
        <f t="shared" si="77"/>
        <v/>
      </c>
      <c r="P125" s="300" t="str">
        <f t="shared" si="87"/>
        <v/>
      </c>
      <c r="Q125" s="280" t="str">
        <f t="shared" si="78"/>
        <v/>
      </c>
      <c r="R125" s="281"/>
      <c r="S125" s="282" t="str">
        <f t="shared" si="88"/>
        <v/>
      </c>
      <c r="T125" s="283" t="str">
        <f t="shared" si="89"/>
        <v/>
      </c>
      <c r="V125" s="3">
        <f t="shared" si="79"/>
        <v>40</v>
      </c>
      <c r="BC125" s="3">
        <f t="shared" si="90"/>
        <v>0</v>
      </c>
      <c r="BD125" s="3">
        <f t="shared" si="91"/>
        <v>0</v>
      </c>
      <c r="BE125" s="3">
        <f t="shared" si="80"/>
        <v>0</v>
      </c>
      <c r="BH125" s="121"/>
      <c r="BI125" s="8"/>
      <c r="BJ125" s="8"/>
      <c r="BW125" s="3">
        <f t="shared" si="94"/>
        <v>0</v>
      </c>
    </row>
    <row r="126" spans="1:75" x14ac:dyDescent="0.3">
      <c r="A126" s="375">
        <v>93</v>
      </c>
      <c r="B126" s="284"/>
      <c r="C126" s="261">
        <f t="shared" si="83"/>
        <v>4</v>
      </c>
      <c r="D126" s="373"/>
      <c r="E126" s="286"/>
      <c r="F126" s="285" t="str">
        <f t="shared" si="95"/>
        <v/>
      </c>
      <c r="G126" s="287" t="str">
        <f t="shared" si="95"/>
        <v/>
      </c>
      <c r="H126" s="288" t="str">
        <f t="shared" si="74"/>
        <v/>
      </c>
      <c r="I126" s="289" t="str">
        <f t="shared" si="84"/>
        <v/>
      </c>
      <c r="J126" s="288" t="str">
        <f t="shared" si="75"/>
        <v/>
      </c>
      <c r="K126" s="288">
        <f t="shared" si="76"/>
        <v>0</v>
      </c>
      <c r="L126" s="290"/>
      <c r="M126" s="291">
        <f t="shared" si="85"/>
        <v>1</v>
      </c>
      <c r="N126" s="301" t="str">
        <f t="shared" si="86"/>
        <v/>
      </c>
      <c r="O126" s="302" t="str">
        <f t="shared" si="77"/>
        <v/>
      </c>
      <c r="P126" s="303" t="str">
        <f t="shared" si="87"/>
        <v/>
      </c>
      <c r="Q126" s="292" t="str">
        <f t="shared" si="78"/>
        <v/>
      </c>
      <c r="R126" s="293"/>
      <c r="S126" s="294" t="str">
        <f t="shared" si="88"/>
        <v/>
      </c>
      <c r="T126" s="295" t="str">
        <f t="shared" si="89"/>
        <v/>
      </c>
      <c r="V126" s="3">
        <f t="shared" si="79"/>
        <v>40</v>
      </c>
      <c r="BC126" s="3">
        <f t="shared" si="90"/>
        <v>0</v>
      </c>
      <c r="BD126" s="3">
        <f t="shared" si="91"/>
        <v>0</v>
      </c>
      <c r="BE126" s="3">
        <f t="shared" si="80"/>
        <v>0</v>
      </c>
      <c r="BH126" s="121"/>
      <c r="BI126" s="8"/>
      <c r="BJ126" s="8"/>
      <c r="BW126" s="3">
        <f t="shared" si="94"/>
        <v>0</v>
      </c>
    </row>
    <row r="127" spans="1:75" x14ac:dyDescent="0.3">
      <c r="A127" s="375">
        <v>94</v>
      </c>
      <c r="B127" s="260"/>
      <c r="C127" s="261">
        <f t="shared" si="83"/>
        <v>4</v>
      </c>
      <c r="D127" s="371"/>
      <c r="E127" s="262"/>
      <c r="F127" s="261" t="str">
        <f t="shared" si="95"/>
        <v/>
      </c>
      <c r="G127" s="263" t="str">
        <f t="shared" si="95"/>
        <v/>
      </c>
      <c r="H127" s="264" t="str">
        <f t="shared" si="74"/>
        <v/>
      </c>
      <c r="I127" s="265" t="str">
        <f t="shared" si="84"/>
        <v/>
      </c>
      <c r="J127" s="264" t="str">
        <f t="shared" si="75"/>
        <v/>
      </c>
      <c r="K127" s="264">
        <f t="shared" si="76"/>
        <v>0</v>
      </c>
      <c r="L127" s="266"/>
      <c r="M127" s="267">
        <f t="shared" si="85"/>
        <v>1</v>
      </c>
      <c r="N127" s="296" t="str">
        <f t="shared" si="86"/>
        <v/>
      </c>
      <c r="O127" s="297" t="str">
        <f t="shared" si="77"/>
        <v/>
      </c>
      <c r="P127" s="298" t="str">
        <f t="shared" si="87"/>
        <v/>
      </c>
      <c r="Q127" s="268" t="str">
        <f t="shared" si="78"/>
        <v/>
      </c>
      <c r="R127" s="269"/>
      <c r="S127" s="270" t="str">
        <f t="shared" si="88"/>
        <v/>
      </c>
      <c r="T127" s="271" t="str">
        <f t="shared" si="89"/>
        <v/>
      </c>
      <c r="V127" s="3">
        <f t="shared" si="79"/>
        <v>40</v>
      </c>
      <c r="BC127" s="3">
        <f t="shared" si="90"/>
        <v>0</v>
      </c>
      <c r="BD127" s="3">
        <f t="shared" si="91"/>
        <v>0</v>
      </c>
      <c r="BE127" s="3">
        <f t="shared" si="80"/>
        <v>0</v>
      </c>
      <c r="BH127" s="121"/>
      <c r="BI127" s="8"/>
      <c r="BJ127" s="8"/>
      <c r="BW127" s="3">
        <f t="shared" si="94"/>
        <v>0</v>
      </c>
    </row>
    <row r="128" spans="1:75" x14ac:dyDescent="0.3">
      <c r="A128" s="375">
        <v>95</v>
      </c>
      <c r="B128" s="272"/>
      <c r="C128" s="261">
        <f t="shared" si="83"/>
        <v>4</v>
      </c>
      <c r="D128" s="372"/>
      <c r="E128" s="274"/>
      <c r="F128" s="273" t="str">
        <f t="shared" si="95"/>
        <v/>
      </c>
      <c r="G128" s="275" t="str">
        <f t="shared" si="95"/>
        <v/>
      </c>
      <c r="H128" s="276" t="str">
        <f t="shared" si="74"/>
        <v/>
      </c>
      <c r="I128" s="277" t="str">
        <f t="shared" si="84"/>
        <v/>
      </c>
      <c r="J128" s="276" t="str">
        <f t="shared" si="75"/>
        <v/>
      </c>
      <c r="K128" s="276">
        <f t="shared" si="76"/>
        <v>0</v>
      </c>
      <c r="L128" s="278"/>
      <c r="M128" s="279">
        <f t="shared" si="85"/>
        <v>1</v>
      </c>
      <c r="N128" s="299" t="str">
        <f t="shared" si="86"/>
        <v/>
      </c>
      <c r="O128" s="117" t="str">
        <f t="shared" si="77"/>
        <v/>
      </c>
      <c r="P128" s="300" t="str">
        <f t="shared" si="87"/>
        <v/>
      </c>
      <c r="Q128" s="280" t="str">
        <f t="shared" si="78"/>
        <v/>
      </c>
      <c r="R128" s="281"/>
      <c r="S128" s="282" t="str">
        <f t="shared" si="88"/>
        <v/>
      </c>
      <c r="T128" s="283" t="str">
        <f t="shared" si="89"/>
        <v/>
      </c>
      <c r="V128" s="3">
        <f t="shared" si="79"/>
        <v>40</v>
      </c>
      <c r="BC128" s="3">
        <f t="shared" si="90"/>
        <v>0</v>
      </c>
      <c r="BD128" s="3">
        <f t="shared" si="91"/>
        <v>0</v>
      </c>
      <c r="BE128" s="3">
        <f t="shared" si="80"/>
        <v>0</v>
      </c>
      <c r="BH128" s="121"/>
      <c r="BI128" s="8"/>
      <c r="BJ128" s="8"/>
      <c r="BW128" s="3">
        <f t="shared" si="94"/>
        <v>0</v>
      </c>
    </row>
    <row r="129" spans="1:75" x14ac:dyDescent="0.3">
      <c r="A129" s="375">
        <v>96</v>
      </c>
      <c r="B129" s="284"/>
      <c r="C129" s="261">
        <f t="shared" si="83"/>
        <v>4</v>
      </c>
      <c r="D129" s="373"/>
      <c r="E129" s="286"/>
      <c r="F129" s="285" t="str">
        <f t="shared" si="95"/>
        <v/>
      </c>
      <c r="G129" s="287" t="str">
        <f t="shared" si="95"/>
        <v/>
      </c>
      <c r="H129" s="288" t="str">
        <f t="shared" si="74"/>
        <v/>
      </c>
      <c r="I129" s="289" t="str">
        <f t="shared" si="84"/>
        <v/>
      </c>
      <c r="J129" s="288" t="str">
        <f t="shared" si="75"/>
        <v/>
      </c>
      <c r="K129" s="288">
        <f t="shared" si="76"/>
        <v>0</v>
      </c>
      <c r="L129" s="290"/>
      <c r="M129" s="291">
        <f t="shared" si="85"/>
        <v>1</v>
      </c>
      <c r="N129" s="301" t="str">
        <f t="shared" si="86"/>
        <v/>
      </c>
      <c r="O129" s="302" t="str">
        <f t="shared" si="77"/>
        <v/>
      </c>
      <c r="P129" s="303" t="str">
        <f t="shared" si="87"/>
        <v/>
      </c>
      <c r="Q129" s="292" t="str">
        <f t="shared" si="78"/>
        <v/>
      </c>
      <c r="R129" s="293"/>
      <c r="S129" s="294" t="str">
        <f t="shared" si="88"/>
        <v/>
      </c>
      <c r="T129" s="295" t="str">
        <f t="shared" si="89"/>
        <v/>
      </c>
      <c r="V129" s="3">
        <f t="shared" si="79"/>
        <v>40</v>
      </c>
      <c r="BC129" s="3">
        <f t="shared" si="90"/>
        <v>0</v>
      </c>
      <c r="BD129" s="3">
        <f t="shared" si="91"/>
        <v>0</v>
      </c>
      <c r="BE129" s="3">
        <f t="shared" si="80"/>
        <v>0</v>
      </c>
      <c r="BH129" s="121"/>
      <c r="BI129" s="8"/>
      <c r="BJ129" s="8"/>
      <c r="BW129" s="3">
        <f t="shared" si="94"/>
        <v>0</v>
      </c>
    </row>
    <row r="130" spans="1:75" x14ac:dyDescent="0.3">
      <c r="A130" s="375">
        <v>97</v>
      </c>
      <c r="B130" s="260"/>
      <c r="C130" s="261">
        <f t="shared" si="83"/>
        <v>4</v>
      </c>
      <c r="D130" s="371"/>
      <c r="E130" s="262"/>
      <c r="F130" s="261" t="str">
        <f t="shared" si="95"/>
        <v/>
      </c>
      <c r="G130" s="263" t="str">
        <f t="shared" si="95"/>
        <v/>
      </c>
      <c r="H130" s="264" t="str">
        <f t="shared" si="74"/>
        <v/>
      </c>
      <c r="I130" s="265" t="str">
        <f t="shared" si="84"/>
        <v/>
      </c>
      <c r="J130" s="264" t="str">
        <f t="shared" si="75"/>
        <v/>
      </c>
      <c r="K130" s="264">
        <f t="shared" si="76"/>
        <v>0</v>
      </c>
      <c r="L130" s="266"/>
      <c r="M130" s="267">
        <f t="shared" si="85"/>
        <v>1</v>
      </c>
      <c r="N130" s="296" t="str">
        <f t="shared" si="86"/>
        <v/>
      </c>
      <c r="O130" s="297" t="str">
        <f t="shared" si="77"/>
        <v/>
      </c>
      <c r="P130" s="298" t="str">
        <f t="shared" si="87"/>
        <v/>
      </c>
      <c r="Q130" s="268" t="str">
        <f t="shared" si="78"/>
        <v/>
      </c>
      <c r="R130" s="269"/>
      <c r="S130" s="270" t="str">
        <f t="shared" si="88"/>
        <v/>
      </c>
      <c r="T130" s="271" t="str">
        <f t="shared" si="89"/>
        <v/>
      </c>
      <c r="V130" s="3">
        <f t="shared" si="79"/>
        <v>40</v>
      </c>
      <c r="BC130" s="3">
        <f t="shared" si="90"/>
        <v>0</v>
      </c>
      <c r="BD130" s="3">
        <f t="shared" si="91"/>
        <v>0</v>
      </c>
      <c r="BE130" s="3">
        <f t="shared" si="80"/>
        <v>0</v>
      </c>
      <c r="BH130" s="121"/>
      <c r="BI130" s="8"/>
      <c r="BJ130" s="8"/>
      <c r="BW130" s="3">
        <f t="shared" si="94"/>
        <v>0</v>
      </c>
    </row>
    <row r="131" spans="1:75" x14ac:dyDescent="0.3">
      <c r="A131" s="375">
        <v>98</v>
      </c>
      <c r="B131" s="272"/>
      <c r="C131" s="261">
        <f t="shared" si="83"/>
        <v>4</v>
      </c>
      <c r="D131" s="372"/>
      <c r="E131" s="274"/>
      <c r="F131" s="273" t="str">
        <f t="shared" si="95"/>
        <v/>
      </c>
      <c r="G131" s="275" t="str">
        <f t="shared" si="95"/>
        <v/>
      </c>
      <c r="H131" s="276" t="str">
        <f t="shared" si="74"/>
        <v/>
      </c>
      <c r="I131" s="277" t="str">
        <f t="shared" si="84"/>
        <v/>
      </c>
      <c r="J131" s="276" t="str">
        <f t="shared" si="75"/>
        <v/>
      </c>
      <c r="K131" s="276">
        <f t="shared" si="76"/>
        <v>0</v>
      </c>
      <c r="L131" s="278"/>
      <c r="M131" s="279">
        <f t="shared" si="85"/>
        <v>1</v>
      </c>
      <c r="N131" s="299" t="str">
        <f t="shared" si="86"/>
        <v/>
      </c>
      <c r="O131" s="117" t="str">
        <f t="shared" si="77"/>
        <v/>
      </c>
      <c r="P131" s="300" t="str">
        <f t="shared" si="87"/>
        <v/>
      </c>
      <c r="Q131" s="280" t="str">
        <f t="shared" si="78"/>
        <v/>
      </c>
      <c r="R131" s="281"/>
      <c r="S131" s="282" t="str">
        <f t="shared" si="88"/>
        <v/>
      </c>
      <c r="T131" s="283" t="str">
        <f t="shared" si="89"/>
        <v/>
      </c>
      <c r="V131" s="3">
        <f t="shared" si="79"/>
        <v>40</v>
      </c>
      <c r="BC131" s="3">
        <f t="shared" si="90"/>
        <v>0</v>
      </c>
      <c r="BD131" s="3">
        <f t="shared" si="91"/>
        <v>0</v>
      </c>
      <c r="BE131" s="3">
        <f t="shared" si="80"/>
        <v>0</v>
      </c>
      <c r="BW131" s="3">
        <f t="shared" si="94"/>
        <v>0</v>
      </c>
    </row>
    <row r="132" spans="1:75" x14ac:dyDescent="0.3">
      <c r="A132" s="375">
        <v>99</v>
      </c>
      <c r="B132" s="284"/>
      <c r="C132" s="261">
        <f t="shared" si="83"/>
        <v>4</v>
      </c>
      <c r="D132" s="373"/>
      <c r="E132" s="286"/>
      <c r="F132" s="285" t="str">
        <f t="shared" si="95"/>
        <v/>
      </c>
      <c r="G132" s="287" t="str">
        <f t="shared" si="95"/>
        <v/>
      </c>
      <c r="H132" s="288" t="str">
        <f t="shared" si="74"/>
        <v/>
      </c>
      <c r="I132" s="289" t="str">
        <f t="shared" si="84"/>
        <v/>
      </c>
      <c r="J132" s="288" t="str">
        <f t="shared" si="75"/>
        <v/>
      </c>
      <c r="K132" s="288">
        <f t="shared" si="76"/>
        <v>0</v>
      </c>
      <c r="L132" s="290"/>
      <c r="M132" s="291">
        <f t="shared" si="85"/>
        <v>1</v>
      </c>
      <c r="N132" s="301" t="str">
        <f t="shared" si="86"/>
        <v/>
      </c>
      <c r="O132" s="302" t="str">
        <f t="shared" si="77"/>
        <v/>
      </c>
      <c r="P132" s="303" t="str">
        <f t="shared" si="87"/>
        <v/>
      </c>
      <c r="Q132" s="292" t="str">
        <f t="shared" si="78"/>
        <v/>
      </c>
      <c r="R132" s="293"/>
      <c r="S132" s="294" t="str">
        <f t="shared" si="88"/>
        <v/>
      </c>
      <c r="T132" s="295" t="str">
        <f t="shared" si="89"/>
        <v/>
      </c>
      <c r="V132" s="3">
        <f t="shared" si="79"/>
        <v>40</v>
      </c>
      <c r="BC132" s="3">
        <f t="shared" si="90"/>
        <v>0</v>
      </c>
      <c r="BD132" s="3">
        <f t="shared" si="91"/>
        <v>0</v>
      </c>
      <c r="BE132" s="3">
        <f t="shared" si="80"/>
        <v>0</v>
      </c>
      <c r="BW132" s="3">
        <f t="shared" si="94"/>
        <v>0</v>
      </c>
    </row>
    <row r="133" spans="1:75" x14ac:dyDescent="0.3">
      <c r="A133" s="375">
        <v>100</v>
      </c>
      <c r="B133" s="260"/>
      <c r="C133" s="261">
        <f t="shared" si="83"/>
        <v>4</v>
      </c>
      <c r="D133" s="371"/>
      <c r="E133" s="262"/>
      <c r="F133" s="261" t="str">
        <f t="shared" si="95"/>
        <v/>
      </c>
      <c r="G133" s="263" t="str">
        <f t="shared" si="95"/>
        <v/>
      </c>
      <c r="H133" s="264" t="str">
        <f t="shared" si="74"/>
        <v/>
      </c>
      <c r="I133" s="265" t="str">
        <f t="shared" si="84"/>
        <v/>
      </c>
      <c r="J133" s="264" t="str">
        <f t="shared" si="75"/>
        <v/>
      </c>
      <c r="K133" s="264">
        <f t="shared" si="76"/>
        <v>0</v>
      </c>
      <c r="L133" s="266"/>
      <c r="M133" s="267">
        <f t="shared" si="85"/>
        <v>1</v>
      </c>
      <c r="N133" s="296" t="str">
        <f t="shared" si="86"/>
        <v/>
      </c>
      <c r="O133" s="297" t="str">
        <f t="shared" si="77"/>
        <v/>
      </c>
      <c r="P133" s="298" t="str">
        <f t="shared" si="87"/>
        <v/>
      </c>
      <c r="Q133" s="268" t="str">
        <f t="shared" si="78"/>
        <v/>
      </c>
      <c r="R133" s="269"/>
      <c r="S133" s="270" t="str">
        <f t="shared" si="88"/>
        <v/>
      </c>
      <c r="T133" s="271" t="str">
        <f t="shared" si="89"/>
        <v/>
      </c>
      <c r="V133" s="3">
        <f t="shared" si="79"/>
        <v>40</v>
      </c>
      <c r="BC133" s="3">
        <f t="shared" si="90"/>
        <v>0</v>
      </c>
      <c r="BD133" s="3">
        <f t="shared" si="91"/>
        <v>0</v>
      </c>
      <c r="BE133" s="3">
        <f t="shared" si="80"/>
        <v>0</v>
      </c>
      <c r="BW133" s="3">
        <f t="shared" si="94"/>
        <v>0</v>
      </c>
    </row>
    <row r="134" spans="1:75" x14ac:dyDescent="0.3">
      <c r="A134" s="375">
        <v>101</v>
      </c>
      <c r="B134" s="272"/>
      <c r="C134" s="261">
        <f t="shared" si="83"/>
        <v>4</v>
      </c>
      <c r="D134" s="372"/>
      <c r="E134" s="274"/>
      <c r="F134" s="273" t="str">
        <f t="shared" ref="F134:G153" si="96">IFERROR(VLOOKUP($E134,DMFA,F$29,FALSE),"")</f>
        <v/>
      </c>
      <c r="G134" s="275" t="str">
        <f t="shared" si="96"/>
        <v/>
      </c>
      <c r="H134" s="276" t="str">
        <f t="shared" si="74"/>
        <v/>
      </c>
      <c r="I134" s="277" t="str">
        <f t="shared" si="84"/>
        <v/>
      </c>
      <c r="J134" s="276" t="str">
        <f t="shared" si="75"/>
        <v/>
      </c>
      <c r="K134" s="276">
        <f t="shared" si="76"/>
        <v>0</v>
      </c>
      <c r="L134" s="278"/>
      <c r="M134" s="279">
        <f t="shared" si="85"/>
        <v>1</v>
      </c>
      <c r="N134" s="299" t="str">
        <f t="shared" si="86"/>
        <v/>
      </c>
      <c r="O134" s="117" t="str">
        <f t="shared" si="77"/>
        <v/>
      </c>
      <c r="P134" s="300" t="str">
        <f t="shared" si="87"/>
        <v/>
      </c>
      <c r="Q134" s="280" t="str">
        <f t="shared" si="78"/>
        <v/>
      </c>
      <c r="R134" s="281"/>
      <c r="S134" s="282" t="str">
        <f t="shared" si="88"/>
        <v/>
      </c>
      <c r="T134" s="283" t="str">
        <f t="shared" si="89"/>
        <v/>
      </c>
      <c r="V134" s="3">
        <f t="shared" si="79"/>
        <v>40</v>
      </c>
      <c r="BC134" s="3">
        <f t="shared" si="90"/>
        <v>0</v>
      </c>
      <c r="BD134" s="3">
        <f t="shared" si="91"/>
        <v>0</v>
      </c>
      <c r="BE134" s="3">
        <f t="shared" si="80"/>
        <v>0</v>
      </c>
      <c r="BW134" s="3">
        <f t="shared" si="94"/>
        <v>0</v>
      </c>
    </row>
    <row r="135" spans="1:75" x14ac:dyDescent="0.3">
      <c r="A135" s="375">
        <v>102</v>
      </c>
      <c r="B135" s="284"/>
      <c r="C135" s="261">
        <f t="shared" si="83"/>
        <v>4</v>
      </c>
      <c r="D135" s="373"/>
      <c r="E135" s="286"/>
      <c r="F135" s="285" t="str">
        <f t="shared" si="96"/>
        <v/>
      </c>
      <c r="G135" s="287" t="str">
        <f t="shared" si="96"/>
        <v/>
      </c>
      <c r="H135" s="288" t="str">
        <f t="shared" si="74"/>
        <v/>
      </c>
      <c r="I135" s="289" t="str">
        <f t="shared" si="84"/>
        <v/>
      </c>
      <c r="J135" s="288" t="str">
        <f t="shared" si="75"/>
        <v/>
      </c>
      <c r="K135" s="288">
        <f t="shared" si="76"/>
        <v>0</v>
      </c>
      <c r="L135" s="290"/>
      <c r="M135" s="291">
        <f t="shared" si="85"/>
        <v>1</v>
      </c>
      <c r="N135" s="301" t="str">
        <f t="shared" si="86"/>
        <v/>
      </c>
      <c r="O135" s="302" t="str">
        <f t="shared" si="77"/>
        <v/>
      </c>
      <c r="P135" s="303" t="str">
        <f t="shared" si="87"/>
        <v/>
      </c>
      <c r="Q135" s="292" t="str">
        <f t="shared" si="78"/>
        <v/>
      </c>
      <c r="R135" s="293"/>
      <c r="S135" s="294" t="str">
        <f t="shared" si="88"/>
        <v/>
      </c>
      <c r="T135" s="295" t="str">
        <f t="shared" si="89"/>
        <v/>
      </c>
      <c r="V135" s="3">
        <f t="shared" si="79"/>
        <v>40</v>
      </c>
      <c r="BC135" s="3">
        <f t="shared" si="90"/>
        <v>0</v>
      </c>
      <c r="BD135" s="3">
        <f t="shared" si="91"/>
        <v>0</v>
      </c>
      <c r="BE135" s="3">
        <f t="shared" si="80"/>
        <v>0</v>
      </c>
      <c r="BW135" s="3">
        <f t="shared" si="94"/>
        <v>0</v>
      </c>
    </row>
    <row r="136" spans="1:75" x14ac:dyDescent="0.3">
      <c r="A136" s="375">
        <v>103</v>
      </c>
      <c r="B136" s="260"/>
      <c r="C136" s="261">
        <f t="shared" si="83"/>
        <v>4</v>
      </c>
      <c r="D136" s="371"/>
      <c r="E136" s="262"/>
      <c r="F136" s="261" t="str">
        <f t="shared" si="96"/>
        <v/>
      </c>
      <c r="G136" s="263" t="str">
        <f t="shared" si="96"/>
        <v/>
      </c>
      <c r="H136" s="264" t="str">
        <f t="shared" si="74"/>
        <v/>
      </c>
      <c r="I136" s="265" t="str">
        <f t="shared" si="84"/>
        <v/>
      </c>
      <c r="J136" s="264" t="str">
        <f t="shared" si="75"/>
        <v/>
      </c>
      <c r="K136" s="264">
        <f t="shared" si="76"/>
        <v>0</v>
      </c>
      <c r="L136" s="266"/>
      <c r="M136" s="267">
        <f t="shared" si="85"/>
        <v>1</v>
      </c>
      <c r="N136" s="296" t="str">
        <f t="shared" si="86"/>
        <v/>
      </c>
      <c r="O136" s="297" t="str">
        <f t="shared" si="77"/>
        <v/>
      </c>
      <c r="P136" s="298" t="str">
        <f t="shared" si="87"/>
        <v/>
      </c>
      <c r="Q136" s="268" t="str">
        <f t="shared" si="78"/>
        <v/>
      </c>
      <c r="R136" s="269"/>
      <c r="S136" s="270" t="str">
        <f t="shared" si="88"/>
        <v/>
      </c>
      <c r="T136" s="271" t="str">
        <f t="shared" si="89"/>
        <v/>
      </c>
      <c r="V136" s="3">
        <f t="shared" si="79"/>
        <v>40</v>
      </c>
      <c r="BC136" s="3">
        <f t="shared" si="90"/>
        <v>0</v>
      </c>
      <c r="BD136" s="3">
        <f t="shared" si="91"/>
        <v>0</v>
      </c>
      <c r="BE136" s="3">
        <f t="shared" si="80"/>
        <v>0</v>
      </c>
      <c r="BW136" s="3">
        <f t="shared" si="94"/>
        <v>0</v>
      </c>
    </row>
    <row r="137" spans="1:75" x14ac:dyDescent="0.3">
      <c r="A137" s="375">
        <v>104</v>
      </c>
      <c r="B137" s="272"/>
      <c r="C137" s="261">
        <f t="shared" si="83"/>
        <v>4</v>
      </c>
      <c r="D137" s="372"/>
      <c r="E137" s="274"/>
      <c r="F137" s="273" t="str">
        <f t="shared" si="96"/>
        <v/>
      </c>
      <c r="G137" s="275" t="str">
        <f t="shared" si="96"/>
        <v/>
      </c>
      <c r="H137" s="276" t="str">
        <f t="shared" si="74"/>
        <v/>
      </c>
      <c r="I137" s="277" t="str">
        <f t="shared" si="84"/>
        <v/>
      </c>
      <c r="J137" s="276" t="str">
        <f t="shared" si="75"/>
        <v/>
      </c>
      <c r="K137" s="276">
        <f t="shared" si="76"/>
        <v>0</v>
      </c>
      <c r="L137" s="278"/>
      <c r="M137" s="279">
        <f t="shared" si="85"/>
        <v>1</v>
      </c>
      <c r="N137" s="299" t="str">
        <f t="shared" si="86"/>
        <v/>
      </c>
      <c r="O137" s="117" t="str">
        <f t="shared" si="77"/>
        <v/>
      </c>
      <c r="P137" s="300" t="str">
        <f t="shared" si="87"/>
        <v/>
      </c>
      <c r="Q137" s="280" t="str">
        <f t="shared" si="78"/>
        <v/>
      </c>
      <c r="R137" s="281"/>
      <c r="S137" s="282" t="str">
        <f t="shared" si="88"/>
        <v/>
      </c>
      <c r="T137" s="283" t="str">
        <f t="shared" si="89"/>
        <v/>
      </c>
      <c r="V137" s="3">
        <f t="shared" si="79"/>
        <v>40</v>
      </c>
      <c r="BC137" s="3">
        <f t="shared" si="90"/>
        <v>0</v>
      </c>
      <c r="BD137" s="3">
        <f t="shared" si="91"/>
        <v>0</v>
      </c>
      <c r="BE137" s="3">
        <f t="shared" si="80"/>
        <v>0</v>
      </c>
      <c r="BW137" s="3">
        <f t="shared" si="94"/>
        <v>0</v>
      </c>
    </row>
    <row r="138" spans="1:75" x14ac:dyDescent="0.3">
      <c r="A138" s="375">
        <v>105</v>
      </c>
      <c r="B138" s="284"/>
      <c r="C138" s="261">
        <f t="shared" si="83"/>
        <v>4</v>
      </c>
      <c r="D138" s="373"/>
      <c r="E138" s="286"/>
      <c r="F138" s="285" t="str">
        <f t="shared" si="96"/>
        <v/>
      </c>
      <c r="G138" s="287" t="str">
        <f t="shared" si="96"/>
        <v/>
      </c>
      <c r="H138" s="288" t="str">
        <f t="shared" si="74"/>
        <v/>
      </c>
      <c r="I138" s="289" t="str">
        <f t="shared" si="84"/>
        <v/>
      </c>
      <c r="J138" s="288" t="str">
        <f t="shared" si="75"/>
        <v/>
      </c>
      <c r="K138" s="288">
        <f t="shared" si="76"/>
        <v>0</v>
      </c>
      <c r="L138" s="290"/>
      <c r="M138" s="291">
        <f t="shared" si="85"/>
        <v>1</v>
      </c>
      <c r="N138" s="301" t="str">
        <f t="shared" si="86"/>
        <v/>
      </c>
      <c r="O138" s="302" t="str">
        <f t="shared" si="77"/>
        <v/>
      </c>
      <c r="P138" s="303" t="str">
        <f t="shared" si="87"/>
        <v/>
      </c>
      <c r="Q138" s="292" t="str">
        <f t="shared" si="78"/>
        <v/>
      </c>
      <c r="R138" s="293"/>
      <c r="S138" s="294" t="str">
        <f t="shared" si="88"/>
        <v/>
      </c>
      <c r="T138" s="295" t="str">
        <f t="shared" si="89"/>
        <v/>
      </c>
      <c r="V138" s="3">
        <f t="shared" si="79"/>
        <v>40</v>
      </c>
      <c r="BC138" s="3">
        <f t="shared" si="90"/>
        <v>0</v>
      </c>
      <c r="BD138" s="3">
        <f t="shared" si="91"/>
        <v>0</v>
      </c>
      <c r="BE138" s="3">
        <f t="shared" si="80"/>
        <v>0</v>
      </c>
      <c r="BW138" s="3">
        <f t="shared" si="94"/>
        <v>0</v>
      </c>
    </row>
    <row r="139" spans="1:75" x14ac:dyDescent="0.3">
      <c r="A139" s="375">
        <v>106</v>
      </c>
      <c r="B139" s="260"/>
      <c r="C139" s="261">
        <f t="shared" si="83"/>
        <v>4</v>
      </c>
      <c r="D139" s="371"/>
      <c r="E139" s="262"/>
      <c r="F139" s="261" t="str">
        <f t="shared" si="96"/>
        <v/>
      </c>
      <c r="G139" s="263" t="str">
        <f t="shared" si="96"/>
        <v/>
      </c>
      <c r="H139" s="264" t="str">
        <f t="shared" si="74"/>
        <v/>
      </c>
      <c r="I139" s="265" t="str">
        <f t="shared" si="84"/>
        <v/>
      </c>
      <c r="J139" s="264" t="str">
        <f t="shared" si="75"/>
        <v/>
      </c>
      <c r="K139" s="264">
        <f t="shared" si="76"/>
        <v>0</v>
      </c>
      <c r="L139" s="266"/>
      <c r="M139" s="267">
        <f t="shared" si="85"/>
        <v>1</v>
      </c>
      <c r="N139" s="296" t="str">
        <f t="shared" si="86"/>
        <v/>
      </c>
      <c r="O139" s="297" t="str">
        <f t="shared" si="77"/>
        <v/>
      </c>
      <c r="P139" s="298" t="str">
        <f t="shared" si="87"/>
        <v/>
      </c>
      <c r="Q139" s="268" t="str">
        <f t="shared" si="78"/>
        <v/>
      </c>
      <c r="R139" s="269"/>
      <c r="S139" s="270" t="str">
        <f t="shared" si="88"/>
        <v/>
      </c>
      <c r="T139" s="271" t="str">
        <f t="shared" si="89"/>
        <v/>
      </c>
      <c r="V139" s="3">
        <f t="shared" si="79"/>
        <v>40</v>
      </c>
      <c r="BC139" s="3">
        <f t="shared" si="90"/>
        <v>0</v>
      </c>
      <c r="BD139" s="3">
        <f t="shared" si="91"/>
        <v>0</v>
      </c>
      <c r="BE139" s="3">
        <f t="shared" si="80"/>
        <v>0</v>
      </c>
      <c r="BW139" s="3">
        <f t="shared" si="94"/>
        <v>0</v>
      </c>
    </row>
    <row r="140" spans="1:75" x14ac:dyDescent="0.3">
      <c r="A140" s="375">
        <v>107</v>
      </c>
      <c r="B140" s="272"/>
      <c r="C140" s="261">
        <f t="shared" si="83"/>
        <v>4</v>
      </c>
      <c r="D140" s="372"/>
      <c r="E140" s="274"/>
      <c r="F140" s="273" t="str">
        <f t="shared" si="96"/>
        <v/>
      </c>
      <c r="G140" s="275" t="str">
        <f t="shared" si="96"/>
        <v/>
      </c>
      <c r="H140" s="276" t="str">
        <f t="shared" si="74"/>
        <v/>
      </c>
      <c r="I140" s="277" t="str">
        <f t="shared" si="84"/>
        <v/>
      </c>
      <c r="J140" s="276" t="str">
        <f t="shared" si="75"/>
        <v/>
      </c>
      <c r="K140" s="276">
        <f t="shared" si="76"/>
        <v>0</v>
      </c>
      <c r="L140" s="278"/>
      <c r="M140" s="279">
        <f t="shared" si="85"/>
        <v>1</v>
      </c>
      <c r="N140" s="299" t="str">
        <f t="shared" si="86"/>
        <v/>
      </c>
      <c r="O140" s="117" t="str">
        <f t="shared" si="77"/>
        <v/>
      </c>
      <c r="P140" s="300" t="str">
        <f t="shared" si="87"/>
        <v/>
      </c>
      <c r="Q140" s="280" t="str">
        <f t="shared" si="78"/>
        <v/>
      </c>
      <c r="R140" s="281"/>
      <c r="S140" s="282" t="str">
        <f t="shared" si="88"/>
        <v/>
      </c>
      <c r="T140" s="283" t="str">
        <f t="shared" si="89"/>
        <v/>
      </c>
      <c r="V140" s="3">
        <f t="shared" si="79"/>
        <v>40</v>
      </c>
      <c r="BC140" s="3">
        <f t="shared" si="90"/>
        <v>0</v>
      </c>
      <c r="BD140" s="3">
        <f t="shared" si="91"/>
        <v>0</v>
      </c>
      <c r="BE140" s="3">
        <f t="shared" si="80"/>
        <v>0</v>
      </c>
      <c r="BW140" s="3">
        <f t="shared" si="94"/>
        <v>0</v>
      </c>
    </row>
    <row r="141" spans="1:75" x14ac:dyDescent="0.3">
      <c r="A141" s="375">
        <v>108</v>
      </c>
      <c r="B141" s="284"/>
      <c r="C141" s="261">
        <f t="shared" si="83"/>
        <v>4</v>
      </c>
      <c r="D141" s="373"/>
      <c r="E141" s="286"/>
      <c r="F141" s="285" t="str">
        <f t="shared" si="96"/>
        <v/>
      </c>
      <c r="G141" s="287" t="str">
        <f t="shared" si="96"/>
        <v/>
      </c>
      <c r="H141" s="288" t="str">
        <f t="shared" si="74"/>
        <v/>
      </c>
      <c r="I141" s="289" t="str">
        <f t="shared" si="84"/>
        <v/>
      </c>
      <c r="J141" s="288" t="str">
        <f t="shared" si="75"/>
        <v/>
      </c>
      <c r="K141" s="288">
        <f t="shared" si="76"/>
        <v>0</v>
      </c>
      <c r="L141" s="290"/>
      <c r="M141" s="291">
        <f t="shared" si="85"/>
        <v>1</v>
      </c>
      <c r="N141" s="301" t="str">
        <f t="shared" si="86"/>
        <v/>
      </c>
      <c r="O141" s="302" t="str">
        <f t="shared" si="77"/>
        <v/>
      </c>
      <c r="P141" s="303" t="str">
        <f t="shared" si="87"/>
        <v/>
      </c>
      <c r="Q141" s="292" t="str">
        <f t="shared" si="78"/>
        <v/>
      </c>
      <c r="R141" s="293"/>
      <c r="S141" s="294" t="str">
        <f t="shared" si="88"/>
        <v/>
      </c>
      <c r="T141" s="295" t="str">
        <f t="shared" si="89"/>
        <v/>
      </c>
      <c r="V141" s="3">
        <f t="shared" si="79"/>
        <v>40</v>
      </c>
      <c r="BC141" s="3">
        <f t="shared" si="90"/>
        <v>0</v>
      </c>
      <c r="BD141" s="3">
        <f t="shared" si="91"/>
        <v>0</v>
      </c>
      <c r="BE141" s="3">
        <f t="shared" si="80"/>
        <v>0</v>
      </c>
      <c r="BW141" s="3">
        <f t="shared" si="94"/>
        <v>0</v>
      </c>
    </row>
    <row r="142" spans="1:75" x14ac:dyDescent="0.3">
      <c r="A142" s="375">
        <v>109</v>
      </c>
      <c r="B142" s="260"/>
      <c r="C142" s="261">
        <f t="shared" si="83"/>
        <v>4</v>
      </c>
      <c r="D142" s="371"/>
      <c r="E142" s="262"/>
      <c r="F142" s="261" t="str">
        <f t="shared" si="96"/>
        <v/>
      </c>
      <c r="G142" s="263" t="str">
        <f t="shared" si="96"/>
        <v/>
      </c>
      <c r="H142" s="264" t="str">
        <f t="shared" si="74"/>
        <v/>
      </c>
      <c r="I142" s="265" t="str">
        <f t="shared" si="84"/>
        <v/>
      </c>
      <c r="J142" s="264" t="str">
        <f t="shared" si="75"/>
        <v/>
      </c>
      <c r="K142" s="264">
        <f t="shared" si="76"/>
        <v>0</v>
      </c>
      <c r="L142" s="266"/>
      <c r="M142" s="267">
        <f t="shared" si="85"/>
        <v>1</v>
      </c>
      <c r="N142" s="296" t="str">
        <f t="shared" si="86"/>
        <v/>
      </c>
      <c r="O142" s="297" t="str">
        <f t="shared" si="77"/>
        <v/>
      </c>
      <c r="P142" s="298" t="str">
        <f t="shared" si="87"/>
        <v/>
      </c>
      <c r="Q142" s="268" t="str">
        <f t="shared" si="78"/>
        <v/>
      </c>
      <c r="R142" s="269"/>
      <c r="S142" s="270" t="str">
        <f t="shared" si="88"/>
        <v/>
      </c>
      <c r="T142" s="271" t="str">
        <f t="shared" si="89"/>
        <v/>
      </c>
      <c r="V142" s="3">
        <f t="shared" si="79"/>
        <v>40</v>
      </c>
      <c r="BC142" s="3">
        <f t="shared" si="90"/>
        <v>0</v>
      </c>
      <c r="BD142" s="3">
        <f t="shared" si="91"/>
        <v>0</v>
      </c>
      <c r="BE142" s="3">
        <f t="shared" si="80"/>
        <v>0</v>
      </c>
      <c r="BW142" s="3">
        <f t="shared" si="94"/>
        <v>0</v>
      </c>
    </row>
    <row r="143" spans="1:75" x14ac:dyDescent="0.3">
      <c r="A143" s="375">
        <v>110</v>
      </c>
      <c r="B143" s="272"/>
      <c r="C143" s="261">
        <f t="shared" si="83"/>
        <v>4</v>
      </c>
      <c r="D143" s="372"/>
      <c r="E143" s="274"/>
      <c r="F143" s="273" t="str">
        <f t="shared" si="96"/>
        <v/>
      </c>
      <c r="G143" s="275" t="str">
        <f t="shared" si="96"/>
        <v/>
      </c>
      <c r="H143" s="276" t="str">
        <f t="shared" si="74"/>
        <v/>
      </c>
      <c r="I143" s="277" t="str">
        <f t="shared" si="84"/>
        <v/>
      </c>
      <c r="J143" s="276" t="str">
        <f t="shared" si="75"/>
        <v/>
      </c>
      <c r="K143" s="276">
        <f t="shared" si="76"/>
        <v>0</v>
      </c>
      <c r="L143" s="278"/>
      <c r="M143" s="279">
        <f t="shared" si="85"/>
        <v>1</v>
      </c>
      <c r="N143" s="299" t="str">
        <f t="shared" si="86"/>
        <v/>
      </c>
      <c r="O143" s="117" t="str">
        <f t="shared" si="77"/>
        <v/>
      </c>
      <c r="P143" s="300" t="str">
        <f t="shared" si="87"/>
        <v/>
      </c>
      <c r="Q143" s="280" t="str">
        <f t="shared" si="78"/>
        <v/>
      </c>
      <c r="R143" s="281"/>
      <c r="S143" s="282" t="str">
        <f t="shared" si="88"/>
        <v/>
      </c>
      <c r="T143" s="283" t="str">
        <f t="shared" si="89"/>
        <v/>
      </c>
      <c r="V143" s="3">
        <f t="shared" si="79"/>
        <v>40</v>
      </c>
      <c r="BC143" s="3">
        <f t="shared" si="90"/>
        <v>0</v>
      </c>
      <c r="BD143" s="3">
        <f t="shared" si="91"/>
        <v>0</v>
      </c>
      <c r="BE143" s="3">
        <f t="shared" si="80"/>
        <v>0</v>
      </c>
      <c r="BW143" s="3">
        <f t="shared" si="94"/>
        <v>0</v>
      </c>
    </row>
    <row r="144" spans="1:75" x14ac:dyDescent="0.3">
      <c r="A144" s="375">
        <v>111</v>
      </c>
      <c r="B144" s="284"/>
      <c r="C144" s="261">
        <f t="shared" si="83"/>
        <v>4</v>
      </c>
      <c r="D144" s="373"/>
      <c r="E144" s="286"/>
      <c r="F144" s="285" t="str">
        <f t="shared" si="96"/>
        <v/>
      </c>
      <c r="G144" s="287" t="str">
        <f t="shared" si="96"/>
        <v/>
      </c>
      <c r="H144" s="288" t="str">
        <f t="shared" si="74"/>
        <v/>
      </c>
      <c r="I144" s="289" t="str">
        <f t="shared" si="84"/>
        <v/>
      </c>
      <c r="J144" s="288" t="str">
        <f t="shared" si="75"/>
        <v/>
      </c>
      <c r="K144" s="288">
        <f t="shared" si="76"/>
        <v>0</v>
      </c>
      <c r="L144" s="290"/>
      <c r="M144" s="291">
        <f t="shared" si="85"/>
        <v>1</v>
      </c>
      <c r="N144" s="301" t="str">
        <f t="shared" si="86"/>
        <v/>
      </c>
      <c r="O144" s="302" t="str">
        <f t="shared" si="77"/>
        <v/>
      </c>
      <c r="P144" s="303" t="str">
        <f t="shared" si="87"/>
        <v/>
      </c>
      <c r="Q144" s="292" t="str">
        <f t="shared" si="78"/>
        <v/>
      </c>
      <c r="R144" s="293"/>
      <c r="S144" s="294" t="str">
        <f t="shared" si="88"/>
        <v/>
      </c>
      <c r="T144" s="295" t="str">
        <f t="shared" si="89"/>
        <v/>
      </c>
      <c r="V144" s="3">
        <f t="shared" si="79"/>
        <v>40</v>
      </c>
      <c r="BC144" s="3">
        <f t="shared" si="90"/>
        <v>0</v>
      </c>
      <c r="BD144" s="3">
        <f t="shared" si="91"/>
        <v>0</v>
      </c>
      <c r="BE144" s="3">
        <f t="shared" si="80"/>
        <v>0</v>
      </c>
      <c r="BW144" s="3">
        <f t="shared" si="94"/>
        <v>0</v>
      </c>
    </row>
    <row r="145" spans="1:75" x14ac:dyDescent="0.3">
      <c r="A145" s="375">
        <v>112</v>
      </c>
      <c r="B145" s="260"/>
      <c r="C145" s="261">
        <f t="shared" si="83"/>
        <v>4</v>
      </c>
      <c r="D145" s="371"/>
      <c r="E145" s="262"/>
      <c r="F145" s="261" t="str">
        <f t="shared" si="96"/>
        <v/>
      </c>
      <c r="G145" s="263" t="str">
        <f t="shared" si="96"/>
        <v/>
      </c>
      <c r="H145" s="264" t="str">
        <f t="shared" si="74"/>
        <v/>
      </c>
      <c r="I145" s="265" t="str">
        <f t="shared" si="84"/>
        <v/>
      </c>
      <c r="J145" s="264" t="str">
        <f t="shared" si="75"/>
        <v/>
      </c>
      <c r="K145" s="264">
        <f t="shared" si="76"/>
        <v>0</v>
      </c>
      <c r="L145" s="266"/>
      <c r="M145" s="267">
        <f t="shared" si="85"/>
        <v>1</v>
      </c>
      <c r="N145" s="296" t="str">
        <f t="shared" si="86"/>
        <v/>
      </c>
      <c r="O145" s="297" t="str">
        <f t="shared" si="77"/>
        <v/>
      </c>
      <c r="P145" s="298" t="str">
        <f t="shared" si="87"/>
        <v/>
      </c>
      <c r="Q145" s="268" t="str">
        <f t="shared" si="78"/>
        <v/>
      </c>
      <c r="R145" s="269"/>
      <c r="S145" s="270" t="str">
        <f t="shared" si="88"/>
        <v/>
      </c>
      <c r="T145" s="271" t="str">
        <f t="shared" si="89"/>
        <v/>
      </c>
      <c r="V145" s="3">
        <f t="shared" si="79"/>
        <v>40</v>
      </c>
      <c r="BC145" s="3">
        <f t="shared" si="90"/>
        <v>0</v>
      </c>
      <c r="BD145" s="3">
        <f t="shared" si="91"/>
        <v>0</v>
      </c>
      <c r="BE145" s="3">
        <f t="shared" si="80"/>
        <v>0</v>
      </c>
      <c r="BW145" s="3">
        <f t="shared" si="94"/>
        <v>0</v>
      </c>
    </row>
    <row r="146" spans="1:75" x14ac:dyDescent="0.3">
      <c r="A146" s="375">
        <v>113</v>
      </c>
      <c r="B146" s="272"/>
      <c r="C146" s="261">
        <f t="shared" si="83"/>
        <v>4</v>
      </c>
      <c r="D146" s="372"/>
      <c r="E146" s="274"/>
      <c r="F146" s="273" t="str">
        <f t="shared" si="96"/>
        <v/>
      </c>
      <c r="G146" s="275" t="str">
        <f t="shared" si="96"/>
        <v/>
      </c>
      <c r="H146" s="276" t="str">
        <f t="shared" si="74"/>
        <v/>
      </c>
      <c r="I146" s="277" t="str">
        <f t="shared" si="84"/>
        <v/>
      </c>
      <c r="J146" s="276" t="str">
        <f t="shared" si="75"/>
        <v/>
      </c>
      <c r="K146" s="276">
        <f t="shared" si="76"/>
        <v>0</v>
      </c>
      <c r="L146" s="278"/>
      <c r="M146" s="279">
        <f t="shared" si="85"/>
        <v>1</v>
      </c>
      <c r="N146" s="299" t="str">
        <f t="shared" si="86"/>
        <v/>
      </c>
      <c r="O146" s="117" t="str">
        <f t="shared" si="77"/>
        <v/>
      </c>
      <c r="P146" s="300" t="str">
        <f t="shared" si="87"/>
        <v/>
      </c>
      <c r="Q146" s="280" t="str">
        <f t="shared" si="78"/>
        <v/>
      </c>
      <c r="R146" s="281"/>
      <c r="S146" s="282" t="str">
        <f t="shared" si="88"/>
        <v/>
      </c>
      <c r="T146" s="283" t="str">
        <f t="shared" si="89"/>
        <v/>
      </c>
      <c r="V146" s="3">
        <f t="shared" si="79"/>
        <v>40</v>
      </c>
      <c r="BC146" s="3">
        <f t="shared" si="90"/>
        <v>0</v>
      </c>
      <c r="BD146" s="3">
        <f t="shared" si="91"/>
        <v>0</v>
      </c>
      <c r="BE146" s="3">
        <f t="shared" si="80"/>
        <v>0</v>
      </c>
      <c r="BW146" s="3">
        <f t="shared" si="94"/>
        <v>0</v>
      </c>
    </row>
    <row r="147" spans="1:75" x14ac:dyDescent="0.3">
      <c r="A147" s="375">
        <v>114</v>
      </c>
      <c r="B147" s="284"/>
      <c r="C147" s="261">
        <f t="shared" si="83"/>
        <v>4</v>
      </c>
      <c r="D147" s="373"/>
      <c r="E147" s="286"/>
      <c r="F147" s="285" t="str">
        <f t="shared" si="96"/>
        <v/>
      </c>
      <c r="G147" s="287" t="str">
        <f t="shared" si="96"/>
        <v/>
      </c>
      <c r="H147" s="288" t="str">
        <f t="shared" si="74"/>
        <v/>
      </c>
      <c r="I147" s="289" t="str">
        <f t="shared" si="84"/>
        <v/>
      </c>
      <c r="J147" s="288" t="str">
        <f t="shared" si="75"/>
        <v/>
      </c>
      <c r="K147" s="288">
        <f t="shared" si="76"/>
        <v>0</v>
      </c>
      <c r="L147" s="290"/>
      <c r="M147" s="291">
        <f t="shared" si="85"/>
        <v>1</v>
      </c>
      <c r="N147" s="301" t="str">
        <f t="shared" si="86"/>
        <v/>
      </c>
      <c r="O147" s="302" t="str">
        <f t="shared" si="77"/>
        <v/>
      </c>
      <c r="P147" s="303" t="str">
        <f t="shared" si="87"/>
        <v/>
      </c>
      <c r="Q147" s="292" t="str">
        <f t="shared" si="78"/>
        <v/>
      </c>
      <c r="R147" s="293"/>
      <c r="S147" s="294" t="str">
        <f t="shared" si="88"/>
        <v/>
      </c>
      <c r="T147" s="295" t="str">
        <f t="shared" si="89"/>
        <v/>
      </c>
      <c r="V147" s="3">
        <f t="shared" si="79"/>
        <v>40</v>
      </c>
      <c r="BC147" s="3">
        <f t="shared" si="90"/>
        <v>0</v>
      </c>
      <c r="BD147" s="3">
        <f t="shared" si="91"/>
        <v>0</v>
      </c>
      <c r="BE147" s="3">
        <f t="shared" si="80"/>
        <v>0</v>
      </c>
      <c r="BW147" s="3">
        <f t="shared" si="94"/>
        <v>0</v>
      </c>
    </row>
    <row r="148" spans="1:75" x14ac:dyDescent="0.3">
      <c r="A148" s="375">
        <v>115</v>
      </c>
      <c r="B148" s="260"/>
      <c r="C148" s="261">
        <f t="shared" si="83"/>
        <v>4</v>
      </c>
      <c r="D148" s="371"/>
      <c r="E148" s="262"/>
      <c r="F148" s="261" t="str">
        <f t="shared" si="96"/>
        <v/>
      </c>
      <c r="G148" s="263" t="str">
        <f t="shared" si="96"/>
        <v/>
      </c>
      <c r="H148" s="264" t="str">
        <f t="shared" si="74"/>
        <v/>
      </c>
      <c r="I148" s="265" t="str">
        <f t="shared" si="84"/>
        <v/>
      </c>
      <c r="J148" s="264" t="str">
        <f t="shared" si="75"/>
        <v/>
      </c>
      <c r="K148" s="264">
        <f t="shared" si="76"/>
        <v>0</v>
      </c>
      <c r="L148" s="266"/>
      <c r="M148" s="267">
        <f t="shared" si="85"/>
        <v>1</v>
      </c>
      <c r="N148" s="296" t="str">
        <f t="shared" si="86"/>
        <v/>
      </c>
      <c r="O148" s="297" t="str">
        <f t="shared" si="77"/>
        <v/>
      </c>
      <c r="P148" s="298" t="str">
        <f t="shared" si="87"/>
        <v/>
      </c>
      <c r="Q148" s="268" t="str">
        <f t="shared" si="78"/>
        <v/>
      </c>
      <c r="R148" s="269"/>
      <c r="S148" s="270" t="str">
        <f t="shared" si="88"/>
        <v/>
      </c>
      <c r="T148" s="271" t="str">
        <f t="shared" si="89"/>
        <v/>
      </c>
      <c r="V148" s="3">
        <f t="shared" si="79"/>
        <v>40</v>
      </c>
      <c r="BC148" s="3">
        <f t="shared" si="90"/>
        <v>0</v>
      </c>
      <c r="BD148" s="3">
        <f t="shared" si="91"/>
        <v>0</v>
      </c>
      <c r="BE148" s="3">
        <f t="shared" si="80"/>
        <v>0</v>
      </c>
      <c r="BW148" s="3">
        <f t="shared" si="94"/>
        <v>0</v>
      </c>
    </row>
    <row r="149" spans="1:75" x14ac:dyDescent="0.3">
      <c r="A149" s="375">
        <v>116</v>
      </c>
      <c r="B149" s="272"/>
      <c r="C149" s="261">
        <f t="shared" si="83"/>
        <v>4</v>
      </c>
      <c r="D149" s="372"/>
      <c r="E149" s="274"/>
      <c r="F149" s="273" t="str">
        <f t="shared" si="96"/>
        <v/>
      </c>
      <c r="G149" s="275" t="str">
        <f t="shared" si="96"/>
        <v/>
      </c>
      <c r="H149" s="276" t="str">
        <f t="shared" si="74"/>
        <v/>
      </c>
      <c r="I149" s="277" t="str">
        <f t="shared" si="84"/>
        <v/>
      </c>
      <c r="J149" s="276" t="str">
        <f t="shared" si="75"/>
        <v/>
      </c>
      <c r="K149" s="276">
        <f t="shared" si="76"/>
        <v>0</v>
      </c>
      <c r="L149" s="278"/>
      <c r="M149" s="279">
        <f t="shared" si="85"/>
        <v>1</v>
      </c>
      <c r="N149" s="299" t="str">
        <f t="shared" si="86"/>
        <v/>
      </c>
      <c r="O149" s="117" t="str">
        <f t="shared" si="77"/>
        <v/>
      </c>
      <c r="P149" s="300" t="str">
        <f t="shared" si="87"/>
        <v/>
      </c>
      <c r="Q149" s="280" t="str">
        <f t="shared" si="78"/>
        <v/>
      </c>
      <c r="R149" s="281"/>
      <c r="S149" s="282" t="str">
        <f t="shared" si="88"/>
        <v/>
      </c>
      <c r="T149" s="283" t="str">
        <f t="shared" si="89"/>
        <v/>
      </c>
      <c r="V149" s="3">
        <f t="shared" si="79"/>
        <v>40</v>
      </c>
      <c r="BC149" s="3">
        <f t="shared" si="90"/>
        <v>0</v>
      </c>
      <c r="BD149" s="3">
        <f t="shared" si="91"/>
        <v>0</v>
      </c>
      <c r="BE149" s="3">
        <f t="shared" si="80"/>
        <v>0</v>
      </c>
      <c r="BW149" s="3">
        <f t="shared" si="94"/>
        <v>0</v>
      </c>
    </row>
    <row r="150" spans="1:75" x14ac:dyDescent="0.3">
      <c r="A150" s="375">
        <v>117</v>
      </c>
      <c r="B150" s="284"/>
      <c r="C150" s="261">
        <f t="shared" si="83"/>
        <v>4</v>
      </c>
      <c r="D150" s="373"/>
      <c r="E150" s="286"/>
      <c r="F150" s="285" t="str">
        <f t="shared" si="96"/>
        <v/>
      </c>
      <c r="G150" s="287" t="str">
        <f t="shared" si="96"/>
        <v/>
      </c>
      <c r="H150" s="288" t="str">
        <f t="shared" si="74"/>
        <v/>
      </c>
      <c r="I150" s="289" t="str">
        <f t="shared" si="84"/>
        <v/>
      </c>
      <c r="J150" s="288" t="str">
        <f t="shared" si="75"/>
        <v/>
      </c>
      <c r="K150" s="288">
        <f t="shared" si="76"/>
        <v>0</v>
      </c>
      <c r="L150" s="290"/>
      <c r="M150" s="291">
        <f t="shared" si="85"/>
        <v>1</v>
      </c>
      <c r="N150" s="301" t="str">
        <f t="shared" si="86"/>
        <v/>
      </c>
      <c r="O150" s="302" t="str">
        <f t="shared" si="77"/>
        <v/>
      </c>
      <c r="P150" s="303" t="str">
        <f t="shared" si="87"/>
        <v/>
      </c>
      <c r="Q150" s="292" t="str">
        <f t="shared" si="78"/>
        <v/>
      </c>
      <c r="R150" s="293"/>
      <c r="S150" s="294" t="str">
        <f t="shared" si="88"/>
        <v/>
      </c>
      <c r="T150" s="295" t="str">
        <f t="shared" si="89"/>
        <v/>
      </c>
      <c r="V150" s="3">
        <f t="shared" si="79"/>
        <v>40</v>
      </c>
      <c r="BC150" s="3">
        <f t="shared" si="90"/>
        <v>0</v>
      </c>
      <c r="BD150" s="3">
        <f t="shared" si="91"/>
        <v>0</v>
      </c>
      <c r="BE150" s="3">
        <f t="shared" si="80"/>
        <v>0</v>
      </c>
      <c r="BW150" s="3">
        <f t="shared" si="94"/>
        <v>0</v>
      </c>
    </row>
    <row r="151" spans="1:75" x14ac:dyDescent="0.3">
      <c r="A151" s="375">
        <v>118</v>
      </c>
      <c r="B151" s="260"/>
      <c r="C151" s="261">
        <f t="shared" si="83"/>
        <v>4</v>
      </c>
      <c r="D151" s="371"/>
      <c r="E151" s="262"/>
      <c r="F151" s="261" t="str">
        <f t="shared" si="96"/>
        <v/>
      </c>
      <c r="G151" s="263" t="str">
        <f t="shared" si="96"/>
        <v/>
      </c>
      <c r="H151" s="264" t="str">
        <f t="shared" si="74"/>
        <v/>
      </c>
      <c r="I151" s="265" t="str">
        <f t="shared" si="84"/>
        <v/>
      </c>
      <c r="J151" s="264" t="str">
        <f t="shared" si="75"/>
        <v/>
      </c>
      <c r="K151" s="264">
        <f t="shared" si="76"/>
        <v>0</v>
      </c>
      <c r="L151" s="266"/>
      <c r="M151" s="267">
        <f t="shared" si="85"/>
        <v>1</v>
      </c>
      <c r="N151" s="296" t="str">
        <f t="shared" si="86"/>
        <v/>
      </c>
      <c r="O151" s="297" t="str">
        <f t="shared" si="77"/>
        <v/>
      </c>
      <c r="P151" s="298" t="str">
        <f t="shared" si="87"/>
        <v/>
      </c>
      <c r="Q151" s="268" t="str">
        <f t="shared" si="78"/>
        <v/>
      </c>
      <c r="R151" s="269"/>
      <c r="S151" s="270" t="str">
        <f t="shared" si="88"/>
        <v/>
      </c>
      <c r="T151" s="271" t="str">
        <f t="shared" si="89"/>
        <v/>
      </c>
      <c r="V151" s="3">
        <f t="shared" si="79"/>
        <v>40</v>
      </c>
      <c r="BC151" s="3">
        <f t="shared" si="90"/>
        <v>0</v>
      </c>
      <c r="BD151" s="3">
        <f t="shared" si="91"/>
        <v>0</v>
      </c>
      <c r="BE151" s="3">
        <f t="shared" si="80"/>
        <v>0</v>
      </c>
      <c r="BW151" s="3">
        <f t="shared" si="94"/>
        <v>0</v>
      </c>
    </row>
    <row r="152" spans="1:75" x14ac:dyDescent="0.3">
      <c r="A152" s="375">
        <v>119</v>
      </c>
      <c r="B152" s="272"/>
      <c r="C152" s="261">
        <f t="shared" si="83"/>
        <v>4</v>
      </c>
      <c r="D152" s="372"/>
      <c r="E152" s="274"/>
      <c r="F152" s="273" t="str">
        <f t="shared" si="96"/>
        <v/>
      </c>
      <c r="G152" s="275" t="str">
        <f t="shared" si="96"/>
        <v/>
      </c>
      <c r="H152" s="276" t="str">
        <f t="shared" si="74"/>
        <v/>
      </c>
      <c r="I152" s="277" t="str">
        <f t="shared" si="84"/>
        <v/>
      </c>
      <c r="J152" s="276" t="str">
        <f t="shared" si="75"/>
        <v/>
      </c>
      <c r="K152" s="276">
        <f t="shared" si="76"/>
        <v>0</v>
      </c>
      <c r="L152" s="278"/>
      <c r="M152" s="279">
        <f t="shared" si="85"/>
        <v>1</v>
      </c>
      <c r="N152" s="299" t="str">
        <f t="shared" si="86"/>
        <v/>
      </c>
      <c r="O152" s="117" t="str">
        <f t="shared" si="77"/>
        <v/>
      </c>
      <c r="P152" s="300" t="str">
        <f t="shared" si="87"/>
        <v/>
      </c>
      <c r="Q152" s="280" t="str">
        <f t="shared" si="78"/>
        <v/>
      </c>
      <c r="R152" s="281"/>
      <c r="S152" s="282" t="str">
        <f t="shared" si="88"/>
        <v/>
      </c>
      <c r="T152" s="283" t="str">
        <f t="shared" si="89"/>
        <v/>
      </c>
      <c r="V152" s="3">
        <f t="shared" si="79"/>
        <v>40</v>
      </c>
      <c r="BC152" s="3">
        <f t="shared" si="90"/>
        <v>0</v>
      </c>
      <c r="BD152" s="3">
        <f t="shared" si="91"/>
        <v>0</v>
      </c>
      <c r="BE152" s="3">
        <f t="shared" si="80"/>
        <v>0</v>
      </c>
      <c r="BW152" s="3">
        <f t="shared" si="94"/>
        <v>0</v>
      </c>
    </row>
    <row r="153" spans="1:75" x14ac:dyDescent="0.3">
      <c r="A153" s="375">
        <v>120</v>
      </c>
      <c r="B153" s="284"/>
      <c r="C153" s="261">
        <f t="shared" si="83"/>
        <v>4</v>
      </c>
      <c r="D153" s="373"/>
      <c r="E153" s="286"/>
      <c r="F153" s="285" t="str">
        <f t="shared" si="96"/>
        <v/>
      </c>
      <c r="G153" s="287" t="str">
        <f t="shared" si="96"/>
        <v/>
      </c>
      <c r="H153" s="288" t="str">
        <f t="shared" si="74"/>
        <v/>
      </c>
      <c r="I153" s="289" t="str">
        <f t="shared" si="84"/>
        <v/>
      </c>
      <c r="J153" s="288" t="str">
        <f t="shared" si="75"/>
        <v/>
      </c>
      <c r="K153" s="288">
        <f t="shared" si="76"/>
        <v>0</v>
      </c>
      <c r="L153" s="290"/>
      <c r="M153" s="291">
        <f t="shared" si="85"/>
        <v>1</v>
      </c>
      <c r="N153" s="301" t="str">
        <f t="shared" si="86"/>
        <v/>
      </c>
      <c r="O153" s="302" t="str">
        <f t="shared" si="77"/>
        <v/>
      </c>
      <c r="P153" s="303" t="str">
        <f t="shared" si="87"/>
        <v/>
      </c>
      <c r="Q153" s="292" t="str">
        <f t="shared" si="78"/>
        <v/>
      </c>
      <c r="R153" s="293"/>
      <c r="S153" s="294" t="str">
        <f t="shared" si="88"/>
        <v/>
      </c>
      <c r="T153" s="295" t="str">
        <f t="shared" si="89"/>
        <v/>
      </c>
      <c r="V153" s="3">
        <f t="shared" si="79"/>
        <v>40</v>
      </c>
      <c r="BC153" s="3">
        <f t="shared" si="90"/>
        <v>0</v>
      </c>
      <c r="BD153" s="3">
        <f t="shared" si="91"/>
        <v>0</v>
      </c>
      <c r="BE153" s="3">
        <f t="shared" si="80"/>
        <v>0</v>
      </c>
      <c r="BW153" s="3">
        <f t="shared" si="94"/>
        <v>0</v>
      </c>
    </row>
    <row r="154" spans="1:75" x14ac:dyDescent="0.3">
      <c r="A154" s="375">
        <v>121</v>
      </c>
      <c r="B154" s="260"/>
      <c r="C154" s="261">
        <f t="shared" si="83"/>
        <v>4</v>
      </c>
      <c r="D154" s="371"/>
      <c r="E154" s="262"/>
      <c r="F154" s="261" t="str">
        <f t="shared" ref="F154:G173" si="97">IFERROR(VLOOKUP($E154,DMFA,F$29,FALSE),"")</f>
        <v/>
      </c>
      <c r="G154" s="263" t="str">
        <f t="shared" si="97"/>
        <v/>
      </c>
      <c r="H154" s="264" t="str">
        <f t="shared" si="74"/>
        <v/>
      </c>
      <c r="I154" s="265" t="str">
        <f t="shared" si="84"/>
        <v/>
      </c>
      <c r="J154" s="264" t="str">
        <f t="shared" si="75"/>
        <v/>
      </c>
      <c r="K154" s="264">
        <f t="shared" si="76"/>
        <v>0</v>
      </c>
      <c r="L154" s="266"/>
      <c r="M154" s="267">
        <f t="shared" si="85"/>
        <v>1</v>
      </c>
      <c r="N154" s="296" t="str">
        <f t="shared" si="86"/>
        <v/>
      </c>
      <c r="O154" s="297" t="str">
        <f t="shared" si="77"/>
        <v/>
      </c>
      <c r="P154" s="298" t="str">
        <f t="shared" si="87"/>
        <v/>
      </c>
      <c r="Q154" s="268" t="str">
        <f t="shared" si="78"/>
        <v/>
      </c>
      <c r="R154" s="269"/>
      <c r="S154" s="270" t="str">
        <f t="shared" si="88"/>
        <v/>
      </c>
      <c r="T154" s="271" t="str">
        <f t="shared" si="89"/>
        <v/>
      </c>
      <c r="V154" s="3">
        <f t="shared" si="79"/>
        <v>40</v>
      </c>
      <c r="BC154" s="3">
        <f t="shared" si="90"/>
        <v>0</v>
      </c>
      <c r="BD154" s="3">
        <f t="shared" si="91"/>
        <v>0</v>
      </c>
      <c r="BE154" s="3">
        <f t="shared" si="80"/>
        <v>0</v>
      </c>
      <c r="BW154" s="3">
        <f t="shared" si="94"/>
        <v>0</v>
      </c>
    </row>
    <row r="155" spans="1:75" x14ac:dyDescent="0.3">
      <c r="A155" s="375">
        <v>122</v>
      </c>
      <c r="B155" s="272"/>
      <c r="C155" s="261">
        <f t="shared" si="83"/>
        <v>4</v>
      </c>
      <c r="D155" s="372"/>
      <c r="E155" s="274"/>
      <c r="F155" s="273" t="str">
        <f t="shared" si="97"/>
        <v/>
      </c>
      <c r="G155" s="275" t="str">
        <f t="shared" si="97"/>
        <v/>
      </c>
      <c r="H155" s="276" t="str">
        <f t="shared" si="74"/>
        <v/>
      </c>
      <c r="I155" s="277" t="str">
        <f t="shared" si="84"/>
        <v/>
      </c>
      <c r="J155" s="276" t="str">
        <f t="shared" si="75"/>
        <v/>
      </c>
      <c r="K155" s="276">
        <f t="shared" si="76"/>
        <v>0</v>
      </c>
      <c r="L155" s="278"/>
      <c r="M155" s="279">
        <f t="shared" si="85"/>
        <v>1</v>
      </c>
      <c r="N155" s="299" t="str">
        <f t="shared" si="86"/>
        <v/>
      </c>
      <c r="O155" s="117" t="str">
        <f t="shared" si="77"/>
        <v/>
      </c>
      <c r="P155" s="300" t="str">
        <f t="shared" si="87"/>
        <v/>
      </c>
      <c r="Q155" s="280" t="str">
        <f t="shared" si="78"/>
        <v/>
      </c>
      <c r="R155" s="281"/>
      <c r="S155" s="282" t="str">
        <f t="shared" si="88"/>
        <v/>
      </c>
      <c r="T155" s="283" t="str">
        <f t="shared" si="89"/>
        <v/>
      </c>
      <c r="V155" s="3">
        <f t="shared" si="79"/>
        <v>40</v>
      </c>
      <c r="BC155" s="3">
        <f t="shared" si="90"/>
        <v>0</v>
      </c>
      <c r="BD155" s="3">
        <f t="shared" si="91"/>
        <v>0</v>
      </c>
      <c r="BE155" s="3">
        <f t="shared" si="80"/>
        <v>0</v>
      </c>
      <c r="BW155" s="3">
        <f t="shared" si="94"/>
        <v>0</v>
      </c>
    </row>
    <row r="156" spans="1:75" x14ac:dyDescent="0.3">
      <c r="A156" s="375">
        <v>123</v>
      </c>
      <c r="B156" s="284"/>
      <c r="C156" s="261">
        <f t="shared" si="83"/>
        <v>4</v>
      </c>
      <c r="D156" s="373"/>
      <c r="E156" s="286"/>
      <c r="F156" s="285" t="str">
        <f t="shared" si="97"/>
        <v/>
      </c>
      <c r="G156" s="287" t="str">
        <f t="shared" si="97"/>
        <v/>
      </c>
      <c r="H156" s="288" t="str">
        <f t="shared" si="74"/>
        <v/>
      </c>
      <c r="I156" s="289" t="str">
        <f t="shared" si="84"/>
        <v/>
      </c>
      <c r="J156" s="288" t="str">
        <f t="shared" si="75"/>
        <v/>
      </c>
      <c r="K156" s="288">
        <f t="shared" si="76"/>
        <v>0</v>
      </c>
      <c r="L156" s="290"/>
      <c r="M156" s="291">
        <f t="shared" si="85"/>
        <v>1</v>
      </c>
      <c r="N156" s="301" t="str">
        <f t="shared" si="86"/>
        <v/>
      </c>
      <c r="O156" s="302" t="str">
        <f t="shared" si="77"/>
        <v/>
      </c>
      <c r="P156" s="303" t="str">
        <f t="shared" si="87"/>
        <v/>
      </c>
      <c r="Q156" s="292" t="str">
        <f t="shared" si="78"/>
        <v/>
      </c>
      <c r="R156" s="293"/>
      <c r="S156" s="294" t="str">
        <f t="shared" si="88"/>
        <v/>
      </c>
      <c r="T156" s="295" t="str">
        <f t="shared" si="89"/>
        <v/>
      </c>
      <c r="V156" s="3">
        <f t="shared" si="79"/>
        <v>40</v>
      </c>
      <c r="BC156" s="3">
        <f t="shared" si="90"/>
        <v>0</v>
      </c>
      <c r="BD156" s="3">
        <f t="shared" si="91"/>
        <v>0</v>
      </c>
      <c r="BE156" s="3">
        <f t="shared" si="80"/>
        <v>0</v>
      </c>
      <c r="BW156" s="3">
        <f t="shared" si="94"/>
        <v>0</v>
      </c>
    </row>
    <row r="157" spans="1:75" x14ac:dyDescent="0.3">
      <c r="A157" s="375">
        <v>124</v>
      </c>
      <c r="B157" s="260"/>
      <c r="C157" s="261">
        <f t="shared" si="83"/>
        <v>4</v>
      </c>
      <c r="D157" s="371"/>
      <c r="E157" s="262"/>
      <c r="F157" s="261" t="str">
        <f t="shared" si="97"/>
        <v/>
      </c>
      <c r="G157" s="263" t="str">
        <f t="shared" si="97"/>
        <v/>
      </c>
      <c r="H157" s="264" t="str">
        <f t="shared" si="74"/>
        <v/>
      </c>
      <c r="I157" s="265" t="str">
        <f t="shared" si="84"/>
        <v/>
      </c>
      <c r="J157" s="264" t="str">
        <f t="shared" si="75"/>
        <v/>
      </c>
      <c r="K157" s="264">
        <f t="shared" si="76"/>
        <v>0</v>
      </c>
      <c r="L157" s="266"/>
      <c r="M157" s="267">
        <f t="shared" si="85"/>
        <v>1</v>
      </c>
      <c r="N157" s="296" t="str">
        <f t="shared" si="86"/>
        <v/>
      </c>
      <c r="O157" s="297" t="str">
        <f t="shared" si="77"/>
        <v/>
      </c>
      <c r="P157" s="298" t="str">
        <f t="shared" si="87"/>
        <v/>
      </c>
      <c r="Q157" s="268" t="str">
        <f t="shared" si="78"/>
        <v/>
      </c>
      <c r="R157" s="269"/>
      <c r="S157" s="270" t="str">
        <f t="shared" si="88"/>
        <v/>
      </c>
      <c r="T157" s="271" t="str">
        <f t="shared" si="89"/>
        <v/>
      </c>
      <c r="V157" s="3">
        <f t="shared" si="79"/>
        <v>40</v>
      </c>
      <c r="BC157" s="3">
        <f t="shared" si="90"/>
        <v>0</v>
      </c>
      <c r="BD157" s="3">
        <f t="shared" si="91"/>
        <v>0</v>
      </c>
      <c r="BE157" s="3">
        <f t="shared" si="80"/>
        <v>0</v>
      </c>
      <c r="BW157" s="3">
        <f t="shared" si="94"/>
        <v>0</v>
      </c>
    </row>
    <row r="158" spans="1:75" x14ac:dyDescent="0.3">
      <c r="A158" s="375">
        <v>125</v>
      </c>
      <c r="B158" s="272"/>
      <c r="C158" s="261">
        <f t="shared" si="83"/>
        <v>4</v>
      </c>
      <c r="D158" s="372"/>
      <c r="E158" s="274"/>
      <c r="F158" s="273" t="str">
        <f t="shared" si="97"/>
        <v/>
      </c>
      <c r="G158" s="275" t="str">
        <f t="shared" si="97"/>
        <v/>
      </c>
      <c r="H158" s="276" t="str">
        <f t="shared" si="74"/>
        <v/>
      </c>
      <c r="I158" s="277" t="str">
        <f t="shared" si="84"/>
        <v/>
      </c>
      <c r="J158" s="276" t="str">
        <f t="shared" si="75"/>
        <v/>
      </c>
      <c r="K158" s="276">
        <f t="shared" si="76"/>
        <v>0</v>
      </c>
      <c r="L158" s="278"/>
      <c r="M158" s="279">
        <f t="shared" si="85"/>
        <v>1</v>
      </c>
      <c r="N158" s="299" t="str">
        <f t="shared" si="86"/>
        <v/>
      </c>
      <c r="O158" s="117" t="str">
        <f t="shared" si="77"/>
        <v/>
      </c>
      <c r="P158" s="300" t="str">
        <f t="shared" si="87"/>
        <v/>
      </c>
      <c r="Q158" s="280" t="str">
        <f t="shared" si="78"/>
        <v/>
      </c>
      <c r="R158" s="281"/>
      <c r="S158" s="282" t="str">
        <f t="shared" si="88"/>
        <v/>
      </c>
      <c r="T158" s="283" t="str">
        <f t="shared" si="89"/>
        <v/>
      </c>
      <c r="V158" s="3">
        <f t="shared" si="79"/>
        <v>40</v>
      </c>
      <c r="BC158" s="3">
        <f t="shared" si="90"/>
        <v>0</v>
      </c>
      <c r="BD158" s="3">
        <f t="shared" si="91"/>
        <v>0</v>
      </c>
      <c r="BE158" s="3">
        <f t="shared" si="80"/>
        <v>0</v>
      </c>
      <c r="BW158" s="3">
        <f t="shared" si="94"/>
        <v>0</v>
      </c>
    </row>
    <row r="159" spans="1:75" x14ac:dyDescent="0.3">
      <c r="A159" s="375">
        <v>126</v>
      </c>
      <c r="B159" s="284"/>
      <c r="C159" s="261">
        <f t="shared" si="83"/>
        <v>4</v>
      </c>
      <c r="D159" s="373"/>
      <c r="E159" s="286"/>
      <c r="F159" s="285" t="str">
        <f t="shared" si="97"/>
        <v/>
      </c>
      <c r="G159" s="287" t="str">
        <f t="shared" si="97"/>
        <v/>
      </c>
      <c r="H159" s="288" t="str">
        <f t="shared" si="74"/>
        <v/>
      </c>
      <c r="I159" s="289" t="str">
        <f t="shared" si="84"/>
        <v/>
      </c>
      <c r="J159" s="288" t="str">
        <f t="shared" si="75"/>
        <v/>
      </c>
      <c r="K159" s="288">
        <f t="shared" si="76"/>
        <v>0</v>
      </c>
      <c r="L159" s="290"/>
      <c r="M159" s="291">
        <f t="shared" si="85"/>
        <v>1</v>
      </c>
      <c r="N159" s="301" t="str">
        <f t="shared" si="86"/>
        <v/>
      </c>
      <c r="O159" s="302" t="str">
        <f t="shared" si="77"/>
        <v/>
      </c>
      <c r="P159" s="303" t="str">
        <f t="shared" si="87"/>
        <v/>
      </c>
      <c r="Q159" s="292" t="str">
        <f t="shared" si="78"/>
        <v/>
      </c>
      <c r="R159" s="293"/>
      <c r="S159" s="294" t="str">
        <f t="shared" si="88"/>
        <v/>
      </c>
      <c r="T159" s="295" t="str">
        <f t="shared" si="89"/>
        <v/>
      </c>
      <c r="V159" s="3">
        <f t="shared" si="79"/>
        <v>40</v>
      </c>
      <c r="BC159" s="3">
        <f t="shared" si="90"/>
        <v>0</v>
      </c>
      <c r="BD159" s="3">
        <f t="shared" si="91"/>
        <v>0</v>
      </c>
      <c r="BE159" s="3">
        <f t="shared" si="80"/>
        <v>0</v>
      </c>
      <c r="BW159" s="3">
        <f t="shared" si="94"/>
        <v>0</v>
      </c>
    </row>
    <row r="160" spans="1:75" x14ac:dyDescent="0.3">
      <c r="A160" s="375">
        <v>127</v>
      </c>
      <c r="B160" s="260"/>
      <c r="C160" s="261">
        <f t="shared" si="83"/>
        <v>4</v>
      </c>
      <c r="D160" s="371"/>
      <c r="E160" s="262"/>
      <c r="F160" s="261" t="str">
        <f t="shared" si="97"/>
        <v/>
      </c>
      <c r="G160" s="263" t="str">
        <f t="shared" si="97"/>
        <v/>
      </c>
      <c r="H160" s="264" t="str">
        <f t="shared" si="74"/>
        <v/>
      </c>
      <c r="I160" s="265" t="str">
        <f t="shared" si="84"/>
        <v/>
      </c>
      <c r="J160" s="264" t="str">
        <f t="shared" si="75"/>
        <v/>
      </c>
      <c r="K160" s="264">
        <f t="shared" si="76"/>
        <v>0</v>
      </c>
      <c r="L160" s="266"/>
      <c r="M160" s="267">
        <f t="shared" si="85"/>
        <v>1</v>
      </c>
      <c r="N160" s="296" t="str">
        <f t="shared" si="86"/>
        <v/>
      </c>
      <c r="O160" s="297" t="str">
        <f t="shared" si="77"/>
        <v/>
      </c>
      <c r="P160" s="298" t="str">
        <f t="shared" si="87"/>
        <v/>
      </c>
      <c r="Q160" s="268" t="str">
        <f t="shared" si="78"/>
        <v/>
      </c>
      <c r="R160" s="269"/>
      <c r="S160" s="270" t="str">
        <f t="shared" si="88"/>
        <v/>
      </c>
      <c r="T160" s="271" t="str">
        <f t="shared" si="89"/>
        <v/>
      </c>
      <c r="V160" s="3">
        <f t="shared" si="79"/>
        <v>40</v>
      </c>
      <c r="BC160" s="3">
        <f t="shared" si="90"/>
        <v>0</v>
      </c>
      <c r="BD160" s="3">
        <f t="shared" si="91"/>
        <v>0</v>
      </c>
      <c r="BE160" s="3">
        <f t="shared" si="80"/>
        <v>0</v>
      </c>
      <c r="BW160" s="3">
        <f t="shared" si="94"/>
        <v>0</v>
      </c>
    </row>
    <row r="161" spans="1:75" x14ac:dyDescent="0.3">
      <c r="A161" s="375">
        <v>128</v>
      </c>
      <c r="B161" s="272"/>
      <c r="C161" s="261">
        <f t="shared" si="83"/>
        <v>4</v>
      </c>
      <c r="D161" s="372"/>
      <c r="E161" s="274"/>
      <c r="F161" s="273" t="str">
        <f t="shared" si="97"/>
        <v/>
      </c>
      <c r="G161" s="275" t="str">
        <f t="shared" si="97"/>
        <v/>
      </c>
      <c r="H161" s="276" t="str">
        <f t="shared" si="74"/>
        <v/>
      </c>
      <c r="I161" s="277" t="str">
        <f t="shared" si="84"/>
        <v/>
      </c>
      <c r="J161" s="276" t="str">
        <f t="shared" si="75"/>
        <v/>
      </c>
      <c r="K161" s="276">
        <f t="shared" si="76"/>
        <v>0</v>
      </c>
      <c r="L161" s="278"/>
      <c r="M161" s="279">
        <f t="shared" si="85"/>
        <v>1</v>
      </c>
      <c r="N161" s="299" t="str">
        <f t="shared" si="86"/>
        <v/>
      </c>
      <c r="O161" s="117" t="str">
        <f t="shared" si="77"/>
        <v/>
      </c>
      <c r="P161" s="300" t="str">
        <f t="shared" si="87"/>
        <v/>
      </c>
      <c r="Q161" s="280" t="str">
        <f t="shared" si="78"/>
        <v/>
      </c>
      <c r="R161" s="281"/>
      <c r="S161" s="282" t="str">
        <f t="shared" si="88"/>
        <v/>
      </c>
      <c r="T161" s="283" t="str">
        <f t="shared" si="89"/>
        <v/>
      </c>
      <c r="V161" s="3">
        <f t="shared" si="79"/>
        <v>40</v>
      </c>
      <c r="BC161" s="3">
        <f t="shared" si="90"/>
        <v>0</v>
      </c>
      <c r="BD161" s="3">
        <f t="shared" si="91"/>
        <v>0</v>
      </c>
      <c r="BE161" s="3">
        <f t="shared" si="80"/>
        <v>0</v>
      </c>
      <c r="BW161" s="3">
        <f t="shared" si="94"/>
        <v>0</v>
      </c>
    </row>
    <row r="162" spans="1:75" x14ac:dyDescent="0.3">
      <c r="A162" s="375">
        <v>129</v>
      </c>
      <c r="B162" s="284"/>
      <c r="C162" s="261">
        <f t="shared" si="83"/>
        <v>4</v>
      </c>
      <c r="D162" s="373"/>
      <c r="E162" s="286"/>
      <c r="F162" s="285" t="str">
        <f t="shared" si="97"/>
        <v/>
      </c>
      <c r="G162" s="287" t="str">
        <f t="shared" si="97"/>
        <v/>
      </c>
      <c r="H162" s="288" t="str">
        <f t="shared" ref="H162:H183" si="98">IF(COUNTIF($E$34:$E$183,E162)=0,"",COUNTIF($E$34:$E$183,E162))</f>
        <v/>
      </c>
      <c r="I162" s="289" t="str">
        <f t="shared" si="84"/>
        <v/>
      </c>
      <c r="J162" s="288" t="str">
        <f t="shared" ref="J162:J183" si="99">IF(I162="","",TEXT(I162/G162,"0.0 %"))</f>
        <v/>
      </c>
      <c r="K162" s="288">
        <f t="shared" ref="K162:K183" si="100">IF(C162=1,$J$16,IF(C162=2,$J$17,IF(C162=3,$J$18,0)))</f>
        <v>0</v>
      </c>
      <c r="L162" s="290"/>
      <c r="M162" s="291">
        <f t="shared" si="85"/>
        <v>1</v>
      </c>
      <c r="N162" s="301" t="str">
        <f t="shared" si="86"/>
        <v/>
      </c>
      <c r="O162" s="302" t="str">
        <f t="shared" ref="O162:O183" si="101">IF(I162="","","×")</f>
        <v/>
      </c>
      <c r="P162" s="303" t="str">
        <f t="shared" si="87"/>
        <v/>
      </c>
      <c r="Q162" s="292" t="str">
        <f t="shared" ref="Q162:Q183" si="102">IF(I162="","",IF(N162="---","---",I162/((N162/12)*(P162/12))))</f>
        <v/>
      </c>
      <c r="R162" s="293"/>
      <c r="S162" s="294" t="str">
        <f t="shared" si="88"/>
        <v/>
      </c>
      <c r="T162" s="295" t="str">
        <f t="shared" si="89"/>
        <v/>
      </c>
      <c r="V162" s="3">
        <f t="shared" ref="V162:V183" si="103">IFERROR(VALUE(TEXT(C162,"00")&amp;TEXT(N162,"00")&amp;TEXT(P162,"00")&amp;IF(R162="Plato perforado",5,IF(OR(R162="N/A",R162=""),0,R162))),"")</f>
        <v>40</v>
      </c>
      <c r="BC162" s="3">
        <f t="shared" si="90"/>
        <v>0</v>
      </c>
      <c r="BD162" s="3">
        <f t="shared" si="91"/>
        <v>0</v>
      </c>
      <c r="BE162" s="3">
        <f t="shared" ref="BE162:BE183" si="104">VALUE(TEXT(BC162,"00")&amp;TEXT(BD162,"00"))</f>
        <v>0</v>
      </c>
      <c r="BW162" s="3">
        <f t="shared" si="94"/>
        <v>0</v>
      </c>
    </row>
    <row r="163" spans="1:75" x14ac:dyDescent="0.3">
      <c r="A163" s="375">
        <v>130</v>
      </c>
      <c r="B163" s="260"/>
      <c r="C163" s="261">
        <f t="shared" ref="C163:C183" si="105">IF(B163="DI",1,IF(B163="CP",2,IF(B163="FT",3,4)))</f>
        <v>4</v>
      </c>
      <c r="D163" s="371"/>
      <c r="E163" s="262"/>
      <c r="F163" s="261" t="str">
        <f t="shared" si="97"/>
        <v/>
      </c>
      <c r="G163" s="263" t="str">
        <f t="shared" si="97"/>
        <v/>
      </c>
      <c r="H163" s="264" t="str">
        <f t="shared" si="98"/>
        <v/>
      </c>
      <c r="I163" s="265" t="str">
        <f t="shared" ref="I163:I183" si="106">IF(OR(G163="",H163=""),"",G163/H163)</f>
        <v/>
      </c>
      <c r="J163" s="264" t="str">
        <f t="shared" si="99"/>
        <v/>
      </c>
      <c r="K163" s="264">
        <f t="shared" si="100"/>
        <v>0</v>
      </c>
      <c r="L163" s="266"/>
      <c r="M163" s="267">
        <f t="shared" ref="M163:M183" si="107">IF(OR(L163=0,C163=1,C163=4),1,L163)</f>
        <v>1</v>
      </c>
      <c r="N163" s="296" t="str">
        <f t="shared" ref="N163:N183" si="108">IFERROR(IF(I163="","",IF(SQRT((I163*M163)/IF(C163=1,$D$16,IF(C163=2,$D$17,IF(C163=3,$D$18,0))))*12&lt;9,9,IF(CEILING(SQRT((I163*M163)/IF(C163=1,$D$16,IF(C163=2,$D$17,IF(C163=3,$D$18,0))))*12,K163)&gt;48,"+",CEILING(SQRT((I163*M163)/IF(C163=1,$D$16,IF(C163=2,$D$17,IF(C163=3,$D$18,0))))*12,K163)))),"---")</f>
        <v/>
      </c>
      <c r="O163" s="297" t="str">
        <f t="shared" si="101"/>
        <v/>
      </c>
      <c r="P163" s="298" t="str">
        <f t="shared" ref="P163:P183" si="109">IFERROR(IF(I163="","",IF((1/M163)*SQRT((I163*M163)/IF(C163=1,$D$16,IF(C163=2,$D$17,IF(C163=3,$D$18,0))))*12&lt;9,9,IF(CEILING((1/M163)*SQRT((I163*M163)/IF(C163=1,$D$16,IF(C163=2,$D$17,IF(C163=3,$D$18,0))))*12,K163)&gt;48,"+",CEILING((1/M163)*SQRT((I163*M163)/IF(C163=1,$D$16,IF(C163=2,$D$17,IF(C163=3,$D$18,0))))*12,K163)))),"---")</f>
        <v/>
      </c>
      <c r="Q163" s="268" t="str">
        <f t="shared" si="102"/>
        <v/>
      </c>
      <c r="R163" s="269"/>
      <c r="S163" s="270" t="str">
        <f t="shared" ref="S163:S183" si="110">IF(C163=1,$S$15,IF(C163=2,IF(N163&gt;=P163,"RR","RR"),IF(C163=3,IF(OR(N163=12,P163=12),$S$16,IF(AND(N163=24,P163=24),$S$17,IF(OR(AND(N163=24,P163=48),AND(N163=48,P163=24)),$S$18,IF(I163="","","N/A")))),"")))</f>
        <v/>
      </c>
      <c r="T163" s="271" t="str">
        <f t="shared" ref="T163:T183" si="111">IFERROR(IF(C163=1,(0.000000468)*Q163^2.0001,IF(C163=2,(0.000000275)*Q163^1.993,IF(C163=3,1,IF(AND(I163&lt;&gt;"",C163=4),"---","")))),"")</f>
        <v/>
      </c>
      <c r="V163" s="3">
        <f t="shared" si="103"/>
        <v>40</v>
      </c>
      <c r="BC163" s="3">
        <f t="shared" ref="BC163:BC183" si="112">IF(C163=2,N163,0)</f>
        <v>0</v>
      </c>
      <c r="BD163" s="3">
        <f t="shared" ref="BD163:BD183" si="113">IF(C163=2,P163,0)</f>
        <v>0</v>
      </c>
      <c r="BE163" s="3">
        <f t="shared" si="104"/>
        <v>0</v>
      </c>
      <c r="BW163" s="3">
        <f t="shared" si="94"/>
        <v>0</v>
      </c>
    </row>
    <row r="164" spans="1:75" x14ac:dyDescent="0.3">
      <c r="A164" s="375">
        <v>131</v>
      </c>
      <c r="B164" s="272"/>
      <c r="C164" s="261">
        <f t="shared" si="105"/>
        <v>4</v>
      </c>
      <c r="D164" s="372"/>
      <c r="E164" s="274"/>
      <c r="F164" s="273" t="str">
        <f t="shared" si="97"/>
        <v/>
      </c>
      <c r="G164" s="275" t="str">
        <f t="shared" si="97"/>
        <v/>
      </c>
      <c r="H164" s="276" t="str">
        <f t="shared" si="98"/>
        <v/>
      </c>
      <c r="I164" s="277" t="str">
        <f t="shared" si="106"/>
        <v/>
      </c>
      <c r="J164" s="276" t="str">
        <f t="shared" si="99"/>
        <v/>
      </c>
      <c r="K164" s="276">
        <f t="shared" si="100"/>
        <v>0</v>
      </c>
      <c r="L164" s="278"/>
      <c r="M164" s="279">
        <f t="shared" si="107"/>
        <v>1</v>
      </c>
      <c r="N164" s="299" t="str">
        <f t="shared" si="108"/>
        <v/>
      </c>
      <c r="O164" s="117" t="str">
        <f t="shared" si="101"/>
        <v/>
      </c>
      <c r="P164" s="300" t="str">
        <f t="shared" si="109"/>
        <v/>
      </c>
      <c r="Q164" s="280" t="str">
        <f t="shared" si="102"/>
        <v/>
      </c>
      <c r="R164" s="281"/>
      <c r="S164" s="282" t="str">
        <f t="shared" si="110"/>
        <v/>
      </c>
      <c r="T164" s="283" t="str">
        <f t="shared" si="111"/>
        <v/>
      </c>
      <c r="V164" s="3">
        <f t="shared" si="103"/>
        <v>40</v>
      </c>
      <c r="BC164" s="3">
        <f t="shared" si="112"/>
        <v>0</v>
      </c>
      <c r="BD164" s="3">
        <f t="shared" si="113"/>
        <v>0</v>
      </c>
      <c r="BE164" s="3">
        <f t="shared" si="104"/>
        <v>0</v>
      </c>
      <c r="BW164" s="3">
        <f t="shared" si="94"/>
        <v>0</v>
      </c>
    </row>
    <row r="165" spans="1:75" x14ac:dyDescent="0.3">
      <c r="A165" s="375">
        <v>132</v>
      </c>
      <c r="B165" s="284"/>
      <c r="C165" s="261">
        <f t="shared" si="105"/>
        <v>4</v>
      </c>
      <c r="D165" s="373"/>
      <c r="E165" s="286"/>
      <c r="F165" s="285" t="str">
        <f t="shared" si="97"/>
        <v/>
      </c>
      <c r="G165" s="287" t="str">
        <f t="shared" si="97"/>
        <v/>
      </c>
      <c r="H165" s="288" t="str">
        <f t="shared" si="98"/>
        <v/>
      </c>
      <c r="I165" s="289" t="str">
        <f t="shared" si="106"/>
        <v/>
      </c>
      <c r="J165" s="288" t="str">
        <f t="shared" si="99"/>
        <v/>
      </c>
      <c r="K165" s="288">
        <f t="shared" si="100"/>
        <v>0</v>
      </c>
      <c r="L165" s="290"/>
      <c r="M165" s="291">
        <f t="shared" si="107"/>
        <v>1</v>
      </c>
      <c r="N165" s="301" t="str">
        <f t="shared" si="108"/>
        <v/>
      </c>
      <c r="O165" s="302" t="str">
        <f t="shared" si="101"/>
        <v/>
      </c>
      <c r="P165" s="303" t="str">
        <f t="shared" si="109"/>
        <v/>
      </c>
      <c r="Q165" s="292" t="str">
        <f t="shared" si="102"/>
        <v/>
      </c>
      <c r="R165" s="293"/>
      <c r="S165" s="294" t="str">
        <f t="shared" si="110"/>
        <v/>
      </c>
      <c r="T165" s="295" t="str">
        <f t="shared" si="111"/>
        <v/>
      </c>
      <c r="V165" s="3">
        <f t="shared" si="103"/>
        <v>40</v>
      </c>
      <c r="BC165" s="3">
        <f t="shared" si="112"/>
        <v>0</v>
      </c>
      <c r="BD165" s="3">
        <f t="shared" si="113"/>
        <v>0</v>
      </c>
      <c r="BE165" s="3">
        <f t="shared" si="104"/>
        <v>0</v>
      </c>
      <c r="BW165" s="3">
        <f t="shared" ref="BW165:BW183" si="114">IF(C165=3,S165,0)</f>
        <v>0</v>
      </c>
    </row>
    <row r="166" spans="1:75" x14ac:dyDescent="0.3">
      <c r="A166" s="375">
        <v>133</v>
      </c>
      <c r="B166" s="260"/>
      <c r="C166" s="261">
        <f t="shared" si="105"/>
        <v>4</v>
      </c>
      <c r="D166" s="371"/>
      <c r="E166" s="262"/>
      <c r="F166" s="261" t="str">
        <f t="shared" si="97"/>
        <v/>
      </c>
      <c r="G166" s="263" t="str">
        <f t="shared" si="97"/>
        <v/>
      </c>
      <c r="H166" s="264" t="str">
        <f t="shared" si="98"/>
        <v/>
      </c>
      <c r="I166" s="265" t="str">
        <f t="shared" si="106"/>
        <v/>
      </c>
      <c r="J166" s="264" t="str">
        <f t="shared" si="99"/>
        <v/>
      </c>
      <c r="K166" s="264">
        <f t="shared" si="100"/>
        <v>0</v>
      </c>
      <c r="L166" s="266"/>
      <c r="M166" s="267">
        <f t="shared" si="107"/>
        <v>1</v>
      </c>
      <c r="N166" s="296" t="str">
        <f t="shared" si="108"/>
        <v/>
      </c>
      <c r="O166" s="297" t="str">
        <f t="shared" si="101"/>
        <v/>
      </c>
      <c r="P166" s="298" t="str">
        <f t="shared" si="109"/>
        <v/>
      </c>
      <c r="Q166" s="268" t="str">
        <f t="shared" si="102"/>
        <v/>
      </c>
      <c r="R166" s="269"/>
      <c r="S166" s="270" t="str">
        <f t="shared" si="110"/>
        <v/>
      </c>
      <c r="T166" s="271" t="str">
        <f t="shared" si="111"/>
        <v/>
      </c>
      <c r="V166" s="3">
        <f t="shared" si="103"/>
        <v>40</v>
      </c>
      <c r="BC166" s="3">
        <f t="shared" si="112"/>
        <v>0</v>
      </c>
      <c r="BD166" s="3">
        <f t="shared" si="113"/>
        <v>0</v>
      </c>
      <c r="BE166" s="3">
        <f t="shared" si="104"/>
        <v>0</v>
      </c>
      <c r="BW166" s="3">
        <f t="shared" si="114"/>
        <v>0</v>
      </c>
    </row>
    <row r="167" spans="1:75" x14ac:dyDescent="0.3">
      <c r="A167" s="375">
        <v>134</v>
      </c>
      <c r="B167" s="272"/>
      <c r="C167" s="261">
        <f t="shared" si="105"/>
        <v>4</v>
      </c>
      <c r="D167" s="372"/>
      <c r="E167" s="274"/>
      <c r="F167" s="273" t="str">
        <f t="shared" si="97"/>
        <v/>
      </c>
      <c r="G167" s="275" t="str">
        <f t="shared" si="97"/>
        <v/>
      </c>
      <c r="H167" s="276" t="str">
        <f t="shared" si="98"/>
        <v/>
      </c>
      <c r="I167" s="277" t="str">
        <f t="shared" si="106"/>
        <v/>
      </c>
      <c r="J167" s="276" t="str">
        <f t="shared" si="99"/>
        <v/>
      </c>
      <c r="K167" s="276">
        <f t="shared" si="100"/>
        <v>0</v>
      </c>
      <c r="L167" s="278"/>
      <c r="M167" s="279">
        <f t="shared" si="107"/>
        <v>1</v>
      </c>
      <c r="N167" s="299" t="str">
        <f t="shared" si="108"/>
        <v/>
      </c>
      <c r="O167" s="117" t="str">
        <f t="shared" si="101"/>
        <v/>
      </c>
      <c r="P167" s="300" t="str">
        <f t="shared" si="109"/>
        <v/>
      </c>
      <c r="Q167" s="280" t="str">
        <f t="shared" si="102"/>
        <v/>
      </c>
      <c r="R167" s="281"/>
      <c r="S167" s="282" t="str">
        <f t="shared" si="110"/>
        <v/>
      </c>
      <c r="T167" s="283" t="str">
        <f t="shared" si="111"/>
        <v/>
      </c>
      <c r="V167" s="3">
        <f t="shared" si="103"/>
        <v>40</v>
      </c>
      <c r="BC167" s="3">
        <f t="shared" si="112"/>
        <v>0</v>
      </c>
      <c r="BD167" s="3">
        <f t="shared" si="113"/>
        <v>0</v>
      </c>
      <c r="BE167" s="3">
        <f t="shared" si="104"/>
        <v>0</v>
      </c>
      <c r="BW167" s="3">
        <f t="shared" si="114"/>
        <v>0</v>
      </c>
    </row>
    <row r="168" spans="1:75" x14ac:dyDescent="0.3">
      <c r="A168" s="375">
        <v>135</v>
      </c>
      <c r="B168" s="284"/>
      <c r="C168" s="261">
        <f t="shared" si="105"/>
        <v>4</v>
      </c>
      <c r="D168" s="373"/>
      <c r="E168" s="286"/>
      <c r="F168" s="285" t="str">
        <f t="shared" si="97"/>
        <v/>
      </c>
      <c r="G168" s="287" t="str">
        <f t="shared" si="97"/>
        <v/>
      </c>
      <c r="H168" s="288" t="str">
        <f t="shared" si="98"/>
        <v/>
      </c>
      <c r="I168" s="289" t="str">
        <f t="shared" si="106"/>
        <v/>
      </c>
      <c r="J168" s="288" t="str">
        <f t="shared" si="99"/>
        <v/>
      </c>
      <c r="K168" s="288">
        <f t="shared" si="100"/>
        <v>0</v>
      </c>
      <c r="L168" s="290"/>
      <c r="M168" s="291">
        <f t="shared" si="107"/>
        <v>1</v>
      </c>
      <c r="N168" s="301" t="str">
        <f t="shared" si="108"/>
        <v/>
      </c>
      <c r="O168" s="302" t="str">
        <f t="shared" si="101"/>
        <v/>
      </c>
      <c r="P168" s="303" t="str">
        <f t="shared" si="109"/>
        <v/>
      </c>
      <c r="Q168" s="292" t="str">
        <f t="shared" si="102"/>
        <v/>
      </c>
      <c r="R168" s="293"/>
      <c r="S168" s="294" t="str">
        <f t="shared" si="110"/>
        <v/>
      </c>
      <c r="T168" s="295" t="str">
        <f t="shared" si="111"/>
        <v/>
      </c>
      <c r="V168" s="3">
        <f t="shared" si="103"/>
        <v>40</v>
      </c>
      <c r="BC168" s="3">
        <f t="shared" si="112"/>
        <v>0</v>
      </c>
      <c r="BD168" s="3">
        <f t="shared" si="113"/>
        <v>0</v>
      </c>
      <c r="BE168" s="3">
        <f t="shared" si="104"/>
        <v>0</v>
      </c>
      <c r="BW168" s="3">
        <f t="shared" si="114"/>
        <v>0</v>
      </c>
    </row>
    <row r="169" spans="1:75" x14ac:dyDescent="0.3">
      <c r="A169" s="375">
        <v>136</v>
      </c>
      <c r="B169" s="260"/>
      <c r="C169" s="261">
        <f t="shared" si="105"/>
        <v>4</v>
      </c>
      <c r="D169" s="371"/>
      <c r="E169" s="262"/>
      <c r="F169" s="261" t="str">
        <f t="shared" si="97"/>
        <v/>
      </c>
      <c r="G169" s="263" t="str">
        <f t="shared" si="97"/>
        <v/>
      </c>
      <c r="H169" s="264" t="str">
        <f t="shared" si="98"/>
        <v/>
      </c>
      <c r="I169" s="265" t="str">
        <f t="shared" si="106"/>
        <v/>
      </c>
      <c r="J169" s="264" t="str">
        <f t="shared" si="99"/>
        <v/>
      </c>
      <c r="K169" s="264">
        <f t="shared" si="100"/>
        <v>0</v>
      </c>
      <c r="L169" s="266"/>
      <c r="M169" s="267">
        <f t="shared" si="107"/>
        <v>1</v>
      </c>
      <c r="N169" s="296" t="str">
        <f t="shared" si="108"/>
        <v/>
      </c>
      <c r="O169" s="297" t="str">
        <f t="shared" si="101"/>
        <v/>
      </c>
      <c r="P169" s="298" t="str">
        <f t="shared" si="109"/>
        <v/>
      </c>
      <c r="Q169" s="268" t="str">
        <f t="shared" si="102"/>
        <v/>
      </c>
      <c r="R169" s="269"/>
      <c r="S169" s="270" t="str">
        <f t="shared" si="110"/>
        <v/>
      </c>
      <c r="T169" s="271" t="str">
        <f t="shared" si="111"/>
        <v/>
      </c>
      <c r="V169" s="3">
        <f t="shared" si="103"/>
        <v>40</v>
      </c>
      <c r="BC169" s="3">
        <f t="shared" si="112"/>
        <v>0</v>
      </c>
      <c r="BD169" s="3">
        <f t="shared" si="113"/>
        <v>0</v>
      </c>
      <c r="BE169" s="3">
        <f t="shared" si="104"/>
        <v>0</v>
      </c>
      <c r="BW169" s="3">
        <f t="shared" si="114"/>
        <v>0</v>
      </c>
    </row>
    <row r="170" spans="1:75" x14ac:dyDescent="0.3">
      <c r="A170" s="375">
        <v>137</v>
      </c>
      <c r="B170" s="272"/>
      <c r="C170" s="261">
        <f t="shared" si="105"/>
        <v>4</v>
      </c>
      <c r="D170" s="372"/>
      <c r="E170" s="274"/>
      <c r="F170" s="273" t="str">
        <f t="shared" si="97"/>
        <v/>
      </c>
      <c r="G170" s="275" t="str">
        <f t="shared" si="97"/>
        <v/>
      </c>
      <c r="H170" s="276" t="str">
        <f t="shared" si="98"/>
        <v/>
      </c>
      <c r="I170" s="277" t="str">
        <f t="shared" si="106"/>
        <v/>
      </c>
      <c r="J170" s="276" t="str">
        <f t="shared" si="99"/>
        <v/>
      </c>
      <c r="K170" s="276">
        <f t="shared" si="100"/>
        <v>0</v>
      </c>
      <c r="L170" s="278"/>
      <c r="M170" s="279">
        <f t="shared" si="107"/>
        <v>1</v>
      </c>
      <c r="N170" s="299" t="str">
        <f t="shared" si="108"/>
        <v/>
      </c>
      <c r="O170" s="117" t="str">
        <f t="shared" si="101"/>
        <v/>
      </c>
      <c r="P170" s="300" t="str">
        <f t="shared" si="109"/>
        <v/>
      </c>
      <c r="Q170" s="280" t="str">
        <f t="shared" si="102"/>
        <v/>
      </c>
      <c r="R170" s="281"/>
      <c r="S170" s="282" t="str">
        <f t="shared" si="110"/>
        <v/>
      </c>
      <c r="T170" s="283" t="str">
        <f t="shared" si="111"/>
        <v/>
      </c>
      <c r="V170" s="3">
        <f t="shared" si="103"/>
        <v>40</v>
      </c>
      <c r="BC170" s="3">
        <f t="shared" si="112"/>
        <v>0</v>
      </c>
      <c r="BD170" s="3">
        <f t="shared" si="113"/>
        <v>0</v>
      </c>
      <c r="BE170" s="3">
        <f t="shared" si="104"/>
        <v>0</v>
      </c>
      <c r="BW170" s="3">
        <f t="shared" si="114"/>
        <v>0</v>
      </c>
    </row>
    <row r="171" spans="1:75" x14ac:dyDescent="0.3">
      <c r="A171" s="375">
        <v>138</v>
      </c>
      <c r="B171" s="284"/>
      <c r="C171" s="261">
        <f t="shared" si="105"/>
        <v>4</v>
      </c>
      <c r="D171" s="373"/>
      <c r="E171" s="286"/>
      <c r="F171" s="285" t="str">
        <f t="shared" si="97"/>
        <v/>
      </c>
      <c r="G171" s="287" t="str">
        <f t="shared" si="97"/>
        <v/>
      </c>
      <c r="H171" s="288" t="str">
        <f t="shared" si="98"/>
        <v/>
      </c>
      <c r="I171" s="289" t="str">
        <f t="shared" si="106"/>
        <v/>
      </c>
      <c r="J171" s="288" t="str">
        <f t="shared" si="99"/>
        <v/>
      </c>
      <c r="K171" s="288">
        <f t="shared" si="100"/>
        <v>0</v>
      </c>
      <c r="L171" s="290"/>
      <c r="M171" s="291">
        <f t="shared" si="107"/>
        <v>1</v>
      </c>
      <c r="N171" s="301" t="str">
        <f t="shared" si="108"/>
        <v/>
      </c>
      <c r="O171" s="302" t="str">
        <f t="shared" si="101"/>
        <v/>
      </c>
      <c r="P171" s="303" t="str">
        <f t="shared" si="109"/>
        <v/>
      </c>
      <c r="Q171" s="292" t="str">
        <f t="shared" si="102"/>
        <v/>
      </c>
      <c r="R171" s="293"/>
      <c r="S171" s="294" t="str">
        <f t="shared" si="110"/>
        <v/>
      </c>
      <c r="T171" s="295" t="str">
        <f t="shared" si="111"/>
        <v/>
      </c>
      <c r="V171" s="3">
        <f t="shared" si="103"/>
        <v>40</v>
      </c>
      <c r="BC171" s="3">
        <f t="shared" si="112"/>
        <v>0</v>
      </c>
      <c r="BD171" s="3">
        <f t="shared" si="113"/>
        <v>0</v>
      </c>
      <c r="BE171" s="3">
        <f t="shared" si="104"/>
        <v>0</v>
      </c>
      <c r="BW171" s="3">
        <f t="shared" si="114"/>
        <v>0</v>
      </c>
    </row>
    <row r="172" spans="1:75" x14ac:dyDescent="0.3">
      <c r="A172" s="375">
        <v>139</v>
      </c>
      <c r="B172" s="260"/>
      <c r="C172" s="261">
        <f t="shared" si="105"/>
        <v>4</v>
      </c>
      <c r="D172" s="371"/>
      <c r="E172" s="262"/>
      <c r="F172" s="261" t="str">
        <f t="shared" si="97"/>
        <v/>
      </c>
      <c r="G172" s="263" t="str">
        <f t="shared" si="97"/>
        <v/>
      </c>
      <c r="H172" s="264" t="str">
        <f t="shared" si="98"/>
        <v/>
      </c>
      <c r="I172" s="265" t="str">
        <f t="shared" si="106"/>
        <v/>
      </c>
      <c r="J172" s="264" t="str">
        <f t="shared" si="99"/>
        <v/>
      </c>
      <c r="K172" s="264">
        <f t="shared" si="100"/>
        <v>0</v>
      </c>
      <c r="L172" s="266"/>
      <c r="M172" s="267">
        <f t="shared" si="107"/>
        <v>1</v>
      </c>
      <c r="N172" s="296" t="str">
        <f t="shared" si="108"/>
        <v/>
      </c>
      <c r="O172" s="297" t="str">
        <f t="shared" si="101"/>
        <v/>
      </c>
      <c r="P172" s="298" t="str">
        <f t="shared" si="109"/>
        <v/>
      </c>
      <c r="Q172" s="268" t="str">
        <f t="shared" si="102"/>
        <v/>
      </c>
      <c r="R172" s="269"/>
      <c r="S172" s="270" t="str">
        <f t="shared" si="110"/>
        <v/>
      </c>
      <c r="T172" s="271" t="str">
        <f t="shared" si="111"/>
        <v/>
      </c>
      <c r="V172" s="3">
        <f t="shared" si="103"/>
        <v>40</v>
      </c>
      <c r="BC172" s="3">
        <f t="shared" si="112"/>
        <v>0</v>
      </c>
      <c r="BD172" s="3">
        <f t="shared" si="113"/>
        <v>0</v>
      </c>
      <c r="BE172" s="3">
        <f t="shared" si="104"/>
        <v>0</v>
      </c>
      <c r="BW172" s="3">
        <f t="shared" si="114"/>
        <v>0</v>
      </c>
    </row>
    <row r="173" spans="1:75" x14ac:dyDescent="0.3">
      <c r="A173" s="375">
        <v>140</v>
      </c>
      <c r="B173" s="272"/>
      <c r="C173" s="261">
        <f t="shared" si="105"/>
        <v>4</v>
      </c>
      <c r="D173" s="372"/>
      <c r="E173" s="274"/>
      <c r="F173" s="273" t="str">
        <f t="shared" si="97"/>
        <v/>
      </c>
      <c r="G173" s="275" t="str">
        <f t="shared" si="97"/>
        <v/>
      </c>
      <c r="H173" s="276" t="str">
        <f t="shared" si="98"/>
        <v/>
      </c>
      <c r="I173" s="277" t="str">
        <f t="shared" si="106"/>
        <v/>
      </c>
      <c r="J173" s="276" t="str">
        <f t="shared" si="99"/>
        <v/>
      </c>
      <c r="K173" s="276">
        <f t="shared" si="100"/>
        <v>0</v>
      </c>
      <c r="L173" s="278"/>
      <c r="M173" s="279">
        <f t="shared" si="107"/>
        <v>1</v>
      </c>
      <c r="N173" s="299" t="str">
        <f t="shared" si="108"/>
        <v/>
      </c>
      <c r="O173" s="117" t="str">
        <f t="shared" si="101"/>
        <v/>
      </c>
      <c r="P173" s="300" t="str">
        <f t="shared" si="109"/>
        <v/>
      </c>
      <c r="Q173" s="280" t="str">
        <f t="shared" si="102"/>
        <v/>
      </c>
      <c r="R173" s="281"/>
      <c r="S173" s="282" t="str">
        <f t="shared" si="110"/>
        <v/>
      </c>
      <c r="T173" s="283" t="str">
        <f t="shared" si="111"/>
        <v/>
      </c>
      <c r="V173" s="3">
        <f t="shared" si="103"/>
        <v>40</v>
      </c>
      <c r="BC173" s="3">
        <f t="shared" si="112"/>
        <v>0</v>
      </c>
      <c r="BD173" s="3">
        <f t="shared" si="113"/>
        <v>0</v>
      </c>
      <c r="BE173" s="3">
        <f t="shared" si="104"/>
        <v>0</v>
      </c>
      <c r="BW173" s="3">
        <f t="shared" si="114"/>
        <v>0</v>
      </c>
    </row>
    <row r="174" spans="1:75" x14ac:dyDescent="0.3">
      <c r="A174" s="375">
        <v>141</v>
      </c>
      <c r="B174" s="284"/>
      <c r="C174" s="261">
        <f t="shared" si="105"/>
        <v>4</v>
      </c>
      <c r="D174" s="373"/>
      <c r="E174" s="286"/>
      <c r="F174" s="285" t="str">
        <f t="shared" ref="F174:G183" si="115">IFERROR(VLOOKUP($E174,DMFA,F$29,FALSE),"")</f>
        <v/>
      </c>
      <c r="G174" s="287" t="str">
        <f t="shared" si="115"/>
        <v/>
      </c>
      <c r="H174" s="288" t="str">
        <f t="shared" si="98"/>
        <v/>
      </c>
      <c r="I174" s="289" t="str">
        <f t="shared" si="106"/>
        <v/>
      </c>
      <c r="J174" s="288" t="str">
        <f t="shared" si="99"/>
        <v/>
      </c>
      <c r="K174" s="288">
        <f t="shared" si="100"/>
        <v>0</v>
      </c>
      <c r="L174" s="290"/>
      <c r="M174" s="291">
        <f t="shared" si="107"/>
        <v>1</v>
      </c>
      <c r="N174" s="301" t="str">
        <f t="shared" si="108"/>
        <v/>
      </c>
      <c r="O174" s="302" t="str">
        <f t="shared" si="101"/>
        <v/>
      </c>
      <c r="P174" s="303" t="str">
        <f t="shared" si="109"/>
        <v/>
      </c>
      <c r="Q174" s="292" t="str">
        <f t="shared" si="102"/>
        <v/>
      </c>
      <c r="R174" s="293"/>
      <c r="S174" s="294" t="str">
        <f t="shared" si="110"/>
        <v/>
      </c>
      <c r="T174" s="295" t="str">
        <f t="shared" si="111"/>
        <v/>
      </c>
      <c r="V174" s="3">
        <f t="shared" si="103"/>
        <v>40</v>
      </c>
      <c r="BC174" s="3">
        <f t="shared" si="112"/>
        <v>0</v>
      </c>
      <c r="BD174" s="3">
        <f t="shared" si="113"/>
        <v>0</v>
      </c>
      <c r="BE174" s="3">
        <f t="shared" si="104"/>
        <v>0</v>
      </c>
      <c r="BW174" s="3">
        <f t="shared" si="114"/>
        <v>0</v>
      </c>
    </row>
    <row r="175" spans="1:75" x14ac:dyDescent="0.3">
      <c r="A175" s="375">
        <v>142</v>
      </c>
      <c r="B175" s="260"/>
      <c r="C175" s="261">
        <f t="shared" si="105"/>
        <v>4</v>
      </c>
      <c r="D175" s="371"/>
      <c r="E175" s="262"/>
      <c r="F175" s="261" t="str">
        <f t="shared" si="115"/>
        <v/>
      </c>
      <c r="G175" s="263" t="str">
        <f t="shared" si="115"/>
        <v/>
      </c>
      <c r="H175" s="264" t="str">
        <f t="shared" si="98"/>
        <v/>
      </c>
      <c r="I175" s="265" t="str">
        <f t="shared" si="106"/>
        <v/>
      </c>
      <c r="J175" s="264" t="str">
        <f t="shared" si="99"/>
        <v/>
      </c>
      <c r="K175" s="264">
        <f t="shared" si="100"/>
        <v>0</v>
      </c>
      <c r="L175" s="266"/>
      <c r="M175" s="267">
        <f t="shared" si="107"/>
        <v>1</v>
      </c>
      <c r="N175" s="296" t="str">
        <f t="shared" si="108"/>
        <v/>
      </c>
      <c r="O175" s="297" t="str">
        <f t="shared" si="101"/>
        <v/>
      </c>
      <c r="P175" s="298" t="str">
        <f t="shared" si="109"/>
        <v/>
      </c>
      <c r="Q175" s="268" t="str">
        <f t="shared" si="102"/>
        <v/>
      </c>
      <c r="R175" s="269"/>
      <c r="S175" s="270" t="str">
        <f t="shared" si="110"/>
        <v/>
      </c>
      <c r="T175" s="271" t="str">
        <f t="shared" si="111"/>
        <v/>
      </c>
      <c r="V175" s="3">
        <f t="shared" si="103"/>
        <v>40</v>
      </c>
      <c r="BC175" s="3">
        <f t="shared" si="112"/>
        <v>0</v>
      </c>
      <c r="BD175" s="3">
        <f t="shared" si="113"/>
        <v>0</v>
      </c>
      <c r="BE175" s="3">
        <f t="shared" si="104"/>
        <v>0</v>
      </c>
      <c r="BW175" s="3">
        <f t="shared" si="114"/>
        <v>0</v>
      </c>
    </row>
    <row r="176" spans="1:75" x14ac:dyDescent="0.3">
      <c r="A176" s="375">
        <v>143</v>
      </c>
      <c r="B176" s="272"/>
      <c r="C176" s="261">
        <f t="shared" si="105"/>
        <v>4</v>
      </c>
      <c r="D176" s="372"/>
      <c r="E176" s="274"/>
      <c r="F176" s="273" t="str">
        <f t="shared" si="115"/>
        <v/>
      </c>
      <c r="G176" s="275" t="str">
        <f t="shared" si="115"/>
        <v/>
      </c>
      <c r="H176" s="276" t="str">
        <f t="shared" si="98"/>
        <v/>
      </c>
      <c r="I176" s="277" t="str">
        <f t="shared" si="106"/>
        <v/>
      </c>
      <c r="J176" s="276" t="str">
        <f t="shared" si="99"/>
        <v/>
      </c>
      <c r="K176" s="276">
        <f t="shared" si="100"/>
        <v>0</v>
      </c>
      <c r="L176" s="278"/>
      <c r="M176" s="279">
        <f t="shared" si="107"/>
        <v>1</v>
      </c>
      <c r="N176" s="299" t="str">
        <f t="shared" si="108"/>
        <v/>
      </c>
      <c r="O176" s="117" t="str">
        <f t="shared" si="101"/>
        <v/>
      </c>
      <c r="P176" s="300" t="str">
        <f t="shared" si="109"/>
        <v/>
      </c>
      <c r="Q176" s="280" t="str">
        <f t="shared" si="102"/>
        <v/>
      </c>
      <c r="R176" s="281"/>
      <c r="S176" s="282" t="str">
        <f t="shared" si="110"/>
        <v/>
      </c>
      <c r="T176" s="283" t="str">
        <f t="shared" si="111"/>
        <v/>
      </c>
      <c r="V176" s="3">
        <f t="shared" si="103"/>
        <v>40</v>
      </c>
      <c r="BC176" s="3">
        <f t="shared" si="112"/>
        <v>0</v>
      </c>
      <c r="BD176" s="3">
        <f t="shared" si="113"/>
        <v>0</v>
      </c>
      <c r="BE176" s="3">
        <f t="shared" si="104"/>
        <v>0</v>
      </c>
      <c r="BW176" s="3">
        <f t="shared" si="114"/>
        <v>0</v>
      </c>
    </row>
    <row r="177" spans="1:75" x14ac:dyDescent="0.3">
      <c r="A177" s="375">
        <v>144</v>
      </c>
      <c r="B177" s="284"/>
      <c r="C177" s="261">
        <f t="shared" si="105"/>
        <v>4</v>
      </c>
      <c r="D177" s="373"/>
      <c r="E177" s="286"/>
      <c r="F177" s="285" t="str">
        <f t="shared" si="115"/>
        <v/>
      </c>
      <c r="G177" s="287" t="str">
        <f t="shared" si="115"/>
        <v/>
      </c>
      <c r="H177" s="288" t="str">
        <f t="shared" si="98"/>
        <v/>
      </c>
      <c r="I177" s="289" t="str">
        <f t="shared" si="106"/>
        <v/>
      </c>
      <c r="J177" s="288" t="str">
        <f t="shared" si="99"/>
        <v/>
      </c>
      <c r="K177" s="288">
        <f t="shared" si="100"/>
        <v>0</v>
      </c>
      <c r="L177" s="290"/>
      <c r="M177" s="291">
        <f t="shared" si="107"/>
        <v>1</v>
      </c>
      <c r="N177" s="301" t="str">
        <f t="shared" si="108"/>
        <v/>
      </c>
      <c r="O177" s="302" t="str">
        <f t="shared" si="101"/>
        <v/>
      </c>
      <c r="P177" s="303" t="str">
        <f t="shared" si="109"/>
        <v/>
      </c>
      <c r="Q177" s="292" t="str">
        <f t="shared" si="102"/>
        <v/>
      </c>
      <c r="R177" s="293"/>
      <c r="S177" s="294" t="str">
        <f t="shared" si="110"/>
        <v/>
      </c>
      <c r="T177" s="295" t="str">
        <f t="shared" si="111"/>
        <v/>
      </c>
      <c r="V177" s="3">
        <f t="shared" si="103"/>
        <v>40</v>
      </c>
      <c r="BC177" s="3">
        <f t="shared" si="112"/>
        <v>0</v>
      </c>
      <c r="BD177" s="3">
        <f t="shared" si="113"/>
        <v>0</v>
      </c>
      <c r="BE177" s="3">
        <f t="shared" si="104"/>
        <v>0</v>
      </c>
      <c r="BW177" s="3">
        <f t="shared" si="114"/>
        <v>0</v>
      </c>
    </row>
    <row r="178" spans="1:75" x14ac:dyDescent="0.3">
      <c r="A178" s="375">
        <v>145</v>
      </c>
      <c r="B178" s="260"/>
      <c r="C178" s="261">
        <f t="shared" si="105"/>
        <v>4</v>
      </c>
      <c r="D178" s="371"/>
      <c r="E178" s="262"/>
      <c r="F178" s="261" t="str">
        <f t="shared" si="115"/>
        <v/>
      </c>
      <c r="G178" s="263" t="str">
        <f t="shared" si="115"/>
        <v/>
      </c>
      <c r="H178" s="264" t="str">
        <f t="shared" si="98"/>
        <v/>
      </c>
      <c r="I178" s="265" t="str">
        <f t="shared" si="106"/>
        <v/>
      </c>
      <c r="J178" s="264" t="str">
        <f t="shared" si="99"/>
        <v/>
      </c>
      <c r="K178" s="264">
        <f t="shared" si="100"/>
        <v>0</v>
      </c>
      <c r="L178" s="266"/>
      <c r="M178" s="267">
        <f t="shared" si="107"/>
        <v>1</v>
      </c>
      <c r="N178" s="296" t="str">
        <f t="shared" si="108"/>
        <v/>
      </c>
      <c r="O178" s="297" t="str">
        <f t="shared" si="101"/>
        <v/>
      </c>
      <c r="P178" s="298" t="str">
        <f t="shared" si="109"/>
        <v/>
      </c>
      <c r="Q178" s="268" t="str">
        <f t="shared" si="102"/>
        <v/>
      </c>
      <c r="R178" s="269"/>
      <c r="S178" s="270" t="str">
        <f t="shared" si="110"/>
        <v/>
      </c>
      <c r="T178" s="271" t="str">
        <f t="shared" si="111"/>
        <v/>
      </c>
      <c r="V178" s="3">
        <f t="shared" si="103"/>
        <v>40</v>
      </c>
      <c r="BC178" s="3">
        <f t="shared" si="112"/>
        <v>0</v>
      </c>
      <c r="BD178" s="3">
        <f t="shared" si="113"/>
        <v>0</v>
      </c>
      <c r="BE178" s="3">
        <f t="shared" si="104"/>
        <v>0</v>
      </c>
      <c r="BW178" s="3">
        <f t="shared" si="114"/>
        <v>0</v>
      </c>
    </row>
    <row r="179" spans="1:75" x14ac:dyDescent="0.3">
      <c r="A179" s="375">
        <v>146</v>
      </c>
      <c r="B179" s="272"/>
      <c r="C179" s="261">
        <f t="shared" si="105"/>
        <v>4</v>
      </c>
      <c r="D179" s="372"/>
      <c r="E179" s="274"/>
      <c r="F179" s="273" t="str">
        <f t="shared" si="115"/>
        <v/>
      </c>
      <c r="G179" s="275" t="str">
        <f t="shared" si="115"/>
        <v/>
      </c>
      <c r="H179" s="276" t="str">
        <f t="shared" si="98"/>
        <v/>
      </c>
      <c r="I179" s="277" t="str">
        <f t="shared" si="106"/>
        <v/>
      </c>
      <c r="J179" s="276" t="str">
        <f t="shared" si="99"/>
        <v/>
      </c>
      <c r="K179" s="276">
        <f t="shared" si="100"/>
        <v>0</v>
      </c>
      <c r="L179" s="278"/>
      <c r="M179" s="279">
        <f t="shared" si="107"/>
        <v>1</v>
      </c>
      <c r="N179" s="299" t="str">
        <f t="shared" si="108"/>
        <v/>
      </c>
      <c r="O179" s="117" t="str">
        <f t="shared" si="101"/>
        <v/>
      </c>
      <c r="P179" s="300" t="str">
        <f t="shared" si="109"/>
        <v/>
      </c>
      <c r="Q179" s="280" t="str">
        <f t="shared" si="102"/>
        <v/>
      </c>
      <c r="R179" s="281"/>
      <c r="S179" s="282" t="str">
        <f t="shared" si="110"/>
        <v/>
      </c>
      <c r="T179" s="283" t="str">
        <f t="shared" si="111"/>
        <v/>
      </c>
      <c r="V179" s="3">
        <f t="shared" si="103"/>
        <v>40</v>
      </c>
      <c r="BC179" s="3">
        <f t="shared" si="112"/>
        <v>0</v>
      </c>
      <c r="BD179" s="3">
        <f t="shared" si="113"/>
        <v>0</v>
      </c>
      <c r="BE179" s="3">
        <f t="shared" si="104"/>
        <v>0</v>
      </c>
      <c r="BW179" s="3">
        <f t="shared" si="114"/>
        <v>0</v>
      </c>
    </row>
    <row r="180" spans="1:75" x14ac:dyDescent="0.3">
      <c r="A180" s="375">
        <v>147</v>
      </c>
      <c r="B180" s="284"/>
      <c r="C180" s="261">
        <f t="shared" si="105"/>
        <v>4</v>
      </c>
      <c r="D180" s="373"/>
      <c r="E180" s="286"/>
      <c r="F180" s="285" t="str">
        <f t="shared" si="115"/>
        <v/>
      </c>
      <c r="G180" s="287" t="str">
        <f t="shared" si="115"/>
        <v/>
      </c>
      <c r="H180" s="288" t="str">
        <f t="shared" si="98"/>
        <v/>
      </c>
      <c r="I180" s="289" t="str">
        <f t="shared" si="106"/>
        <v/>
      </c>
      <c r="J180" s="288" t="str">
        <f t="shared" si="99"/>
        <v/>
      </c>
      <c r="K180" s="288">
        <f t="shared" si="100"/>
        <v>0</v>
      </c>
      <c r="L180" s="290"/>
      <c r="M180" s="291">
        <f t="shared" si="107"/>
        <v>1</v>
      </c>
      <c r="N180" s="301" t="str">
        <f t="shared" si="108"/>
        <v/>
      </c>
      <c r="O180" s="302" t="str">
        <f t="shared" si="101"/>
        <v/>
      </c>
      <c r="P180" s="303" t="str">
        <f t="shared" si="109"/>
        <v/>
      </c>
      <c r="Q180" s="292" t="str">
        <f t="shared" si="102"/>
        <v/>
      </c>
      <c r="R180" s="293"/>
      <c r="S180" s="294" t="str">
        <f t="shared" si="110"/>
        <v/>
      </c>
      <c r="T180" s="295" t="str">
        <f t="shared" si="111"/>
        <v/>
      </c>
      <c r="V180" s="3">
        <f t="shared" si="103"/>
        <v>40</v>
      </c>
      <c r="BC180" s="3">
        <f t="shared" si="112"/>
        <v>0</v>
      </c>
      <c r="BD180" s="3">
        <f t="shared" si="113"/>
        <v>0</v>
      </c>
      <c r="BE180" s="3">
        <f t="shared" si="104"/>
        <v>0</v>
      </c>
      <c r="BW180" s="3">
        <f t="shared" si="114"/>
        <v>0</v>
      </c>
    </row>
    <row r="181" spans="1:75" x14ac:dyDescent="0.3">
      <c r="A181" s="375">
        <v>148</v>
      </c>
      <c r="B181" s="260"/>
      <c r="C181" s="261">
        <f t="shared" si="105"/>
        <v>4</v>
      </c>
      <c r="D181" s="371"/>
      <c r="E181" s="262"/>
      <c r="F181" s="261" t="str">
        <f t="shared" si="115"/>
        <v/>
      </c>
      <c r="G181" s="263" t="str">
        <f t="shared" si="115"/>
        <v/>
      </c>
      <c r="H181" s="264" t="str">
        <f t="shared" si="98"/>
        <v/>
      </c>
      <c r="I181" s="265" t="str">
        <f t="shared" si="106"/>
        <v/>
      </c>
      <c r="J181" s="264" t="str">
        <f t="shared" si="99"/>
        <v/>
      </c>
      <c r="K181" s="264">
        <f t="shared" si="100"/>
        <v>0</v>
      </c>
      <c r="L181" s="266"/>
      <c r="M181" s="267">
        <f t="shared" si="107"/>
        <v>1</v>
      </c>
      <c r="N181" s="296" t="str">
        <f t="shared" si="108"/>
        <v/>
      </c>
      <c r="O181" s="297" t="str">
        <f t="shared" si="101"/>
        <v/>
      </c>
      <c r="P181" s="298" t="str">
        <f t="shared" si="109"/>
        <v/>
      </c>
      <c r="Q181" s="268" t="str">
        <f t="shared" si="102"/>
        <v/>
      </c>
      <c r="R181" s="269"/>
      <c r="S181" s="270" t="str">
        <f t="shared" si="110"/>
        <v/>
      </c>
      <c r="T181" s="271" t="str">
        <f t="shared" si="111"/>
        <v/>
      </c>
      <c r="V181" s="3">
        <f t="shared" si="103"/>
        <v>40</v>
      </c>
      <c r="BC181" s="3">
        <f t="shared" si="112"/>
        <v>0</v>
      </c>
      <c r="BD181" s="3">
        <f t="shared" si="113"/>
        <v>0</v>
      </c>
      <c r="BE181" s="3">
        <f t="shared" si="104"/>
        <v>0</v>
      </c>
      <c r="BW181" s="3">
        <f t="shared" si="114"/>
        <v>0</v>
      </c>
    </row>
    <row r="182" spans="1:75" x14ac:dyDescent="0.3">
      <c r="A182" s="375">
        <v>149</v>
      </c>
      <c r="B182" s="272"/>
      <c r="C182" s="261">
        <f t="shared" si="105"/>
        <v>4</v>
      </c>
      <c r="D182" s="372"/>
      <c r="E182" s="274"/>
      <c r="F182" s="273" t="str">
        <f t="shared" si="115"/>
        <v/>
      </c>
      <c r="G182" s="275" t="str">
        <f t="shared" si="115"/>
        <v/>
      </c>
      <c r="H182" s="276" t="str">
        <f t="shared" si="98"/>
        <v/>
      </c>
      <c r="I182" s="277" t="str">
        <f t="shared" si="106"/>
        <v/>
      </c>
      <c r="J182" s="276" t="str">
        <f t="shared" si="99"/>
        <v/>
      </c>
      <c r="K182" s="276">
        <f t="shared" si="100"/>
        <v>0</v>
      </c>
      <c r="L182" s="278"/>
      <c r="M182" s="279">
        <f t="shared" si="107"/>
        <v>1</v>
      </c>
      <c r="N182" s="299" t="str">
        <f t="shared" si="108"/>
        <v/>
      </c>
      <c r="O182" s="117" t="str">
        <f t="shared" si="101"/>
        <v/>
      </c>
      <c r="P182" s="300" t="str">
        <f t="shared" si="109"/>
        <v/>
      </c>
      <c r="Q182" s="280" t="str">
        <f t="shared" si="102"/>
        <v/>
      </c>
      <c r="R182" s="281"/>
      <c r="S182" s="282" t="str">
        <f t="shared" si="110"/>
        <v/>
      </c>
      <c r="T182" s="283" t="str">
        <f t="shared" si="111"/>
        <v/>
      </c>
      <c r="V182" s="3">
        <f t="shared" si="103"/>
        <v>40</v>
      </c>
      <c r="BC182" s="3">
        <f t="shared" si="112"/>
        <v>0</v>
      </c>
      <c r="BD182" s="3">
        <f t="shared" si="113"/>
        <v>0</v>
      </c>
      <c r="BE182" s="3">
        <f t="shared" si="104"/>
        <v>0</v>
      </c>
      <c r="BW182" s="3">
        <f t="shared" si="114"/>
        <v>0</v>
      </c>
    </row>
    <row r="183" spans="1:75" x14ac:dyDescent="0.3">
      <c r="A183" s="375">
        <v>150</v>
      </c>
      <c r="B183" s="284"/>
      <c r="C183" s="261">
        <f t="shared" si="105"/>
        <v>4</v>
      </c>
      <c r="D183" s="373"/>
      <c r="E183" s="286"/>
      <c r="F183" s="285" t="str">
        <f t="shared" si="115"/>
        <v/>
      </c>
      <c r="G183" s="287" t="str">
        <f t="shared" si="115"/>
        <v/>
      </c>
      <c r="H183" s="288" t="str">
        <f t="shared" si="98"/>
        <v/>
      </c>
      <c r="I183" s="289" t="str">
        <f t="shared" si="106"/>
        <v/>
      </c>
      <c r="J183" s="288" t="str">
        <f t="shared" si="99"/>
        <v/>
      </c>
      <c r="K183" s="288">
        <f t="shared" si="100"/>
        <v>0</v>
      </c>
      <c r="L183" s="290"/>
      <c r="M183" s="291">
        <f t="shared" si="107"/>
        <v>1</v>
      </c>
      <c r="N183" s="301" t="str">
        <f t="shared" si="108"/>
        <v/>
      </c>
      <c r="O183" s="302" t="str">
        <f t="shared" si="101"/>
        <v/>
      </c>
      <c r="P183" s="303" t="str">
        <f t="shared" si="109"/>
        <v/>
      </c>
      <c r="Q183" s="292" t="str">
        <f t="shared" si="102"/>
        <v/>
      </c>
      <c r="R183" s="293"/>
      <c r="S183" s="294" t="str">
        <f t="shared" si="110"/>
        <v/>
      </c>
      <c r="T183" s="295" t="str">
        <f t="shared" si="111"/>
        <v/>
      </c>
      <c r="V183" s="3">
        <f t="shared" si="103"/>
        <v>40</v>
      </c>
      <c r="BC183" s="3">
        <f t="shared" si="112"/>
        <v>0</v>
      </c>
      <c r="BD183" s="3">
        <f t="shared" si="113"/>
        <v>0</v>
      </c>
      <c r="BE183" s="3">
        <f t="shared" si="104"/>
        <v>0</v>
      </c>
      <c r="BW183" s="3">
        <f t="shared" si="114"/>
        <v>0</v>
      </c>
    </row>
  </sheetData>
  <sheetProtection selectLockedCells="1"/>
  <mergeCells count="67">
    <mergeCell ref="BX56:BZ57"/>
    <mergeCell ref="DY33:DY34"/>
    <mergeCell ref="DZ33:DZ34"/>
    <mergeCell ref="EA33:EA34"/>
    <mergeCell ref="EC33:EE33"/>
    <mergeCell ref="DA33:DA34"/>
    <mergeCell ref="DB33:DB34"/>
    <mergeCell ref="DC33:DC34"/>
    <mergeCell ref="DE33:DG33"/>
    <mergeCell ref="DI33:DI34"/>
    <mergeCell ref="DJ33:DJ34"/>
    <mergeCell ref="CO33:CO34"/>
    <mergeCell ref="CP33:CP34"/>
    <mergeCell ref="CQ33:CQ34"/>
    <mergeCell ref="CS33:CU33"/>
    <mergeCell ref="CW33:CW34"/>
    <mergeCell ref="EG33:EG34"/>
    <mergeCell ref="EH33:EH34"/>
    <mergeCell ref="DM33:DM34"/>
    <mergeCell ref="DN33:DN34"/>
    <mergeCell ref="DO33:DO34"/>
    <mergeCell ref="DQ33:DS33"/>
    <mergeCell ref="DU33:DU34"/>
    <mergeCell ref="DV33:DV34"/>
    <mergeCell ref="CX33:CX34"/>
    <mergeCell ref="CC33:CC34"/>
    <mergeCell ref="CD33:CD34"/>
    <mergeCell ref="CE33:CE34"/>
    <mergeCell ref="CG33:CI33"/>
    <mergeCell ref="CK33:CK34"/>
    <mergeCell ref="CL33:CL34"/>
    <mergeCell ref="BZ32:BZ33"/>
    <mergeCell ref="Q30:Q32"/>
    <mergeCell ref="R30:R33"/>
    <mergeCell ref="S30:S33"/>
    <mergeCell ref="T30:T32"/>
    <mergeCell ref="BF30:BL30"/>
    <mergeCell ref="AZ32:AZ33"/>
    <mergeCell ref="BR32:BR33"/>
    <mergeCell ref="BS32:BS33"/>
    <mergeCell ref="BT32:BT33"/>
    <mergeCell ref="BX32:BX33"/>
    <mergeCell ref="BY32:BY33"/>
    <mergeCell ref="N30:P31"/>
    <mergeCell ref="A17:C17"/>
    <mergeCell ref="F17:G18"/>
    <mergeCell ref="A18:C18"/>
    <mergeCell ref="A30:A33"/>
    <mergeCell ref="B30:B33"/>
    <mergeCell ref="D30:D33"/>
    <mergeCell ref="E30:E33"/>
    <mergeCell ref="F30:F33"/>
    <mergeCell ref="G30:G32"/>
    <mergeCell ref="I30:I32"/>
    <mergeCell ref="J30:J33"/>
    <mergeCell ref="K30:K33"/>
    <mergeCell ref="L30:L33"/>
    <mergeCell ref="M30:M33"/>
    <mergeCell ref="A1:I1"/>
    <mergeCell ref="L1:P1"/>
    <mergeCell ref="R1:T1"/>
    <mergeCell ref="A14:E15"/>
    <mergeCell ref="F14:G16"/>
    <mergeCell ref="I14:J15"/>
    <mergeCell ref="Q14:S14"/>
    <mergeCell ref="Q15:R15"/>
    <mergeCell ref="A16:C16"/>
  </mergeCells>
  <conditionalFormatting sqref="AZ34:BA63">
    <cfRule type="expression" dxfId="5" priority="5">
      <formula>EXACT($BA34,0)</formula>
    </cfRule>
  </conditionalFormatting>
  <conditionalFormatting sqref="BI123:BI130 BI34:BI114">
    <cfRule type="cellIs" dxfId="4" priority="4" operator="greaterThan">
      <formula>1500</formula>
    </cfRule>
  </conditionalFormatting>
  <conditionalFormatting sqref="BJ123:BJ130 BJ34:BJ114">
    <cfRule type="cellIs" dxfId="3" priority="3" operator="notBetween">
      <formula>0.4</formula>
      <formula>2.5</formula>
    </cfRule>
  </conditionalFormatting>
  <conditionalFormatting sqref="BR34:BU63">
    <cfRule type="expression" dxfId="2" priority="2">
      <formula>EXACT($BU34,0)</formula>
    </cfRule>
  </conditionalFormatting>
  <conditionalFormatting sqref="BX34:CA48 BX58:CA60">
    <cfRule type="expression" dxfId="1" priority="6">
      <formula>EXACT($CA34,0)</formula>
    </cfRule>
  </conditionalFormatting>
  <conditionalFormatting sqref="F14:G18">
    <cfRule type="expression" dxfId="0" priority="1">
      <formula>IF(CP-SUM($I$34:$I$183)&lt;0.1,TRUE,FALSE)</formula>
    </cfRule>
  </conditionalFormatting>
  <dataValidations count="4">
    <dataValidation type="list" allowBlank="1" showInputMessage="1" showErrorMessage="1" errorTitle="VÍAS" error="El número de vías puede ser:_x000a_- 1,2,3 ó 4_x000a_- Plato perforado_x000a_- N/A" sqref="R34:R183" xr:uid="{00000000-0002-0000-0B00-000000000000}">
      <formula1>$R$24:$R$29</formula1>
    </dataValidation>
    <dataValidation type="list" allowBlank="1" showInputMessage="1" showErrorMessage="1" errorTitle="DISPOSITIVO" error="El dispositivo para el suministro de aire únicamente puede ser:_x000a_- Difusor (DI)_x000a_- Rejilla de inyección (RI)_x000a_- Filtro terminal HEPA (FT)_x000a_" sqref="B34:B183" xr:uid="{00000000-0002-0000-0B00-000001000000}">
      <formula1>$B$27:$B$29</formula1>
    </dataValidation>
    <dataValidation type="decimal" allowBlank="1" showInputMessage="1" showErrorMessage="1" errorTitle="REALCIÓN DE ASPECTO" error="El valor permitido está entre 0.25 y 4.00" sqref="L34:L183" xr:uid="{00000000-0002-0000-0B00-000002000000}">
      <formula1>0.25</formula1>
      <formula2>4</formula2>
    </dataValidation>
    <dataValidation type="custom" allowBlank="1" showInputMessage="1" showErrorMessage="1" errorTitle="CUARTO" error="El cuarto que desea ingresar no existe. Ingrese otro valor para este cuarto." sqref="E34" xr:uid="{00000000-0002-0000-0B00-000003000000}">
      <formula1>NOT(ISERROR(J34))</formula1>
    </dataValidation>
  </dataValidations>
  <printOptions horizontalCentered="1"/>
  <pageMargins left="0.59055118110236227" right="0.59055118110236227" top="0.39370078740157483" bottom="0.39370078740157483" header="0.31496062992125984" footer="0.31496062992125984"/>
  <pageSetup scale="101" fitToWidth="6" orientation="landscape" r:id="rId1"/>
  <colBreaks count="5" manualBreakCount="5">
    <brk id="80" min="11" max="63" man="1"/>
    <brk id="92" min="11" max="63" man="1"/>
    <brk id="104" min="11" max="63" man="1"/>
    <brk id="116" min="11" max="63" man="1"/>
    <brk id="128" min="11" max="63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B2:I12"/>
  <sheetViews>
    <sheetView showGridLines="0" showRowColHeaders="0" workbookViewId="0">
      <pane ySplit="18" topLeftCell="A19" activePane="bottomLeft" state="frozen"/>
      <selection pane="bottomLeft" activeCell="C6" sqref="C6"/>
    </sheetView>
  </sheetViews>
  <sheetFormatPr defaultRowHeight="13.8" x14ac:dyDescent="0.3"/>
  <cols>
    <col min="1" max="16384" width="9" style="418"/>
  </cols>
  <sheetData>
    <row r="2" spans="2:9" x14ac:dyDescent="0.3">
      <c r="B2" s="418" t="s">
        <v>470</v>
      </c>
    </row>
    <row r="4" spans="2:9" ht="14.4" thickBot="1" x14ac:dyDescent="0.35">
      <c r="B4" s="418" t="s">
        <v>478</v>
      </c>
      <c r="E4" s="418" t="s">
        <v>479</v>
      </c>
    </row>
    <row r="5" spans="2:9" x14ac:dyDescent="0.3">
      <c r="B5" s="419" t="s">
        <v>473</v>
      </c>
      <c r="C5" s="416"/>
      <c r="D5" s="420" t="s">
        <v>14</v>
      </c>
      <c r="E5" s="419" t="s">
        <v>473</v>
      </c>
      <c r="F5" s="421">
        <v>100</v>
      </c>
      <c r="G5" s="420" t="s">
        <v>14</v>
      </c>
      <c r="I5" s="418">
        <v>1</v>
      </c>
    </row>
    <row r="6" spans="2:9" ht="14.4" thickBot="1" x14ac:dyDescent="0.35">
      <c r="B6" s="422" t="s">
        <v>474</v>
      </c>
      <c r="C6" s="417"/>
      <c r="D6" s="423" t="s">
        <v>14</v>
      </c>
      <c r="E6" s="422" t="s">
        <v>475</v>
      </c>
      <c r="F6" s="424">
        <v>0.56499999999999995</v>
      </c>
      <c r="G6" s="423" t="s">
        <v>12</v>
      </c>
    </row>
    <row r="12" spans="2:9" x14ac:dyDescent="0.3">
      <c r="B12" s="418" t="s">
        <v>492</v>
      </c>
    </row>
  </sheetData>
  <sheetProtection selectLockedCells="1"/>
  <dataValidations count="2">
    <dataValidation type="custom" allowBlank="1" showInputMessage="1" showErrorMessage="1" sqref="C6" xr:uid="{00000000-0002-0000-0C00-000000000000}">
      <formula1>C6&lt;=C5</formula1>
    </dataValidation>
    <dataValidation type="decimal" allowBlank="1" showInputMessage="1" showErrorMessage="1" sqref="F6" xr:uid="{00000000-0002-0000-0C00-000001000000}">
      <formula1>0</formula1>
      <formula2>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Option Button 1">
              <controlPr defaultSize="0" autoFill="0" autoLine="0" autoPict="0">
                <anchor moveWithCells="1">
                  <from>
                    <xdr:col>2</xdr:col>
                    <xdr:colOff>60960</xdr:colOff>
                    <xdr:row>6</xdr:row>
                    <xdr:rowOff>167640</xdr:rowOff>
                  </from>
                  <to>
                    <xdr:col>3</xdr:col>
                    <xdr:colOff>388620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>
                <anchor moveWithCells="1">
                  <from>
                    <xdr:col>2</xdr:col>
                    <xdr:colOff>68580</xdr:colOff>
                    <xdr:row>8</xdr:row>
                    <xdr:rowOff>91440</xdr:rowOff>
                  </from>
                  <to>
                    <xdr:col>3</xdr:col>
                    <xdr:colOff>396240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L72"/>
  <sheetViews>
    <sheetView topLeftCell="A52" workbookViewId="0">
      <selection activeCell="A74" sqref="A74"/>
    </sheetView>
  </sheetViews>
  <sheetFormatPr defaultRowHeight="14.4" x14ac:dyDescent="0.3"/>
  <cols>
    <col min="1" max="16384" width="9" style="386"/>
  </cols>
  <sheetData>
    <row r="1" spans="1:7" s="387" customFormat="1" x14ac:dyDescent="0.3">
      <c r="A1" s="387" t="s">
        <v>346</v>
      </c>
      <c r="B1" s="387" t="s">
        <v>385</v>
      </c>
      <c r="C1" s="387" t="s">
        <v>386</v>
      </c>
      <c r="D1" s="387" t="s">
        <v>387</v>
      </c>
      <c r="E1" s="387" t="s">
        <v>388</v>
      </c>
      <c r="F1" s="387" t="s">
        <v>389</v>
      </c>
      <c r="G1" s="387" t="s">
        <v>390</v>
      </c>
    </row>
    <row r="2" spans="1:7" s="389" customFormat="1" x14ac:dyDescent="0.3">
      <c r="A2" s="389" t="s">
        <v>371</v>
      </c>
      <c r="B2" s="389" t="s">
        <v>372</v>
      </c>
      <c r="C2" s="389">
        <f>Datos!C35*1000/0.3048</f>
        <v>0</v>
      </c>
      <c r="D2" s="389" t="s">
        <v>104</v>
      </c>
    </row>
    <row r="3" spans="1:7" x14ac:dyDescent="0.3">
      <c r="A3" s="386" t="s">
        <v>368</v>
      </c>
      <c r="B3" s="386" t="s">
        <v>126</v>
      </c>
      <c r="C3" s="386">
        <f>14.696*(1-(0.0000068754)*(z_ALTITUDE))^5.2559</f>
        <v>14.696</v>
      </c>
      <c r="D3" s="386" t="s">
        <v>370</v>
      </c>
      <c r="E3" s="386">
        <f>z_ALTITUDE</f>
        <v>0</v>
      </c>
      <c r="F3" s="386" t="s">
        <v>104</v>
      </c>
      <c r="G3" s="386" t="s">
        <v>391</v>
      </c>
    </row>
    <row r="4" spans="1:7" x14ac:dyDescent="0.3">
      <c r="A4" s="386" t="s">
        <v>373</v>
      </c>
      <c r="B4" s="386" t="s">
        <v>374</v>
      </c>
      <c r="C4" s="386">
        <f>59-0.0035662*(z_ALTITUDE)</f>
        <v>59</v>
      </c>
      <c r="D4" s="386" t="s">
        <v>14</v>
      </c>
      <c r="E4" s="386">
        <f>z_ALTITUDE</f>
        <v>0</v>
      </c>
      <c r="F4" s="386" t="s">
        <v>104</v>
      </c>
      <c r="G4" s="386" t="s">
        <v>391</v>
      </c>
    </row>
    <row r="6" spans="1:7" x14ac:dyDescent="0.3">
      <c r="A6" s="412" t="s">
        <v>35</v>
      </c>
      <c r="B6" s="410"/>
      <c r="C6" s="410"/>
      <c r="D6" s="386" t="s">
        <v>476</v>
      </c>
    </row>
    <row r="7" spans="1:7" x14ac:dyDescent="0.3">
      <c r="A7" s="386" t="s">
        <v>440</v>
      </c>
      <c r="B7" s="386">
        <f>Datos!G35*1.8+32</f>
        <v>14</v>
      </c>
      <c r="C7" s="386" t="s">
        <v>14</v>
      </c>
    </row>
    <row r="8" spans="1:7" x14ac:dyDescent="0.3">
      <c r="A8" s="386" t="s">
        <v>442</v>
      </c>
      <c r="B8" s="386">
        <f>Datos!G38*1.8+32</f>
        <v>14</v>
      </c>
      <c r="C8" s="386" t="s">
        <v>14</v>
      </c>
    </row>
    <row r="9" spans="1:7" x14ac:dyDescent="0.3">
      <c r="A9" s="386" t="s">
        <v>444</v>
      </c>
      <c r="B9" s="386">
        <f>z_ALTITUDE</f>
        <v>0</v>
      </c>
      <c r="C9" s="386" t="s">
        <v>445</v>
      </c>
    </row>
    <row r="10" spans="1:7" x14ac:dyDescent="0.3">
      <c r="A10" s="386" t="s">
        <v>446</v>
      </c>
      <c r="B10" s="386">
        <f xml:space="preserve"> 14.696 * (1 - 0.0000068753 * z_ALTITUDE) ^ 5.2559</f>
        <v>14.696</v>
      </c>
      <c r="C10" s="386" t="s">
        <v>370</v>
      </c>
      <c r="E10"/>
      <c r="F10"/>
      <c r="G10"/>
    </row>
    <row r="11" spans="1:7" x14ac:dyDescent="0.3">
      <c r="A11" s="386" t="s">
        <v>447</v>
      </c>
      <c r="B11" s="386">
        <f>B10*2.03602</f>
        <v>29.921349920000001</v>
      </c>
      <c r="C11" s="386" t="s">
        <v>448</v>
      </c>
      <c r="E11"/>
      <c r="F11"/>
      <c r="G11"/>
    </row>
    <row r="12" spans="1:7" x14ac:dyDescent="0.3">
      <c r="E12"/>
      <c r="F12"/>
      <c r="G12"/>
    </row>
    <row r="13" spans="1:7" x14ac:dyDescent="0.3">
      <c r="A13" s="386" t="s">
        <v>449</v>
      </c>
      <c r="B13" s="386">
        <f>HumRat(B7,B8,z_ALTITUDE)</f>
        <v>1.7640311835520036E-3</v>
      </c>
      <c r="C13" s="386" t="s">
        <v>450</v>
      </c>
    </row>
    <row r="14" spans="1:7" x14ac:dyDescent="0.3">
      <c r="B14" s="386">
        <f>B13*7000</f>
        <v>12.348218284864025</v>
      </c>
      <c r="C14" s="386" t="s">
        <v>452</v>
      </c>
    </row>
    <row r="15" spans="1:7" x14ac:dyDescent="0.3">
      <c r="A15" s="386" t="s">
        <v>453</v>
      </c>
      <c r="B15" s="386">
        <f>RelHum(B7,B8,z_ALTITUDE)</f>
        <v>100</v>
      </c>
      <c r="C15" s="386" t="s">
        <v>454</v>
      </c>
    </row>
    <row r="16" spans="1:7" x14ac:dyDescent="0.3">
      <c r="A16" s="386" t="s">
        <v>456</v>
      </c>
      <c r="B16" s="386">
        <f>0.24+B13*0.444</f>
        <v>0.24078322984549708</v>
      </c>
      <c r="C16" s="386" t="s">
        <v>457</v>
      </c>
    </row>
    <row r="17" spans="1:11" x14ac:dyDescent="0.3">
      <c r="A17" s="386" t="s">
        <v>459</v>
      </c>
      <c r="B17" s="386">
        <f>0.24*B7+B13*(1061+0.444*B7)</f>
        <v>5.2426023035856346</v>
      </c>
      <c r="C17" s="386" t="s">
        <v>460</v>
      </c>
    </row>
    <row r="18" spans="1:11" x14ac:dyDescent="0.3">
      <c r="A18" s="386" t="s">
        <v>462</v>
      </c>
      <c r="B18" s="386">
        <f>0.7543*(B7+459.67)*(1+1.6078*B13)/B11</f>
        <v>11.974814944938547</v>
      </c>
      <c r="C18" s="386" t="s">
        <v>463</v>
      </c>
    </row>
    <row r="19" spans="1:11" x14ac:dyDescent="0.3">
      <c r="A19" s="386" t="s">
        <v>465</v>
      </c>
      <c r="B19" s="386">
        <f>DewPoint(B10,B13)</f>
        <v>13.484861490360462</v>
      </c>
      <c r="C19" s="386" t="s">
        <v>14</v>
      </c>
    </row>
    <row r="20" spans="1:11" ht="16.8" x14ac:dyDescent="0.35">
      <c r="A20" s="386" t="s">
        <v>467</v>
      </c>
      <c r="B20" s="386">
        <f>B13/B18</f>
        <v>1.4731176988230747E-4</v>
      </c>
      <c r="C20" s="386" t="s">
        <v>468</v>
      </c>
    </row>
    <row r="23" spans="1:11" x14ac:dyDescent="0.3">
      <c r="A23" s="413" t="s">
        <v>469</v>
      </c>
      <c r="B23" s="411"/>
      <c r="C23" s="411"/>
      <c r="D23" s="386" t="s">
        <v>477</v>
      </c>
      <c r="E23" s="386" t="b">
        <v>1</v>
      </c>
    </row>
    <row r="25" spans="1:11" x14ac:dyDescent="0.3">
      <c r="A25" s="386" t="s">
        <v>472</v>
      </c>
      <c r="B25" s="414">
        <f>Psicrometría!C5</f>
        <v>0</v>
      </c>
      <c r="C25" s="386" t="s">
        <v>14</v>
      </c>
    </row>
    <row r="26" spans="1:11" x14ac:dyDescent="0.3">
      <c r="A26" s="386" t="s">
        <v>471</v>
      </c>
      <c r="B26" s="414">
        <f>Psicrometría!C6</f>
        <v>0</v>
      </c>
      <c r="C26" s="386" t="s">
        <v>14</v>
      </c>
    </row>
    <row r="27" spans="1:11" x14ac:dyDescent="0.3">
      <c r="A27" s="386" t="s">
        <v>235</v>
      </c>
      <c r="B27" s="386">
        <f>Psicrometría!F6</f>
        <v>0.56499999999999995</v>
      </c>
      <c r="C27" s="386" t="s">
        <v>235</v>
      </c>
    </row>
    <row r="29" spans="1:11" x14ac:dyDescent="0.3">
      <c r="A29" s="386" t="s">
        <v>478</v>
      </c>
      <c r="E29" s="386" t="s">
        <v>479</v>
      </c>
      <c r="I29" s="386" t="s">
        <v>480</v>
      </c>
      <c r="J29" s="386">
        <v>50</v>
      </c>
    </row>
    <row r="30" spans="1:11" x14ac:dyDescent="0.3">
      <c r="A30" s="386" t="s">
        <v>441</v>
      </c>
      <c r="B30" s="386">
        <f>B25</f>
        <v>0</v>
      </c>
      <c r="C30" s="386" t="s">
        <v>14</v>
      </c>
      <c r="E30" s="386" t="s">
        <v>441</v>
      </c>
      <c r="F30" s="386">
        <f>B25</f>
        <v>0</v>
      </c>
      <c r="G30" s="386" t="s">
        <v>14</v>
      </c>
      <c r="I30" s="386" t="s">
        <v>441</v>
      </c>
      <c r="J30" s="386">
        <f>IF(Psicrometría!$I$5=1,B30,F30)</f>
        <v>0</v>
      </c>
      <c r="K30" s="386" t="s">
        <v>14</v>
      </c>
    </row>
    <row r="31" spans="1:11" x14ac:dyDescent="0.3">
      <c r="A31" s="386" t="s">
        <v>443</v>
      </c>
      <c r="B31" s="386">
        <f>B26</f>
        <v>0</v>
      </c>
      <c r="C31" s="386" t="s">
        <v>14</v>
      </c>
      <c r="E31" s="386" t="s">
        <v>443</v>
      </c>
      <c r="F31" s="386">
        <f>(F33*(1093+0.444*F30)-1093*F43+0.24*F30)/(0.24-0.556*F43+F33)*-1</f>
        <v>-340.30025251140466</v>
      </c>
      <c r="G31" s="386" t="s">
        <v>14</v>
      </c>
      <c r="I31" s="386" t="s">
        <v>443</v>
      </c>
      <c r="J31" s="386">
        <f>IF(Psicrometría!$I$5=1,B31,F31)</f>
        <v>0</v>
      </c>
      <c r="K31" s="386" t="s">
        <v>14</v>
      </c>
    </row>
    <row r="32" spans="1:11" x14ac:dyDescent="0.3">
      <c r="J32" s="386">
        <v>4.0000000000000001E-3</v>
      </c>
    </row>
    <row r="33" spans="1:12" x14ac:dyDescent="0.3">
      <c r="A33" s="386" t="s">
        <v>451</v>
      </c>
      <c r="B33" s="386">
        <f>HumRat(B30,B31,z_ALTITUDE)</f>
        <v>9.3343173708877736E-4</v>
      </c>
      <c r="C33" s="386" t="s">
        <v>450</v>
      </c>
      <c r="E33" s="386" t="s">
        <v>451</v>
      </c>
      <c r="F33" s="386">
        <f>(J35*F43)/(1+((1-J35)*F43)/0.621945)</f>
        <v>0.10962624667298804</v>
      </c>
      <c r="G33" s="386" t="s">
        <v>450</v>
      </c>
      <c r="I33" s="386" t="s">
        <v>451</v>
      </c>
      <c r="J33" s="386">
        <f>IF(Psicrometría!$I$5=1,B33,F33)</f>
        <v>9.3343173708877736E-4</v>
      </c>
      <c r="K33" s="386" t="s">
        <v>450</v>
      </c>
      <c r="L33" s="386" t="s">
        <v>236</v>
      </c>
    </row>
    <row r="34" spans="1:12" x14ac:dyDescent="0.3">
      <c r="B34" s="386">
        <f>B33*7000</f>
        <v>6.5340221596214416</v>
      </c>
      <c r="C34" s="386" t="s">
        <v>452</v>
      </c>
      <c r="F34" s="386">
        <f>F33*7000</f>
        <v>767.38372671091622</v>
      </c>
      <c r="G34" s="386" t="s">
        <v>452</v>
      </c>
      <c r="J34" s="386">
        <f>IF(Psicrometría!$I$5=1,B34,F34)</f>
        <v>6.5340221596214416</v>
      </c>
      <c r="K34" s="386" t="s">
        <v>452</v>
      </c>
    </row>
    <row r="35" spans="1:12" x14ac:dyDescent="0.3">
      <c r="A35" s="386" t="s">
        <v>455</v>
      </c>
      <c r="B35" s="386">
        <f>RelHum(B25,B26,z_ALTITUDE)</f>
        <v>100.00000000000001</v>
      </c>
      <c r="C35" s="386" t="s">
        <v>454</v>
      </c>
      <c r="E35" s="386" t="s">
        <v>455</v>
      </c>
      <c r="F35" s="386">
        <f>B27</f>
        <v>0.56499999999999995</v>
      </c>
      <c r="G35" s="386" t="s">
        <v>454</v>
      </c>
      <c r="I35" s="386" t="s">
        <v>455</v>
      </c>
      <c r="J35" s="386">
        <f>IF(Psicrometría!$I$5=1,B35,F35)</f>
        <v>100.00000000000001</v>
      </c>
      <c r="K35" s="386" t="s">
        <v>454</v>
      </c>
    </row>
    <row r="36" spans="1:12" x14ac:dyDescent="0.3">
      <c r="A36" s="386" t="s">
        <v>458</v>
      </c>
      <c r="B36" s="386">
        <f>0.24+B33*0.444</f>
        <v>0.24041444369126741</v>
      </c>
      <c r="C36" s="386" t="s">
        <v>457</v>
      </c>
      <c r="E36" s="386" t="s">
        <v>458</v>
      </c>
      <c r="F36" s="386">
        <f>0.24+F33*0.444</f>
        <v>0.28867405352280667</v>
      </c>
      <c r="G36" s="386" t="s">
        <v>457</v>
      </c>
      <c r="I36" s="386" t="s">
        <v>458</v>
      </c>
      <c r="J36" s="386">
        <f>IF(Psicrometría!$I$5=1,B36,F36)</f>
        <v>0.24041444369126741</v>
      </c>
      <c r="K36" s="386" t="s">
        <v>457</v>
      </c>
    </row>
    <row r="37" spans="1:12" x14ac:dyDescent="0.3">
      <c r="A37" s="386" t="s">
        <v>461</v>
      </c>
      <c r="B37" s="386">
        <f>0.24*B30+B33*(1061+0.444*B30)</f>
        <v>0.99037107305119276</v>
      </c>
      <c r="C37" s="386" t="s">
        <v>460</v>
      </c>
      <c r="E37" s="386" t="s">
        <v>461</v>
      </c>
      <c r="F37" s="386">
        <f>0.24*F30+F33*(1061+0.444*F30)</f>
        <v>116.3134477200403</v>
      </c>
      <c r="G37" s="386" t="s">
        <v>460</v>
      </c>
      <c r="I37" s="386" t="s">
        <v>461</v>
      </c>
      <c r="J37" s="386">
        <f>IF(Psicrometría!$I$5=1,B37,F37)</f>
        <v>0.99037107305119276</v>
      </c>
      <c r="K37" s="386" t="s">
        <v>460</v>
      </c>
    </row>
    <row r="38" spans="1:12" x14ac:dyDescent="0.3">
      <c r="A38" s="386" t="s">
        <v>464</v>
      </c>
      <c r="B38" s="386">
        <f>0.7543*(B30+459.67)*(1+1.6078*B33)/B11</f>
        <v>11.605406944127759</v>
      </c>
      <c r="C38" s="386" t="s">
        <v>463</v>
      </c>
      <c r="E38" s="386" t="s">
        <v>464</v>
      </c>
      <c r="F38" s="386">
        <f>0.7543*(F30+459.67)*(1+1.6078*F33)/B11</f>
        <v>13.630485832050786</v>
      </c>
      <c r="G38" s="386" t="s">
        <v>463</v>
      </c>
      <c r="I38" s="386" t="s">
        <v>464</v>
      </c>
      <c r="J38" s="386">
        <f>IF(Psicrometría!$I$5=1,B38,F38)</f>
        <v>11.605406944127759</v>
      </c>
      <c r="K38" s="386" t="s">
        <v>463</v>
      </c>
    </row>
    <row r="39" spans="1:12" x14ac:dyDescent="0.3">
      <c r="A39" s="386" t="s">
        <v>466</v>
      </c>
      <c r="B39" s="386">
        <f>DewPoint(B10,B33)</f>
        <v>-1.3609775284039785</v>
      </c>
      <c r="C39" s="386" t="s">
        <v>14</v>
      </c>
      <c r="E39" s="386" t="s">
        <v>466</v>
      </c>
      <c r="F39" s="386">
        <f>DewPoint(B10,F33)</f>
        <v>129.5928234356586</v>
      </c>
      <c r="G39" s="386" t="s">
        <v>14</v>
      </c>
      <c r="I39" s="386" t="s">
        <v>466</v>
      </c>
      <c r="J39" s="386">
        <f>IF(Psicrometría!$I$5=1,B39,F39)</f>
        <v>-1.3609775284039785</v>
      </c>
      <c r="K39" s="386" t="s">
        <v>14</v>
      </c>
    </row>
    <row r="40" spans="1:12" ht="16.8" x14ac:dyDescent="0.35">
      <c r="A40" s="386" t="s">
        <v>467</v>
      </c>
      <c r="B40" s="386">
        <f>B33/B38</f>
        <v>8.0430763141923787E-5</v>
      </c>
      <c r="C40" s="386" t="s">
        <v>468</v>
      </c>
      <c r="E40" s="386" t="s">
        <v>467</v>
      </c>
      <c r="F40" s="386">
        <f>F33/F38</f>
        <v>8.0427248172777813E-3</v>
      </c>
      <c r="G40" s="386" t="s">
        <v>468</v>
      </c>
      <c r="I40" s="386" t="s">
        <v>467</v>
      </c>
      <c r="J40" s="386">
        <f>IF(Psicrometría!$I$5=1,B40,F40)</f>
        <v>8.0430763141923787E-5</v>
      </c>
      <c r="K40" s="386" t="s">
        <v>468</v>
      </c>
    </row>
    <row r="42" spans="1:12" x14ac:dyDescent="0.3">
      <c r="E42" s="386" t="s">
        <v>393</v>
      </c>
      <c r="F42" s="386">
        <f>WaterVaporPressAtSatLiq(F30)</f>
        <v>2.2022004188653927E-2</v>
      </c>
    </row>
    <row r="43" spans="1:12" x14ac:dyDescent="0.3">
      <c r="E43" s="386" t="s">
        <v>410</v>
      </c>
      <c r="F43" s="386">
        <f>MW_MDA_RATIO*F42/(P_TOTAL-F42)</f>
        <v>9.3338577584718078E-4</v>
      </c>
    </row>
    <row r="46" spans="1:12" x14ac:dyDescent="0.3">
      <c r="A46" s="415" t="s">
        <v>516</v>
      </c>
      <c r="B46" s="415"/>
      <c r="C46" s="415"/>
      <c r="D46" s="386" t="s">
        <v>477</v>
      </c>
      <c r="E46" s="386" t="b">
        <v>1</v>
      </c>
    </row>
    <row r="48" spans="1:12" x14ac:dyDescent="0.3">
      <c r="A48" s="386" t="s">
        <v>493</v>
      </c>
      <c r="B48" s="386">
        <f>AS-AR</f>
        <v>0</v>
      </c>
      <c r="C48" s="386" t="s">
        <v>494</v>
      </c>
    </row>
    <row r="49" spans="1:7" x14ac:dyDescent="0.3">
      <c r="A49" s="386" t="s">
        <v>496</v>
      </c>
      <c r="B49" s="386">
        <f>B48/(0.075*B18)</f>
        <v>0</v>
      </c>
      <c r="C49" s="386" t="s">
        <v>497</v>
      </c>
    </row>
    <row r="51" spans="1:7" x14ac:dyDescent="0.3">
      <c r="A51" s="386" t="s">
        <v>495</v>
      </c>
      <c r="B51" s="386">
        <f>AR</f>
        <v>0</v>
      </c>
      <c r="C51" s="386" t="s">
        <v>494</v>
      </c>
    </row>
    <row r="52" spans="1:7" x14ac:dyDescent="0.3">
      <c r="A52" s="386" t="s">
        <v>498</v>
      </c>
      <c r="B52" s="386">
        <f>B51/(0.075*B38)</f>
        <v>0</v>
      </c>
      <c r="C52" s="386" t="s">
        <v>497</v>
      </c>
    </row>
    <row r="54" spans="1:7" x14ac:dyDescent="0.3">
      <c r="B54" s="386" t="s">
        <v>499</v>
      </c>
      <c r="F54" s="386" t="s">
        <v>500</v>
      </c>
    </row>
    <row r="55" spans="1:7" x14ac:dyDescent="0.3">
      <c r="A55" s="386" t="s">
        <v>501</v>
      </c>
      <c r="B55" s="386">
        <f>B48*60/B18</f>
        <v>0</v>
      </c>
      <c r="C55" s="386" t="s">
        <v>502</v>
      </c>
      <c r="E55" s="386" t="s">
        <v>503</v>
      </c>
      <c r="F55" s="386">
        <f>B51*60/B38</f>
        <v>0</v>
      </c>
      <c r="G55" s="386" t="s">
        <v>502</v>
      </c>
    </row>
    <row r="58" spans="1:7" x14ac:dyDescent="0.3">
      <c r="B58" s="386" t="s">
        <v>504</v>
      </c>
      <c r="C58" s="386" t="s">
        <v>505</v>
      </c>
      <c r="E58" s="386" t="s">
        <v>517</v>
      </c>
      <c r="F58" s="386" t="s">
        <v>518</v>
      </c>
      <c r="G58" s="386" t="s">
        <v>236</v>
      </c>
    </row>
    <row r="59" spans="1:7" x14ac:dyDescent="0.3">
      <c r="A59" s="386" t="s">
        <v>506</v>
      </c>
      <c r="B59" s="386">
        <f>B55+F55</f>
        <v>0</v>
      </c>
      <c r="C59" s="386" t="s">
        <v>502</v>
      </c>
      <c r="E59" s="386" t="s">
        <v>35</v>
      </c>
      <c r="F59" s="386">
        <f>B7</f>
        <v>14</v>
      </c>
      <c r="G59" s="386">
        <f>B13</f>
        <v>1.7640311835520036E-3</v>
      </c>
    </row>
    <row r="60" spans="1:7" x14ac:dyDescent="0.3">
      <c r="A60" s="386" t="s">
        <v>507</v>
      </c>
      <c r="B60" s="386" t="e">
        <f>B59*B68/60</f>
        <v>#DIV/0!</v>
      </c>
      <c r="C60" s="386" t="s">
        <v>494</v>
      </c>
      <c r="E60" s="386" t="s">
        <v>469</v>
      </c>
      <c r="F60" s="386">
        <f>J30</f>
        <v>0</v>
      </c>
      <c r="G60" s="386">
        <f>J33</f>
        <v>9.3343173708877736E-4</v>
      </c>
    </row>
    <row r="61" spans="1:7" x14ac:dyDescent="0.3">
      <c r="A61" s="386" t="s">
        <v>508</v>
      </c>
      <c r="B61" s="386" t="e">
        <f>B25-(B30-B7)*(B55/B59)</f>
        <v>#DIV/0!</v>
      </c>
      <c r="C61" s="386" t="s">
        <v>14</v>
      </c>
    </row>
    <row r="62" spans="1:7" x14ac:dyDescent="0.3">
      <c r="A62" s="386" t="s">
        <v>509</v>
      </c>
      <c r="B62" s="386" t="e">
        <f>B33-(B33-B13)*(B55/B59)</f>
        <v>#DIV/0!</v>
      </c>
      <c r="C62" s="386" t="s">
        <v>450</v>
      </c>
    </row>
    <row r="63" spans="1:7" x14ac:dyDescent="0.3">
      <c r="B63" s="386" t="e">
        <f>B62*7000</f>
        <v>#DIV/0!</v>
      </c>
      <c r="C63" s="386" t="s">
        <v>452</v>
      </c>
    </row>
    <row r="64" spans="1:7" x14ac:dyDescent="0.3">
      <c r="A64" s="386" t="s">
        <v>510</v>
      </c>
      <c r="B64" s="386" t="e">
        <f>Twbfind(B61,B62,z_ALTITUDE)</f>
        <v>#VALUE!</v>
      </c>
      <c r="C64" s="386" t="s">
        <v>14</v>
      </c>
    </row>
    <row r="65" spans="1:3" x14ac:dyDescent="0.3">
      <c r="A65" s="386" t="s">
        <v>511</v>
      </c>
      <c r="B65" s="386" t="e">
        <f>RelHum(B61,B64,z_ALTITUDE)</f>
        <v>#VALUE!</v>
      </c>
      <c r="C65" s="386" t="s">
        <v>454</v>
      </c>
    </row>
    <row r="66" spans="1:3" x14ac:dyDescent="0.3">
      <c r="A66" s="386" t="s">
        <v>512</v>
      </c>
      <c r="B66" s="386" t="e">
        <f>0.24+B62*0.444</f>
        <v>#DIV/0!</v>
      </c>
      <c r="C66" s="386" t="s">
        <v>457</v>
      </c>
    </row>
    <row r="67" spans="1:3" x14ac:dyDescent="0.3">
      <c r="A67" s="386" t="s">
        <v>513</v>
      </c>
      <c r="B67" s="386" t="e">
        <f>0.24*B61+B62*(1061+0.444*B61)</f>
        <v>#DIV/0!</v>
      </c>
      <c r="C67" s="386" t="s">
        <v>460</v>
      </c>
    </row>
    <row r="68" spans="1:3" x14ac:dyDescent="0.3">
      <c r="A68" s="386" t="s">
        <v>514</v>
      </c>
      <c r="B68" s="386" t="e">
        <f>0.7543*(B61+459.67)*(1+1.6078*B62)/B11</f>
        <v>#DIV/0!</v>
      </c>
      <c r="C68" s="386" t="s">
        <v>463</v>
      </c>
    </row>
    <row r="69" spans="1:3" x14ac:dyDescent="0.3">
      <c r="A69" s="386" t="s">
        <v>515</v>
      </c>
      <c r="B69" s="386" t="e">
        <f>DewPoint(B10,B62)</f>
        <v>#VALUE!</v>
      </c>
      <c r="C69" s="386" t="s">
        <v>14</v>
      </c>
    </row>
    <row r="72" spans="1:3" x14ac:dyDescent="0.3">
      <c r="A72" s="425" t="s">
        <v>519</v>
      </c>
      <c r="B72" s="425"/>
      <c r="C72" s="42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G18"/>
  <sheetViews>
    <sheetView workbookViewId="0">
      <selection activeCell="C16" sqref="C16"/>
    </sheetView>
  </sheetViews>
  <sheetFormatPr defaultRowHeight="14.4" x14ac:dyDescent="0.3"/>
  <cols>
    <col min="1" max="2" width="9" style="386"/>
    <col min="3" max="3" width="10" style="386" customWidth="1"/>
    <col min="4" max="4" width="10.375" style="386" customWidth="1"/>
    <col min="5" max="16384" width="9" style="386"/>
  </cols>
  <sheetData>
    <row r="1" spans="1:7" s="387" customFormat="1" x14ac:dyDescent="0.3">
      <c r="A1" s="387" t="s">
        <v>346</v>
      </c>
      <c r="B1" s="387" t="s">
        <v>385</v>
      </c>
      <c r="C1" s="387" t="s">
        <v>386</v>
      </c>
      <c r="D1" s="387" t="s">
        <v>387</v>
      </c>
      <c r="E1" s="387" t="s">
        <v>388</v>
      </c>
      <c r="F1" s="387" t="s">
        <v>389</v>
      </c>
      <c r="G1" s="387" t="s">
        <v>390</v>
      </c>
    </row>
    <row r="3" spans="1:7" x14ac:dyDescent="0.3">
      <c r="A3" s="386" t="s">
        <v>392</v>
      </c>
      <c r="B3" s="386" t="s">
        <v>393</v>
      </c>
      <c r="D3" s="386" t="s">
        <v>370</v>
      </c>
    </row>
    <row r="4" spans="1:7" x14ac:dyDescent="0.3">
      <c r="B4" s="386" t="s">
        <v>394</v>
      </c>
      <c r="C4" s="390">
        <v>-10214.165000000001</v>
      </c>
      <c r="D4" s="388" t="s">
        <v>38</v>
      </c>
    </row>
    <row r="5" spans="1:7" x14ac:dyDescent="0.3">
      <c r="B5" s="386" t="s">
        <v>395</v>
      </c>
      <c r="C5" s="390">
        <v>-4.8932428000000003</v>
      </c>
      <c r="D5" s="388" t="s">
        <v>38</v>
      </c>
    </row>
    <row r="6" spans="1:7" x14ac:dyDescent="0.3">
      <c r="B6" s="386" t="s">
        <v>396</v>
      </c>
      <c r="C6" s="390">
        <v>-5.3765794000000004E-3</v>
      </c>
      <c r="D6" s="388" t="s">
        <v>38</v>
      </c>
    </row>
    <row r="7" spans="1:7" x14ac:dyDescent="0.3">
      <c r="B7" s="386" t="s">
        <v>397</v>
      </c>
      <c r="C7" s="390">
        <v>1.9202377000000001E-7</v>
      </c>
      <c r="D7" s="388" t="s">
        <v>38</v>
      </c>
    </row>
    <row r="8" spans="1:7" x14ac:dyDescent="0.3">
      <c r="B8" s="386" t="s">
        <v>398</v>
      </c>
      <c r="C8" s="390">
        <v>3.5575831999999998E-10</v>
      </c>
      <c r="D8" s="388" t="s">
        <v>38</v>
      </c>
    </row>
    <row r="9" spans="1:7" x14ac:dyDescent="0.3">
      <c r="B9" s="386" t="s">
        <v>399</v>
      </c>
      <c r="C9" s="390">
        <v>-9.0344687999999998E-14</v>
      </c>
      <c r="D9" s="388" t="s">
        <v>38</v>
      </c>
    </row>
    <row r="10" spans="1:7" x14ac:dyDescent="0.3">
      <c r="B10" s="386" t="s">
        <v>400</v>
      </c>
      <c r="C10" s="390">
        <v>4.1635019</v>
      </c>
      <c r="D10" s="388" t="s">
        <v>38</v>
      </c>
    </row>
    <row r="11" spans="1:7" x14ac:dyDescent="0.3">
      <c r="B11" s="386" t="s">
        <v>401</v>
      </c>
      <c r="C11" s="390">
        <v>-10440.397000000001</v>
      </c>
      <c r="D11" s="388" t="s">
        <v>38</v>
      </c>
    </row>
    <row r="12" spans="1:7" x14ac:dyDescent="0.3">
      <c r="B12" s="386" t="s">
        <v>402</v>
      </c>
      <c r="C12" s="390">
        <v>-11.294650000000001</v>
      </c>
      <c r="D12" s="388" t="s">
        <v>38</v>
      </c>
    </row>
    <row r="13" spans="1:7" x14ac:dyDescent="0.3">
      <c r="B13" s="386" t="s">
        <v>403</v>
      </c>
      <c r="C13" s="390">
        <v>-2.7022355000000001E-2</v>
      </c>
      <c r="D13" s="388" t="s">
        <v>38</v>
      </c>
    </row>
    <row r="14" spans="1:7" x14ac:dyDescent="0.3">
      <c r="B14" s="386" t="s">
        <v>404</v>
      </c>
      <c r="C14" s="390">
        <v>1.289036E-5</v>
      </c>
      <c r="D14" s="388" t="s">
        <v>38</v>
      </c>
    </row>
    <row r="15" spans="1:7" x14ac:dyDescent="0.3">
      <c r="B15" s="386" t="s">
        <v>405</v>
      </c>
      <c r="C15" s="390">
        <v>-2.4780681000000001E-9</v>
      </c>
      <c r="D15" s="388" t="s">
        <v>38</v>
      </c>
    </row>
    <row r="16" spans="1:7" x14ac:dyDescent="0.3">
      <c r="B16" s="386" t="s">
        <v>406</v>
      </c>
      <c r="C16" s="390">
        <v>6.5459673</v>
      </c>
      <c r="D16" s="388" t="s">
        <v>38</v>
      </c>
    </row>
    <row r="17" spans="1:1" x14ac:dyDescent="0.3">
      <c r="A17" s="386" t="s">
        <v>407</v>
      </c>
    </row>
    <row r="18" spans="1:1" x14ac:dyDescent="0.3">
      <c r="A18" s="386" t="s">
        <v>408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8"/>
  <dimension ref="A1:E103"/>
  <sheetViews>
    <sheetView workbookViewId="0">
      <selection activeCell="E4" sqref="E4"/>
    </sheetView>
  </sheetViews>
  <sheetFormatPr defaultRowHeight="14.4" x14ac:dyDescent="0.3"/>
  <cols>
    <col min="1" max="3" width="9" style="386"/>
    <col min="4" max="4" width="13.5" style="386" customWidth="1"/>
    <col min="5" max="16384" width="9" style="386"/>
  </cols>
  <sheetData>
    <row r="1" spans="1:5" x14ac:dyDescent="0.3">
      <c r="A1" s="386" t="s">
        <v>374</v>
      </c>
      <c r="B1" s="386" t="s">
        <v>409</v>
      </c>
      <c r="C1" s="386" t="s">
        <v>393</v>
      </c>
      <c r="D1" s="386" t="s">
        <v>410</v>
      </c>
      <c r="E1" s="386" t="s">
        <v>411</v>
      </c>
    </row>
    <row r="2" spans="1:5" x14ac:dyDescent="0.3">
      <c r="A2" s="386" t="s">
        <v>14</v>
      </c>
      <c r="B2" s="386" t="s">
        <v>17</v>
      </c>
      <c r="C2" s="386" t="s">
        <v>370</v>
      </c>
      <c r="D2" s="386" t="s">
        <v>412</v>
      </c>
      <c r="E2" s="386" t="s">
        <v>14</v>
      </c>
    </row>
    <row r="3" spans="1:5" x14ac:dyDescent="0.3">
      <c r="A3" s="386">
        <v>20</v>
      </c>
      <c r="B3" s="386">
        <f t="shared" ref="B3:B66" si="0">A3+459.67</f>
        <v>479.67</v>
      </c>
      <c r="C3" s="386">
        <f t="shared" ref="C3:C14" si="1">EXP((C_01/B3)+C_02+(C_03*B3)+(C_04*(B3^2))+(C_05*(B3^3))+(C_06*(B3^4))+(C_07*(LN(B3))))</f>
        <v>5.0488570076396962E-2</v>
      </c>
      <c r="D3" s="391">
        <f t="shared" ref="D3:D34" si="2">MW_MDA_RATIO*C3/(P_TOTAL-C3)</f>
        <v>2.1440787356772268E-3</v>
      </c>
      <c r="E3" s="386">
        <f>IF(A3&lt;32,DewPointB32(P_TOTAL,D3),DewPointA32(P_TOTAL,D3))</f>
        <v>20.019313878596485</v>
      </c>
    </row>
    <row r="4" spans="1:5" x14ac:dyDescent="0.3">
      <c r="A4" s="386">
        <v>21</v>
      </c>
      <c r="B4" s="386">
        <f t="shared" si="0"/>
        <v>480.67</v>
      </c>
      <c r="C4" s="386">
        <f t="shared" si="1"/>
        <v>5.2970372143654514E-2</v>
      </c>
      <c r="D4" s="391">
        <f t="shared" si="2"/>
        <v>2.2498537281056686E-3</v>
      </c>
      <c r="E4" s="386">
        <f>IF(A4&lt;32,DewPointB32(P_TOTAL,D4),DewPointA32(P_TOTAL,D4))</f>
        <v>21.019990728237197</v>
      </c>
    </row>
    <row r="5" spans="1:5" x14ac:dyDescent="0.3">
      <c r="A5" s="386">
        <v>22</v>
      </c>
      <c r="B5" s="386">
        <f t="shared" si="0"/>
        <v>481.67</v>
      </c>
      <c r="C5" s="386">
        <f t="shared" si="1"/>
        <v>5.556301034765327E-2</v>
      </c>
      <c r="D5" s="391">
        <f t="shared" si="2"/>
        <v>2.360390882348456E-3</v>
      </c>
      <c r="E5" s="386">
        <f>IF(A5&lt;32,DewPointB32(P_TOTAL,D5),DewPointA32(P_TOTAL,D5))</f>
        <v>22.020565350497154</v>
      </c>
    </row>
    <row r="6" spans="1:5" x14ac:dyDescent="0.3">
      <c r="A6" s="386">
        <v>23</v>
      </c>
      <c r="B6" s="386">
        <f t="shared" si="0"/>
        <v>482.67</v>
      </c>
      <c r="C6" s="386">
        <f t="shared" si="1"/>
        <v>5.8270913989726912E-2</v>
      </c>
      <c r="D6" s="391">
        <f t="shared" si="2"/>
        <v>2.4758841863525374E-3</v>
      </c>
      <c r="E6" s="386">
        <f>IF(A6&lt;32,DewPointB32(P_TOTAL,D6),DewPointA32(P_TOTAL,D6))</f>
        <v>23.021012032845011</v>
      </c>
    </row>
    <row r="7" spans="1:5" x14ac:dyDescent="0.3">
      <c r="A7" s="386">
        <v>24</v>
      </c>
      <c r="B7" s="386">
        <f t="shared" si="0"/>
        <v>483.67</v>
      </c>
      <c r="C7" s="386">
        <f t="shared" si="1"/>
        <v>6.1098667330960046E-2</v>
      </c>
      <c r="D7" s="391">
        <f t="shared" si="2"/>
        <v>2.5965347526089632E-3</v>
      </c>
      <c r="E7" s="386">
        <f>IF(A7&lt;32,DewPointB32(P_TOTAL,D7),DewPointA32(P_TOTAL,D7))</f>
        <v>24.021305481445154</v>
      </c>
    </row>
    <row r="8" spans="1:5" x14ac:dyDescent="0.3">
      <c r="A8" s="386">
        <v>25</v>
      </c>
      <c r="B8" s="386">
        <f t="shared" si="0"/>
        <v>484.67</v>
      </c>
      <c r="C8" s="386">
        <f t="shared" si="1"/>
        <v>6.4051014177208695E-2</v>
      </c>
      <c r="D8" s="391">
        <f t="shared" si="2"/>
        <v>2.7225510586277963E-3</v>
      </c>
      <c r="E8" s="386">
        <f>IF(A8&lt;32,DewPointB32(P_TOTAL,D8),DewPointA32(P_TOTAL,D8))</f>
        <v>25.021420814800372</v>
      </c>
    </row>
    <row r="9" spans="1:5" x14ac:dyDescent="0.3">
      <c r="A9" s="386">
        <v>26</v>
      </c>
      <c r="B9" s="386">
        <f t="shared" si="0"/>
        <v>485.67</v>
      </c>
      <c r="C9" s="386">
        <f t="shared" si="1"/>
        <v>6.7132862571849597E-2</v>
      </c>
      <c r="D9" s="391">
        <f t="shared" si="2"/>
        <v>2.8541491955661369E-3</v>
      </c>
      <c r="E9" s="386">
        <f>IF(A9&lt;32,DewPointB32(P_TOTAL,D9),DewPointA32(P_TOTAL,D9))</f>
        <v>26.021333557496881</v>
      </c>
    </row>
    <row r="10" spans="1:5" x14ac:dyDescent="0.3">
      <c r="A10" s="386">
        <v>27</v>
      </c>
      <c r="B10" s="386">
        <f t="shared" si="0"/>
        <v>486.67</v>
      </c>
      <c r="C10" s="386">
        <f t="shared" si="1"/>
        <v>7.0349289597987794E-2</v>
      </c>
      <c r="D10" s="391">
        <f t="shared" si="2"/>
        <v>2.9915531253454837E-3</v>
      </c>
      <c r="E10" s="386">
        <f>IF(A10&lt;32,DewPointB32(P_TOTAL,D10),DewPointA32(P_TOTAL,D10))</f>
        <v>27.021019634050937</v>
      </c>
    </row>
    <row r="11" spans="1:5" x14ac:dyDescent="0.3">
      <c r="A11" s="386">
        <v>28</v>
      </c>
      <c r="B11" s="386">
        <f t="shared" si="0"/>
        <v>487.67</v>
      </c>
      <c r="C11" s="386">
        <f t="shared" si="1"/>
        <v>7.3705546291854593E-2</v>
      </c>
      <c r="D11" s="391">
        <f t="shared" si="2"/>
        <v>3.1349949466131133E-3</v>
      </c>
      <c r="E11" s="386">
        <f>IF(A11&lt;32,DewPointB32(P_TOTAL,D11),DewPointA32(P_TOTAL,D11))</f>
        <v>28.020455362854655</v>
      </c>
    </row>
    <row r="12" spans="1:5" x14ac:dyDescent="0.3">
      <c r="A12" s="386">
        <v>29</v>
      </c>
      <c r="B12" s="386">
        <f t="shared" si="0"/>
        <v>488.67</v>
      </c>
      <c r="C12" s="386">
        <f t="shared" si="1"/>
        <v>7.7207062669137128E-2</v>
      </c>
      <c r="D12" s="391">
        <f t="shared" si="2"/>
        <v>3.2847151699221091E-3</v>
      </c>
      <c r="E12" s="386">
        <f>IF(A12&lt;32,DewPointB32(P_TOTAL,D12),DewPointA32(P_TOTAL,D12))</f>
        <v>29.019617450219275</v>
      </c>
    </row>
    <row r="13" spans="1:5" x14ac:dyDescent="0.3">
      <c r="A13" s="386">
        <v>30</v>
      </c>
      <c r="B13" s="386">
        <f t="shared" si="0"/>
        <v>489.67</v>
      </c>
      <c r="C13" s="386">
        <f t="shared" si="1"/>
        <v>8.0859452865992706E-2</v>
      </c>
      <c r="D13" s="391">
        <f t="shared" si="2"/>
        <v>3.4409630025260952E-3</v>
      </c>
      <c r="E13" s="386">
        <f>IF(A13&lt;32,DewPointB32(P_TOTAL,D13),DewPointA32(P_TOTAL,D13))</f>
        <v>30.018482984515469</v>
      </c>
    </row>
    <row r="14" spans="1:5" x14ac:dyDescent="0.3">
      <c r="A14" s="386">
        <v>31</v>
      </c>
      <c r="B14" s="386">
        <f t="shared" si="0"/>
        <v>490.67</v>
      </c>
      <c r="C14" s="386">
        <f t="shared" si="1"/>
        <v>8.4668520396497693E-2</v>
      </c>
      <c r="D14" s="391">
        <f t="shared" si="2"/>
        <v>3.6039966432068905E-3</v>
      </c>
      <c r="E14" s="386">
        <f>IF(A14&lt;32,DewPointB32(P_TOTAL,D14),DewPointA32(P_TOTAL,D14))</f>
        <v>31.017029430407099</v>
      </c>
    </row>
    <row r="15" spans="1:5" x14ac:dyDescent="0.3">
      <c r="A15" s="386">
        <v>32</v>
      </c>
      <c r="B15" s="386">
        <f t="shared" si="0"/>
        <v>491.67</v>
      </c>
      <c r="C15" s="386">
        <f t="shared" ref="C15:C46" si="3">EXP((C_08/B15)+C_09+(C_10*B15)+(C_11*(B15^2))+(C_12*(B15^3))+(C_13*LN(B15)))</f>
        <v>8.8648897624047027E-2</v>
      </c>
      <c r="D15" s="391">
        <f t="shared" si="2"/>
        <v>3.7744534370573114E-3</v>
      </c>
      <c r="E15" s="386">
        <f>IF(A15&lt;32,DewPointB32(P_TOTAL,D15),DewPointA32(P_TOTAL,D15))</f>
        <v>31.953335774323907</v>
      </c>
    </row>
    <row r="16" spans="1:5" x14ac:dyDescent="0.3">
      <c r="A16" s="386">
        <v>33</v>
      </c>
      <c r="B16" s="386">
        <f t="shared" si="0"/>
        <v>492.67</v>
      </c>
      <c r="C16" s="386">
        <f t="shared" si="3"/>
        <v>9.229132463901471E-2</v>
      </c>
      <c r="D16" s="391">
        <f t="shared" si="2"/>
        <v>3.9305191762292928E-3</v>
      </c>
      <c r="E16" s="386">
        <f>IF(A16&lt;32,DewPointB32(P_TOTAL,D16),DewPointA32(P_TOTAL,D16))</f>
        <v>32.966218059717654</v>
      </c>
    </row>
    <row r="17" spans="1:5" x14ac:dyDescent="0.3">
      <c r="A17" s="386">
        <v>34</v>
      </c>
      <c r="B17" s="386">
        <f t="shared" si="0"/>
        <v>493.67</v>
      </c>
      <c r="C17" s="386">
        <f t="shared" si="3"/>
        <v>9.6065818619093704E-2</v>
      </c>
      <c r="D17" s="391">
        <f t="shared" si="2"/>
        <v>4.0923256980786747E-3</v>
      </c>
      <c r="E17" s="386">
        <f>IF(A17&lt;32,DewPointB32(P_TOTAL,D17),DewPointA32(P_TOTAL,D17))</f>
        <v>33.978079299856994</v>
      </c>
    </row>
    <row r="18" spans="1:5" x14ac:dyDescent="0.3">
      <c r="A18" s="386">
        <v>35</v>
      </c>
      <c r="B18" s="386">
        <f t="shared" si="0"/>
        <v>494.67</v>
      </c>
      <c r="C18" s="386">
        <f t="shared" si="3"/>
        <v>9.9976485514761404E-2</v>
      </c>
      <c r="D18" s="391">
        <f t="shared" si="2"/>
        <v>4.2600580037481708E-3</v>
      </c>
      <c r="E18" s="386">
        <f>IF(A18&lt;32,DewPointB32(P_TOTAL,D18),DewPointA32(P_TOTAL,D18))</f>
        <v>34.988965635643375</v>
      </c>
    </row>
    <row r="19" spans="1:5" x14ac:dyDescent="0.3">
      <c r="A19" s="386">
        <v>36</v>
      </c>
      <c r="B19" s="386">
        <f t="shared" si="0"/>
        <v>495.67</v>
      </c>
      <c r="C19" s="386">
        <f t="shared" si="3"/>
        <v>0.10402753557122367</v>
      </c>
      <c r="D19" s="391">
        <f t="shared" si="2"/>
        <v>4.4339062835915145E-3</v>
      </c>
      <c r="E19" s="386">
        <f>IF(A19&lt;32,DewPointB32(P_TOTAL,D19),DewPointA32(P_TOTAL,D19))</f>
        <v>35.998921820743163</v>
      </c>
    </row>
    <row r="20" spans="1:5" x14ac:dyDescent="0.3">
      <c r="A20" s="386">
        <v>37</v>
      </c>
      <c r="B20" s="386">
        <f t="shared" si="0"/>
        <v>496.67</v>
      </c>
      <c r="C20" s="386">
        <f t="shared" si="3"/>
        <v>0.10822328528866185</v>
      </c>
      <c r="D20" s="391">
        <f t="shared" si="2"/>
        <v>4.6140660497391876E-3</v>
      </c>
      <c r="E20" s="386">
        <f>IF(A20&lt;32,DewPointB32(P_TOTAL,D20),DewPointA32(P_TOTAL,D20))</f>
        <v>37.007991253924473</v>
      </c>
    </row>
    <row r="21" spans="1:5" x14ac:dyDescent="0.3">
      <c r="A21" s="386">
        <v>38</v>
      </c>
      <c r="B21" s="386">
        <f t="shared" si="0"/>
        <v>497.67</v>
      </c>
      <c r="C21" s="386">
        <f t="shared" si="3"/>
        <v>0.11256815940231935</v>
      </c>
      <c r="D21" s="391">
        <f t="shared" si="2"/>
        <v>4.8007382724371628E-3</v>
      </c>
      <c r="E21" s="386">
        <f>IF(A21&lt;32,DewPointB32(P_TOTAL,D21),DewPointA32(P_TOTAL,D21))</f>
        <v>38.016216010683152</v>
      </c>
    </row>
    <row r="22" spans="1:5" x14ac:dyDescent="0.3">
      <c r="A22" s="386">
        <v>39</v>
      </c>
      <c r="B22" s="386">
        <f t="shared" si="0"/>
        <v>498.67</v>
      </c>
      <c r="C22" s="386">
        <f t="shared" si="3"/>
        <v>0.11706669288227731</v>
      </c>
      <c r="D22" s="391">
        <f t="shared" si="2"/>
        <v>4.9941295203131536E-3</v>
      </c>
      <c r="E22" s="386">
        <f>IF(A22&lt;32,DewPointB32(P_TOTAL,D22),DewPointA32(P_TOTAL,D22))</f>
        <v>39.023636874173306</v>
      </c>
    </row>
    <row r="23" spans="1:5" x14ac:dyDescent="0.3">
      <c r="A23" s="386">
        <v>40</v>
      </c>
      <c r="B23" s="386">
        <f t="shared" si="0"/>
        <v>499.67</v>
      </c>
      <c r="C23" s="386">
        <f t="shared" si="3"/>
        <v>0.1217235329527898</v>
      </c>
      <c r="D23" s="391">
        <f t="shared" si="2"/>
        <v>5.1944521047341524E-3</v>
      </c>
      <c r="E23" s="386">
        <f>IF(A23&lt;32,DewPointB32(P_TOTAL,D23),DewPointA32(P_TOTAL,D23))</f>
        <v>40.030293365462988</v>
      </c>
    </row>
    <row r="24" spans="1:5" x14ac:dyDescent="0.3">
      <c r="A24" s="386">
        <v>41</v>
      </c>
      <c r="B24" s="386">
        <f t="shared" si="0"/>
        <v>500.67</v>
      </c>
      <c r="C24" s="386">
        <f t="shared" si="3"/>
        <v>0.12654344113099805</v>
      </c>
      <c r="D24" s="391">
        <f t="shared" si="2"/>
        <v>5.4019242284255318E-3</v>
      </c>
      <c r="E24" s="386">
        <f>IF(A24&lt;32,DewPointB32(P_TOTAL,D24),DewPointA32(P_TOTAL,D24))</f>
        <v>41.036223773124576</v>
      </c>
    </row>
    <row r="25" spans="1:5" x14ac:dyDescent="0.3">
      <c r="A25" s="386">
        <v>42</v>
      </c>
      <c r="B25" s="386">
        <f t="shared" si="0"/>
        <v>501.67</v>
      </c>
      <c r="C25" s="386">
        <f t="shared" si="3"/>
        <v>0.13153129528486066</v>
      </c>
      <c r="D25" s="391">
        <f t="shared" si="2"/>
        <v>5.6167701385320887E-3</v>
      </c>
      <c r="E25" s="386">
        <f>IF(A25&lt;32,DewPointB32(P_TOTAL,D25),DewPointA32(P_TOTAL,D25))</f>
        <v>42.041465182175806</v>
      </c>
    </row>
    <row r="26" spans="1:5" x14ac:dyDescent="0.3">
      <c r="A26" s="386">
        <v>43</v>
      </c>
      <c r="B26" s="386">
        <f t="shared" si="0"/>
        <v>502.67</v>
      </c>
      <c r="C26" s="386">
        <f t="shared" si="3"/>
        <v>0.13669209171014826</v>
      </c>
      <c r="D26" s="391">
        <f t="shared" si="2"/>
        <v>5.8392202843114928E-3</v>
      </c>
      <c r="E26" s="386">
        <f>IF(A26&lt;32,DewPointB32(P_TOTAL,D26),DewPointA32(P_TOTAL,D26))</f>
        <v>43.046053502389796</v>
      </c>
    </row>
    <row r="27" spans="1:5" x14ac:dyDescent="0.3">
      <c r="A27" s="386">
        <v>44</v>
      </c>
      <c r="B27" s="386">
        <f t="shared" si="0"/>
        <v>503.67</v>
      </c>
      <c r="C27" s="386">
        <f t="shared" si="3"/>
        <v>0.14203094722628753</v>
      </c>
      <c r="D27" s="391">
        <f t="shared" si="2"/>
        <v>6.0695114796581844E-3</v>
      </c>
      <c r="E27" s="386">
        <f>IF(A27&lt;32,DewPointB32(P_TOTAL,D27),DewPointA32(P_TOTAL,D27))</f>
        <v>44.05002349598081</v>
      </c>
    </row>
    <row r="28" spans="1:5" x14ac:dyDescent="0.3">
      <c r="A28" s="386">
        <v>45</v>
      </c>
      <c r="B28" s="386">
        <f t="shared" si="0"/>
        <v>504.67</v>
      </c>
      <c r="C28" s="386">
        <f t="shared" si="3"/>
        <v>0.14755310129091478</v>
      </c>
      <c r="D28" s="391">
        <f t="shared" si="2"/>
        <v>6.3078870706696974E-3</v>
      </c>
      <c r="E28" s="386">
        <f>IF(A28&lt;32,DewPointB32(P_TOTAL,D28),DewPointA32(P_TOTAL,D28))</f>
        <v>45.053408804688345</v>
      </c>
    </row>
    <row r="29" spans="1:5" x14ac:dyDescent="0.3">
      <c r="A29" s="386">
        <v>46</v>
      </c>
      <c r="B29" s="386">
        <f t="shared" si="0"/>
        <v>505.67</v>
      </c>
      <c r="C29" s="386">
        <f t="shared" si="3"/>
        <v>0.1532639181328922</v>
      </c>
      <c r="D29" s="391">
        <f t="shared" si="2"/>
        <v>6.5545971084741191E-3</v>
      </c>
      <c r="E29" s="386">
        <f>IF(A29&lt;32,DewPointB32(P_TOTAL,D29),DewPointA32(P_TOTAL,D29))</f>
        <v>46.056241976262513</v>
      </c>
    </row>
    <row r="30" spans="1:5" x14ac:dyDescent="0.3">
      <c r="A30" s="386">
        <v>47</v>
      </c>
      <c r="B30" s="386">
        <f t="shared" si="0"/>
        <v>506.67</v>
      </c>
      <c r="C30" s="386">
        <f t="shared" si="3"/>
        <v>0.15916888890365413</v>
      </c>
      <c r="D30" s="391">
        <f t="shared" si="2"/>
        <v>6.8098985275542451E-3</v>
      </c>
      <c r="E30" s="386">
        <f>IF(A30&lt;32,DewPointB32(P_TOTAL,D30),DewPointA32(P_TOTAL,D30))</f>
        <v>47.058554490375975</v>
      </c>
    </row>
    <row r="31" spans="1:5" x14ac:dyDescent="0.3">
      <c r="A31" s="386">
        <v>48</v>
      </c>
      <c r="B31" s="386">
        <f t="shared" si="0"/>
        <v>507.67</v>
      </c>
      <c r="C31" s="386">
        <f t="shared" si="3"/>
        <v>0.165273633846614</v>
      </c>
      <c r="D31" s="391">
        <f t="shared" si="2"/>
        <v>7.0740553298106155E-3</v>
      </c>
      <c r="E31" s="386">
        <f>IF(A31&lt;32,DewPointB32(P_TOTAL,D31),DewPointA32(P_TOTAL,D31))</f>
        <v>48.06037678396315</v>
      </c>
    </row>
    <row r="32" spans="1:5" x14ac:dyDescent="0.3">
      <c r="A32" s="386">
        <v>49</v>
      </c>
      <c r="B32" s="386">
        <f t="shared" si="0"/>
        <v>508.67</v>
      </c>
      <c r="C32" s="386">
        <f t="shared" si="3"/>
        <v>0.17158390448445504</v>
      </c>
      <c r="D32" s="391">
        <f t="shared" si="2"/>
        <v>7.3473387746228946E-3</v>
      </c>
      <c r="E32" s="386">
        <f>IF(A32&lt;32,DewPointB32(P_TOTAL,D32),DewPointA32(P_TOTAL,D32))</f>
        <v>49.061738276006082</v>
      </c>
    </row>
    <row r="33" spans="1:5" x14ac:dyDescent="0.3">
      <c r="A33" s="386">
        <v>50</v>
      </c>
      <c r="B33" s="386">
        <f t="shared" si="0"/>
        <v>509.67</v>
      </c>
      <c r="C33" s="386">
        <f t="shared" si="3"/>
        <v>0.17810558582410912</v>
      </c>
      <c r="D33" s="391">
        <f t="shared" si="2"/>
        <v>7.6300275751821269E-3</v>
      </c>
      <c r="E33" s="386">
        <f>IF(A33&lt;32,DewPointB32(P_TOTAL,D33),DewPointA32(P_TOTAL,D33))</f>
        <v>50.06266739178173</v>
      </c>
    </row>
    <row r="34" spans="1:5" x14ac:dyDescent="0.3">
      <c r="A34" s="386">
        <v>51</v>
      </c>
      <c r="B34" s="386">
        <f t="shared" si="0"/>
        <v>510.67</v>
      </c>
      <c r="C34" s="386">
        <f t="shared" si="3"/>
        <v>0.18484469857913322</v>
      </c>
      <c r="D34" s="391">
        <f t="shared" si="2"/>
        <v>7.9224081013770393E-3</v>
      </c>
      <c r="E34" s="386">
        <f>IF(A34&lt;32,DewPointB32(P_TOTAL,D34),DewPointA32(P_TOTAL,D34))</f>
        <v>51.063191586572245</v>
      </c>
    </row>
    <row r="35" spans="1:5" x14ac:dyDescent="0.3">
      <c r="A35" s="386">
        <v>52</v>
      </c>
      <c r="B35" s="386">
        <f t="shared" si="0"/>
        <v>511.67</v>
      </c>
      <c r="C35" s="386">
        <f t="shared" si="3"/>
        <v>0.1918074014093272</v>
      </c>
      <c r="D35" s="391">
        <f t="shared" ref="D35:D66" si="4">MW_MDA_RATIO*C35/(P_TOTAL-C35)</f>
        <v>8.2247745895388472E-3</v>
      </c>
      <c r="E35" s="386">
        <f>IF(A35&lt;32,DewPointB32(P_TOTAL,D35),DewPointA32(P_TOTAL,D35))</f>
        <v>52.06333736886139</v>
      </c>
    </row>
    <row r="36" spans="1:5" x14ac:dyDescent="0.3">
      <c r="A36" s="386">
        <v>53</v>
      </c>
      <c r="B36" s="386">
        <f t="shared" si="0"/>
        <v>512.67000000000007</v>
      </c>
      <c r="C36" s="386">
        <f t="shared" si="3"/>
        <v>0.1989999931773149</v>
      </c>
      <c r="D36" s="391">
        <f t="shared" si="4"/>
        <v>8.537429359360086E-3</v>
      </c>
      <c r="E36" s="386">
        <f>IF(A36&lt;32,DewPointB32(P_TOTAL,D36),DewPointA32(P_TOTAL,D36))</f>
        <v>53.063130323021753</v>
      </c>
    </row>
    <row r="37" spans="1:5" x14ac:dyDescent="0.3">
      <c r="A37" s="386">
        <v>54</v>
      </c>
      <c r="B37" s="386">
        <f t="shared" si="0"/>
        <v>513.67000000000007</v>
      </c>
      <c r="C37" s="386">
        <f t="shared" si="3"/>
        <v>0.2064289152218457</v>
      </c>
      <c r="D37" s="391">
        <f t="shared" si="4"/>
        <v>8.8606830383218104E-3</v>
      </c>
      <c r="E37" s="386">
        <f>IF(A37&lt;32,DewPointB32(P_TOTAL,D37),DewPointA32(P_TOTAL,D37))</f>
        <v>54.062595131503961</v>
      </c>
    </row>
    <row r="38" spans="1:5" x14ac:dyDescent="0.3">
      <c r="A38" s="386">
        <v>55</v>
      </c>
      <c r="B38" s="386">
        <f t="shared" si="0"/>
        <v>514.67000000000007</v>
      </c>
      <c r="C38" s="386">
        <f t="shared" si="3"/>
        <v>0.21410075364760794</v>
      </c>
      <c r="D38" s="391">
        <f t="shared" si="4"/>
        <v>9.1948547939831385E-3</v>
      </c>
      <c r="E38" s="386">
        <f>IF(A38&lt;32,DewPointB32(P_TOTAL,D38),DewPointA32(P_TOTAL,D38))</f>
        <v>55.061755596544167</v>
      </c>
    </row>
    <row r="39" spans="1:5" x14ac:dyDescent="0.3">
      <c r="A39" s="386">
        <v>56</v>
      </c>
      <c r="B39" s="386">
        <f t="shared" si="0"/>
        <v>515.67000000000007</v>
      </c>
      <c r="C39" s="386">
        <f t="shared" si="3"/>
        <v>0.22202224163123313</v>
      </c>
      <c r="D39" s="391">
        <f t="shared" si="4"/>
        <v>9.5402725745014905E-3</v>
      </c>
      <c r="E39" s="386">
        <f>IF(A39&lt;32,DewPointB32(P_TOTAL,D39),DewPointA32(P_TOTAL,D39))</f>
        <v>56.060634661390907</v>
      </c>
    </row>
    <row r="40" spans="1:5" x14ac:dyDescent="0.3">
      <c r="A40" s="386">
        <v>57</v>
      </c>
      <c r="B40" s="386">
        <f t="shared" si="0"/>
        <v>516.67000000000007</v>
      </c>
      <c r="C40" s="386">
        <f t="shared" si="3"/>
        <v>0.23020026174331826</v>
      </c>
      <c r="D40" s="391">
        <f t="shared" si="4"/>
        <v>9.897273357778659E-3</v>
      </c>
      <c r="E40" s="386">
        <f>IF(A40&lt;32,DewPointB32(P_TOTAL,D40),DewPointA32(P_TOTAL,D40))</f>
        <v>57.059254431073725</v>
      </c>
    </row>
    <row r="41" spans="1:5" x14ac:dyDescent="0.3">
      <c r="A41" s="386">
        <v>58</v>
      </c>
      <c r="B41" s="386">
        <f t="shared" si="0"/>
        <v>517.67000000000007</v>
      </c>
      <c r="C41" s="386">
        <f t="shared" si="3"/>
        <v>0.23864184828613369</v>
      </c>
      <c r="D41" s="391">
        <f t="shared" si="4"/>
        <v>1.0266203409642282E-2</v>
      </c>
      <c r="E41" s="386">
        <f>IF(A41&lt;32,DewPointB32(P_TOTAL,D41),DewPointA32(P_TOTAL,D41))</f>
        <v>58.057636192714071</v>
      </c>
    </row>
    <row r="42" spans="1:5" x14ac:dyDescent="0.3">
      <c r="A42" s="386">
        <v>59</v>
      </c>
      <c r="B42" s="386">
        <f t="shared" si="0"/>
        <v>518.67000000000007</v>
      </c>
      <c r="C42" s="386">
        <f t="shared" si="3"/>
        <v>0.24735418964674571</v>
      </c>
      <c r="D42" s="391">
        <f t="shared" si="4"/>
        <v>1.064741855149774E-2</v>
      </c>
      <c r="E42" s="386">
        <f>IF(A42&lt;32,DewPointB32(P_TOTAL,D42),DewPointA32(P_TOTAL,D42))</f>
        <v>59.055800435389116</v>
      </c>
    </row>
    <row r="43" spans="1:5" x14ac:dyDescent="0.3">
      <c r="A43" s="386">
        <v>60</v>
      </c>
      <c r="B43" s="386">
        <f t="shared" si="0"/>
        <v>519.67000000000007</v>
      </c>
      <c r="C43" s="386">
        <f t="shared" si="3"/>
        <v>0.25634463066536495</v>
      </c>
      <c r="D43" s="391">
        <f t="shared" si="4"/>
        <v>1.1041284437913019E-2</v>
      </c>
      <c r="E43" s="386">
        <f>IF(A43&lt;32,DewPointB32(P_TOTAL,D43),DewPointA32(P_TOTAL,D43))</f>
        <v>60.053766869568221</v>
      </c>
    </row>
    <row r="44" spans="1:5" x14ac:dyDescent="0.3">
      <c r="A44" s="386">
        <v>61</v>
      </c>
      <c r="B44" s="386">
        <f t="shared" si="0"/>
        <v>520.67000000000007</v>
      </c>
      <c r="C44" s="386">
        <f t="shared" si="3"/>
        <v>0.265620675018506</v>
      </c>
      <c r="D44" s="391">
        <f t="shared" si="4"/>
        <v>1.1448176844614608E-2</v>
      </c>
      <c r="E44" s="386">
        <f>IF(A44&lt;32,DewPointB32(P_TOTAL,D44),DewPointA32(P_TOTAL,D44))</f>
        <v>61.051554446115752</v>
      </c>
    </row>
    <row r="45" spans="1:5" x14ac:dyDescent="0.3">
      <c r="A45" s="386">
        <v>62</v>
      </c>
      <c r="B45" s="386">
        <f t="shared" si="0"/>
        <v>521.67000000000007</v>
      </c>
      <c r="C45" s="386">
        <f t="shared" si="3"/>
        <v>0.27518998761678765</v>
      </c>
      <c r="D45" s="391">
        <f t="shared" si="4"/>
        <v>1.1868481967410062E-2</v>
      </c>
      <c r="E45" s="386">
        <f>IF(A45&lt;32,DewPointB32(P_TOTAL,D45),DewPointA32(P_TOTAL,D45))</f>
        <v>62.049181374883112</v>
      </c>
    </row>
    <row r="46" spans="1:5" x14ac:dyDescent="0.3">
      <c r="A46" s="386">
        <v>63</v>
      </c>
      <c r="B46" s="386">
        <f t="shared" si="0"/>
        <v>522.67000000000007</v>
      </c>
      <c r="C46" s="386">
        <f t="shared" si="3"/>
        <v>0.28506039701703678</v>
      </c>
      <c r="D46" s="391">
        <f t="shared" si="4"/>
        <v>1.2302596732573988E-2</v>
      </c>
      <c r="E46" s="386">
        <f>IF(A46&lt;32,DewPointB32(P_TOTAL,D46),DewPointA32(P_TOTAL,D46))</f>
        <v>63.046665142893289</v>
      </c>
    </row>
    <row r="47" spans="1:5" x14ac:dyDescent="0.3">
      <c r="A47" s="386">
        <v>64</v>
      </c>
      <c r="B47" s="386">
        <f t="shared" si="0"/>
        <v>523.67000000000007</v>
      </c>
      <c r="C47" s="386">
        <f t="shared" ref="C47:C78" si="5">EXP((C_08/B47)+C_09+(C_10*B47)+(C_11*(B47^2))+(C_12*(B47^3))+(C_13*LN(B47)))</f>
        <v>0.2952398978483709</v>
      </c>
      <c r="D47" s="391">
        <f t="shared" si="4"/>
        <v>1.275092911926486E-2</v>
      </c>
      <c r="E47" s="386">
        <f>IF(A47&lt;32,DewPointB32(P_TOTAL,D47),DewPointA32(P_TOTAL,D47))</f>
        <v>64.044022532124188</v>
      </c>
    </row>
    <row r="48" spans="1:5" x14ac:dyDescent="0.3">
      <c r="A48" s="386">
        <v>65</v>
      </c>
      <c r="B48" s="386">
        <f t="shared" si="0"/>
        <v>524.67000000000007</v>
      </c>
      <c r="C48" s="386">
        <f t="shared" si="5"/>
        <v>0.30573665325203037</v>
      </c>
      <c r="D48" s="391">
        <f t="shared" si="4"/>
        <v>1.321389849457626E-2</v>
      </c>
      <c r="E48" s="386">
        <f>IF(A48&lt;32,DewPointB32(P_TOTAL,D48),DewPointA32(P_TOTAL,D48))</f>
        <v>65.041269636906833</v>
      </c>
    </row>
    <row r="49" spans="1:5" x14ac:dyDescent="0.3">
      <c r="A49" s="386">
        <v>66</v>
      </c>
      <c r="B49" s="386">
        <f t="shared" si="0"/>
        <v>525.67000000000007</v>
      </c>
      <c r="C49" s="386">
        <f t="shared" si="5"/>
        <v>0.31655899733456028</v>
      </c>
      <c r="D49" s="391">
        <f t="shared" si="4"/>
        <v>1.3691935961852393E-2</v>
      </c>
      <c r="E49" s="386">
        <f>IF(A49&lt;32,DewPointB32(P_TOTAL,D49),DewPointA32(P_TOTAL,D49))</f>
        <v>66.038421880937108</v>
      </c>
    </row>
    <row r="50" spans="1:5" x14ac:dyDescent="0.3">
      <c r="A50" s="386">
        <v>67</v>
      </c>
      <c r="B50" s="386">
        <f t="shared" si="0"/>
        <v>526.67000000000007</v>
      </c>
      <c r="C50" s="386">
        <f t="shared" si="5"/>
        <v>0.32771543763415978</v>
      </c>
      <c r="D50" s="391">
        <f t="shared" si="4"/>
        <v>1.4185484722943261E-2</v>
      </c>
      <c r="E50" s="386">
        <f>IF(A50&lt;32,DewPointB32(P_TOTAL,D50),DewPointA32(P_TOTAL,D50))</f>
        <v>67.035494033922177</v>
      </c>
    </row>
    <row r="51" spans="1:5" x14ac:dyDescent="0.3">
      <c r="A51" s="386">
        <v>68</v>
      </c>
      <c r="B51" s="386">
        <f t="shared" si="0"/>
        <v>527.67000000000007</v>
      </c>
      <c r="C51" s="386">
        <f t="shared" si="5"/>
        <v>0.33921465759971386</v>
      </c>
      <c r="D51" s="391">
        <f t="shared" si="4"/>
        <v>1.4695000455099619E-2</v>
      </c>
      <c r="E51" s="386">
        <f>IF(A51&lt;32,DewPointB32(P_TOTAL,D51),DewPointA32(P_TOTAL,D51))</f>
        <v>68.03250022785322</v>
      </c>
    </row>
    <row r="52" spans="1:5" x14ac:dyDescent="0.3">
      <c r="A52" s="386">
        <v>69</v>
      </c>
      <c r="B52" s="386">
        <f t="shared" si="0"/>
        <v>528.67000000000007</v>
      </c>
      <c r="C52" s="386">
        <f t="shared" si="5"/>
        <v>0.35106551908236749</v>
      </c>
      <c r="D52" s="391">
        <f t="shared" si="4"/>
        <v>1.5220951703263479E-2</v>
      </c>
      <c r="E52" s="386">
        <f>IF(A52&lt;32,DewPointB32(P_TOTAL,D52),DewPointA32(P_TOTAL,D52))</f>
        <v>69.029453972929431</v>
      </c>
    </row>
    <row r="53" spans="1:5" x14ac:dyDescent="0.3">
      <c r="A53" s="386">
        <v>70</v>
      </c>
      <c r="B53" s="386">
        <f t="shared" si="0"/>
        <v>529.67000000000007</v>
      </c>
      <c r="C53" s="386">
        <f t="shared" si="5"/>
        <v>0.36327706483917216</v>
      </c>
      <c r="D53" s="391">
        <f t="shared" si="4"/>
        <v>1.5763820288538288E-2</v>
      </c>
      <c r="E53" s="386">
        <f>IF(A53&lt;32,DewPointB32(P_TOTAL,D53),DewPointA32(P_TOTAL,D53))</f>
        <v>70.02636817312731</v>
      </c>
    </row>
    <row r="54" spans="1:5" x14ac:dyDescent="0.3">
      <c r="A54" s="386">
        <v>71</v>
      </c>
      <c r="B54" s="386">
        <f t="shared" si="0"/>
        <v>530.67000000000007</v>
      </c>
      <c r="C54" s="386">
        <f t="shared" si="5"/>
        <v>0.3758585210485797</v>
      </c>
      <c r="D54" s="391">
        <f t="shared" si="4"/>
        <v>1.6324101733679396E-2</v>
      </c>
      <c r="E54" s="386">
        <f>IF(A54&lt;32,DewPointB32(P_TOTAL,D54),DewPointA32(P_TOTAL,D54))</f>
        <v>71.023255141432116</v>
      </c>
    </row>
    <row r="55" spans="1:5" x14ac:dyDescent="0.3">
      <c r="A55" s="386">
        <v>72</v>
      </c>
      <c r="B55" s="386">
        <f t="shared" si="0"/>
        <v>531.67000000000007</v>
      </c>
      <c r="C55" s="386">
        <f t="shared" si="5"/>
        <v>0.38881929983738461</v>
      </c>
      <c r="D55" s="391">
        <f t="shared" si="4"/>
        <v>1.6902305706486258E-2</v>
      </c>
      <c r="E55" s="386">
        <f>IF(A55&lt;32,DewPointB32(P_TOTAL,D55),DewPointA32(P_TOTAL,D55))</f>
        <v>72.020126614733286</v>
      </c>
    </row>
    <row r="56" spans="1:5" x14ac:dyDescent="0.3">
      <c r="A56" s="386">
        <v>73</v>
      </c>
      <c r="B56" s="386">
        <f t="shared" si="0"/>
        <v>532.67000000000007</v>
      </c>
      <c r="C56" s="386">
        <f t="shared" si="5"/>
        <v>0.40216900181878207</v>
      </c>
      <c r="D56" s="391">
        <f t="shared" si="4"/>
        <v>1.749895648203224E-2</v>
      </c>
      <c r="E56" s="386">
        <f>IF(A56&lt;32,DewPointB32(P_TOTAL,D56),DewPointA32(P_TOTAL,D56))</f>
        <v>73.01699376839116</v>
      </c>
    </row>
    <row r="57" spans="1:5" x14ac:dyDescent="0.3">
      <c r="A57" s="386">
        <v>74</v>
      </c>
      <c r="B57" s="386">
        <f t="shared" si="0"/>
        <v>533.67000000000007</v>
      </c>
      <c r="C57" s="386">
        <f t="shared" si="5"/>
        <v>0.41591741864129167</v>
      </c>
      <c r="D57" s="391">
        <f t="shared" si="4"/>
        <v>1.8114593424726634E-2</v>
      </c>
      <c r="E57" s="386">
        <f>IF(A57&lt;32,DewPointB32(P_TOTAL,D57),DewPointA32(P_TOTAL,D57))</f>
        <v>74.013867230489481</v>
      </c>
    </row>
    <row r="58" spans="1:5" x14ac:dyDescent="0.3">
      <c r="A58" s="386">
        <v>75</v>
      </c>
      <c r="B58" s="386">
        <f t="shared" si="0"/>
        <v>534.67000000000007</v>
      </c>
      <c r="C58" s="386">
        <f t="shared" si="5"/>
        <v>0.43007453554805986</v>
      </c>
      <c r="D58" s="391">
        <f t="shared" si="4"/>
        <v>1.874977149125126E-2</v>
      </c>
      <c r="E58" s="386">
        <f>IF(A58&lt;32,DewPointB32(P_TOTAL,D58),DewPointA32(P_TOTAL,D58))</f>
        <v>75.010757095769051</v>
      </c>
    </row>
    <row r="59" spans="1:5" x14ac:dyDescent="0.3">
      <c r="A59" s="386">
        <v>76</v>
      </c>
      <c r="B59" s="386">
        <f t="shared" si="0"/>
        <v>535.67000000000007</v>
      </c>
      <c r="C59" s="386">
        <f t="shared" si="5"/>
        <v>0.4446505339462945</v>
      </c>
      <c r="D59" s="391">
        <f t="shared" si="4"/>
        <v>1.9405061755487025E-2</v>
      </c>
      <c r="E59" s="386">
        <f>IF(A59&lt;32,DewPointB32(P_TOTAL,D59),DewPointA32(P_TOTAL,D59))</f>
        <v>76.007672939257361</v>
      </c>
    </row>
    <row r="60" spans="1:5" x14ac:dyDescent="0.3">
      <c r="A60" s="386">
        <v>77</v>
      </c>
      <c r="B60" s="386">
        <f t="shared" si="0"/>
        <v>536.67000000000007</v>
      </c>
      <c r="C60" s="386">
        <f t="shared" si="5"/>
        <v>0.45965579398648448</v>
      </c>
      <c r="D60" s="391">
        <f t="shared" si="4"/>
        <v>2.0081051956607816E-2</v>
      </c>
      <c r="E60" s="386">
        <f>IF(A60&lt;32,DewPointB32(P_TOTAL,D60),DewPointA32(P_TOTAL,D60))</f>
        <v>77.004623829600945</v>
      </c>
    </row>
    <row r="61" spans="1:5" x14ac:dyDescent="0.3">
      <c r="A61" s="386">
        <v>78</v>
      </c>
      <c r="B61" s="386">
        <f t="shared" si="0"/>
        <v>537.67000000000007</v>
      </c>
      <c r="C61" s="386">
        <f t="shared" si="5"/>
        <v>0.47510089715093806</v>
      </c>
      <c r="D61" s="391">
        <f t="shared" si="4"/>
        <v>2.0778347071584206E-2</v>
      </c>
      <c r="E61" s="386">
        <f>IF(A61&lt;32,DewPointB32(P_TOTAL,D61),DewPointA32(P_TOTAL,D61))</f>
        <v>78.001618342098624</v>
      </c>
    </row>
    <row r="62" spans="1:5" x14ac:dyDescent="0.3">
      <c r="A62" s="386">
        <v>79</v>
      </c>
      <c r="B62" s="386">
        <f t="shared" si="0"/>
        <v>538.67000000000007</v>
      </c>
      <c r="C62" s="386">
        <f t="shared" si="5"/>
        <v>0.49099662885146134</v>
      </c>
      <c r="D62" s="391">
        <f t="shared" si="4"/>
        <v>2.1497569913428213E-2</v>
      </c>
      <c r="E62" s="386">
        <f>IF(A62&lt;32,DewPointB32(P_TOTAL,D62),DewPointA32(P_TOTAL,D62))</f>
        <v>78.998664571455095</v>
      </c>
    </row>
    <row r="63" spans="1:5" x14ac:dyDescent="0.3">
      <c r="A63" s="386">
        <v>80</v>
      </c>
      <c r="B63" s="386">
        <f t="shared" si="0"/>
        <v>539.67000000000007</v>
      </c>
      <c r="C63" s="386">
        <f t="shared" si="5"/>
        <v>0.50735398103564899</v>
      </c>
      <c r="D63" s="391">
        <f t="shared" si="4"/>
        <v>2.2239361756574878E-2</v>
      </c>
      <c r="E63" s="386">
        <f>IF(A63&lt;32,DewPointB32(P_TOTAL,D63),DewPointA32(P_TOTAL,D63))</f>
        <v>79.995770144248624</v>
      </c>
    </row>
    <row r="64" spans="1:5" x14ac:dyDescent="0.3">
      <c r="A64" s="386">
        <v>81</v>
      </c>
      <c r="B64" s="386">
        <f t="shared" si="0"/>
        <v>540.67000000000007</v>
      </c>
      <c r="C64" s="386">
        <f t="shared" si="5"/>
        <v>0.52418415480150615</v>
      </c>
      <c r="D64" s="391">
        <f t="shared" si="4"/>
        <v>2.3004382990893742E-2</v>
      </c>
      <c r="E64" s="386">
        <f>IF(A64&lt;32,DewPointB32(P_TOTAL,D64),DewPointA32(P_TOTAL,D64))</f>
        <v>80.992942231125724</v>
      </c>
    </row>
    <row r="65" spans="1:5" x14ac:dyDescent="0.3">
      <c r="A65" s="386">
        <v>82</v>
      </c>
      <c r="B65" s="386">
        <f t="shared" si="0"/>
        <v>541.67000000000007</v>
      </c>
      <c r="C65" s="386">
        <f t="shared" si="5"/>
        <v>0.54149856302003518</v>
      </c>
      <c r="D65" s="391">
        <f t="shared" si="4"/>
        <v>2.3793313805911352E-2</v>
      </c>
      <c r="E65" s="386">
        <f>IF(A65&lt;32,DewPointB32(P_TOTAL,D65),DewPointA32(P_TOTAL,D65))</f>
        <v>81.990187558727143</v>
      </c>
    </row>
    <row r="66" spans="1:5" x14ac:dyDescent="0.3">
      <c r="A66" s="386">
        <v>83</v>
      </c>
      <c r="B66" s="386">
        <f t="shared" si="0"/>
        <v>542.67000000000007</v>
      </c>
      <c r="C66" s="386">
        <f t="shared" si="5"/>
        <v>0.5593088329654039</v>
      </c>
      <c r="D66" s="391">
        <f t="shared" si="4"/>
        <v>2.4606854906923388E-2</v>
      </c>
      <c r="E66" s="386">
        <f>IF(A66&lt;32,DewPointB32(P_TOTAL,D66),DewPointA32(P_TOTAL,D66))</f>
        <v>82.987512421351695</v>
      </c>
    </row>
    <row r="67" spans="1:5" x14ac:dyDescent="0.3">
      <c r="A67" s="386">
        <v>84</v>
      </c>
      <c r="B67" s="386">
        <f t="shared" ref="B67:B103" si="6">A67+459.67</f>
        <v>543.67000000000007</v>
      </c>
      <c r="C67" s="386">
        <f t="shared" si="5"/>
        <v>0.57762680895229657</v>
      </c>
      <c r="D67" s="391">
        <f t="shared" ref="D67:D98" si="7">MW_MDA_RATIO*C67/(P_TOTAL-C67)</f>
        <v>2.544572826477946E-2</v>
      </c>
      <c r="E67" s="386">
        <f>IF(A67&lt;32,DewPointB32(P_TOTAL,D67),DewPointA32(P_TOTAL,D67))</f>
        <v>83.984922692360414</v>
      </c>
    </row>
    <row r="68" spans="1:5" x14ac:dyDescent="0.3">
      <c r="A68" s="386">
        <v>85</v>
      </c>
      <c r="B68" s="386">
        <f t="shared" si="6"/>
        <v>544.67000000000007</v>
      </c>
      <c r="C68" s="386">
        <f t="shared" si="5"/>
        <v>0.59646455498013584</v>
      </c>
      <c r="D68" s="391">
        <f t="shared" si="7"/>
        <v>2.6310677901240059E-2</v>
      </c>
      <c r="E68" s="386">
        <f>IF(A68&lt;32,DewPointB32(P_TOTAL,D68),DewPointA32(P_TOTAL,D68))</f>
        <v>84.982423835331502</v>
      </c>
    </row>
    <row r="69" spans="1:5" x14ac:dyDescent="0.3">
      <c r="A69" s="386">
        <v>86</v>
      </c>
      <c r="B69" s="386">
        <f t="shared" si="6"/>
        <v>545.67000000000007</v>
      </c>
      <c r="C69" s="386">
        <f t="shared" si="5"/>
        <v>0.61583435738371894</v>
      </c>
      <c r="D69" s="391">
        <f t="shared" si="7"/>
        <v>2.7202470711919006E-2</v>
      </c>
      <c r="E69" s="386">
        <f>IF(A69&lt;32,DewPointB32(P_TOTAL,D69),DewPointA32(P_TOTAL,D69))</f>
        <v>85.980020914966005</v>
      </c>
    </row>
    <row r="70" spans="1:5" x14ac:dyDescent="0.3">
      <c r="A70" s="386">
        <v>87</v>
      </c>
      <c r="B70" s="386">
        <f t="shared" si="6"/>
        <v>546.67000000000007</v>
      </c>
      <c r="C70" s="386">
        <f t="shared" si="5"/>
        <v>0.6357487274900071</v>
      </c>
      <c r="D70" s="391">
        <f t="shared" si="7"/>
        <v>2.812189732896285E-2</v>
      </c>
      <c r="E70" s="386">
        <f>IF(A70&lt;32,DewPointB32(P_TOTAL,D70),DewPointA32(P_TOTAL,D70))</f>
        <v>86.977718607756472</v>
      </c>
    </row>
    <row r="71" spans="1:5" x14ac:dyDescent="0.3">
      <c r="A71" s="386">
        <v>88</v>
      </c>
      <c r="B71" s="386">
        <f t="shared" si="6"/>
        <v>547.67000000000007</v>
      </c>
      <c r="C71" s="386">
        <f t="shared" si="5"/>
        <v>0.65622040428052841</v>
      </c>
      <c r="D71" s="391">
        <f t="shared" si="7"/>
        <v>2.9069773025744206E-2</v>
      </c>
      <c r="E71" s="386">
        <f>IF(A71&lt;32,DewPointB32(P_TOTAL,D71),DewPointA32(P_TOTAL,D71))</f>
        <v>87.975521212414918</v>
      </c>
    </row>
    <row r="72" spans="1:5" x14ac:dyDescent="0.3">
      <c r="A72" s="386">
        <v>89</v>
      </c>
      <c r="B72" s="386">
        <f t="shared" si="6"/>
        <v>548.67000000000007</v>
      </c>
      <c r="C72" s="386">
        <f t="shared" si="5"/>
        <v>0.67726235705915594</v>
      </c>
      <c r="D72" s="391">
        <f t="shared" si="7"/>
        <v>3.0046938666008372E-2</v>
      </c>
      <c r="E72" s="386">
        <f>IF(A72&lt;32,DewPointB32(P_TOTAL,D72),DewPointA32(P_TOTAL,D72))</f>
        <v>88.973432660073129</v>
      </c>
    </row>
    <row r="73" spans="1:5" x14ac:dyDescent="0.3">
      <c r="A73" s="386">
        <v>90</v>
      </c>
      <c r="B73" s="386">
        <f t="shared" si="6"/>
        <v>549.67000000000007</v>
      </c>
      <c r="C73" s="386">
        <f t="shared" si="5"/>
        <v>0.69888778812477892</v>
      </c>
      <c r="D73" s="391">
        <f t="shared" si="7"/>
        <v>3.1054261700060724E-2</v>
      </c>
      <c r="E73" s="386">
        <f>IF(A73&lt;32,DewPointB32(P_TOTAL,D73),DewPointA32(P_TOTAL,D73))</f>
        <v>89.971456524254705</v>
      </c>
    </row>
    <row r="74" spans="1:5" x14ac:dyDescent="0.3">
      <c r="A74" s="386">
        <v>91</v>
      </c>
      <c r="B74" s="386">
        <f t="shared" si="6"/>
        <v>550.67000000000007</v>
      </c>
      <c r="C74" s="386">
        <f t="shared" si="5"/>
        <v>0.72111013544855707</v>
      </c>
      <c r="D74" s="391">
        <f t="shared" si="7"/>
        <v>3.2092637210761416E-2</v>
      </c>
      <c r="E74" s="386">
        <f>IF(A74&lt;32,DewPointB32(P_TOTAL,D74),DewPointA32(P_TOTAL,D74))</f>
        <v>90.969596030628082</v>
      </c>
    </row>
    <row r="75" spans="1:5" x14ac:dyDescent="0.3">
      <c r="A75" s="386">
        <v>92</v>
      </c>
      <c r="B75" s="386">
        <f t="shared" si="6"/>
        <v>551.67000000000007</v>
      </c>
      <c r="C75" s="386">
        <f t="shared" si="5"/>
        <v>0.74394307535535575</v>
      </c>
      <c r="D75" s="391">
        <f t="shared" si="7"/>
        <v>3.3162989012273672E-2</v>
      </c>
      <c r="E75" s="386">
        <f>IF(A75&lt;32,DewPointB32(P_TOTAL,D75),DewPointA32(P_TOTAL,D75))</f>
        <v>91.967854066543651</v>
      </c>
    </row>
    <row r="76" spans="1:5" x14ac:dyDescent="0.3">
      <c r="A76" s="386">
        <v>93</v>
      </c>
      <c r="B76" s="386">
        <f t="shared" si="6"/>
        <v>552.67000000000007</v>
      </c>
      <c r="C76" s="386">
        <f t="shared" si="5"/>
        <v>0.76740052520881641</v>
      </c>
      <c r="D76" s="391">
        <f t="shared" si="7"/>
        <v>3.4266270804702993E-2</v>
      </c>
      <c r="E76" s="386">
        <f>IF(A76&lt;32,DewPointB32(P_TOTAL,D76),DewPointA32(P_TOTAL,D76))</f>
        <v>92.966233190353321</v>
      </c>
    </row>
    <row r="77" spans="1:5" x14ac:dyDescent="0.3">
      <c r="A77" s="386">
        <v>94</v>
      </c>
      <c r="B77" s="386">
        <f t="shared" si="6"/>
        <v>553.67000000000007</v>
      </c>
      <c r="C77" s="386">
        <f t="shared" si="5"/>
        <v>0.79149664609998904</v>
      </c>
      <c r="D77" s="391">
        <f t="shared" si="7"/>
        <v>3.5403467387999377E-2</v>
      </c>
      <c r="E77" s="386">
        <f>IF(A77&lt;32,DewPointB32(P_TOTAL,D77),DewPointA32(P_TOTAL,D77))</f>
        <v>93.964735640530719</v>
      </c>
    </row>
    <row r="78" spans="1:5" x14ac:dyDescent="0.3">
      <c r="A78" s="386">
        <v>95</v>
      </c>
      <c r="B78" s="386">
        <f t="shared" si="6"/>
        <v>554.67000000000007</v>
      </c>
      <c r="C78" s="386">
        <f t="shared" si="5"/>
        <v>0.81624584553883761</v>
      </c>
      <c r="D78" s="391">
        <f t="shared" si="7"/>
        <v>3.6575595938695249E-2</v>
      </c>
      <c r="E78" s="386">
        <f>IF(A78&lt;32,DewPointB32(P_TOTAL,D78),DewPointA32(P_TOTAL,D78))</f>
        <v>94.963363344583556</v>
      </c>
    </row>
    <row r="79" spans="1:5" x14ac:dyDescent="0.3">
      <c r="A79" s="386">
        <v>96</v>
      </c>
      <c r="B79" s="386">
        <f t="shared" si="6"/>
        <v>555.67000000000007</v>
      </c>
      <c r="C79" s="386">
        <f t="shared" ref="C79:C103" si="8">EXP((C_08/B79)+C_09+(C_10*B79)+(C_11*(B79^2))+(C_12*(B79^3))+(C_13*LN(B79)))</f>
        <v>0.84166278014837259</v>
      </c>
      <c r="D79" s="391">
        <f t="shared" si="7"/>
        <v>3.7783707353319089E-2</v>
      </c>
      <c r="E79" s="386">
        <f>IF(A79&lt;32,DewPointB32(P_TOTAL,D79),DewPointA32(P_TOTAL,D79))</f>
        <v>95.962117927768631</v>
      </c>
    </row>
    <row r="80" spans="1:5" x14ac:dyDescent="0.3">
      <c r="A80" s="386">
        <v>97</v>
      </c>
      <c r="B80" s="386">
        <f t="shared" si="6"/>
        <v>556.67000000000007</v>
      </c>
      <c r="C80" s="386">
        <f t="shared" si="8"/>
        <v>0.86776235836099413</v>
      </c>
      <c r="D80" s="391">
        <f t="shared" si="7"/>
        <v>3.9028887662583063E-2</v>
      </c>
      <c r="E80" s="386">
        <f>IF(A80&lt;32,DewPointB32(P_TOTAL,D80),DewPointA32(P_TOTAL,D80))</f>
        <v>96.96100072161272</v>
      </c>
    </row>
    <row r="81" spans="1:5" x14ac:dyDescent="0.3">
      <c r="A81" s="386">
        <v>98</v>
      </c>
      <c r="B81" s="386">
        <f t="shared" si="6"/>
        <v>557.67000000000007</v>
      </c>
      <c r="C81" s="386">
        <f t="shared" si="8"/>
        <v>0.89455974311663111</v>
      </c>
      <c r="D81" s="391">
        <f t="shared" si="7"/>
        <v>4.0312259520730129E-2</v>
      </c>
      <c r="E81" s="386">
        <f>IF(A81&lt;32,DewPointB32(P_TOTAL,D81),DewPointA32(P_TOTAL,D81))</f>
        <v>97.960012772242962</v>
      </c>
    </row>
    <row r="82" spans="1:5" x14ac:dyDescent="0.3">
      <c r="A82" s="386">
        <v>99</v>
      </c>
      <c r="B82" s="386">
        <f t="shared" si="6"/>
        <v>558.67000000000007</v>
      </c>
      <c r="C82" s="386">
        <f t="shared" si="8"/>
        <v>0.92207035456229036</v>
      </c>
      <c r="D82" s="391">
        <f t="shared" si="7"/>
        <v>4.1634983774737212E-2</v>
      </c>
      <c r="E82" s="386">
        <f>IF(A82&lt;32,DewPointB32(P_TOTAL,D82),DewPointA32(P_TOTAL,D82))</f>
        <v>98.959154848530758</v>
      </c>
    </row>
    <row r="83" spans="1:5" x14ac:dyDescent="0.3">
      <c r="A83" s="386">
        <v>100</v>
      </c>
      <c r="B83" s="386">
        <f t="shared" si="6"/>
        <v>559.67000000000007</v>
      </c>
      <c r="C83" s="386">
        <f t="shared" si="8"/>
        <v>0.95030987275269163</v>
      </c>
      <c r="D83" s="391">
        <f t="shared" si="7"/>
        <v>4.2998261118408897E-2</v>
      </c>
      <c r="E83" s="386">
        <f>IF(A83&lt;32,DewPointB32(P_TOTAL,D83),DewPointA32(P_TOTAL,D83))</f>
        <v>99.958427450055879</v>
      </c>
    </row>
    <row r="84" spans="1:5" x14ac:dyDescent="0.3">
      <c r="A84" s="386">
        <v>101</v>
      </c>
      <c r="B84" s="386">
        <f t="shared" si="6"/>
        <v>560.67000000000007</v>
      </c>
      <c r="C84" s="386">
        <f t="shared" si="8"/>
        <v>0.97929424035146062</v>
      </c>
      <c r="D84" s="391">
        <f t="shared" si="7"/>
        <v>4.4403333836748195E-2</v>
      </c>
      <c r="E84" s="386">
        <f>IF(A84&lt;32,DewPointB32(P_TOTAL,D84),DewPointA32(P_TOTAL,D84))</f>
        <v>100.95783081488958</v>
      </c>
    </row>
    <row r="85" spans="1:5" x14ac:dyDescent="0.3">
      <c r="A85" s="386">
        <v>102</v>
      </c>
      <c r="B85" s="386">
        <f t="shared" si="6"/>
        <v>561.67000000000007</v>
      </c>
      <c r="C85" s="386">
        <f t="shared" si="8"/>
        <v>1.0090396653325286</v>
      </c>
      <c r="D85" s="391">
        <f t="shared" si="7"/>
        <v>4.5851487646390597E-2</v>
      </c>
      <c r="E85" s="386">
        <f>IF(A85&lt;32,DewPointB32(P_TOTAL,D85),DewPointA32(P_TOTAL,D85))</f>
        <v>101.95736492720262</v>
      </c>
    </row>
    <row r="86" spans="1:5" x14ac:dyDescent="0.3">
      <c r="A86" s="386">
        <v>103</v>
      </c>
      <c r="B86" s="386">
        <f t="shared" si="6"/>
        <v>562.67000000000007</v>
      </c>
      <c r="C86" s="386">
        <f t="shared" si="8"/>
        <v>1.0395626236815041</v>
      </c>
      <c r="D86" s="391">
        <f t="shared" si="7"/>
        <v>4.7344053638317452E-2</v>
      </c>
      <c r="E86" s="386">
        <f>IF(A86&lt;32,DewPointB32(P_TOTAL,D86),DewPointA32(P_TOTAL,D86))</f>
        <v>102.95702952470695</v>
      </c>
    </row>
    <row r="87" spans="1:5" x14ac:dyDescent="0.3">
      <c r="A87" s="386">
        <v>104</v>
      </c>
      <c r="B87" s="386">
        <f t="shared" si="6"/>
        <v>563.67000000000007</v>
      </c>
      <c r="C87" s="386">
        <f t="shared" si="8"/>
        <v>1.0708798620963373</v>
      </c>
      <c r="D87" s="391">
        <f t="shared" si="7"/>
        <v>4.8882410329501663E-2</v>
      </c>
      <c r="E87" s="386">
        <f>IF(A87&lt;32,DewPointB32(P_TOTAL,D87),DewPointA32(P_TOTAL,D87))</f>
        <v>103.95682410592519</v>
      </c>
    </row>
    <row r="88" spans="1:5" x14ac:dyDescent="0.3">
      <c r="A88" s="386">
        <v>105</v>
      </c>
      <c r="B88" s="386">
        <f t="shared" si="6"/>
        <v>564.67000000000007</v>
      </c>
      <c r="C88" s="386">
        <f t="shared" si="8"/>
        <v>1.1030084006871468</v>
      </c>
      <c r="D88" s="391">
        <f t="shared" si="7"/>
        <v>5.0467985830663357E-2</v>
      </c>
      <c r="E88" s="386">
        <f>IF(A88&lt;32,DewPointB32(P_TOTAL,D88),DewPointA32(P_TOTAL,D88))</f>
        <v>104.95674793730018</v>
      </c>
    </row>
    <row r="89" spans="1:5" x14ac:dyDescent="0.3">
      <c r="A89" s="386">
        <v>106</v>
      </c>
      <c r="B89" s="386">
        <f t="shared" si="6"/>
        <v>565.67000000000007</v>
      </c>
      <c r="C89" s="386">
        <f t="shared" si="8"/>
        <v>1.1359655356746252</v>
      </c>
      <c r="D89" s="391">
        <f t="shared" si="7"/>
        <v>5.2102260137830571E-2</v>
      </c>
      <c r="E89" s="386">
        <f>IF(A89&lt;32,DewPointB32(P_TOTAL,D89),DewPointA32(P_TOTAL,D89))</f>
        <v>105.95680006014207</v>
      </c>
    </row>
    <row r="90" spans="1:5" x14ac:dyDescent="0.3">
      <c r="A90" s="386">
        <v>107</v>
      </c>
      <c r="B90" s="386">
        <f t="shared" si="6"/>
        <v>566.67000000000007</v>
      </c>
      <c r="C90" s="386">
        <f t="shared" si="8"/>
        <v>1.1697688420867534</v>
      </c>
      <c r="D90" s="391">
        <f t="shared" si="7"/>
        <v>5.3786767556001501E-2</v>
      </c>
      <c r="E90" s="386">
        <f>IF(A90&lt;32,DewPointB32(P_TOTAL,D90),DewPointA32(P_TOTAL,D90))</f>
        <v>106.95697929742005</v>
      </c>
    </row>
    <row r="91" spans="1:5" x14ac:dyDescent="0.3">
      <c r="A91" s="386">
        <v>108</v>
      </c>
      <c r="B91" s="386">
        <f t="shared" si="6"/>
        <v>567.67000000000007</v>
      </c>
      <c r="C91" s="386">
        <f t="shared" si="8"/>
        <v>1.2044361764533629</v>
      </c>
      <c r="D91" s="391">
        <f t="shared" si="7"/>
        <v>5.5523099263832386E-2</v>
      </c>
      <c r="E91" s="386">
        <f>IF(A91&lt;32,DewPointB32(P_TOTAL,D91),DewPointA32(P_TOTAL,D91))</f>
        <v>107.95728426040007</v>
      </c>
    </row>
    <row r="92" spans="1:5" x14ac:dyDescent="0.3">
      <c r="A92" s="386">
        <v>109</v>
      </c>
      <c r="B92" s="386">
        <f t="shared" si="6"/>
        <v>568.67000000000007</v>
      </c>
      <c r="C92" s="386">
        <f t="shared" si="8"/>
        <v>1.2399856794982345</v>
      </c>
      <c r="D92" s="391">
        <f t="shared" si="7"/>
        <v>5.7312906028974576E-2</v>
      </c>
      <c r="E92" s="386">
        <f>IF(A92&lt;32,DewPointB32(P_TOTAL,D92),DewPointA32(P_TOTAL,D92))</f>
        <v>108.95771335513413</v>
      </c>
    </row>
    <row r="93" spans="1:5" x14ac:dyDescent="0.3">
      <c r="A93" s="386">
        <v>110</v>
      </c>
      <c r="B93" s="386">
        <f t="shared" si="6"/>
        <v>569.67000000000007</v>
      </c>
      <c r="C93" s="386">
        <f t="shared" si="8"/>
        <v>1.2764357788281431</v>
      </c>
      <c r="D93" s="391">
        <f t="shared" si="7"/>
        <v>5.9157901084424029E-2</v>
      </c>
      <c r="E93" s="386">
        <f>IF(A93&lt;32,DewPointB32(P_TOTAL,D93),DewPointA32(P_TOTAL,D93))</f>
        <v>109.9582647887986</v>
      </c>
    </row>
    <row r="94" spans="1:5" x14ac:dyDescent="0.3">
      <c r="A94" s="386">
        <v>111</v>
      </c>
      <c r="B94" s="386">
        <f t="shared" si="6"/>
        <v>570.67000000000007</v>
      </c>
      <c r="C94" s="386">
        <f t="shared" si="8"/>
        <v>1.3138051916187932</v>
      </c>
      <c r="D94" s="391">
        <f t="shared" si="7"/>
        <v>6.1059863177093908E-2</v>
      </c>
      <c r="E94" s="386">
        <f>IF(A94&lt;32,DewPointB32(P_TOTAL,D94),DewPointA32(P_TOTAL,D94))</f>
        <v>110.95893657589404</v>
      </c>
    </row>
    <row r="95" spans="1:5" x14ac:dyDescent="0.3">
      <c r="A95" s="386">
        <v>112</v>
      </c>
      <c r="B95" s="386">
        <f t="shared" si="6"/>
        <v>571.67000000000007</v>
      </c>
      <c r="C95" s="386">
        <f t="shared" si="8"/>
        <v>1.3521129272968984</v>
      </c>
      <c r="D95" s="391">
        <f t="shared" si="7"/>
        <v>6.3020639800680595E-2</v>
      </c>
      <c r="E95" s="386">
        <f>IF(A95&lt;32,DewPointB32(P_TOTAL,D95),DewPointA32(P_TOTAL,D95))</f>
        <v>111.95972654429995</v>
      </c>
    </row>
    <row r="96" spans="1:5" x14ac:dyDescent="0.3">
      <c r="A96" s="386">
        <v>113</v>
      </c>
      <c r="B96" s="386">
        <f t="shared" si="6"/>
        <v>572.67000000000007</v>
      </c>
      <c r="C96" s="386">
        <f t="shared" si="8"/>
        <v>1.3913782902183109</v>
      </c>
      <c r="D96" s="391">
        <f t="shared" si="7"/>
        <v>6.5042150625902115E-2</v>
      </c>
      <c r="E96" s="386">
        <f>IF(A96&lt;32,DewPointB32(P_TOTAL,D96),DewPointA32(P_TOTAL,D96))</f>
        <v>112.96063234119491</v>
      </c>
    </row>
    <row r="97" spans="1:5" x14ac:dyDescent="0.3">
      <c r="A97" s="386">
        <v>114</v>
      </c>
      <c r="B97" s="386">
        <f t="shared" si="6"/>
        <v>573.67000000000007</v>
      </c>
      <c r="C97" s="386">
        <f t="shared" si="8"/>
        <v>1.4316208823415508</v>
      </c>
      <c r="D97" s="391">
        <f t="shared" si="7"/>
        <v>6.7126391142225253E-2</v>
      </c>
      <c r="E97" s="386">
        <f>IF(A97&lt;32,DewPointB32(P_TOTAL,D97),DewPointA32(P_TOTAL,D97))</f>
        <v>113.9616514388384</v>
      </c>
    </row>
    <row r="98" spans="1:5" x14ac:dyDescent="0.3">
      <c r="A98" s="386">
        <v>115</v>
      </c>
      <c r="B98" s="386">
        <f t="shared" si="6"/>
        <v>574.67000000000007</v>
      </c>
      <c r="C98" s="386">
        <f t="shared" si="8"/>
        <v>1.472860605896688</v>
      </c>
      <c r="D98" s="391">
        <f t="shared" si="7"/>
        <v>6.9275436526392786E-2</v>
      </c>
      <c r="E98" s="386">
        <f>IF(A98&lt;32,DewPointB32(P_TOTAL,D98),DewPointA32(P_TOTAL,D98))</f>
        <v>114.96278114022577</v>
      </c>
    </row>
    <row r="99" spans="1:5" x14ac:dyDescent="0.3">
      <c r="A99" s="386">
        <v>116</v>
      </c>
      <c r="B99" s="386">
        <f t="shared" si="6"/>
        <v>575.67000000000007</v>
      </c>
      <c r="C99" s="386">
        <f t="shared" si="8"/>
        <v>1.5151176660487216</v>
      </c>
      <c r="D99" s="391">
        <f t="shared" ref="D99:D103" si="9">MW_MDA_RATIO*C99/(P_TOTAL-C99)</f>
        <v>7.1491445754293892E-2</v>
      </c>
      <c r="E99" s="386">
        <f>IF(A99&lt;32,DewPointB32(P_TOTAL,D99),DewPointA32(P_TOTAL,D99))</f>
        <v>115.96401858460713</v>
      </c>
    </row>
    <row r="100" spans="1:5" x14ac:dyDescent="0.3">
      <c r="A100" s="386">
        <v>117</v>
      </c>
      <c r="B100" s="386">
        <f t="shared" si="6"/>
        <v>576.67000000000007</v>
      </c>
      <c r="C100" s="386">
        <f t="shared" si="8"/>
        <v>1.5584125735556731</v>
      </c>
      <c r="D100" s="391">
        <f t="shared" si="9"/>
        <v>7.3776665974170846E-2</v>
      </c>
      <c r="E100" s="386">
        <f>IF(A100&lt;32,DewPointB32(P_TOTAL,D100),DewPointA32(P_TOTAL,D100))</f>
        <v>116.96536075288788</v>
      </c>
    </row>
    <row r="101" spans="1:5" x14ac:dyDescent="0.3">
      <c r="A101" s="386">
        <v>118</v>
      </c>
      <c r="B101" s="386">
        <f t="shared" si="6"/>
        <v>577.67000000000007</v>
      </c>
      <c r="C101" s="386">
        <f t="shared" si="8"/>
        <v>1.6027661474203947</v>
      </c>
      <c r="D101" s="391">
        <f t="shared" si="9"/>
        <v>7.6133437160619349E-2</v>
      </c>
      <c r="E101" s="386">
        <f>IF(A101&lt;32,DewPointB32(P_TOTAL,D101),DewPointA32(P_TOTAL,D101))</f>
        <v>117.96680447289809</v>
      </c>
    </row>
    <row r="102" spans="1:5" x14ac:dyDescent="0.3">
      <c r="A102" s="386">
        <v>119</v>
      </c>
      <c r="B102" s="386">
        <f t="shared" si="6"/>
        <v>578.67000000000007</v>
      </c>
      <c r="C102" s="386">
        <f t="shared" si="8"/>
        <v>1.6481995175361721</v>
      </c>
      <c r="D102" s="391">
        <f t="shared" si="9"/>
        <v>7.8564197070571662E-2</v>
      </c>
      <c r="E102" s="386">
        <f>IF(A102&lt;32,DewPointB32(P_TOTAL,D102),DewPointA32(P_TOTAL,D102))</f>
        <v>118.96834642454488</v>
      </c>
    </row>
    <row r="103" spans="1:5" x14ac:dyDescent="0.3">
      <c r="A103" s="386">
        <v>120</v>
      </c>
      <c r="B103" s="386">
        <f t="shared" si="6"/>
        <v>579.67000000000007</v>
      </c>
      <c r="C103" s="386">
        <f t="shared" si="8"/>
        <v>1.6947341273256407</v>
      </c>
      <c r="D103" s="391">
        <f t="shared" si="9"/>
        <v>8.1071486524262604E-2</v>
      </c>
      <c r="E103" s="386">
        <f>IF(A103&lt;32,DewPointB32(P_TOTAL,D103),DewPointA32(P_TOTAL,D103))</f>
        <v>119.96998314484706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BS305"/>
  <sheetViews>
    <sheetView topLeftCell="A37" zoomScaleNormal="100" workbookViewId="0">
      <selection activeCell="N4" sqref="N4"/>
    </sheetView>
  </sheetViews>
  <sheetFormatPr defaultRowHeight="14.4" x14ac:dyDescent="0.3"/>
  <cols>
    <col min="1" max="16384" width="9" style="386"/>
  </cols>
  <sheetData>
    <row r="1" spans="1:71" x14ac:dyDescent="0.3">
      <c r="A1" s="386" t="s">
        <v>413</v>
      </c>
      <c r="C1" s="386" t="s">
        <v>414</v>
      </c>
      <c r="E1" s="386" t="s">
        <v>415</v>
      </c>
      <c r="G1" s="386" t="s">
        <v>416</v>
      </c>
      <c r="I1" s="386" t="s">
        <v>417</v>
      </c>
      <c r="K1" s="386" t="s">
        <v>418</v>
      </c>
      <c r="O1" s="386" t="s">
        <v>419</v>
      </c>
      <c r="S1" s="386" t="s">
        <v>420</v>
      </c>
      <c r="W1" s="386" t="s">
        <v>421</v>
      </c>
      <c r="AA1" s="386" t="s">
        <v>422</v>
      </c>
      <c r="AE1" s="386" t="s">
        <v>423</v>
      </c>
      <c r="AI1" s="386" t="s">
        <v>424</v>
      </c>
      <c r="AM1" s="386" t="s">
        <v>425</v>
      </c>
      <c r="AQ1" s="386" t="s">
        <v>426</v>
      </c>
      <c r="AU1" s="386" t="s">
        <v>427</v>
      </c>
      <c r="AW1" s="392" t="s">
        <v>428</v>
      </c>
      <c r="AX1" s="392"/>
      <c r="AY1" s="392"/>
      <c r="AZ1" s="392"/>
      <c r="BA1" s="392"/>
      <c r="BB1" s="392"/>
      <c r="BC1" s="392"/>
      <c r="BD1" s="392"/>
      <c r="BE1" s="392"/>
      <c r="BF1" s="392"/>
      <c r="BG1" s="386" t="s">
        <v>429</v>
      </c>
    </row>
    <row r="2" spans="1:71" x14ac:dyDescent="0.3">
      <c r="K2" s="393">
        <v>0.1</v>
      </c>
      <c r="O2" s="393">
        <v>0.2</v>
      </c>
      <c r="S2" s="393">
        <v>0.3</v>
      </c>
      <c r="W2" s="393">
        <v>0.4</v>
      </c>
      <c r="AA2" s="393">
        <v>0.5</v>
      </c>
      <c r="AE2" s="393">
        <v>0.6</v>
      </c>
      <c r="AI2" s="393">
        <v>0.7</v>
      </c>
      <c r="AM2" s="393">
        <v>0.8</v>
      </c>
      <c r="AQ2" s="393">
        <v>0.9</v>
      </c>
      <c r="AW2" s="392" t="s">
        <v>430</v>
      </c>
      <c r="AX2" s="392"/>
      <c r="AY2" s="392"/>
      <c r="AZ2" s="392" t="s">
        <v>431</v>
      </c>
      <c r="BA2" s="392"/>
      <c r="BB2" s="392"/>
      <c r="BC2" s="392" t="s">
        <v>432</v>
      </c>
      <c r="BD2" s="392"/>
      <c r="BE2" s="392"/>
      <c r="BF2" s="392"/>
    </row>
    <row r="3" spans="1:71" x14ac:dyDescent="0.3">
      <c r="A3" s="386" t="s">
        <v>411</v>
      </c>
      <c r="B3" s="386" t="s">
        <v>236</v>
      </c>
      <c r="K3" s="394" t="s">
        <v>374</v>
      </c>
      <c r="L3" s="386" t="s">
        <v>393</v>
      </c>
      <c r="M3" s="386" t="s">
        <v>433</v>
      </c>
      <c r="N3" s="386" t="s">
        <v>236</v>
      </c>
      <c r="O3" s="394" t="s">
        <v>374</v>
      </c>
      <c r="P3" s="386" t="s">
        <v>393</v>
      </c>
      <c r="Q3" s="386" t="s">
        <v>433</v>
      </c>
      <c r="R3" s="386" t="s">
        <v>236</v>
      </c>
      <c r="S3" s="394" t="s">
        <v>374</v>
      </c>
      <c r="T3" s="386" t="s">
        <v>393</v>
      </c>
      <c r="U3" s="386" t="s">
        <v>433</v>
      </c>
      <c r="V3" s="386" t="s">
        <v>236</v>
      </c>
      <c r="W3" s="394" t="s">
        <v>374</v>
      </c>
      <c r="X3" s="386" t="s">
        <v>393</v>
      </c>
      <c r="Y3" s="386" t="s">
        <v>433</v>
      </c>
      <c r="Z3" s="386" t="s">
        <v>236</v>
      </c>
      <c r="AA3" s="394" t="s">
        <v>374</v>
      </c>
      <c r="AB3" s="386" t="s">
        <v>393</v>
      </c>
      <c r="AC3" s="386" t="s">
        <v>433</v>
      </c>
      <c r="AD3" s="386" t="s">
        <v>236</v>
      </c>
      <c r="AE3" s="394" t="s">
        <v>374</v>
      </c>
      <c r="AF3" s="386" t="s">
        <v>393</v>
      </c>
      <c r="AG3" s="386" t="s">
        <v>433</v>
      </c>
      <c r="AH3" s="386" t="s">
        <v>236</v>
      </c>
      <c r="AI3" s="394" t="s">
        <v>374</v>
      </c>
      <c r="AJ3" s="386" t="s">
        <v>393</v>
      </c>
      <c r="AK3" s="386" t="s">
        <v>433</v>
      </c>
      <c r="AL3" s="386" t="s">
        <v>236</v>
      </c>
      <c r="AM3" s="394" t="s">
        <v>374</v>
      </c>
      <c r="AN3" s="386" t="s">
        <v>393</v>
      </c>
      <c r="AO3" s="386" t="s">
        <v>433</v>
      </c>
      <c r="AP3" s="386" t="s">
        <v>236</v>
      </c>
      <c r="AQ3" s="394" t="s">
        <v>374</v>
      </c>
      <c r="AR3" s="386" t="s">
        <v>393</v>
      </c>
      <c r="AS3" s="386" t="s">
        <v>433</v>
      </c>
      <c r="AT3" s="386" t="s">
        <v>236</v>
      </c>
      <c r="AW3" s="392" t="s">
        <v>374</v>
      </c>
      <c r="AX3" s="392" t="s">
        <v>410</v>
      </c>
      <c r="AY3" s="392" t="s">
        <v>434</v>
      </c>
      <c r="AZ3" s="392" t="s">
        <v>374</v>
      </c>
      <c r="BA3" s="392" t="s">
        <v>236</v>
      </c>
      <c r="BB3" s="392" t="s">
        <v>27</v>
      </c>
      <c r="BC3" s="392" t="s">
        <v>374</v>
      </c>
      <c r="BD3" s="392" t="s">
        <v>236</v>
      </c>
      <c r="BE3" s="392"/>
      <c r="BF3" s="392"/>
      <c r="BG3" s="395" t="s">
        <v>237</v>
      </c>
      <c r="BH3" s="395" t="s">
        <v>374</v>
      </c>
      <c r="BI3" s="395" t="s">
        <v>236</v>
      </c>
      <c r="BJ3" s="395" t="s">
        <v>236</v>
      </c>
      <c r="BK3" s="395" t="s">
        <v>237</v>
      </c>
      <c r="BL3" s="395" t="s">
        <v>374</v>
      </c>
      <c r="BM3" s="395" t="s">
        <v>237</v>
      </c>
      <c r="BN3" s="386" t="s">
        <v>435</v>
      </c>
      <c r="BO3" s="386" t="s">
        <v>436</v>
      </c>
      <c r="BP3" s="386" t="s">
        <v>437</v>
      </c>
      <c r="BQ3" s="386" t="s">
        <v>433</v>
      </c>
      <c r="BR3" s="386" t="s">
        <v>236</v>
      </c>
      <c r="BS3" s="386" t="s">
        <v>374</v>
      </c>
    </row>
    <row r="4" spans="1:71" x14ac:dyDescent="0.3">
      <c r="A4" s="396">
        <f>IF(DewPointA32(P_TOTAL,B4)&lt;32,32,DewPointA32(P_TOTAL,B4))</f>
        <v>32</v>
      </c>
      <c r="B4" s="397">
        <v>2E-3</v>
      </c>
      <c r="C4" s="396">
        <v>32</v>
      </c>
      <c r="D4" s="397">
        <v>0</v>
      </c>
      <c r="E4" s="396">
        <v>32</v>
      </c>
      <c r="F4" s="397">
        <v>0</v>
      </c>
      <c r="G4" s="398">
        <v>32</v>
      </c>
      <c r="H4" s="398">
        <v>0</v>
      </c>
      <c r="I4" s="399">
        <v>120</v>
      </c>
      <c r="J4" s="400">
        <v>0</v>
      </c>
      <c r="K4" s="399">
        <v>32</v>
      </c>
      <c r="L4" s="398">
        <f>WaterVaporPressAtSatLiq(K4)</f>
        <v>8.8648897624047027E-2</v>
      </c>
      <c r="M4" s="398">
        <f>K$2*L4</f>
        <v>8.8648897624047027E-3</v>
      </c>
      <c r="N4" s="397">
        <f t="shared" ref="N4:N35" si="0">MW_MDA_RATIO*M4/(P_TOTAL-M4)</f>
        <v>3.7539497091052437E-4</v>
      </c>
      <c r="O4" s="399">
        <v>32</v>
      </c>
      <c r="P4" s="398">
        <f>WaterVaporPressAtSatLiq(O4)</f>
        <v>8.8648897624047027E-2</v>
      </c>
      <c r="Q4" s="398">
        <f>O$2*P4</f>
        <v>1.7729779524809405E-2</v>
      </c>
      <c r="R4" s="397">
        <f t="shared" ref="R4:R35" si="1">MW_MDA_RATIO*Q4/(P_TOTAL-Q4)</f>
        <v>7.5124337877029374E-4</v>
      </c>
      <c r="S4" s="399">
        <v>32</v>
      </c>
      <c r="T4" s="398">
        <f>WaterVaporPressAtSatLiq(S4)</f>
        <v>8.8648897624047027E-2</v>
      </c>
      <c r="U4" s="398">
        <f>S$2*T4</f>
        <v>2.6594669287214108E-2</v>
      </c>
      <c r="V4" s="397">
        <f t="shared" ref="V4:V35" si="2">MW_MDA_RATIO*U4/(P_TOTAL-U4)</f>
        <v>1.1275460456307432E-3</v>
      </c>
      <c r="W4" s="399">
        <v>32</v>
      </c>
      <c r="X4" s="398">
        <f>WaterVaporPressAtSatLiq(W4)</f>
        <v>8.8648897624047027E-2</v>
      </c>
      <c r="Y4" s="398">
        <f>W$2*X4</f>
        <v>3.5459559049618811E-2</v>
      </c>
      <c r="Z4" s="397">
        <f t="shared" ref="Z4:Z35" si="3">MW_MDA_RATIO*Y4/(P_TOTAL-Y4)</f>
        <v>1.5043037955316107E-3</v>
      </c>
      <c r="AA4" s="399">
        <v>32</v>
      </c>
      <c r="AB4" s="398">
        <f>WaterVaporPressAtSatLiq(AA4)</f>
        <v>8.8648897624047027E-2</v>
      </c>
      <c r="AC4" s="398">
        <f>AA$2*AB4</f>
        <v>4.4324448812023513E-2</v>
      </c>
      <c r="AD4" s="397">
        <f t="shared" ref="AD4:AD35" si="4">MW_MDA_RATIO*AC4/(P_TOTAL-AC4)</f>
        <v>1.8815174545069497E-3</v>
      </c>
      <c r="AE4" s="399">
        <v>32</v>
      </c>
      <c r="AF4" s="398">
        <f>WaterVaporPressAtSatLiq(AE4)</f>
        <v>8.8648897624047027E-2</v>
      </c>
      <c r="AG4" s="398">
        <f>AE$2*AF4</f>
        <v>5.3189338574428216E-2</v>
      </c>
      <c r="AH4" s="397">
        <f t="shared" ref="AH4:AH35" si="5">MW_MDA_RATIO*AG4/(P_TOTAL-AG4)</f>
        <v>2.2591878505911693E-3</v>
      </c>
      <c r="AI4" s="399">
        <v>32</v>
      </c>
      <c r="AJ4" s="398">
        <f>WaterVaporPressAtSatLiq(AI4)</f>
        <v>8.8648897624047027E-2</v>
      </c>
      <c r="AK4" s="398">
        <f>AI$2*AJ4</f>
        <v>6.2054228336832912E-2</v>
      </c>
      <c r="AL4" s="397">
        <f t="shared" ref="AL4:AL35" si="6">MW_MDA_RATIO*AK4/(P_TOTAL-AK4)</f>
        <v>2.6373158138250897E-3</v>
      </c>
      <c r="AM4" s="399">
        <v>32</v>
      </c>
      <c r="AN4" s="398">
        <f>WaterVaporPressAtSatLiq(AM4)</f>
        <v>8.8648897624047027E-2</v>
      </c>
      <c r="AO4" s="398">
        <f>AM$2*AN4</f>
        <v>7.0919118099237621E-2</v>
      </c>
      <c r="AP4" s="397">
        <f t="shared" ref="AP4:AP35" si="7">MW_MDA_RATIO*AO4/(P_TOTAL-AO4)</f>
        <v>3.0159021762620262E-3</v>
      </c>
      <c r="AQ4" s="399">
        <v>32</v>
      </c>
      <c r="AR4" s="398">
        <f>WaterVaporPressAtSatLiq(AQ4)</f>
        <v>8.8648897624047027E-2</v>
      </c>
      <c r="AS4" s="398">
        <f>AQ$2*AR4</f>
        <v>7.9784007861642331E-2</v>
      </c>
      <c r="AT4" s="397">
        <f t="shared" ref="AT4:AT35" si="8">MW_MDA_RATIO*AS4/(P_TOTAL-AS4)</f>
        <v>3.394947771973889E-3</v>
      </c>
      <c r="AU4" s="396">
        <v>32</v>
      </c>
      <c r="AV4" s="397">
        <v>0</v>
      </c>
      <c r="AW4" s="386">
        <v>20</v>
      </c>
      <c r="AX4" s="386">
        <f>VLOOKUP(AW4,THERMO_WATER_SAT!$A$3:$D$103,4,FALSE)</f>
        <v>2.1440787356772268E-3</v>
      </c>
      <c r="AY4" s="386">
        <f t="shared" ref="AY4:AY15" si="9">AW4</f>
        <v>20</v>
      </c>
      <c r="AZ4" s="386">
        <f t="shared" ref="AZ4:AZ67" si="10">AW4+5</f>
        <v>25</v>
      </c>
      <c r="BA4" s="386">
        <f>((1220-0.04*AY4)*AX4-0.24*(AZ4-AY4))/(1220+(0.444*AZ4)-(0.48*AY4))</f>
        <v>1.1576428936043185E-3</v>
      </c>
      <c r="BB4" s="386">
        <f t="shared" ref="BB4:BB15" si="11">(BA4-AX4)/(AZ4-AW4)</f>
        <v>-1.9728716841458166E-4</v>
      </c>
      <c r="BC4" s="386">
        <v>120</v>
      </c>
      <c r="BD4" s="386">
        <f>(BB4*(BC4-AZ4))+BA4</f>
        <v>-1.7584638105780939E-2</v>
      </c>
      <c r="BE4" s="396">
        <v>32</v>
      </c>
      <c r="BF4" s="397">
        <f>((1220-0.04*AY9)*AX9-0.24*(BE4-AY9))/(1220+(0.444*BE4)-(0.48*AY9))</f>
        <v>1.3408435720166155E-3</v>
      </c>
      <c r="BG4" s="396">
        <v>10</v>
      </c>
      <c r="BH4" s="398">
        <v>120</v>
      </c>
      <c r="BI4" s="397">
        <f>(BG4-0.24*BH4)/(1061+0.444*BH4)</f>
        <v>-1.6871881394263558E-2</v>
      </c>
      <c r="BJ4" s="386">
        <f t="shared" ref="BJ4:BJ67" si="12">AX4</f>
        <v>2.1440787356772268E-3</v>
      </c>
      <c r="BK4" s="386">
        <f t="shared" ref="BK4:BK67" si="13">0.24*BL4+BJ4*(1061+0.444*BL4)</f>
        <v>7.093906957726352</v>
      </c>
      <c r="BL4" s="386">
        <f>AW4</f>
        <v>20</v>
      </c>
      <c r="BM4" s="386">
        <v>10</v>
      </c>
      <c r="BN4" s="386">
        <f>VLOOKUP(BM4,$BK$4:$BL$104,2,TRUE)</f>
        <v>27</v>
      </c>
      <c r="BO4" s="386">
        <f t="shared" ref="BO4:BO14" si="14">DPForGivenSpecificEnthalpy(BM4,BN4,P_TOTAL)</f>
        <v>27.584000000000714</v>
      </c>
      <c r="BP4" s="386">
        <f>BO4+459.67</f>
        <v>487.2540000000007</v>
      </c>
      <c r="BQ4" s="386">
        <f t="shared" ref="BQ4:BQ14" si="15">IF(BO4&lt;32,EXP((C_01/BP4)+C_02+(C_03*BP4)+(C_04*(BP4^2))+(C_05*(BP4^3))+(C_06*(BP4^4))+(C_07*(LN(BP4)))),EXP((C_08/BP4)+C_09+(C_10*BP4)+(C_11*(BP4^2))+(C_12*(BP4^3))+(C_13*LN(BP4))))</f>
        <v>7.2292013975150393E-2</v>
      </c>
      <c r="BR4" s="386">
        <f t="shared" ref="BR4:BR14" si="16">(BQ4*0.621945)/(P_TOTAL-BQ4)</f>
        <v>3.0745729246469179E-3</v>
      </c>
      <c r="BS4" s="386">
        <f>(BM4-1031*BR4)/(0.24+0.444*BR4)</f>
        <v>28.297856736531084</v>
      </c>
    </row>
    <row r="5" spans="1:71" x14ac:dyDescent="0.3">
      <c r="A5" s="401">
        <v>120</v>
      </c>
      <c r="B5" s="402">
        <v>2E-3</v>
      </c>
      <c r="C5" s="401">
        <v>120</v>
      </c>
      <c r="D5" s="402">
        <v>0</v>
      </c>
      <c r="E5" s="401">
        <v>120</v>
      </c>
      <c r="F5" s="402">
        <v>0</v>
      </c>
      <c r="G5" s="403">
        <v>32</v>
      </c>
      <c r="H5" s="403">
        <f>THERMO_WATER_SAT!D15</f>
        <v>3.7744534370573114E-3</v>
      </c>
      <c r="I5" s="404">
        <v>120</v>
      </c>
      <c r="J5" s="403">
        <v>0.03</v>
      </c>
      <c r="K5" s="405">
        <v>33</v>
      </c>
      <c r="L5" s="406">
        <f t="shared" ref="L5:L68" si="17">WaterVaporPressAtSatLiq(K5)</f>
        <v>9.229132463901471E-2</v>
      </c>
      <c r="M5" s="406">
        <f t="shared" ref="M5:M68" si="18">K$2*L5</f>
        <v>9.2291324639014721E-3</v>
      </c>
      <c r="N5" s="407">
        <f t="shared" si="0"/>
        <v>3.9082898147101055E-4</v>
      </c>
      <c r="O5" s="405">
        <v>33</v>
      </c>
      <c r="P5" s="406">
        <f t="shared" ref="P5:P68" si="19">WaterVaporPressAtSatLiq(O5)</f>
        <v>9.229132463901471E-2</v>
      </c>
      <c r="Q5" s="406">
        <f t="shared" ref="Q5:Q68" si="20">O$2*P5</f>
        <v>1.8458264927802944E-2</v>
      </c>
      <c r="R5" s="407">
        <f t="shared" si="1"/>
        <v>7.8214946383581296E-4</v>
      </c>
      <c r="S5" s="405">
        <v>33</v>
      </c>
      <c r="T5" s="406">
        <f t="shared" ref="T5:T68" si="21">WaterVaporPressAtSatLiq(S5)</f>
        <v>9.229132463901471E-2</v>
      </c>
      <c r="U5" s="406">
        <f t="shared" ref="U5:U68" si="22">S$2*T5</f>
        <v>2.7687397391704411E-2</v>
      </c>
      <c r="V5" s="407">
        <f t="shared" si="2"/>
        <v>1.1739623748344228E-3</v>
      </c>
      <c r="W5" s="405">
        <v>33</v>
      </c>
      <c r="X5" s="406">
        <f t="shared" ref="X5:X68" si="23">WaterVaporPressAtSatLiq(W5)</f>
        <v>9.229132463901471E-2</v>
      </c>
      <c r="Y5" s="406">
        <f t="shared" ref="Y5:Y68" si="24">W$2*X5</f>
        <v>3.6916529855605888E-2</v>
      </c>
      <c r="Z5" s="407">
        <f t="shared" si="3"/>
        <v>1.5662686445432196E-3</v>
      </c>
      <c r="AA5" s="405">
        <v>33</v>
      </c>
      <c r="AB5" s="406">
        <f t="shared" ref="AB5:AB68" si="25">WaterVaporPressAtSatLiq(AA5)</f>
        <v>9.229132463901471E-2</v>
      </c>
      <c r="AC5" s="406">
        <f t="shared" ref="AC5:AC68" si="26">AA$2*AB5</f>
        <v>4.6145662319507355E-2</v>
      </c>
      <c r="AD5" s="407">
        <f t="shared" si="4"/>
        <v>1.9590692053823035E-3</v>
      </c>
      <c r="AE5" s="405">
        <v>33</v>
      </c>
      <c r="AF5" s="406">
        <f t="shared" ref="AF5:AF68" si="27">WaterVaporPressAtSatLiq(AE5)</f>
        <v>9.229132463901471E-2</v>
      </c>
      <c r="AG5" s="406">
        <f t="shared" ref="AG5:AG68" si="28">AE$2*AF5</f>
        <v>5.5374794783408822E-2</v>
      </c>
      <c r="AH5" s="407">
        <f t="shared" si="5"/>
        <v>2.352364992122886E-3</v>
      </c>
      <c r="AI5" s="405">
        <v>33</v>
      </c>
      <c r="AJ5" s="406">
        <f t="shared" ref="AJ5:AJ68" si="29">WaterVaporPressAtSatLiq(AI5)</f>
        <v>9.229132463901471E-2</v>
      </c>
      <c r="AK5" s="406">
        <f t="shared" ref="AK5:AK68" si="30">AI$2*AJ5</f>
        <v>6.4603927247310289E-2</v>
      </c>
      <c r="AL5" s="407">
        <f t="shared" si="6"/>
        <v>2.7461569418947033E-3</v>
      </c>
      <c r="AM5" s="405">
        <v>33</v>
      </c>
      <c r="AN5" s="406">
        <f t="shared" ref="AN5:AN68" si="31">WaterVaporPressAtSatLiq(AM5)</f>
        <v>9.229132463901471E-2</v>
      </c>
      <c r="AO5" s="406">
        <f t="shared" ref="AO5:AO68" si="32">AM$2*AN5</f>
        <v>7.3833059711211776E-2</v>
      </c>
      <c r="AP5" s="407">
        <f t="shared" si="7"/>
        <v>3.1404459941934589E-3</v>
      </c>
      <c r="AQ5" s="405">
        <v>33</v>
      </c>
      <c r="AR5" s="406">
        <f t="shared" ref="AR5:AR68" si="33">WaterVaporPressAtSatLiq(AQ5)</f>
        <v>9.229132463901471E-2</v>
      </c>
      <c r="AS5" s="406">
        <f t="shared" ref="AS5:AS68" si="34">AQ$2*AR5</f>
        <v>8.3062192175113236E-2</v>
      </c>
      <c r="AT5" s="407">
        <f t="shared" si="8"/>
        <v>3.5352330908882939E-3</v>
      </c>
      <c r="AU5" s="401">
        <v>32</v>
      </c>
      <c r="AV5" s="402">
        <f>VLOOKUP(AU5,THERMO_WATER_SAT!$A$13:$D$103,4,FALSE)</f>
        <v>3.7744534370573114E-3</v>
      </c>
      <c r="AW5" s="386">
        <v>21</v>
      </c>
      <c r="AX5" s="386">
        <f>VLOOKUP(AW5,THERMO_WATER_SAT!$A$3:$D$103,4,FALSE)</f>
        <v>2.2498537281056686E-3</v>
      </c>
      <c r="AY5" s="386">
        <f t="shared" si="9"/>
        <v>21</v>
      </c>
      <c r="AZ5" s="386">
        <f t="shared" si="10"/>
        <v>26</v>
      </c>
      <c r="BA5" s="386">
        <f t="shared" ref="BA5:BA15" si="35">((1220-0.04*AY5)*AX5-0.24*(AZ5-AY5))/(1220+(0.444*AZ5)-(0.48*AY5))</f>
        <v>1.2631822723856837E-3</v>
      </c>
      <c r="BB5" s="386">
        <f t="shared" si="11"/>
        <v>-1.9733429114399698E-4</v>
      </c>
      <c r="BC5" s="386">
        <v>120</v>
      </c>
      <c r="BD5" s="386">
        <f t="shared" ref="BD5:BD15" si="36">(BB5*(BC5-AZ5))+BA5</f>
        <v>-1.7286241095150031E-2</v>
      </c>
      <c r="BE5" s="401">
        <v>120</v>
      </c>
      <c r="BF5" s="402">
        <f>VLOOKUP(BE4,$AW$4:$BD$104,8,FALSE)</f>
        <v>-1.5964661793559223E-2</v>
      </c>
      <c r="BG5" s="401">
        <v>10</v>
      </c>
      <c r="BH5" s="403">
        <v>32</v>
      </c>
      <c r="BI5" s="402">
        <f t="shared" ref="BI5:BI25" si="37">(BG5-0.24*BH5)/(1061+0.444*BH5)</f>
        <v>2.1577220407586256E-3</v>
      </c>
      <c r="BJ5" s="386">
        <f t="shared" si="12"/>
        <v>2.2498537281056686E-3</v>
      </c>
      <c r="BK5" s="386">
        <f t="shared" si="13"/>
        <v>7.4480724416809725</v>
      </c>
      <c r="BL5" s="386">
        <f t="shared" ref="BL5:BL68" si="38">AW5</f>
        <v>21</v>
      </c>
      <c r="BM5" s="386">
        <v>15</v>
      </c>
      <c r="BN5" s="386">
        <f t="shared" ref="BN5:BN14" si="39">VLOOKUP(BM5,$BK$4:$BL$104,2,TRUE)</f>
        <v>39</v>
      </c>
      <c r="BO5" s="386">
        <f t="shared" si="14"/>
        <v>39.5579999999987</v>
      </c>
      <c r="BP5" s="386">
        <f t="shared" ref="BP5:BP14" si="40">BO5+459.67</f>
        <v>499.2279999999987</v>
      </c>
      <c r="BQ5" s="386">
        <f t="shared" si="15"/>
        <v>0.11964538530989584</v>
      </c>
      <c r="BR5" s="386">
        <f t="shared" si="16"/>
        <v>5.105038340077815E-3</v>
      </c>
      <c r="BS5" s="386">
        <f t="shared" ref="BS5:BS14" si="41">(BM5-1031*BR5)/(0.24+0.444*BR5)</f>
        <v>40.190038508916196</v>
      </c>
    </row>
    <row r="6" spans="1:71" x14ac:dyDescent="0.3">
      <c r="A6" s="396">
        <f>IF(DewPointA32(P_TOTAL,B6)&lt;32,32,DewPointA32(P_TOTAL,B6))</f>
        <v>33.405316924704131</v>
      </c>
      <c r="B6" s="397">
        <f>B5+0.002</f>
        <v>4.0000000000000001E-3</v>
      </c>
      <c r="C6" s="396">
        <f>IF(DewPointA32(P_TOTAL,D6)&lt;32,32,DewPointA32(P_TOTAL,D6))</f>
        <v>32</v>
      </c>
      <c r="D6" s="397">
        <f>D5+0.0002</f>
        <v>2.0000000000000001E-4</v>
      </c>
      <c r="E6" s="406"/>
      <c r="F6" s="406"/>
      <c r="G6" s="406"/>
      <c r="H6" s="406"/>
      <c r="K6" s="408">
        <v>34</v>
      </c>
      <c r="L6" s="406">
        <f t="shared" si="17"/>
        <v>9.6065818619093704E-2</v>
      </c>
      <c r="M6" s="406">
        <f t="shared" si="18"/>
        <v>9.6065818619093715E-3</v>
      </c>
      <c r="N6" s="407">
        <f t="shared" si="0"/>
        <v>4.0682340544501773E-4</v>
      </c>
      <c r="O6" s="408">
        <v>34</v>
      </c>
      <c r="P6" s="406">
        <f t="shared" si="19"/>
        <v>9.6065818619093704E-2</v>
      </c>
      <c r="Q6" s="406">
        <f t="shared" si="20"/>
        <v>1.9213163723818743E-2</v>
      </c>
      <c r="R6" s="407">
        <f t="shared" si="1"/>
        <v>8.1417937736951709E-4</v>
      </c>
      <c r="S6" s="408">
        <v>34</v>
      </c>
      <c r="T6" s="406">
        <f t="shared" si="21"/>
        <v>9.6065818619093704E-2</v>
      </c>
      <c r="U6" s="406">
        <f t="shared" si="22"/>
        <v>2.8819745585728109E-2</v>
      </c>
      <c r="V6" s="407">
        <f t="shared" si="2"/>
        <v>1.2220689622207482E-3</v>
      </c>
      <c r="W6" s="408">
        <v>34</v>
      </c>
      <c r="X6" s="406">
        <f t="shared" si="23"/>
        <v>9.6065818619093704E-2</v>
      </c>
      <c r="Y6" s="406">
        <f t="shared" si="24"/>
        <v>3.8426327447637486E-2</v>
      </c>
      <c r="Z6" s="407">
        <f t="shared" si="3"/>
        <v>1.6304932091893297E-3</v>
      </c>
      <c r="AA6" s="408">
        <v>34</v>
      </c>
      <c r="AB6" s="406">
        <f t="shared" si="25"/>
        <v>9.6065818619093704E-2</v>
      </c>
      <c r="AC6" s="406">
        <f t="shared" si="26"/>
        <v>4.8032909309546852E-2</v>
      </c>
      <c r="AD6" s="407">
        <f t="shared" si="4"/>
        <v>2.0394531702182445E-3</v>
      </c>
      <c r="AE6" s="408">
        <v>34</v>
      </c>
      <c r="AF6" s="406">
        <f t="shared" si="27"/>
        <v>9.6065818619093704E-2</v>
      </c>
      <c r="AG6" s="406">
        <f t="shared" si="28"/>
        <v>5.7639491171456218E-2</v>
      </c>
      <c r="AH6" s="407">
        <f t="shared" si="5"/>
        <v>2.4489499000118716E-3</v>
      </c>
      <c r="AI6" s="408">
        <v>34</v>
      </c>
      <c r="AJ6" s="406">
        <f t="shared" si="29"/>
        <v>9.6065818619093704E-2</v>
      </c>
      <c r="AK6" s="406">
        <f t="shared" si="30"/>
        <v>6.7246073033365591E-2</v>
      </c>
      <c r="AL6" s="407">
        <f t="shared" si="6"/>
        <v>2.8589844560450522E-3</v>
      </c>
      <c r="AM6" s="408">
        <v>34</v>
      </c>
      <c r="AN6" s="406">
        <f t="shared" si="31"/>
        <v>9.6065818619093704E-2</v>
      </c>
      <c r="AO6" s="406">
        <f t="shared" si="32"/>
        <v>7.6852654895274972E-2</v>
      </c>
      <c r="AP6" s="407">
        <f t="shared" si="7"/>
        <v>3.269557898572193E-3</v>
      </c>
      <c r="AQ6" s="408">
        <v>34</v>
      </c>
      <c r="AR6" s="406">
        <f t="shared" si="33"/>
        <v>9.6065818619093704E-2</v>
      </c>
      <c r="AS6" s="406">
        <f t="shared" si="34"/>
        <v>8.6459236757184338E-2</v>
      </c>
      <c r="AT6" s="407">
        <f t="shared" si="8"/>
        <v>3.6806712906364042E-3</v>
      </c>
      <c r="AU6" s="396">
        <v>35</v>
      </c>
      <c r="AV6" s="397">
        <v>0</v>
      </c>
      <c r="AW6" s="386">
        <v>22</v>
      </c>
      <c r="AX6" s="386">
        <f>VLOOKUP(AW6,THERMO_WATER_SAT!$A$3:$D$103,4,FALSE)</f>
        <v>2.360390882348456E-3</v>
      </c>
      <c r="AY6" s="386">
        <f t="shared" si="9"/>
        <v>22</v>
      </c>
      <c r="AZ6" s="386">
        <f t="shared" si="10"/>
        <v>27</v>
      </c>
      <c r="BA6" s="386">
        <f t="shared" si="35"/>
        <v>1.3734741077563715E-3</v>
      </c>
      <c r="BB6" s="386">
        <f t="shared" si="11"/>
        <v>-1.973833549184169E-4</v>
      </c>
      <c r="BC6" s="386">
        <v>120</v>
      </c>
      <c r="BD6" s="386">
        <f t="shared" si="36"/>
        <v>-1.69831778996564E-2</v>
      </c>
      <c r="BE6" s="396">
        <v>32</v>
      </c>
      <c r="BF6" s="397">
        <f>((1220-0.04*AY14)*AX14-0.24*(BE6-AY14))/(1220+(0.444*BE6)-(0.48*AY14))</f>
        <v>3.044614978323478E-3</v>
      </c>
      <c r="BG6" s="396">
        <v>15</v>
      </c>
      <c r="BH6" s="398">
        <v>120</v>
      </c>
      <c r="BI6" s="397">
        <f t="shared" si="37"/>
        <v>-1.2384678895789206E-2</v>
      </c>
      <c r="BJ6" s="386">
        <f t="shared" si="12"/>
        <v>2.360390882348456E-3</v>
      </c>
      <c r="BK6" s="386">
        <f t="shared" si="13"/>
        <v>7.8074310243104907</v>
      </c>
      <c r="BL6" s="386">
        <f t="shared" si="38"/>
        <v>22</v>
      </c>
      <c r="BM6" s="386">
        <v>20</v>
      </c>
      <c r="BN6" s="386">
        <f t="shared" si="39"/>
        <v>49</v>
      </c>
      <c r="BO6" s="386">
        <f t="shared" si="14"/>
        <v>49.520999999998786</v>
      </c>
      <c r="BP6" s="386">
        <f t="shared" si="40"/>
        <v>509.19099999999878</v>
      </c>
      <c r="BQ6" s="386">
        <f t="shared" si="15"/>
        <v>0.17495494305181722</v>
      </c>
      <c r="BR6" s="386">
        <f t="shared" si="16"/>
        <v>7.4934243113787997E-3</v>
      </c>
      <c r="BS6" s="386">
        <f t="shared" si="41"/>
        <v>50.443540912425284</v>
      </c>
    </row>
    <row r="7" spans="1:71" x14ac:dyDescent="0.3">
      <c r="A7" s="401">
        <v>120</v>
      </c>
      <c r="B7" s="402">
        <f>B6</f>
        <v>4.0000000000000001E-3</v>
      </c>
      <c r="C7" s="401">
        <v>120</v>
      </c>
      <c r="D7" s="402">
        <f>D6</f>
        <v>2.0000000000000001E-4</v>
      </c>
      <c r="E7" s="406" t="s">
        <v>438</v>
      </c>
      <c r="F7" s="406"/>
      <c r="G7" s="406"/>
      <c r="H7" s="406"/>
      <c r="K7" s="405">
        <v>35</v>
      </c>
      <c r="L7" s="406">
        <f t="shared" si="17"/>
        <v>9.9976485514761404E-2</v>
      </c>
      <c r="M7" s="406">
        <f t="shared" si="18"/>
        <v>9.9976485514761404E-3</v>
      </c>
      <c r="N7" s="407">
        <f t="shared" si="0"/>
        <v>4.2339572953729203E-4</v>
      </c>
      <c r="O7" s="405">
        <v>35</v>
      </c>
      <c r="P7" s="406">
        <f t="shared" si="19"/>
        <v>9.9976485514761404E-2</v>
      </c>
      <c r="Q7" s="406">
        <f t="shared" si="20"/>
        <v>1.9995297102952281E-2</v>
      </c>
      <c r="R7" s="407">
        <f t="shared" si="1"/>
        <v>8.4736831385049923E-4</v>
      </c>
      <c r="S7" s="405">
        <v>35</v>
      </c>
      <c r="T7" s="406">
        <f t="shared" si="21"/>
        <v>9.9976485514761404E-2</v>
      </c>
      <c r="U7" s="406">
        <f t="shared" si="22"/>
        <v>2.9992945654428421E-2</v>
      </c>
      <c r="V7" s="407">
        <f t="shared" si="2"/>
        <v>1.271918932645446E-3</v>
      </c>
      <c r="W7" s="405">
        <v>35</v>
      </c>
      <c r="X7" s="406">
        <f t="shared" si="23"/>
        <v>9.9976485514761404E-2</v>
      </c>
      <c r="Y7" s="406">
        <f t="shared" si="24"/>
        <v>3.9990594205904562E-2</v>
      </c>
      <c r="Z7" s="407">
        <f t="shared" si="3"/>
        <v>1.6970487688469193E-3</v>
      </c>
      <c r="AA7" s="405">
        <v>35</v>
      </c>
      <c r="AB7" s="406">
        <f t="shared" si="25"/>
        <v>9.9976485514761404E-2</v>
      </c>
      <c r="AC7" s="406">
        <f t="shared" si="26"/>
        <v>4.9988242757380702E-2</v>
      </c>
      <c r="AD7" s="407">
        <f t="shared" si="4"/>
        <v>2.1227590086096539E-3</v>
      </c>
      <c r="AE7" s="405">
        <v>35</v>
      </c>
      <c r="AF7" s="406">
        <f t="shared" si="27"/>
        <v>9.9976485514761404E-2</v>
      </c>
      <c r="AG7" s="406">
        <f t="shared" si="28"/>
        <v>5.9985891308856842E-2</v>
      </c>
      <c r="AH7" s="407">
        <f t="shared" si="5"/>
        <v>2.5490508413293644E-3</v>
      </c>
      <c r="AI7" s="405">
        <v>35</v>
      </c>
      <c r="AJ7" s="406">
        <f t="shared" si="29"/>
        <v>9.9976485514761404E-2</v>
      </c>
      <c r="AK7" s="406">
        <f t="shared" si="30"/>
        <v>6.9983539860332983E-2</v>
      </c>
      <c r="AL7" s="407">
        <f t="shared" si="6"/>
        <v>2.9759254596538245E-3</v>
      </c>
      <c r="AM7" s="405">
        <v>35</v>
      </c>
      <c r="AN7" s="406">
        <f t="shared" si="31"/>
        <v>9.9976485514761404E-2</v>
      </c>
      <c r="AO7" s="406">
        <f t="shared" si="32"/>
        <v>7.9981188411809123E-2</v>
      </c>
      <c r="AP7" s="407">
        <f t="shared" si="7"/>
        <v>3.4033840594939854E-3</v>
      </c>
      <c r="AQ7" s="405">
        <v>35</v>
      </c>
      <c r="AR7" s="406">
        <f t="shared" si="33"/>
        <v>9.9976485514761404E-2</v>
      </c>
      <c r="AS7" s="406">
        <f t="shared" si="34"/>
        <v>8.9978836963285264E-2</v>
      </c>
      <c r="AT7" s="407">
        <f t="shared" si="8"/>
        <v>3.8314278400351474E-3</v>
      </c>
      <c r="AU7" s="401">
        <v>35</v>
      </c>
      <c r="AV7" s="402">
        <f>VLOOKUP(AU7,THERMO_WATER_SAT!$A$13:$D$103,4,FALSE)</f>
        <v>4.2600580037481708E-3</v>
      </c>
      <c r="AW7" s="386">
        <v>23</v>
      </c>
      <c r="AX7" s="386">
        <f>VLOOKUP(AW7,THERMO_WATER_SAT!$A$3:$D$103,4,FALSE)</f>
        <v>2.4758841863525374E-3</v>
      </c>
      <c r="AY7" s="386">
        <f t="shared" si="9"/>
        <v>23</v>
      </c>
      <c r="AZ7" s="386">
        <f t="shared" si="10"/>
        <v>28</v>
      </c>
      <c r="BA7" s="386">
        <f t="shared" si="35"/>
        <v>1.4887119728135203E-3</v>
      </c>
      <c r="BB7" s="386">
        <f t="shared" si="11"/>
        <v>-1.9743444270780343E-4</v>
      </c>
      <c r="BC7" s="386">
        <v>120</v>
      </c>
      <c r="BD7" s="386">
        <f t="shared" si="36"/>
        <v>-1.6675256756304394E-2</v>
      </c>
      <c r="BE7" s="401">
        <v>120</v>
      </c>
      <c r="BF7" s="402">
        <f>VLOOKUP(BE6,$AW$4:$BD$104,8,FALSE)</f>
        <v>-1.5964661793559223E-2</v>
      </c>
      <c r="BG7" s="401">
        <v>15</v>
      </c>
      <c r="BH7" s="403">
        <f>VLOOKUP(BG7,$BM$4:$BS$14,7,FALSE)</f>
        <v>40.190038508916196</v>
      </c>
      <c r="BI7" s="402">
        <f t="shared" si="37"/>
        <v>4.9630798208942558E-3</v>
      </c>
      <c r="BJ7" s="386">
        <f t="shared" si="12"/>
        <v>2.4758841863525374E-3</v>
      </c>
      <c r="BK7" s="386">
        <f t="shared" si="13"/>
        <v>8.1721968510310745</v>
      </c>
      <c r="BL7" s="386">
        <f t="shared" si="38"/>
        <v>23</v>
      </c>
      <c r="BM7" s="386">
        <v>25</v>
      </c>
      <c r="BN7" s="386">
        <f t="shared" si="39"/>
        <v>57</v>
      </c>
      <c r="BO7" s="386">
        <f t="shared" si="14"/>
        <v>57.882999999997942</v>
      </c>
      <c r="BP7" s="386">
        <f t="shared" si="40"/>
        <v>517.55299999999795</v>
      </c>
      <c r="BQ7" s="386">
        <f t="shared" si="15"/>
        <v>0.23764033634724066</v>
      </c>
      <c r="BR7" s="386">
        <f t="shared" si="16"/>
        <v>1.0222405751949914E-2</v>
      </c>
      <c r="BS7" s="386">
        <f t="shared" si="41"/>
        <v>59.134594328751731</v>
      </c>
    </row>
    <row r="8" spans="1:71" x14ac:dyDescent="0.3">
      <c r="A8" s="396">
        <f>IF(DewPointA32(P_TOTAL,B8)&lt;32,32,DewPointA32(P_TOTAL,B8))</f>
        <v>43.750685644415476</v>
      </c>
      <c r="B8" s="397">
        <f>B7+0.002</f>
        <v>6.0000000000000001E-3</v>
      </c>
      <c r="C8" s="396">
        <f>IF(DewPointA32(P_TOTAL,D8)&lt;32,32,DewPointA32(P_TOTAL,D8))</f>
        <v>32</v>
      </c>
      <c r="D8" s="397">
        <f>D7+0.0002</f>
        <v>4.0000000000000002E-4</v>
      </c>
      <c r="E8" s="406" t="s">
        <v>439</v>
      </c>
      <c r="F8" s="406"/>
      <c r="G8" s="406"/>
      <c r="H8" s="406"/>
      <c r="K8" s="405">
        <v>36</v>
      </c>
      <c r="L8" s="406">
        <f t="shared" si="17"/>
        <v>0.10402753557122367</v>
      </c>
      <c r="M8" s="406">
        <f t="shared" si="18"/>
        <v>1.0402753557122368E-2</v>
      </c>
      <c r="N8" s="407">
        <f t="shared" si="0"/>
        <v>4.4056388932834522E-4</v>
      </c>
      <c r="O8" s="405">
        <v>36</v>
      </c>
      <c r="P8" s="406">
        <f t="shared" si="19"/>
        <v>0.10402753557122367</v>
      </c>
      <c r="Q8" s="406">
        <f t="shared" si="20"/>
        <v>2.0805507114244736E-2</v>
      </c>
      <c r="R8" s="407">
        <f t="shared" si="1"/>
        <v>8.8175238060919918E-4</v>
      </c>
      <c r="S8" s="405">
        <v>36</v>
      </c>
      <c r="T8" s="406">
        <f t="shared" si="21"/>
        <v>0.10402753557122367</v>
      </c>
      <c r="U8" s="406">
        <f t="shared" si="22"/>
        <v>3.1208260671367099E-2</v>
      </c>
      <c r="V8" s="407">
        <f t="shared" si="2"/>
        <v>1.3235668030629757E-3</v>
      </c>
      <c r="W8" s="405">
        <v>36</v>
      </c>
      <c r="X8" s="406">
        <f t="shared" si="23"/>
        <v>0.10402753557122367</v>
      </c>
      <c r="Y8" s="406">
        <f t="shared" si="24"/>
        <v>4.1611014228489472E-2</v>
      </c>
      <c r="Z8" s="407">
        <f t="shared" si="3"/>
        <v>1.7660084896843997E-3</v>
      </c>
      <c r="AA8" s="405">
        <v>36</v>
      </c>
      <c r="AB8" s="406">
        <f t="shared" si="25"/>
        <v>0.10402753557122367</v>
      </c>
      <c r="AC8" s="406">
        <f t="shared" si="26"/>
        <v>5.2013767785611835E-2</v>
      </c>
      <c r="AD8" s="407">
        <f t="shared" si="4"/>
        <v>2.2090787772559108E-3</v>
      </c>
      <c r="AE8" s="405">
        <v>36</v>
      </c>
      <c r="AF8" s="406">
        <f t="shared" si="27"/>
        <v>0.10402753557122367</v>
      </c>
      <c r="AG8" s="406">
        <f t="shared" si="28"/>
        <v>6.2416521342734198E-2</v>
      </c>
      <c r="AH8" s="407">
        <f t="shared" si="5"/>
        <v>2.65277900636113E-3</v>
      </c>
      <c r="AI8" s="405">
        <v>36</v>
      </c>
      <c r="AJ8" s="406">
        <f t="shared" si="29"/>
        <v>0.10402753557122367</v>
      </c>
      <c r="AK8" s="406">
        <f t="shared" si="30"/>
        <v>7.2819274899856568E-2</v>
      </c>
      <c r="AL8" s="407">
        <f t="shared" si="6"/>
        <v>3.0971105213983751E-3</v>
      </c>
      <c r="AM8" s="405">
        <v>36</v>
      </c>
      <c r="AN8" s="406">
        <f t="shared" si="31"/>
        <v>0.10402753557122367</v>
      </c>
      <c r="AO8" s="406">
        <f t="shared" si="32"/>
        <v>8.3222028456978944E-2</v>
      </c>
      <c r="AP8" s="407">
        <f t="shared" si="7"/>
        <v>3.5420746705942456E-3</v>
      </c>
      <c r="AQ8" s="405">
        <v>36</v>
      </c>
      <c r="AR8" s="406">
        <f t="shared" si="33"/>
        <v>0.10402753557122367</v>
      </c>
      <c r="AS8" s="406">
        <f t="shared" si="34"/>
        <v>9.3624782014101307E-2</v>
      </c>
      <c r="AT8" s="407">
        <f t="shared" si="8"/>
        <v>3.9876728060172515E-3</v>
      </c>
      <c r="AU8" s="396">
        <f>AU7+5</f>
        <v>40</v>
      </c>
      <c r="AV8" s="397">
        <v>0</v>
      </c>
      <c r="AW8" s="386">
        <v>24</v>
      </c>
      <c r="AX8" s="386">
        <f>VLOOKUP(AW8,THERMO_WATER_SAT!$A$3:$D$103,4,FALSE)</f>
        <v>2.5965347526089632E-3</v>
      </c>
      <c r="AY8" s="386">
        <f t="shared" si="9"/>
        <v>24</v>
      </c>
      <c r="AZ8" s="386">
        <f t="shared" si="10"/>
        <v>29</v>
      </c>
      <c r="BA8" s="386">
        <f t="shared" si="35"/>
        <v>1.6090965490982404E-3</v>
      </c>
      <c r="BB8" s="386">
        <f t="shared" si="11"/>
        <v>-1.9748764070214457E-4</v>
      </c>
      <c r="BC8" s="386">
        <v>120</v>
      </c>
      <c r="BD8" s="386">
        <f t="shared" si="36"/>
        <v>-1.6362278754796917E-2</v>
      </c>
      <c r="BE8" s="396">
        <v>35</v>
      </c>
      <c r="BF8" s="397">
        <f>VLOOKUP(BE8,$AW$4:$BD$104,2,FALSE)</f>
        <v>4.2600580037481708E-3</v>
      </c>
      <c r="BG8" s="396">
        <v>20</v>
      </c>
      <c r="BH8" s="398">
        <v>120</v>
      </c>
      <c r="BI8" s="397">
        <f t="shared" si="37"/>
        <v>-7.8974763973148551E-3</v>
      </c>
      <c r="BJ8" s="386">
        <f t="shared" si="12"/>
        <v>2.5965347526089632E-3</v>
      </c>
      <c r="BK8" s="386">
        <f t="shared" si="13"/>
        <v>8.5425920468419108</v>
      </c>
      <c r="BL8" s="386">
        <f t="shared" si="38"/>
        <v>24</v>
      </c>
      <c r="BM8" s="386">
        <v>30</v>
      </c>
      <c r="BN8" s="386">
        <f t="shared" si="39"/>
        <v>64</v>
      </c>
      <c r="BO8" s="386">
        <f t="shared" si="14"/>
        <v>64.99900000000477</v>
      </c>
      <c r="BP8" s="386">
        <f t="shared" si="40"/>
        <v>524.66900000000476</v>
      </c>
      <c r="BQ8" s="386">
        <f t="shared" si="15"/>
        <v>0.30572599526851063</v>
      </c>
      <c r="BR8" s="386">
        <f t="shared" si="16"/>
        <v>1.3213421375072821E-2</v>
      </c>
      <c r="BS8" s="386">
        <f t="shared" si="41"/>
        <v>66.609096011509422</v>
      </c>
    </row>
    <row r="9" spans="1:71" x14ac:dyDescent="0.3">
      <c r="A9" s="401">
        <v>120</v>
      </c>
      <c r="B9" s="402">
        <f>B8</f>
        <v>6.0000000000000001E-3</v>
      </c>
      <c r="C9" s="401">
        <v>120</v>
      </c>
      <c r="D9" s="402">
        <f>D8</f>
        <v>4.0000000000000002E-4</v>
      </c>
      <c r="E9" s="406"/>
      <c r="F9" s="406"/>
      <c r="G9" s="406"/>
      <c r="H9" s="406"/>
      <c r="K9" s="408">
        <v>37</v>
      </c>
      <c r="L9" s="406">
        <f t="shared" si="17"/>
        <v>0.10822328528866185</v>
      </c>
      <c r="M9" s="406">
        <f t="shared" si="18"/>
        <v>1.0822328528866186E-2</v>
      </c>
      <c r="N9" s="407">
        <f t="shared" si="0"/>
        <v>4.5834627803847722E-4</v>
      </c>
      <c r="O9" s="408">
        <v>37</v>
      </c>
      <c r="P9" s="406">
        <f t="shared" si="19"/>
        <v>0.10822328528866185</v>
      </c>
      <c r="Q9" s="406">
        <f t="shared" si="20"/>
        <v>2.1644657057732372E-2</v>
      </c>
      <c r="R9" s="407">
        <f t="shared" si="1"/>
        <v>9.1736861630379121E-4</v>
      </c>
      <c r="S9" s="408">
        <v>37</v>
      </c>
      <c r="T9" s="406">
        <f t="shared" si="21"/>
        <v>0.10822328528866185</v>
      </c>
      <c r="U9" s="406">
        <f t="shared" si="22"/>
        <v>3.2466985586598551E-2</v>
      </c>
      <c r="V9" s="407">
        <f t="shared" si="2"/>
        <v>1.3770685116819661E-3</v>
      </c>
      <c r="W9" s="408">
        <v>37</v>
      </c>
      <c r="X9" s="406">
        <f t="shared" si="23"/>
        <v>0.10822328528866185</v>
      </c>
      <c r="Y9" s="406">
        <f t="shared" si="24"/>
        <v>4.3289314115464744E-2</v>
      </c>
      <c r="Z9" s="407">
        <f t="shared" si="3"/>
        <v>1.8374474654813604E-3</v>
      </c>
      <c r="AA9" s="408">
        <v>37</v>
      </c>
      <c r="AB9" s="406">
        <f t="shared" si="25"/>
        <v>0.10822328528866185</v>
      </c>
      <c r="AC9" s="406">
        <f t="shared" si="26"/>
        <v>5.4111642644330923E-2</v>
      </c>
      <c r="AD9" s="407">
        <f t="shared" si="4"/>
        <v>2.2985069834490076E-3</v>
      </c>
      <c r="AE9" s="408">
        <v>37</v>
      </c>
      <c r="AF9" s="406">
        <f t="shared" si="27"/>
        <v>0.10822328528866185</v>
      </c>
      <c r="AG9" s="406">
        <f t="shared" si="28"/>
        <v>6.4933971173197103E-2</v>
      </c>
      <c r="AH9" s="407">
        <f t="shared" si="5"/>
        <v>2.7602485757870364E-3</v>
      </c>
      <c r="AI9" s="408">
        <v>37</v>
      </c>
      <c r="AJ9" s="406">
        <f t="shared" si="29"/>
        <v>0.10822328528866185</v>
      </c>
      <c r="AK9" s="406">
        <f t="shared" si="30"/>
        <v>7.5756299702063282E-2</v>
      </c>
      <c r="AL9" s="407">
        <f t="shared" si="6"/>
        <v>3.2226737571691543E-3</v>
      </c>
      <c r="AM9" s="408">
        <v>37</v>
      </c>
      <c r="AN9" s="406">
        <f t="shared" si="31"/>
        <v>0.10822328528866185</v>
      </c>
      <c r="AO9" s="406">
        <f t="shared" si="32"/>
        <v>8.6578628230929489E-2</v>
      </c>
      <c r="AP9" s="407">
        <f t="shared" si="7"/>
        <v>3.6857840467572167E-3</v>
      </c>
      <c r="AQ9" s="408">
        <v>37</v>
      </c>
      <c r="AR9" s="406">
        <f t="shared" si="33"/>
        <v>0.10822328528866185</v>
      </c>
      <c r="AS9" s="406">
        <f t="shared" si="34"/>
        <v>9.7400956759795668E-2</v>
      </c>
      <c r="AT9" s="407">
        <f t="shared" si="8"/>
        <v>4.149580968217853E-3</v>
      </c>
      <c r="AU9" s="401">
        <f>AU8</f>
        <v>40</v>
      </c>
      <c r="AV9" s="402">
        <f>VLOOKUP(AU9,THERMO_WATER_SAT!$A$13:$D$103,4,FALSE)</f>
        <v>5.1944521047341524E-3</v>
      </c>
      <c r="AW9" s="386">
        <v>25</v>
      </c>
      <c r="AX9" s="386">
        <f>VLOOKUP(AW9,THERMO_WATER_SAT!$A$3:$D$103,4,FALSE)</f>
        <v>2.7225510586277963E-3</v>
      </c>
      <c r="AY9" s="386">
        <f t="shared" si="9"/>
        <v>25</v>
      </c>
      <c r="AZ9" s="386">
        <f t="shared" si="10"/>
        <v>30</v>
      </c>
      <c r="BA9" s="386">
        <f t="shared" si="35"/>
        <v>1.7348358664946808E-3</v>
      </c>
      <c r="BB9" s="386">
        <f t="shared" si="11"/>
        <v>-1.9754303842662311E-4</v>
      </c>
      <c r="BC9" s="386">
        <v>120</v>
      </c>
      <c r="BD9" s="386">
        <f t="shared" si="36"/>
        <v>-1.6044037591901397E-2</v>
      </c>
      <c r="BE9" s="401">
        <v>120</v>
      </c>
      <c r="BF9" s="402">
        <f>VLOOKUP(BE8,$AW$4:$BD$104,8,FALSE)</f>
        <v>-1.4852731641768917E-2</v>
      </c>
      <c r="BG9" s="401">
        <v>20</v>
      </c>
      <c r="BH9" s="403">
        <f>VLOOKUP(BG9,$BM$4:$BS$14,7,FALSE)</f>
        <v>50.443540912425284</v>
      </c>
      <c r="BI9" s="402">
        <f t="shared" si="37"/>
        <v>7.2859262811858358E-3</v>
      </c>
      <c r="BJ9" s="386">
        <f t="shared" si="12"/>
        <v>2.7225510586277963E-3</v>
      </c>
      <c r="BK9" s="386">
        <f t="shared" si="13"/>
        <v>8.9188469899548597</v>
      </c>
      <c r="BL9" s="386">
        <f t="shared" si="38"/>
        <v>25</v>
      </c>
      <c r="BM9" s="386">
        <v>35</v>
      </c>
      <c r="BN9" s="386">
        <f t="shared" si="39"/>
        <v>71</v>
      </c>
      <c r="BO9" s="386">
        <f t="shared" si="14"/>
        <v>71.145000000000692</v>
      </c>
      <c r="BP9" s="386">
        <f t="shared" si="40"/>
        <v>530.81500000000074</v>
      </c>
      <c r="BQ9" s="386">
        <f t="shared" si="15"/>
        <v>0.37771409565785335</v>
      </c>
      <c r="BR9" s="386">
        <f t="shared" si="16"/>
        <v>1.6406809781098368E-2</v>
      </c>
      <c r="BS9" s="386">
        <f t="shared" si="41"/>
        <v>73.132647135890124</v>
      </c>
    </row>
    <row r="10" spans="1:71" x14ac:dyDescent="0.3">
      <c r="A10" s="396">
        <f>IF(DewPointA32(P_TOTAL,B10)&lt;32,32,DewPointA32(P_TOTAL,B10))</f>
        <v>51.32309587203374</v>
      </c>
      <c r="B10" s="397">
        <f>B9+0.002</f>
        <v>8.0000000000000002E-3</v>
      </c>
      <c r="C10" s="396">
        <f>IF(DewPointA32(P_TOTAL,D10)&lt;32,32,DewPointA32(P_TOTAL,D10))</f>
        <v>32</v>
      </c>
      <c r="D10" s="397">
        <f>D9+0.0002</f>
        <v>6.0000000000000006E-4</v>
      </c>
      <c r="E10" s="406"/>
      <c r="F10" s="406"/>
      <c r="G10" s="406"/>
      <c r="H10" s="406"/>
      <c r="K10" s="405">
        <v>38</v>
      </c>
      <c r="L10" s="406">
        <f t="shared" si="17"/>
        <v>0.11256815940231935</v>
      </c>
      <c r="M10" s="406">
        <f t="shared" si="18"/>
        <v>1.1256815940231936E-2</v>
      </c>
      <c r="N10" s="407">
        <f t="shared" si="0"/>
        <v>4.7676175540225277E-4</v>
      </c>
      <c r="O10" s="405">
        <v>38</v>
      </c>
      <c r="P10" s="406">
        <f t="shared" si="19"/>
        <v>0.11256815940231935</v>
      </c>
      <c r="Q10" s="406">
        <f t="shared" si="20"/>
        <v>2.2513631880463871E-2</v>
      </c>
      <c r="R10" s="407">
        <f t="shared" si="1"/>
        <v>9.5425500967168207E-4</v>
      </c>
      <c r="S10" s="405">
        <v>38</v>
      </c>
      <c r="T10" s="406">
        <f t="shared" si="21"/>
        <v>0.11256815940231935</v>
      </c>
      <c r="U10" s="406">
        <f t="shared" si="22"/>
        <v>3.3770447820695805E-2</v>
      </c>
      <c r="V10" s="407">
        <f t="shared" si="2"/>
        <v>1.4324814476164704E-3</v>
      </c>
      <c r="W10" s="405">
        <v>38</v>
      </c>
      <c r="X10" s="406">
        <f t="shared" si="23"/>
        <v>0.11256815940231935</v>
      </c>
      <c r="Y10" s="406">
        <f t="shared" si="24"/>
        <v>4.5027263760927742E-2</v>
      </c>
      <c r="Z10" s="407">
        <f t="shared" si="3"/>
        <v>1.911442759222771E-3</v>
      </c>
      <c r="AA10" s="405">
        <v>38</v>
      </c>
      <c r="AB10" s="406">
        <f t="shared" si="25"/>
        <v>0.11256815940231935</v>
      </c>
      <c r="AC10" s="406">
        <f t="shared" si="26"/>
        <v>5.6284079701159673E-2</v>
      </c>
      <c r="AD10" s="407">
        <f t="shared" si="4"/>
        <v>2.3911406396746144E-3</v>
      </c>
      <c r="AE10" s="405">
        <v>38</v>
      </c>
      <c r="AF10" s="406">
        <f t="shared" si="27"/>
        <v>0.11256815940231935</v>
      </c>
      <c r="AG10" s="406">
        <f t="shared" si="28"/>
        <v>6.754089564139161E-2</v>
      </c>
      <c r="AH10" s="407">
        <f t="shared" si="5"/>
        <v>2.8715767893739076E-3</v>
      </c>
      <c r="AI10" s="405">
        <v>38</v>
      </c>
      <c r="AJ10" s="406">
        <f t="shared" si="29"/>
        <v>0.11256815940231935</v>
      </c>
      <c r="AK10" s="406">
        <f t="shared" si="30"/>
        <v>7.8797711581623534E-2</v>
      </c>
      <c r="AL10" s="407">
        <f t="shared" si="6"/>
        <v>3.3527529139605276E-3</v>
      </c>
      <c r="AM10" s="405">
        <v>38</v>
      </c>
      <c r="AN10" s="406">
        <f t="shared" si="31"/>
        <v>0.11256815940231935</v>
      </c>
      <c r="AO10" s="406">
        <f t="shared" si="32"/>
        <v>9.0054527521855485E-2</v>
      </c>
      <c r="AP10" s="407">
        <f t="shared" si="7"/>
        <v>3.8346707243325034E-3</v>
      </c>
      <c r="AQ10" s="405">
        <v>38</v>
      </c>
      <c r="AR10" s="406">
        <f t="shared" si="33"/>
        <v>0.11256815940231935</v>
      </c>
      <c r="AS10" s="406">
        <f t="shared" si="34"/>
        <v>0.10131134346208741</v>
      </c>
      <c r="AT10" s="407">
        <f t="shared" si="8"/>
        <v>4.3173319366662929E-3</v>
      </c>
      <c r="AU10" s="396">
        <f>AU9+5</f>
        <v>45</v>
      </c>
      <c r="AV10" s="397">
        <v>0</v>
      </c>
      <c r="AW10" s="386">
        <v>26</v>
      </c>
      <c r="AX10" s="386">
        <f>VLOOKUP(AW10,THERMO_WATER_SAT!$A$3:$D$103,4,FALSE)</f>
        <v>2.8541491955661369E-3</v>
      </c>
      <c r="AY10" s="386">
        <f t="shared" si="9"/>
        <v>26</v>
      </c>
      <c r="AZ10" s="386">
        <f t="shared" si="10"/>
        <v>31</v>
      </c>
      <c r="BA10" s="386">
        <f t="shared" si="35"/>
        <v>1.8661455512618674E-3</v>
      </c>
      <c r="BB10" s="386">
        <f t="shared" si="11"/>
        <v>-1.9760072886085392E-4</v>
      </c>
      <c r="BC10" s="386">
        <v>120</v>
      </c>
      <c r="BD10" s="386">
        <f t="shared" si="36"/>
        <v>-1.5720319317354133E-2</v>
      </c>
      <c r="BE10" s="396">
        <f>BE8+5</f>
        <v>40</v>
      </c>
      <c r="BF10" s="397">
        <f>VLOOKUP(BE10,$AW$4:$BD$104,2,FALSE)</f>
        <v>5.1944521047341524E-3</v>
      </c>
      <c r="BG10" s="396">
        <v>25</v>
      </c>
      <c r="BH10" s="398">
        <v>120</v>
      </c>
      <c r="BI10" s="397">
        <f t="shared" si="37"/>
        <v>-3.4102738988405043E-3</v>
      </c>
      <c r="BJ10" s="386">
        <f t="shared" si="12"/>
        <v>2.8541491955661369E-3</v>
      </c>
      <c r="BK10" s="386">
        <f t="shared" si="13"/>
        <v>9.3012005948092877</v>
      </c>
      <c r="BL10" s="386">
        <f t="shared" si="38"/>
        <v>26</v>
      </c>
      <c r="BM10" s="386">
        <v>40</v>
      </c>
      <c r="BN10" s="386">
        <f t="shared" si="39"/>
        <v>76</v>
      </c>
      <c r="BO10" s="386">
        <f t="shared" si="14"/>
        <v>76.526000000002512</v>
      </c>
      <c r="BP10" s="386">
        <f t="shared" si="40"/>
        <v>536.19600000000253</v>
      </c>
      <c r="BQ10" s="386">
        <f t="shared" si="15"/>
        <v>0.45248912186117785</v>
      </c>
      <c r="BR10" s="386">
        <f t="shared" si="16"/>
        <v>1.9758004139827874E-2</v>
      </c>
      <c r="BS10" s="386">
        <f t="shared" si="41"/>
        <v>78.905399446168573</v>
      </c>
    </row>
    <row r="11" spans="1:71" x14ac:dyDescent="0.3">
      <c r="A11" s="401">
        <v>120</v>
      </c>
      <c r="B11" s="402">
        <f>B10</f>
        <v>8.0000000000000002E-3</v>
      </c>
      <c r="C11" s="401">
        <v>120</v>
      </c>
      <c r="D11" s="402">
        <f>D10</f>
        <v>6.0000000000000006E-4</v>
      </c>
      <c r="E11" s="406"/>
      <c r="F11" s="406"/>
      <c r="G11" s="406"/>
      <c r="H11" s="406"/>
      <c r="K11" s="405">
        <v>39</v>
      </c>
      <c r="L11" s="406">
        <f t="shared" si="17"/>
        <v>0.11706669288227731</v>
      </c>
      <c r="M11" s="406">
        <f t="shared" si="18"/>
        <v>1.1706669288227731E-2</v>
      </c>
      <c r="N11" s="407">
        <f t="shared" si="0"/>
        <v>4.9582965665412868E-4</v>
      </c>
      <c r="O11" s="405">
        <v>39</v>
      </c>
      <c r="P11" s="406">
        <f t="shared" si="19"/>
        <v>0.11706669288227731</v>
      </c>
      <c r="Q11" s="406">
        <f t="shared" si="20"/>
        <v>2.3413338576455462E-2</v>
      </c>
      <c r="R11" s="407">
        <f t="shared" si="1"/>
        <v>9.9245051856029472E-4</v>
      </c>
      <c r="S11" s="405">
        <v>39</v>
      </c>
      <c r="T11" s="406">
        <f t="shared" si="21"/>
        <v>0.11706669288227731</v>
      </c>
      <c r="U11" s="406">
        <f t="shared" si="22"/>
        <v>3.5120007864683188E-2</v>
      </c>
      <c r="V11" s="407">
        <f t="shared" si="2"/>
        <v>1.4898644810436548E-3</v>
      </c>
      <c r="W11" s="405">
        <v>39</v>
      </c>
      <c r="X11" s="406">
        <f t="shared" si="23"/>
        <v>0.11706669288227731</v>
      </c>
      <c r="Y11" s="406">
        <f t="shared" si="24"/>
        <v>4.6826677152910924E-2</v>
      </c>
      <c r="Z11" s="407">
        <f t="shared" si="3"/>
        <v>1.9880734454878505E-3</v>
      </c>
      <c r="AA11" s="405">
        <v>39</v>
      </c>
      <c r="AB11" s="406">
        <f t="shared" si="25"/>
        <v>0.11706669288227731</v>
      </c>
      <c r="AC11" s="406">
        <f t="shared" si="26"/>
        <v>5.8533346441138653E-2</v>
      </c>
      <c r="AD11" s="407">
        <f t="shared" si="4"/>
        <v>2.4870793193592332E-3</v>
      </c>
      <c r="AE11" s="405">
        <v>39</v>
      </c>
      <c r="AF11" s="406">
        <f t="shared" si="27"/>
        <v>0.11706669288227731</v>
      </c>
      <c r="AG11" s="406">
        <f t="shared" si="28"/>
        <v>7.0240015729366376E-2</v>
      </c>
      <c r="AH11" s="407">
        <f t="shared" si="5"/>
        <v>2.9868840162312086E-3</v>
      </c>
      <c r="AI11" s="405">
        <v>39</v>
      </c>
      <c r="AJ11" s="406">
        <f t="shared" si="29"/>
        <v>0.11706669288227731</v>
      </c>
      <c r="AK11" s="406">
        <f t="shared" si="30"/>
        <v>8.1946685017594112E-2</v>
      </c>
      <c r="AL11" s="407">
        <f t="shared" si="6"/>
        <v>3.4874894558086992E-3</v>
      </c>
      <c r="AM11" s="405">
        <v>39</v>
      </c>
      <c r="AN11" s="406">
        <f t="shared" si="31"/>
        <v>0.11706669288227731</v>
      </c>
      <c r="AO11" s="406">
        <f t="shared" si="32"/>
        <v>9.3653354305821848E-2</v>
      </c>
      <c r="AP11" s="407">
        <f t="shared" si="7"/>
        <v>3.9888975639527169E-3</v>
      </c>
      <c r="AQ11" s="405">
        <v>39</v>
      </c>
      <c r="AR11" s="406">
        <f t="shared" si="33"/>
        <v>0.11706669288227731</v>
      </c>
      <c r="AS11" s="406">
        <f t="shared" si="34"/>
        <v>0.10536002359404958</v>
      </c>
      <c r="AT11" s="407">
        <f t="shared" si="8"/>
        <v>4.4911102727050664E-3</v>
      </c>
      <c r="AU11" s="401">
        <f>AU10</f>
        <v>45</v>
      </c>
      <c r="AV11" s="402">
        <f>VLOOKUP(AU11,THERMO_WATER_SAT!$A$13:$D$103,4,FALSE)</f>
        <v>6.3078870706696974E-3</v>
      </c>
      <c r="AW11" s="386">
        <v>27</v>
      </c>
      <c r="AX11" s="386">
        <f>VLOOKUP(AW11,THERMO_WATER_SAT!$A$3:$D$103,4,FALSE)</f>
        <v>2.9915531253454837E-3</v>
      </c>
      <c r="AY11" s="386">
        <f t="shared" si="9"/>
        <v>27</v>
      </c>
      <c r="AZ11" s="386">
        <f t="shared" si="10"/>
        <v>32</v>
      </c>
      <c r="BA11" s="386">
        <f t="shared" si="35"/>
        <v>2.0032490825337011E-3</v>
      </c>
      <c r="BB11" s="386">
        <f t="shared" si="11"/>
        <v>-1.976608085623565E-4</v>
      </c>
      <c r="BC11" s="386">
        <v>120</v>
      </c>
      <c r="BD11" s="386">
        <f t="shared" si="36"/>
        <v>-1.5390902070953671E-2</v>
      </c>
      <c r="BE11" s="401">
        <v>120</v>
      </c>
      <c r="BF11" s="402">
        <f>VLOOKUP(BE10,$AW$4:$BD$104,8,FALSE)</f>
        <v>-1.2871594735617164E-2</v>
      </c>
      <c r="BG11" s="401">
        <v>25</v>
      </c>
      <c r="BH11" s="403">
        <f>VLOOKUP(BG11,$BM$4:$BS$14,7,FALSE)</f>
        <v>59.134594328751731</v>
      </c>
      <c r="BI11" s="402">
        <f t="shared" si="37"/>
        <v>9.9403450042636569E-3</v>
      </c>
      <c r="BJ11" s="386">
        <f t="shared" si="12"/>
        <v>2.9915531253454837E-3</v>
      </c>
      <c r="BK11" s="386">
        <f t="shared" si="13"/>
        <v>9.6899006048581988</v>
      </c>
      <c r="BL11" s="386">
        <f t="shared" si="38"/>
        <v>27</v>
      </c>
      <c r="BM11" s="386">
        <v>45</v>
      </c>
      <c r="BN11" s="386">
        <f t="shared" si="39"/>
        <v>81</v>
      </c>
      <c r="BO11" s="386">
        <f t="shared" si="14"/>
        <v>81.294000000001404</v>
      </c>
      <c r="BP11" s="386">
        <f t="shared" si="40"/>
        <v>540.96400000000142</v>
      </c>
      <c r="BQ11" s="386">
        <f t="shared" si="15"/>
        <v>0.52922381962359377</v>
      </c>
      <c r="BR11" s="386">
        <f t="shared" si="16"/>
        <v>2.3233804522988566E-2</v>
      </c>
      <c r="BS11" s="386">
        <f t="shared" si="41"/>
        <v>84.077580251007063</v>
      </c>
    </row>
    <row r="12" spans="1:71" x14ac:dyDescent="0.3">
      <c r="A12" s="396">
        <f>IF(DewPointA32(P_TOTAL,B12)&lt;32,32,DewPointA32(P_TOTAL,B12))</f>
        <v>57.340579436377475</v>
      </c>
      <c r="B12" s="397">
        <f>B11+0.002</f>
        <v>0.01</v>
      </c>
      <c r="C12" s="396">
        <f>IF(DewPointA32(P_TOTAL,D12)&lt;32,32,DewPointA32(P_TOTAL,D12))</f>
        <v>32</v>
      </c>
      <c r="D12" s="397">
        <f>D11+0.0002</f>
        <v>8.0000000000000004E-4</v>
      </c>
      <c r="E12" s="406"/>
      <c r="F12" s="406"/>
      <c r="G12" s="406"/>
      <c r="H12" s="406"/>
      <c r="K12" s="408">
        <v>40</v>
      </c>
      <c r="L12" s="406">
        <f t="shared" si="17"/>
        <v>0.1217235329527898</v>
      </c>
      <c r="M12" s="406">
        <f t="shared" si="18"/>
        <v>1.217235329527898E-2</v>
      </c>
      <c r="N12" s="407">
        <f t="shared" si="0"/>
        <v>5.1556980162607857E-4</v>
      </c>
      <c r="O12" s="408">
        <v>40</v>
      </c>
      <c r="P12" s="406">
        <f t="shared" si="19"/>
        <v>0.1217235329527898</v>
      </c>
      <c r="Q12" s="406">
        <f t="shared" si="20"/>
        <v>2.4344706590557961E-2</v>
      </c>
      <c r="R12" s="407">
        <f t="shared" si="1"/>
        <v>1.0319950892417424E-3</v>
      </c>
      <c r="S12" s="408">
        <v>40</v>
      </c>
      <c r="T12" s="406">
        <f t="shared" si="21"/>
        <v>0.1217235329527898</v>
      </c>
      <c r="U12" s="406">
        <f t="shared" si="22"/>
        <v>3.6517059885836936E-2</v>
      </c>
      <c r="V12" s="407">
        <f t="shared" si="2"/>
        <v>1.5492779938793915E-3</v>
      </c>
      <c r="W12" s="408">
        <v>40</v>
      </c>
      <c r="X12" s="406">
        <f t="shared" si="23"/>
        <v>0.1217235329527898</v>
      </c>
      <c r="Y12" s="406">
        <f t="shared" si="24"/>
        <v>4.8689413181115922E-2</v>
      </c>
      <c r="Z12" s="407">
        <f t="shared" si="3"/>
        <v>2.0674206536552336E-3</v>
      </c>
      <c r="AA12" s="408">
        <v>40</v>
      </c>
      <c r="AB12" s="406">
        <f t="shared" si="25"/>
        <v>0.1217235329527898</v>
      </c>
      <c r="AC12" s="406">
        <f t="shared" si="26"/>
        <v>6.08617664763949E-2</v>
      </c>
      <c r="AD12" s="407">
        <f t="shared" si="4"/>
        <v>2.5864252137987398E-3</v>
      </c>
      <c r="AE12" s="408">
        <v>40</v>
      </c>
      <c r="AF12" s="406">
        <f t="shared" si="27"/>
        <v>0.1217235329527898</v>
      </c>
      <c r="AG12" s="406">
        <f t="shared" si="28"/>
        <v>7.3034119771673872E-2</v>
      </c>
      <c r="AH12" s="407">
        <f t="shared" si="5"/>
        <v>3.106293826682253E-3</v>
      </c>
      <c r="AI12" s="408">
        <v>40</v>
      </c>
      <c r="AJ12" s="406">
        <f t="shared" si="29"/>
        <v>0.1217235329527898</v>
      </c>
      <c r="AK12" s="406">
        <f t="shared" si="30"/>
        <v>8.5206473066952851E-2</v>
      </c>
      <c r="AL12" s="407">
        <f t="shared" si="6"/>
        <v>3.6270286518507444E-3</v>
      </c>
      <c r="AM12" s="408">
        <v>40</v>
      </c>
      <c r="AN12" s="406">
        <f t="shared" si="31"/>
        <v>0.1217235329527898</v>
      </c>
      <c r="AO12" s="406">
        <f t="shared" si="32"/>
        <v>9.7378826362231843E-2</v>
      </c>
      <c r="AP12" s="407">
        <f t="shared" si="7"/>
        <v>4.1486318560517094E-3</v>
      </c>
      <c r="AQ12" s="408">
        <v>40</v>
      </c>
      <c r="AR12" s="406">
        <f t="shared" si="33"/>
        <v>0.1217235329527898</v>
      </c>
      <c r="AS12" s="406">
        <f t="shared" si="34"/>
        <v>0.10955117965751082</v>
      </c>
      <c r="AT12" s="407">
        <f t="shared" si="8"/>
        <v>4.6711056132652251E-3</v>
      </c>
      <c r="AU12" s="396">
        <f>AU11+5</f>
        <v>50</v>
      </c>
      <c r="AV12" s="397">
        <v>0</v>
      </c>
      <c r="AW12" s="386">
        <v>28</v>
      </c>
      <c r="AX12" s="386">
        <f>VLOOKUP(AW12,THERMO_WATER_SAT!$A$3:$D$103,4,FALSE)</f>
        <v>3.1349949466131133E-3</v>
      </c>
      <c r="AY12" s="386">
        <f t="shared" si="9"/>
        <v>28</v>
      </c>
      <c r="AZ12" s="386">
        <f t="shared" si="10"/>
        <v>33</v>
      </c>
      <c r="BA12" s="386">
        <f t="shared" si="35"/>
        <v>2.1463780576409272E-3</v>
      </c>
      <c r="BB12" s="386">
        <f t="shared" si="11"/>
        <v>-1.9772337779443722E-4</v>
      </c>
      <c r="BC12" s="386">
        <v>120</v>
      </c>
      <c r="BD12" s="386">
        <f t="shared" si="36"/>
        <v>-1.5055555810475109E-2</v>
      </c>
      <c r="BE12" s="396">
        <f>BE10+5</f>
        <v>45</v>
      </c>
      <c r="BF12" s="397">
        <f>VLOOKUP(BE12,$AW$4:$BD$104,2,FALSE)</f>
        <v>6.3078870706696974E-3</v>
      </c>
      <c r="BG12" s="396">
        <v>30</v>
      </c>
      <c r="BH12" s="398">
        <v>120</v>
      </c>
      <c r="BI12" s="397">
        <f t="shared" si="37"/>
        <v>1.0769285996338469E-3</v>
      </c>
      <c r="BJ12" s="386">
        <f t="shared" si="12"/>
        <v>3.1349949466131133E-3</v>
      </c>
      <c r="BK12" s="386">
        <f t="shared" si="13"/>
        <v>10.085203895532807</v>
      </c>
      <c r="BL12" s="386">
        <f t="shared" si="38"/>
        <v>28</v>
      </c>
      <c r="BM12" s="386">
        <v>50</v>
      </c>
      <c r="BN12" s="386">
        <f t="shared" si="39"/>
        <v>85</v>
      </c>
      <c r="BO12" s="386">
        <f t="shared" si="14"/>
        <v>85.565000000002698</v>
      </c>
      <c r="BP12" s="386">
        <f t="shared" si="40"/>
        <v>545.23500000000274</v>
      </c>
      <c r="BQ12" s="386">
        <f t="shared" si="15"/>
        <v>0.60734231341108369</v>
      </c>
      <c r="BR12" s="386">
        <f t="shared" si="16"/>
        <v>2.6811178432848387E-2</v>
      </c>
      <c r="BS12" s="386">
        <f t="shared" si="41"/>
        <v>88.754686502881938</v>
      </c>
    </row>
    <row r="13" spans="1:71" x14ac:dyDescent="0.3">
      <c r="A13" s="401">
        <v>120</v>
      </c>
      <c r="B13" s="402">
        <f>B12</f>
        <v>0.01</v>
      </c>
      <c r="C13" s="401">
        <v>120</v>
      </c>
      <c r="D13" s="402">
        <f>D12</f>
        <v>8.0000000000000004E-4</v>
      </c>
      <c r="E13" s="406"/>
      <c r="F13" s="406"/>
      <c r="G13" s="406"/>
      <c r="H13" s="406"/>
      <c r="K13" s="405">
        <v>41</v>
      </c>
      <c r="L13" s="406">
        <f t="shared" si="17"/>
        <v>0.12654344113099805</v>
      </c>
      <c r="M13" s="406">
        <f t="shared" si="18"/>
        <v>1.2654344113099805E-2</v>
      </c>
      <c r="N13" s="407">
        <f t="shared" si="0"/>
        <v>5.3600250395790291E-4</v>
      </c>
      <c r="O13" s="405">
        <v>41</v>
      </c>
      <c r="P13" s="406">
        <f t="shared" si="19"/>
        <v>0.12654344113099805</v>
      </c>
      <c r="Q13" s="406">
        <f t="shared" si="20"/>
        <v>2.530868822619961E-2</v>
      </c>
      <c r="R13" s="407">
        <f t="shared" si="1"/>
        <v>1.0729296760158189E-3</v>
      </c>
      <c r="S13" s="405">
        <v>41</v>
      </c>
      <c r="T13" s="406">
        <f t="shared" si="21"/>
        <v>0.12654344113099805</v>
      </c>
      <c r="U13" s="406">
        <f t="shared" si="22"/>
        <v>3.7963032339299416E-2</v>
      </c>
      <c r="V13" s="407">
        <f t="shared" si="2"/>
        <v>1.6107839109831654E-3</v>
      </c>
      <c r="W13" s="405">
        <v>41</v>
      </c>
      <c r="X13" s="406">
        <f t="shared" si="23"/>
        <v>0.12654344113099805</v>
      </c>
      <c r="Y13" s="406">
        <f t="shared" si="24"/>
        <v>5.0617376452399221E-2</v>
      </c>
      <c r="Z13" s="407">
        <f t="shared" si="3"/>
        <v>2.1495676119463033E-3</v>
      </c>
      <c r="AA13" s="405">
        <v>41</v>
      </c>
      <c r="AB13" s="406">
        <f t="shared" si="25"/>
        <v>0.12654344113099805</v>
      </c>
      <c r="AC13" s="406">
        <f t="shared" si="26"/>
        <v>6.3271720565499026E-2</v>
      </c>
      <c r="AD13" s="407">
        <f t="shared" si="4"/>
        <v>2.6892831903043207E-3</v>
      </c>
      <c r="AE13" s="405">
        <v>41</v>
      </c>
      <c r="AF13" s="406">
        <f t="shared" si="27"/>
        <v>0.12654344113099805</v>
      </c>
      <c r="AG13" s="406">
        <f t="shared" si="28"/>
        <v>7.5926064678598831E-2</v>
      </c>
      <c r="AH13" s="407">
        <f t="shared" si="5"/>
        <v>3.229933065805015E-3</v>
      </c>
      <c r="AI13" s="405">
        <v>41</v>
      </c>
      <c r="AJ13" s="406">
        <f t="shared" si="29"/>
        <v>0.12654344113099805</v>
      </c>
      <c r="AK13" s="406">
        <f t="shared" si="30"/>
        <v>8.8580408791698637E-2</v>
      </c>
      <c r="AL13" s="407">
        <f t="shared" si="6"/>
        <v>3.7715196665810496E-3</v>
      </c>
      <c r="AM13" s="405">
        <v>41</v>
      </c>
      <c r="AN13" s="406">
        <f t="shared" si="31"/>
        <v>0.12654344113099805</v>
      </c>
      <c r="AO13" s="406">
        <f t="shared" si="32"/>
        <v>0.10123475290479844</v>
      </c>
      <c r="AP13" s="407">
        <f t="shared" si="7"/>
        <v>4.3140454291863061E-3</v>
      </c>
      <c r="AQ13" s="405">
        <v>41</v>
      </c>
      <c r="AR13" s="406">
        <f t="shared" si="33"/>
        <v>0.12654344113099805</v>
      </c>
      <c r="AS13" s="406">
        <f t="shared" si="34"/>
        <v>0.11388909701789825</v>
      </c>
      <c r="AT13" s="407">
        <f t="shared" si="8"/>
        <v>4.8575127986324237E-3</v>
      </c>
      <c r="AU13" s="401">
        <f>AU12</f>
        <v>50</v>
      </c>
      <c r="AV13" s="402">
        <f>VLOOKUP(AU13,THERMO_WATER_SAT!$A$13:$D$103,4,FALSE)</f>
        <v>7.6300275751821269E-3</v>
      </c>
      <c r="AW13" s="386">
        <v>29</v>
      </c>
      <c r="AX13" s="386">
        <f>VLOOKUP(AW13,THERMO_WATER_SAT!$A$3:$D$103,4,FALSE)</f>
        <v>3.2847151699221091E-3</v>
      </c>
      <c r="AY13" s="386">
        <f t="shared" si="9"/>
        <v>29</v>
      </c>
      <c r="AZ13" s="386">
        <f t="shared" si="10"/>
        <v>34</v>
      </c>
      <c r="BA13" s="386">
        <f t="shared" si="35"/>
        <v>2.295772466628777E-3</v>
      </c>
      <c r="BB13" s="386">
        <f t="shared" si="11"/>
        <v>-1.9778854065866639E-4</v>
      </c>
      <c r="BC13" s="386">
        <v>120</v>
      </c>
      <c r="BD13" s="386">
        <f t="shared" si="36"/>
        <v>-1.4714042030016533E-2</v>
      </c>
      <c r="BE13" s="401">
        <v>120</v>
      </c>
      <c r="BF13" s="402">
        <f>VLOOKUP(BE12,$AW$4:$BD$104,8,FALSE)</f>
        <v>-1.0707673235304228E-2</v>
      </c>
      <c r="BG13" s="401">
        <v>30</v>
      </c>
      <c r="BH13" s="403">
        <f>VLOOKUP(BG13,$BM$4:$BS$14,7,FALSE)</f>
        <v>66.609096011509422</v>
      </c>
      <c r="BI13" s="402">
        <f t="shared" si="37"/>
        <v>1.2849940784283918E-2</v>
      </c>
      <c r="BJ13" s="386">
        <f t="shared" si="12"/>
        <v>3.2847151699221091E-3</v>
      </c>
      <c r="BK13" s="386">
        <f t="shared" si="13"/>
        <v>10.487376787815275</v>
      </c>
      <c r="BL13" s="386">
        <f t="shared" si="38"/>
        <v>29</v>
      </c>
      <c r="BM13" s="386">
        <v>55</v>
      </c>
      <c r="BN13" s="386">
        <f t="shared" si="39"/>
        <v>89</v>
      </c>
      <c r="BO13" s="386">
        <f t="shared" si="14"/>
        <v>89.424000000002025</v>
      </c>
      <c r="BP13" s="386">
        <f t="shared" si="40"/>
        <v>549.0940000000021</v>
      </c>
      <c r="BQ13" s="386">
        <f t="shared" si="15"/>
        <v>0.68635951664385997</v>
      </c>
      <c r="BR13" s="386">
        <f t="shared" si="16"/>
        <v>3.0470294372379421E-2</v>
      </c>
      <c r="BS13" s="386">
        <f t="shared" si="41"/>
        <v>93.027401646516253</v>
      </c>
    </row>
    <row r="14" spans="1:71" x14ac:dyDescent="0.3">
      <c r="A14" s="396">
        <f>IF(DewPointA32(P_TOTAL,B14)&lt;32,32,DewPointA32(P_TOTAL,B14))</f>
        <v>62.354804783149675</v>
      </c>
      <c r="B14" s="397">
        <f>B13+0.002</f>
        <v>1.2E-2</v>
      </c>
      <c r="C14" s="396">
        <f>IF(DewPointA32(P_TOTAL,D14)&lt;32,32,DewPointA32(P_TOTAL,D14))</f>
        <v>32</v>
      </c>
      <c r="D14" s="397">
        <f>D13+0.0002</f>
        <v>1E-3</v>
      </c>
      <c r="E14" s="406"/>
      <c r="F14" s="406"/>
      <c r="G14" s="406"/>
      <c r="H14" s="406"/>
      <c r="K14" s="405">
        <v>42</v>
      </c>
      <c r="L14" s="406">
        <f t="shared" si="17"/>
        <v>0.13153129528486066</v>
      </c>
      <c r="M14" s="406">
        <f t="shared" si="18"/>
        <v>1.3153129528486067E-2</v>
      </c>
      <c r="N14" s="407">
        <f t="shared" si="0"/>
        <v>5.571485804210536E-4</v>
      </c>
      <c r="O14" s="405">
        <v>42</v>
      </c>
      <c r="P14" s="406">
        <f t="shared" si="19"/>
        <v>0.13153129528486066</v>
      </c>
      <c r="Q14" s="406">
        <f t="shared" si="20"/>
        <v>2.6306259056972134E-2</v>
      </c>
      <c r="R14" s="407">
        <f t="shared" si="1"/>
        <v>1.1152962611061348E-3</v>
      </c>
      <c r="S14" s="405">
        <v>42</v>
      </c>
      <c r="T14" s="406">
        <f t="shared" si="21"/>
        <v>0.13153129528486066</v>
      </c>
      <c r="U14" s="406">
        <f t="shared" si="22"/>
        <v>3.9459388585458194E-2</v>
      </c>
      <c r="V14" s="407">
        <f t="shared" si="2"/>
        <v>1.6744457319045466E-3</v>
      </c>
      <c r="W14" s="405">
        <v>42</v>
      </c>
      <c r="X14" s="406">
        <f t="shared" si="23"/>
        <v>0.13153129528486066</v>
      </c>
      <c r="Y14" s="406">
        <f t="shared" si="24"/>
        <v>5.2612518113944268E-2</v>
      </c>
      <c r="Z14" s="407">
        <f t="shared" si="3"/>
        <v>2.234599692330007E-3</v>
      </c>
      <c r="AA14" s="405">
        <v>42</v>
      </c>
      <c r="AB14" s="406">
        <f t="shared" si="25"/>
        <v>0.13153129528486066</v>
      </c>
      <c r="AC14" s="406">
        <f t="shared" si="26"/>
        <v>6.5765647642430328E-2</v>
      </c>
      <c r="AD14" s="407">
        <f t="shared" si="4"/>
        <v>2.7957608516040867E-3</v>
      </c>
      <c r="AE14" s="405">
        <v>42</v>
      </c>
      <c r="AF14" s="406">
        <f t="shared" si="27"/>
        <v>0.13153129528486066</v>
      </c>
      <c r="AG14" s="406">
        <f t="shared" si="28"/>
        <v>7.8918777170916388E-2</v>
      </c>
      <c r="AH14" s="407">
        <f t="shared" si="5"/>
        <v>3.3579319286998937E-3</v>
      </c>
      <c r="AI14" s="405">
        <v>42</v>
      </c>
      <c r="AJ14" s="406">
        <f t="shared" si="29"/>
        <v>0.13153129528486066</v>
      </c>
      <c r="AK14" s="406">
        <f t="shared" si="30"/>
        <v>9.2071906699402448E-2</v>
      </c>
      <c r="AL14" s="407">
        <f t="shared" si="6"/>
        <v>3.921115652385984E-3</v>
      </c>
      <c r="AM14" s="405">
        <v>42</v>
      </c>
      <c r="AN14" s="406">
        <f t="shared" si="31"/>
        <v>0.13153129528486066</v>
      </c>
      <c r="AO14" s="406">
        <f t="shared" si="32"/>
        <v>0.10522503622788854</v>
      </c>
      <c r="AP14" s="407">
        <f t="shared" si="7"/>
        <v>4.4853147612705143E-3</v>
      </c>
      <c r="AQ14" s="405">
        <v>42</v>
      </c>
      <c r="AR14" s="406">
        <f t="shared" si="33"/>
        <v>0.13153129528486066</v>
      </c>
      <c r="AS14" s="406">
        <f t="shared" si="34"/>
        <v>0.1183781657563746</v>
      </c>
      <c r="AT14" s="407">
        <f t="shared" si="8"/>
        <v>5.0505320038456269E-3</v>
      </c>
      <c r="AU14" s="396">
        <f>AU13+5</f>
        <v>55</v>
      </c>
      <c r="AV14" s="397">
        <v>0</v>
      </c>
      <c r="AW14" s="386">
        <v>30</v>
      </c>
      <c r="AX14" s="386">
        <f>VLOOKUP(AW14,THERMO_WATER_SAT!$A$3:$D$103,4,FALSE)</f>
        <v>3.4409630025260952E-3</v>
      </c>
      <c r="AY14" s="386">
        <f t="shared" si="9"/>
        <v>30</v>
      </c>
      <c r="AZ14" s="386">
        <f t="shared" si="10"/>
        <v>35</v>
      </c>
      <c r="BA14" s="386">
        <f t="shared" si="35"/>
        <v>2.4516809763653678E-3</v>
      </c>
      <c r="BB14" s="386">
        <f t="shared" si="11"/>
        <v>-1.9785640523214547E-4</v>
      </c>
      <c r="BC14" s="386">
        <v>120</v>
      </c>
      <c r="BD14" s="386">
        <f t="shared" si="36"/>
        <v>-1.4366113468366998E-2</v>
      </c>
      <c r="BE14" s="396">
        <f>BE12+5</f>
        <v>50</v>
      </c>
      <c r="BF14" s="397">
        <f>VLOOKUP(BE14,$AW$4:$BD$104,2,FALSE)</f>
        <v>7.6300275751821269E-3</v>
      </c>
      <c r="BG14" s="396">
        <v>35</v>
      </c>
      <c r="BH14" s="398">
        <v>120</v>
      </c>
      <c r="BI14" s="397">
        <f t="shared" si="37"/>
        <v>5.5641310981081977E-3</v>
      </c>
      <c r="BJ14" s="386">
        <f t="shared" si="12"/>
        <v>3.4409630025260952E-3</v>
      </c>
      <c r="BK14" s="386">
        <f t="shared" si="13"/>
        <v>10.896695372873834</v>
      </c>
      <c r="BL14" s="386">
        <f t="shared" si="38"/>
        <v>30</v>
      </c>
      <c r="BM14" s="386">
        <v>60</v>
      </c>
      <c r="BN14" s="386">
        <f t="shared" si="39"/>
        <v>92</v>
      </c>
      <c r="BO14" s="386">
        <f t="shared" si="14"/>
        <v>92.939000000004484</v>
      </c>
      <c r="BP14" s="386">
        <f t="shared" si="40"/>
        <v>552.60900000000447</v>
      </c>
      <c r="BQ14" s="386">
        <f t="shared" si="15"/>
        <v>0.7659514741884984</v>
      </c>
      <c r="BR14" s="386">
        <f t="shared" si="16"/>
        <v>3.4197992112623588E-2</v>
      </c>
      <c r="BS14" s="386">
        <f t="shared" si="41"/>
        <v>96.957015344400219</v>
      </c>
    </row>
    <row r="15" spans="1:71" x14ac:dyDescent="0.3">
      <c r="A15" s="401">
        <v>120</v>
      </c>
      <c r="B15" s="402">
        <f>B14</f>
        <v>1.2E-2</v>
      </c>
      <c r="C15" s="401">
        <v>120</v>
      </c>
      <c r="D15" s="402">
        <f>D14</f>
        <v>1E-3</v>
      </c>
      <c r="E15" s="406"/>
      <c r="F15" s="406"/>
      <c r="G15" s="406"/>
      <c r="H15" s="406"/>
      <c r="K15" s="408">
        <v>43</v>
      </c>
      <c r="L15" s="406">
        <f t="shared" si="17"/>
        <v>0.13669209171014826</v>
      </c>
      <c r="M15" s="406">
        <f t="shared" si="18"/>
        <v>1.3669209171014827E-2</v>
      </c>
      <c r="N15" s="407">
        <f t="shared" si="0"/>
        <v>5.7902936035691087E-4</v>
      </c>
      <c r="O15" s="408">
        <v>43</v>
      </c>
      <c r="P15" s="406">
        <f t="shared" si="19"/>
        <v>0.13669209171014826</v>
      </c>
      <c r="Q15" s="406">
        <f t="shared" si="20"/>
        <v>2.7338418342029654E-2</v>
      </c>
      <c r="R15" s="407">
        <f t="shared" si="1"/>
        <v>1.1591378748546158E-3</v>
      </c>
      <c r="S15" s="408">
        <v>43</v>
      </c>
      <c r="T15" s="406">
        <f t="shared" si="21"/>
        <v>0.13669209171014826</v>
      </c>
      <c r="U15" s="406">
        <f t="shared" si="22"/>
        <v>4.100762751304448E-2</v>
      </c>
      <c r="V15" s="407">
        <f t="shared" si="2"/>
        <v>1.740328563184283E-3</v>
      </c>
      <c r="W15" s="408">
        <v>43</v>
      </c>
      <c r="X15" s="406">
        <f t="shared" si="23"/>
        <v>0.13669209171014826</v>
      </c>
      <c r="Y15" s="406">
        <f t="shared" si="24"/>
        <v>5.4676836684059309E-2</v>
      </c>
      <c r="Z15" s="407">
        <f t="shared" si="3"/>
        <v>2.3226044563138732E-3</v>
      </c>
      <c r="AA15" s="408">
        <v>43</v>
      </c>
      <c r="AB15" s="406">
        <f t="shared" si="25"/>
        <v>0.13669209171014826</v>
      </c>
      <c r="AC15" s="406">
        <f t="shared" si="26"/>
        <v>6.8346045855074131E-2</v>
      </c>
      <c r="AD15" s="407">
        <f t="shared" si="4"/>
        <v>2.9059685965408277E-3</v>
      </c>
      <c r="AE15" s="408">
        <v>43</v>
      </c>
      <c r="AF15" s="406">
        <f t="shared" si="27"/>
        <v>0.13669209171014826</v>
      </c>
      <c r="AG15" s="406">
        <f t="shared" si="28"/>
        <v>8.201525502608896E-2</v>
      </c>
      <c r="AH15" s="407">
        <f t="shared" si="5"/>
        <v>3.4904240375450563E-3</v>
      </c>
      <c r="AI15" s="408">
        <v>43</v>
      </c>
      <c r="AJ15" s="406">
        <f t="shared" si="29"/>
        <v>0.13669209171014826</v>
      </c>
      <c r="AK15" s="406">
        <f t="shared" si="30"/>
        <v>9.5684464197103775E-2</v>
      </c>
      <c r="AL15" s="407">
        <f t="shared" si="6"/>
        <v>4.0759738444422185E-3</v>
      </c>
      <c r="AM15" s="408">
        <v>43</v>
      </c>
      <c r="AN15" s="406">
        <f t="shared" si="31"/>
        <v>0.13669209171014826</v>
      </c>
      <c r="AO15" s="406">
        <f t="shared" si="32"/>
        <v>0.10935367336811862</v>
      </c>
      <c r="AP15" s="407">
        <f t="shared" si="7"/>
        <v>4.6626210938373065E-3</v>
      </c>
      <c r="AQ15" s="408">
        <v>43</v>
      </c>
      <c r="AR15" s="406">
        <f t="shared" si="33"/>
        <v>0.13669209171014826</v>
      </c>
      <c r="AS15" s="406">
        <f t="shared" si="34"/>
        <v>0.12302288253913343</v>
      </c>
      <c r="AT15" s="407">
        <f t="shared" si="8"/>
        <v>5.2503688738785269E-3</v>
      </c>
      <c r="AU15" s="401">
        <f>AU14</f>
        <v>55</v>
      </c>
      <c r="AV15" s="402">
        <f>VLOOKUP(AU15,THERMO_WATER_SAT!$A$13:$D$103,4,FALSE)</f>
        <v>9.1948547939831385E-3</v>
      </c>
      <c r="AW15" s="386">
        <v>31</v>
      </c>
      <c r="AX15" s="386">
        <f>VLOOKUP(AW15,THERMO_WATER_SAT!$A$3:$D$103,4,FALSE)</f>
        <v>3.6039966432068905E-3</v>
      </c>
      <c r="AY15" s="386">
        <f t="shared" si="9"/>
        <v>31</v>
      </c>
      <c r="AZ15" s="386">
        <f t="shared" si="10"/>
        <v>36</v>
      </c>
      <c r="BA15" s="386">
        <f t="shared" si="35"/>
        <v>2.6143612246580391E-3</v>
      </c>
      <c r="BB15" s="386">
        <f t="shared" si="11"/>
        <v>-1.9792708370977027E-4</v>
      </c>
      <c r="BC15" s="386">
        <v>120</v>
      </c>
      <c r="BD15" s="386">
        <f t="shared" si="36"/>
        <v>-1.4011513806962661E-2</v>
      </c>
      <c r="BE15" s="401">
        <v>120</v>
      </c>
      <c r="BF15" s="402">
        <f>VLOOKUP(BE14,$AW$4:$BD$104,8,FALSE)</f>
        <v>-8.3310198635361508E-3</v>
      </c>
      <c r="BG15" s="401">
        <v>35</v>
      </c>
      <c r="BH15" s="403">
        <f>VLOOKUP(BG15,$BM$4:$BS$14,7,FALSE)</f>
        <v>73.132647135890124</v>
      </c>
      <c r="BI15" s="402">
        <f t="shared" si="37"/>
        <v>1.5956679562236752E-2</v>
      </c>
      <c r="BJ15" s="386">
        <f t="shared" si="12"/>
        <v>3.6039966432068905E-3</v>
      </c>
      <c r="BK15" s="386">
        <f t="shared" si="13"/>
        <v>11.31344584823961</v>
      </c>
      <c r="BL15" s="386">
        <f t="shared" si="38"/>
        <v>31</v>
      </c>
    </row>
    <row r="16" spans="1:71" x14ac:dyDescent="0.3">
      <c r="A16" s="396">
        <f>IF(DewPointA32(P_TOTAL,B16)&lt;32,32,DewPointA32(P_TOTAL,B16))</f>
        <v>66.664502843541584</v>
      </c>
      <c r="B16" s="397">
        <f>B15+0.002</f>
        <v>1.4E-2</v>
      </c>
      <c r="C16" s="396">
        <f>IF(DewPointA32(P_TOTAL,D16)&lt;32,32,DewPointA32(P_TOTAL,D16))</f>
        <v>32</v>
      </c>
      <c r="D16" s="397">
        <f>D15+0.0002</f>
        <v>1.2000000000000001E-3</v>
      </c>
      <c r="E16" s="406"/>
      <c r="F16" s="406"/>
      <c r="G16" s="406"/>
      <c r="H16" s="406"/>
      <c r="K16" s="405">
        <v>44</v>
      </c>
      <c r="L16" s="406">
        <f t="shared" si="17"/>
        <v>0.14203094722628753</v>
      </c>
      <c r="M16" s="406">
        <f t="shared" si="18"/>
        <v>1.4203094722628755E-2</v>
      </c>
      <c r="N16" s="407">
        <f t="shared" si="0"/>
        <v>6.0166669523025352E-4</v>
      </c>
      <c r="O16" s="405">
        <v>44</v>
      </c>
      <c r="P16" s="406">
        <f t="shared" si="19"/>
        <v>0.14203094722628753</v>
      </c>
      <c r="Q16" s="406">
        <f t="shared" si="20"/>
        <v>2.840618944525751E-2</v>
      </c>
      <c r="R16" s="407">
        <f t="shared" si="1"/>
        <v>1.204498616219303E-3</v>
      </c>
      <c r="S16" s="405">
        <v>44</v>
      </c>
      <c r="T16" s="406">
        <f t="shared" si="21"/>
        <v>0.14203094722628753</v>
      </c>
      <c r="U16" s="406">
        <f t="shared" si="22"/>
        <v>4.2609284167886258E-2</v>
      </c>
      <c r="V16" s="407">
        <f t="shared" si="2"/>
        <v>1.8084991512229065E-3</v>
      </c>
      <c r="W16" s="405">
        <v>44</v>
      </c>
      <c r="X16" s="406">
        <f t="shared" si="23"/>
        <v>0.14203094722628753</v>
      </c>
      <c r="Y16" s="406">
        <f t="shared" si="24"/>
        <v>5.681237889051502E-2</v>
      </c>
      <c r="Z16" s="407">
        <f t="shared" si="3"/>
        <v>2.4136717016461102E-3</v>
      </c>
      <c r="AA16" s="405">
        <v>44</v>
      </c>
      <c r="AB16" s="406">
        <f t="shared" si="25"/>
        <v>0.14203094722628753</v>
      </c>
      <c r="AC16" s="406">
        <f t="shared" si="26"/>
        <v>7.1015473613143767E-2</v>
      </c>
      <c r="AD16" s="407">
        <f t="shared" si="4"/>
        <v>3.020019682107094E-3</v>
      </c>
      <c r="AE16" s="405">
        <v>44</v>
      </c>
      <c r="AF16" s="406">
        <f t="shared" si="27"/>
        <v>0.14203094722628753</v>
      </c>
      <c r="AG16" s="406">
        <f t="shared" si="28"/>
        <v>8.5218568335772515E-2</v>
      </c>
      <c r="AH16" s="407">
        <f t="shared" si="5"/>
        <v>3.6275465205013973E-3</v>
      </c>
      <c r="AI16" s="405">
        <v>44</v>
      </c>
      <c r="AJ16" s="406">
        <f t="shared" si="29"/>
        <v>0.14203094722628753</v>
      </c>
      <c r="AK16" s="406">
        <f t="shared" si="30"/>
        <v>9.9421663058401263E-2</v>
      </c>
      <c r="AL16" s="407">
        <f t="shared" si="6"/>
        <v>4.2362556580665166E-3</v>
      </c>
      <c r="AM16" s="405">
        <v>44</v>
      </c>
      <c r="AN16" s="406">
        <f t="shared" si="31"/>
        <v>0.14203094722628753</v>
      </c>
      <c r="AO16" s="406">
        <f t="shared" si="32"/>
        <v>0.11362475778103004</v>
      </c>
      <c r="AP16" s="407">
        <f t="shared" si="7"/>
        <v>4.8461505494468773E-3</v>
      </c>
      <c r="AQ16" s="405">
        <v>44</v>
      </c>
      <c r="AR16" s="406">
        <f t="shared" si="33"/>
        <v>0.14203094722628753</v>
      </c>
      <c r="AS16" s="406">
        <f t="shared" si="34"/>
        <v>0.12782785250365877</v>
      </c>
      <c r="AT16" s="407">
        <f t="shared" si="8"/>
        <v>5.4572346627591879E-3</v>
      </c>
      <c r="AU16" s="396">
        <f>AU15+5</f>
        <v>60</v>
      </c>
      <c r="AV16" s="397">
        <v>0</v>
      </c>
      <c r="AW16" s="386">
        <v>32</v>
      </c>
      <c r="AX16" s="386">
        <f>VLOOKUP(AW16,THERMO_WATER_SAT!$A$3:$D$103,4,FALSE)</f>
        <v>3.7744534370573114E-3</v>
      </c>
      <c r="AY16" s="386">
        <f>AW16</f>
        <v>32</v>
      </c>
      <c r="AZ16" s="386">
        <f t="shared" si="10"/>
        <v>37</v>
      </c>
      <c r="BA16" s="386">
        <f t="shared" ref="BA16:BA79" si="42">((1093-0.556*AY16)*AX16-0.24*(AZ16-AY16))/(1093+(0.444*AZ16)-AY16)</f>
        <v>2.6529127989540994E-3</v>
      </c>
      <c r="BB16" s="386">
        <f>(BA16-AX16)/(AZ16-AW16)</f>
        <v>-2.243081276206424E-4</v>
      </c>
      <c r="BC16" s="386">
        <v>120</v>
      </c>
      <c r="BD16" s="386">
        <f>(BB16*(BC16-AZ16))+BA16</f>
        <v>-1.5964661793559223E-2</v>
      </c>
      <c r="BE16" s="396">
        <f>BE14+5</f>
        <v>55</v>
      </c>
      <c r="BF16" s="397">
        <f>VLOOKUP(BE16,$AW$4:$BD$104,2,FALSE)</f>
        <v>9.1948547939831385E-3</v>
      </c>
      <c r="BG16" s="396">
        <v>40</v>
      </c>
      <c r="BH16" s="398">
        <v>120</v>
      </c>
      <c r="BI16" s="397">
        <f t="shared" si="37"/>
        <v>1.005133359658255E-2</v>
      </c>
      <c r="BJ16" s="386">
        <f t="shared" si="12"/>
        <v>3.7744534370573114E-3</v>
      </c>
      <c r="BK16" s="386">
        <f t="shared" si="13"/>
        <v>11.738322531151518</v>
      </c>
      <c r="BL16" s="386">
        <f t="shared" si="38"/>
        <v>32</v>
      </c>
    </row>
    <row r="17" spans="1:64" x14ac:dyDescent="0.3">
      <c r="A17" s="401">
        <v>120</v>
      </c>
      <c r="B17" s="402">
        <f>B16</f>
        <v>1.4E-2</v>
      </c>
      <c r="C17" s="401">
        <v>120</v>
      </c>
      <c r="D17" s="402">
        <f>D16</f>
        <v>1.2000000000000001E-3</v>
      </c>
      <c r="E17" s="406"/>
      <c r="F17" s="406"/>
      <c r="G17" s="406"/>
      <c r="H17" s="406"/>
      <c r="K17" s="405">
        <v>45</v>
      </c>
      <c r="L17" s="406">
        <f t="shared" si="17"/>
        <v>0.14755310129091478</v>
      </c>
      <c r="M17" s="406">
        <f t="shared" si="18"/>
        <v>1.4755310129091479E-2</v>
      </c>
      <c r="N17" s="407">
        <f t="shared" si="0"/>
        <v>6.2508296829904967E-4</v>
      </c>
      <c r="O17" s="405">
        <v>45</v>
      </c>
      <c r="P17" s="406">
        <f t="shared" si="19"/>
        <v>0.14755310129091478</v>
      </c>
      <c r="Q17" s="406">
        <f t="shared" si="20"/>
        <v>2.9510620258182959E-2</v>
      </c>
      <c r="R17" s="407">
        <f t="shared" si="1"/>
        <v>1.2514236735813485E-3</v>
      </c>
      <c r="S17" s="405">
        <v>45</v>
      </c>
      <c r="T17" s="406">
        <f t="shared" si="21"/>
        <v>0.14755310129091478</v>
      </c>
      <c r="U17" s="406">
        <f t="shared" si="22"/>
        <v>4.4265930387274437E-2</v>
      </c>
      <c r="V17" s="407">
        <f t="shared" si="2"/>
        <v>1.8790259157314344E-3</v>
      </c>
      <c r="W17" s="405">
        <v>45</v>
      </c>
      <c r="X17" s="406">
        <f t="shared" si="23"/>
        <v>0.14755310129091478</v>
      </c>
      <c r="Y17" s="406">
        <f t="shared" si="24"/>
        <v>5.9021240516365918E-2</v>
      </c>
      <c r="Z17" s="407">
        <f t="shared" si="3"/>
        <v>2.5078935099562627E-3</v>
      </c>
      <c r="AA17" s="405">
        <v>45</v>
      </c>
      <c r="AB17" s="406">
        <f t="shared" si="25"/>
        <v>0.14755310129091478</v>
      </c>
      <c r="AC17" s="406">
        <f t="shared" si="26"/>
        <v>7.3776550645457392E-2</v>
      </c>
      <c r="AD17" s="407">
        <f t="shared" si="4"/>
        <v>3.1380302868625159E-3</v>
      </c>
      <c r="AE17" s="405">
        <v>45</v>
      </c>
      <c r="AF17" s="406">
        <f t="shared" si="27"/>
        <v>0.14755310129091478</v>
      </c>
      <c r="AG17" s="406">
        <f t="shared" si="28"/>
        <v>8.8531860774548873E-2</v>
      </c>
      <c r="AH17" s="407">
        <f t="shared" si="5"/>
        <v>3.7694400925343814E-3</v>
      </c>
      <c r="AI17" s="405">
        <v>45</v>
      </c>
      <c r="AJ17" s="406">
        <f t="shared" si="29"/>
        <v>0.14755310129091478</v>
      </c>
      <c r="AK17" s="406">
        <f t="shared" si="30"/>
        <v>0.10328717090364034</v>
      </c>
      <c r="AL17" s="407">
        <f t="shared" si="6"/>
        <v>4.4021267886118001E-3</v>
      </c>
      <c r="AM17" s="405">
        <v>45</v>
      </c>
      <c r="AN17" s="406">
        <f t="shared" si="31"/>
        <v>0.14755310129091478</v>
      </c>
      <c r="AO17" s="406">
        <f t="shared" si="32"/>
        <v>0.11804248103273184</v>
      </c>
      <c r="AP17" s="407">
        <f t="shared" si="7"/>
        <v>5.0360942523691946E-3</v>
      </c>
      <c r="AQ17" s="405">
        <v>45</v>
      </c>
      <c r="AR17" s="406">
        <f t="shared" si="33"/>
        <v>0.14755310129091478</v>
      </c>
      <c r="AS17" s="406">
        <f t="shared" si="34"/>
        <v>0.1327977911618233</v>
      </c>
      <c r="AT17" s="407">
        <f t="shared" si="8"/>
        <v>5.67134637679467E-3</v>
      </c>
      <c r="AU17" s="401">
        <f>AU16</f>
        <v>60</v>
      </c>
      <c r="AV17" s="402">
        <f>VLOOKUP(AU17,THERMO_WATER_SAT!$A$13:$D$103,4,FALSE)</f>
        <v>1.1041284437913019E-2</v>
      </c>
      <c r="AW17" s="386">
        <v>33</v>
      </c>
      <c r="AX17" s="386">
        <f>VLOOKUP(AW17,THERMO_WATER_SAT!$A$3:$D$103,4,FALSE)</f>
        <v>3.9305191762292928E-3</v>
      </c>
      <c r="AY17" s="386">
        <f t="shared" ref="AY17:AY80" si="43">AW17</f>
        <v>33</v>
      </c>
      <c r="AZ17" s="386">
        <f t="shared" si="10"/>
        <v>38</v>
      </c>
      <c r="BA17" s="386">
        <f t="shared" si="42"/>
        <v>2.8080777416193956E-3</v>
      </c>
      <c r="BB17" s="386">
        <f t="shared" ref="BB17:BB80" si="44">(BA17-AX17)/(AZ17-AW17)</f>
        <v>-2.2448828692197943E-4</v>
      </c>
      <c r="BC17" s="386">
        <v>120</v>
      </c>
      <c r="BD17" s="386">
        <f t="shared" ref="BD17:BD80" si="45">(BB17*(BC17-AZ17))+BA17</f>
        <v>-1.5599961785982918E-2</v>
      </c>
      <c r="BE17" s="401">
        <v>120</v>
      </c>
      <c r="BF17" s="402">
        <f>VLOOKUP(BE16,$AW$4:$BD$104,8,FALSE)</f>
        <v>-5.7072374713406718E-3</v>
      </c>
      <c r="BG17" s="401">
        <v>40</v>
      </c>
      <c r="BH17" s="403">
        <f>VLOOKUP(BG17,$BM$4:$BS$14,7,FALSE)</f>
        <v>78.905399446168573</v>
      </c>
      <c r="BI17" s="402">
        <f t="shared" si="37"/>
        <v>1.9217199634104738E-2</v>
      </c>
      <c r="BJ17" s="386">
        <f t="shared" si="12"/>
        <v>3.9305191762292928E-3</v>
      </c>
      <c r="BK17" s="386">
        <f t="shared" si="13"/>
        <v>12.147870812949392</v>
      </c>
      <c r="BL17" s="386">
        <f t="shared" si="38"/>
        <v>33</v>
      </c>
    </row>
    <row r="18" spans="1:64" x14ac:dyDescent="0.3">
      <c r="A18" s="396">
        <f>IF(DewPointA32(P_TOTAL,B18)&lt;32,32,DewPointA32(P_TOTAL,B18))</f>
        <v>70.450434764908323</v>
      </c>
      <c r="B18" s="397">
        <f>B17+0.002</f>
        <v>1.6E-2</v>
      </c>
      <c r="C18" s="396">
        <f>IF(DewPointA32(P_TOTAL,D18)&lt;32,32,DewPointA32(P_TOTAL,D18))</f>
        <v>32</v>
      </c>
      <c r="D18" s="397">
        <f>D17+0.0002</f>
        <v>1.4000000000000002E-3</v>
      </c>
      <c r="E18" s="406"/>
      <c r="F18" s="406"/>
      <c r="G18" s="406"/>
      <c r="H18" s="406"/>
      <c r="K18" s="408">
        <v>46</v>
      </c>
      <c r="L18" s="406">
        <f t="shared" si="17"/>
        <v>0.1532639181328922</v>
      </c>
      <c r="M18" s="406">
        <f t="shared" si="18"/>
        <v>1.5326391813289221E-2</v>
      </c>
      <c r="N18" s="407">
        <f t="shared" si="0"/>
        <v>6.4930110440131303E-4</v>
      </c>
      <c r="O18" s="408">
        <v>46</v>
      </c>
      <c r="P18" s="406">
        <f t="shared" si="19"/>
        <v>0.1532639181328922</v>
      </c>
      <c r="Q18" s="406">
        <f t="shared" si="20"/>
        <v>3.0652783626578441E-2</v>
      </c>
      <c r="R18" s="407">
        <f t="shared" si="1"/>
        <v>1.2999593458664857E-3</v>
      </c>
      <c r="S18" s="408">
        <v>46</v>
      </c>
      <c r="T18" s="406">
        <f t="shared" si="21"/>
        <v>0.1532639181328922</v>
      </c>
      <c r="U18" s="406">
        <f t="shared" si="22"/>
        <v>4.597917543986766E-2</v>
      </c>
      <c r="V18" s="407">
        <f t="shared" si="2"/>
        <v>1.9519789837780749E-3</v>
      </c>
      <c r="W18" s="408">
        <v>46</v>
      </c>
      <c r="X18" s="406">
        <f t="shared" si="23"/>
        <v>0.1532639181328922</v>
      </c>
      <c r="Y18" s="406">
        <f t="shared" si="24"/>
        <v>6.1305567253156883E-2</v>
      </c>
      <c r="Z18" s="407">
        <f t="shared" si="3"/>
        <v>2.6053642953614326E-3</v>
      </c>
      <c r="AA18" s="408">
        <v>46</v>
      </c>
      <c r="AB18" s="406">
        <f t="shared" si="25"/>
        <v>0.1532639181328922</v>
      </c>
      <c r="AC18" s="406">
        <f t="shared" si="26"/>
        <v>7.6631959066446098E-2</v>
      </c>
      <c r="AD18" s="407">
        <f t="shared" si="4"/>
        <v>3.260119575778236E-3</v>
      </c>
      <c r="AE18" s="408">
        <v>46</v>
      </c>
      <c r="AF18" s="406">
        <f t="shared" si="27"/>
        <v>0.1532639181328922</v>
      </c>
      <c r="AG18" s="406">
        <f t="shared" si="28"/>
        <v>9.1958350879735321E-2</v>
      </c>
      <c r="AH18" s="407">
        <f t="shared" si="5"/>
        <v>3.9162491382206035E-3</v>
      </c>
      <c r="AI18" s="408">
        <v>46</v>
      </c>
      <c r="AJ18" s="406">
        <f t="shared" si="29"/>
        <v>0.1532639181328922</v>
      </c>
      <c r="AK18" s="406">
        <f t="shared" si="30"/>
        <v>0.10728474269302453</v>
      </c>
      <c r="AL18" s="407">
        <f t="shared" si="6"/>
        <v>4.5737573140058061E-3</v>
      </c>
      <c r="AM18" s="408">
        <v>46</v>
      </c>
      <c r="AN18" s="406">
        <f t="shared" si="31"/>
        <v>0.1532639181328922</v>
      </c>
      <c r="AO18" s="406">
        <f t="shared" si="32"/>
        <v>0.12261113450631377</v>
      </c>
      <c r="AP18" s="407">
        <f t="shared" si="7"/>
        <v>5.2326484526715768E-3</v>
      </c>
      <c r="AQ18" s="408">
        <v>46</v>
      </c>
      <c r="AR18" s="406">
        <f t="shared" si="33"/>
        <v>0.1532639181328922</v>
      </c>
      <c r="AS18" s="406">
        <f t="shared" si="34"/>
        <v>0.13793752631960299</v>
      </c>
      <c r="AT18" s="407">
        <f t="shared" si="8"/>
        <v>5.8929269220720174E-3</v>
      </c>
      <c r="AU18" s="396">
        <f>AU17+5</f>
        <v>65</v>
      </c>
      <c r="AV18" s="397">
        <v>0</v>
      </c>
      <c r="AW18" s="386">
        <v>34</v>
      </c>
      <c r="AX18" s="386">
        <f>VLOOKUP(AW18,THERMO_WATER_SAT!$A$3:$D$103,4,FALSE)</f>
        <v>4.0923256980786747E-3</v>
      </c>
      <c r="AY18" s="386">
        <f t="shared" si="43"/>
        <v>34</v>
      </c>
      <c r="AZ18" s="386">
        <f t="shared" si="10"/>
        <v>39</v>
      </c>
      <c r="BA18" s="386">
        <f t="shared" si="42"/>
        <v>2.9689706954124182E-3</v>
      </c>
      <c r="BB18" s="386">
        <f t="shared" si="44"/>
        <v>-2.246710005332513E-4</v>
      </c>
      <c r="BC18" s="386">
        <v>120</v>
      </c>
      <c r="BD18" s="386">
        <f t="shared" si="45"/>
        <v>-1.5229380347780938E-2</v>
      </c>
      <c r="BE18" s="396">
        <f>BE16+5</f>
        <v>60</v>
      </c>
      <c r="BF18" s="397">
        <f>VLOOKUP(BE18,$AW$4:$BD$104,2,FALSE)</f>
        <v>1.1041284437913019E-2</v>
      </c>
      <c r="BG18" s="396">
        <v>45</v>
      </c>
      <c r="BH18" s="398">
        <v>120</v>
      </c>
      <c r="BI18" s="397">
        <f t="shared" si="37"/>
        <v>1.4538536095056901E-2</v>
      </c>
      <c r="BJ18" s="386">
        <f t="shared" si="12"/>
        <v>4.0923256980786747E-3</v>
      </c>
      <c r="BK18" s="386">
        <f t="shared" si="13"/>
        <v>12.563735314399668</v>
      </c>
      <c r="BL18" s="386">
        <f t="shared" si="38"/>
        <v>34</v>
      </c>
    </row>
    <row r="19" spans="1:64" x14ac:dyDescent="0.3">
      <c r="A19" s="401">
        <v>120</v>
      </c>
      <c r="B19" s="402">
        <f>B18</f>
        <v>1.6E-2</v>
      </c>
      <c r="C19" s="401">
        <v>120</v>
      </c>
      <c r="D19" s="402">
        <f>D18</f>
        <v>1.4000000000000002E-3</v>
      </c>
      <c r="E19" s="406"/>
      <c r="F19" s="406"/>
      <c r="G19" s="406"/>
      <c r="H19" s="406"/>
      <c r="K19" s="405">
        <v>47</v>
      </c>
      <c r="L19" s="406">
        <f t="shared" si="17"/>
        <v>0.15916888890365413</v>
      </c>
      <c r="M19" s="406">
        <f t="shared" si="18"/>
        <v>1.5916888890365414E-2</v>
      </c>
      <c r="N19" s="407">
        <f t="shared" si="0"/>
        <v>6.7434457986033152E-4</v>
      </c>
      <c r="O19" s="405">
        <v>47</v>
      </c>
      <c r="P19" s="406">
        <f t="shared" si="19"/>
        <v>0.15916888890365413</v>
      </c>
      <c r="Q19" s="406">
        <f t="shared" si="20"/>
        <v>3.1833777780730828E-2</v>
      </c>
      <c r="R19" s="407">
        <f t="shared" si="1"/>
        <v>1.3501530639875412E-3</v>
      </c>
      <c r="S19" s="405">
        <v>47</v>
      </c>
      <c r="T19" s="406">
        <f t="shared" si="21"/>
        <v>0.15916888890365413</v>
      </c>
      <c r="U19" s="406">
        <f t="shared" si="22"/>
        <v>4.7750666671096238E-2</v>
      </c>
      <c r="V19" s="407">
        <f t="shared" si="2"/>
        <v>2.0274302244470879E-3</v>
      </c>
      <c r="W19" s="405">
        <v>47</v>
      </c>
      <c r="X19" s="406">
        <f t="shared" si="23"/>
        <v>0.15916888890365413</v>
      </c>
      <c r="Y19" s="406">
        <f t="shared" si="24"/>
        <v>6.3667555561461656E-2</v>
      </c>
      <c r="Z19" s="407">
        <f t="shared" si="3"/>
        <v>2.7061808540684313E-3</v>
      </c>
      <c r="AA19" s="405">
        <v>47</v>
      </c>
      <c r="AB19" s="406">
        <f t="shared" si="25"/>
        <v>0.15916888890365413</v>
      </c>
      <c r="AC19" s="406">
        <f t="shared" si="26"/>
        <v>7.9584444451827066E-2</v>
      </c>
      <c r="AD19" s="407">
        <f t="shared" si="4"/>
        <v>3.3864097665580865E-3</v>
      </c>
      <c r="AE19" s="405">
        <v>47</v>
      </c>
      <c r="AF19" s="406">
        <f t="shared" si="27"/>
        <v>0.15916888890365413</v>
      </c>
      <c r="AG19" s="406">
        <f t="shared" si="28"/>
        <v>9.5501333342192476E-2</v>
      </c>
      <c r="AH19" s="407">
        <f t="shared" si="5"/>
        <v>4.0681217966134229E-3</v>
      </c>
      <c r="AI19" s="405">
        <v>47</v>
      </c>
      <c r="AJ19" s="406">
        <f t="shared" si="29"/>
        <v>0.15916888890365413</v>
      </c>
      <c r="AK19" s="406">
        <f t="shared" si="30"/>
        <v>0.11141822223255789</v>
      </c>
      <c r="AL19" s="407">
        <f t="shared" si="6"/>
        <v>4.7513218000372059E-3</v>
      </c>
      <c r="AM19" s="405">
        <v>47</v>
      </c>
      <c r="AN19" s="406">
        <f t="shared" si="31"/>
        <v>0.15916888890365413</v>
      </c>
      <c r="AO19" s="406">
        <f t="shared" si="32"/>
        <v>0.12733511112292331</v>
      </c>
      <c r="AP19" s="407">
        <f t="shared" si="7"/>
        <v>5.4360146538528853E-3</v>
      </c>
      <c r="AQ19" s="405">
        <v>47</v>
      </c>
      <c r="AR19" s="406">
        <f t="shared" si="33"/>
        <v>0.15916888890365413</v>
      </c>
      <c r="AS19" s="406">
        <f t="shared" si="34"/>
        <v>0.14325200001328872</v>
      </c>
      <c r="AT19" s="407">
        <f t="shared" si="8"/>
        <v>6.1222052564206524E-3</v>
      </c>
      <c r="AU19" s="401">
        <f>AU18</f>
        <v>65</v>
      </c>
      <c r="AV19" s="402">
        <f>VLOOKUP(AU19,THERMO_WATER_SAT!$A$13:$D$103,4,FALSE)</f>
        <v>1.321389849457626E-2</v>
      </c>
      <c r="AW19" s="386">
        <v>35</v>
      </c>
      <c r="AX19" s="386">
        <f>VLOOKUP(AW19,THERMO_WATER_SAT!$A$3:$D$103,4,FALSE)</f>
        <v>4.2600580037481708E-3</v>
      </c>
      <c r="AY19" s="386">
        <f t="shared" si="43"/>
        <v>35</v>
      </c>
      <c r="AZ19" s="386">
        <f t="shared" si="10"/>
        <v>40</v>
      </c>
      <c r="BA19" s="386">
        <f t="shared" si="42"/>
        <v>3.1357762598942245E-3</v>
      </c>
      <c r="BB19" s="386">
        <f t="shared" si="44"/>
        <v>-2.2485634877078927E-4</v>
      </c>
      <c r="BC19" s="386">
        <v>120</v>
      </c>
      <c r="BD19" s="386">
        <f t="shared" si="45"/>
        <v>-1.4852731641768917E-2</v>
      </c>
      <c r="BE19" s="401">
        <v>120</v>
      </c>
      <c r="BF19" s="402">
        <f>VLOOKUP(BE18,$AW$4:$BD$104,8,FALSE)</f>
        <v>-2.7968296424986851E-3</v>
      </c>
      <c r="BG19" s="401">
        <v>45</v>
      </c>
      <c r="BH19" s="403">
        <f>VLOOKUP(BG19,$BM$4:$BS$14,7,FALSE)</f>
        <v>84.077580251007063</v>
      </c>
      <c r="BI19" s="402">
        <f t="shared" si="37"/>
        <v>2.2599192108790273E-2</v>
      </c>
      <c r="BJ19" s="386">
        <f t="shared" si="12"/>
        <v>4.2600580037481708E-3</v>
      </c>
      <c r="BK19" s="386">
        <f t="shared" si="13"/>
        <v>12.986122843355055</v>
      </c>
      <c r="BL19" s="386">
        <f t="shared" si="38"/>
        <v>35</v>
      </c>
    </row>
    <row r="20" spans="1:64" x14ac:dyDescent="0.3">
      <c r="A20" s="396">
        <f>IF(DewPointA32(P_TOTAL,B20)&lt;32,32,DewPointA32(P_TOTAL,B20))</f>
        <v>73.830656601565948</v>
      </c>
      <c r="B20" s="397">
        <f>B19+0.002</f>
        <v>1.8000000000000002E-2</v>
      </c>
      <c r="C20" s="396">
        <f>IF(DewPointA32(P_TOTAL,D20)&lt;32,32,DewPointA32(P_TOTAL,D20))</f>
        <v>32</v>
      </c>
      <c r="D20" s="397">
        <f>D19+0.0002</f>
        <v>1.6000000000000003E-3</v>
      </c>
      <c r="E20" s="406"/>
      <c r="F20" s="406"/>
      <c r="G20" s="406"/>
      <c r="H20" s="406"/>
      <c r="K20" s="405">
        <v>48</v>
      </c>
      <c r="L20" s="406">
        <f t="shared" si="17"/>
        <v>0.165273633846614</v>
      </c>
      <c r="M20" s="406">
        <f t="shared" si="18"/>
        <v>1.65273633846614E-2</v>
      </c>
      <c r="N20" s="407">
        <f t="shared" si="0"/>
        <v>7.0023743250907178E-4</v>
      </c>
      <c r="O20" s="405">
        <v>48</v>
      </c>
      <c r="P20" s="406">
        <f t="shared" si="19"/>
        <v>0.165273633846614</v>
      </c>
      <c r="Q20" s="406">
        <f t="shared" si="20"/>
        <v>3.3054726769322799E-2</v>
      </c>
      <c r="R20" s="407">
        <f t="shared" si="1"/>
        <v>1.4020534126137276E-3</v>
      </c>
      <c r="S20" s="405">
        <v>48</v>
      </c>
      <c r="T20" s="406">
        <f t="shared" si="21"/>
        <v>0.165273633846614</v>
      </c>
      <c r="U20" s="406">
        <f t="shared" si="22"/>
        <v>4.9582090153984203E-2</v>
      </c>
      <c r="V20" s="407">
        <f t="shared" si="2"/>
        <v>2.105453284124972E-3</v>
      </c>
      <c r="W20" s="405">
        <v>48</v>
      </c>
      <c r="X20" s="406">
        <f t="shared" si="23"/>
        <v>0.165273633846614</v>
      </c>
      <c r="Y20" s="406">
        <f t="shared" si="24"/>
        <v>6.6109453538645599E-2</v>
      </c>
      <c r="Z20" s="407">
        <f t="shared" si="3"/>
        <v>2.8104424150013859E-3</v>
      </c>
      <c r="AA20" s="405">
        <v>48</v>
      </c>
      <c r="AB20" s="406">
        <f t="shared" si="25"/>
        <v>0.165273633846614</v>
      </c>
      <c r="AC20" s="406">
        <f t="shared" si="26"/>
        <v>8.2636816923307002E-2</v>
      </c>
      <c r="AD20" s="407">
        <f t="shared" si="4"/>
        <v>3.5170261974856831E-3</v>
      </c>
      <c r="AE20" s="405">
        <v>48</v>
      </c>
      <c r="AF20" s="406">
        <f t="shared" si="27"/>
        <v>0.165273633846614</v>
      </c>
      <c r="AG20" s="406">
        <f t="shared" si="28"/>
        <v>9.9164180307968405E-2</v>
      </c>
      <c r="AH20" s="407">
        <f t="shared" si="5"/>
        <v>4.2252100482421838E-3</v>
      </c>
      <c r="AI20" s="405">
        <v>48</v>
      </c>
      <c r="AJ20" s="406">
        <f t="shared" si="29"/>
        <v>0.165273633846614</v>
      </c>
      <c r="AK20" s="406">
        <f t="shared" si="30"/>
        <v>0.11569154369262979</v>
      </c>
      <c r="AL20" s="407">
        <f t="shared" si="6"/>
        <v>4.9349994084952322E-3</v>
      </c>
      <c r="AM20" s="405">
        <v>48</v>
      </c>
      <c r="AN20" s="406">
        <f t="shared" si="31"/>
        <v>0.165273633846614</v>
      </c>
      <c r="AO20" s="406">
        <f t="shared" si="32"/>
        <v>0.1322189070772912</v>
      </c>
      <c r="AP20" s="407">
        <f t="shared" si="7"/>
        <v>5.646399744168553E-3</v>
      </c>
      <c r="AQ20" s="405">
        <v>48</v>
      </c>
      <c r="AR20" s="406">
        <f t="shared" si="33"/>
        <v>0.165273633846614</v>
      </c>
      <c r="AS20" s="406">
        <f t="shared" si="34"/>
        <v>0.1487462704619526</v>
      </c>
      <c r="AT20" s="407">
        <f t="shared" si="8"/>
        <v>6.3594165460255604E-3</v>
      </c>
      <c r="AU20" s="396">
        <f>AU19+5</f>
        <v>70</v>
      </c>
      <c r="AV20" s="397">
        <v>0</v>
      </c>
      <c r="AW20" s="386">
        <v>36</v>
      </c>
      <c r="AX20" s="386">
        <f>VLOOKUP(AW20,THERMO_WATER_SAT!$A$3:$D$103,4,FALSE)</f>
        <v>4.4339062835915145E-3</v>
      </c>
      <c r="AY20" s="386">
        <f t="shared" si="43"/>
        <v>36</v>
      </c>
      <c r="AZ20" s="386">
        <f t="shared" si="10"/>
        <v>41</v>
      </c>
      <c r="BA20" s="386">
        <f t="shared" si="42"/>
        <v>3.3086842122919528E-3</v>
      </c>
      <c r="BB20" s="386">
        <f t="shared" si="44"/>
        <v>-2.2504441425991233E-4</v>
      </c>
      <c r="BC20" s="386">
        <v>120</v>
      </c>
      <c r="BD20" s="386">
        <f t="shared" si="45"/>
        <v>-1.4469824514241123E-2</v>
      </c>
      <c r="BE20" s="396">
        <f>BE18+5</f>
        <v>65</v>
      </c>
      <c r="BF20" s="397">
        <f>VLOOKUP(BE20,$AW$4:$BD$104,2,FALSE)</f>
        <v>1.321389849457626E-2</v>
      </c>
      <c r="BG20" s="396">
        <v>50</v>
      </c>
      <c r="BH20" s="398">
        <v>120</v>
      </c>
      <c r="BI20" s="397">
        <f t="shared" si="37"/>
        <v>1.9025738593531252E-2</v>
      </c>
      <c r="BJ20" s="386">
        <f t="shared" si="12"/>
        <v>4.4339062835915145E-3</v>
      </c>
      <c r="BK20" s="386">
        <f t="shared" si="13"/>
        <v>13.415246124927524</v>
      </c>
      <c r="BL20" s="386">
        <f t="shared" si="38"/>
        <v>36</v>
      </c>
    </row>
    <row r="21" spans="1:64" x14ac:dyDescent="0.3">
      <c r="A21" s="401">
        <v>120</v>
      </c>
      <c r="B21" s="402">
        <f>B20</f>
        <v>1.8000000000000002E-2</v>
      </c>
      <c r="C21" s="401">
        <v>120</v>
      </c>
      <c r="D21" s="402">
        <f>D20</f>
        <v>1.6000000000000003E-3</v>
      </c>
      <c r="E21" s="406"/>
      <c r="F21" s="406"/>
      <c r="G21" s="406"/>
      <c r="H21" s="406"/>
      <c r="K21" s="408">
        <v>49</v>
      </c>
      <c r="L21" s="406">
        <f t="shared" si="17"/>
        <v>0.17158390448445504</v>
      </c>
      <c r="M21" s="406">
        <f t="shared" si="18"/>
        <v>1.7158390448445505E-2</v>
      </c>
      <c r="N21" s="407">
        <f t="shared" si="0"/>
        <v>7.2700427183503382E-4</v>
      </c>
      <c r="O21" s="408">
        <v>49</v>
      </c>
      <c r="P21" s="406">
        <f t="shared" si="19"/>
        <v>0.17158390448445504</v>
      </c>
      <c r="Q21" s="406">
        <f t="shared" si="20"/>
        <v>3.4316780896891011E-2</v>
      </c>
      <c r="R21" s="407">
        <f t="shared" si="1"/>
        <v>1.4557101522735846E-3</v>
      </c>
      <c r="S21" s="408">
        <v>49</v>
      </c>
      <c r="T21" s="406">
        <f t="shared" si="21"/>
        <v>0.17158390448445504</v>
      </c>
      <c r="U21" s="406">
        <f t="shared" si="22"/>
        <v>5.147517134533651E-2</v>
      </c>
      <c r="V21" s="407">
        <f t="shared" si="2"/>
        <v>2.1861236224311512E-3</v>
      </c>
      <c r="W21" s="408">
        <v>49</v>
      </c>
      <c r="X21" s="406">
        <f t="shared" si="23"/>
        <v>0.17158390448445504</v>
      </c>
      <c r="Y21" s="406">
        <f t="shared" si="24"/>
        <v>6.8633561793782022E-2</v>
      </c>
      <c r="Z21" s="407">
        <f t="shared" si="3"/>
        <v>2.9182506914874279E-3</v>
      </c>
      <c r="AA21" s="408">
        <v>49</v>
      </c>
      <c r="AB21" s="406">
        <f t="shared" si="25"/>
        <v>0.17158390448445504</v>
      </c>
      <c r="AC21" s="406">
        <f t="shared" si="26"/>
        <v>8.579195224222752E-2</v>
      </c>
      <c r="AD21" s="407">
        <f t="shared" si="4"/>
        <v>3.6520973968510971E-3</v>
      </c>
      <c r="AE21" s="408">
        <v>49</v>
      </c>
      <c r="AF21" s="406">
        <f t="shared" si="27"/>
        <v>0.17158390448445504</v>
      </c>
      <c r="AG21" s="406">
        <f t="shared" si="28"/>
        <v>0.10295034269067302</v>
      </c>
      <c r="AH21" s="407">
        <f t="shared" si="5"/>
        <v>4.3876698043257886E-3</v>
      </c>
      <c r="AI21" s="408">
        <v>49</v>
      </c>
      <c r="AJ21" s="406">
        <f t="shared" si="29"/>
        <v>0.17158390448445504</v>
      </c>
      <c r="AK21" s="406">
        <f t="shared" si="30"/>
        <v>0.12010873313911852</v>
      </c>
      <c r="AL21" s="407">
        <f t="shared" si="6"/>
        <v>5.1249740082772079E-3</v>
      </c>
      <c r="AM21" s="408">
        <v>49</v>
      </c>
      <c r="AN21" s="406">
        <f t="shared" si="31"/>
        <v>0.17158390448445504</v>
      </c>
      <c r="AO21" s="406">
        <f t="shared" si="32"/>
        <v>0.13726712358756404</v>
      </c>
      <c r="AP21" s="407">
        <f t="shared" si="7"/>
        <v>5.8640161318014462E-3</v>
      </c>
      <c r="AQ21" s="408">
        <v>49</v>
      </c>
      <c r="AR21" s="406">
        <f t="shared" si="33"/>
        <v>0.17158390448445504</v>
      </c>
      <c r="AS21" s="406">
        <f t="shared" si="34"/>
        <v>0.15442551403600954</v>
      </c>
      <c r="AT21" s="407">
        <f t="shared" si="8"/>
        <v>6.6048023268944836E-3</v>
      </c>
      <c r="AU21" s="401">
        <f>AU20</f>
        <v>70</v>
      </c>
      <c r="AV21" s="402">
        <f>VLOOKUP(AU21,THERMO_WATER_SAT!$A$13:$D$103,4,FALSE)</f>
        <v>1.5763820288538288E-2</v>
      </c>
      <c r="AW21" s="386">
        <v>37</v>
      </c>
      <c r="AX21" s="386">
        <f>VLOOKUP(AW21,THERMO_WATER_SAT!$A$3:$D$103,4,FALSE)</f>
        <v>4.6140660497391876E-3</v>
      </c>
      <c r="AY21" s="386">
        <f t="shared" si="43"/>
        <v>37</v>
      </c>
      <c r="AZ21" s="386">
        <f t="shared" si="10"/>
        <v>42</v>
      </c>
      <c r="BA21" s="386">
        <f t="shared" si="42"/>
        <v>3.4878896397608303E-3</v>
      </c>
      <c r="BB21" s="386">
        <f t="shared" si="44"/>
        <v>-2.2523528199567145E-4</v>
      </c>
      <c r="BC21" s="386">
        <v>120</v>
      </c>
      <c r="BD21" s="386">
        <f t="shared" si="45"/>
        <v>-1.4080462355901545E-2</v>
      </c>
      <c r="BE21" s="401">
        <v>120</v>
      </c>
      <c r="BF21" s="402">
        <f>VLOOKUP(BE20,$AW$4:$BD$104,8,FALSE)</f>
        <v>4.4556805566932887E-4</v>
      </c>
      <c r="BG21" s="401">
        <v>50</v>
      </c>
      <c r="BH21" s="403">
        <f>VLOOKUP(BG21,$BM$4:$BS$14,7,FALSE)</f>
        <v>88.754686502881938</v>
      </c>
      <c r="BI21" s="402">
        <f t="shared" si="37"/>
        <v>2.6080234978363006E-2</v>
      </c>
      <c r="BJ21" s="386">
        <f t="shared" si="12"/>
        <v>4.6140660497391876E-3</v>
      </c>
      <c r="BK21" s="386">
        <f t="shared" si="13"/>
        <v>13.851323955838392</v>
      </c>
      <c r="BL21" s="386">
        <f t="shared" si="38"/>
        <v>37</v>
      </c>
    </row>
    <row r="22" spans="1:64" x14ac:dyDescent="0.3">
      <c r="A22" s="396">
        <f>IF(DewPointA32(P_TOTAL,B22)&lt;32,32,DewPointA32(P_TOTAL,B22))</f>
        <v>76.886707011543947</v>
      </c>
      <c r="B22" s="397">
        <f>B21+0.002</f>
        <v>2.0000000000000004E-2</v>
      </c>
      <c r="C22" s="396">
        <f>IF(DewPointA32(P_TOTAL,D22)&lt;32,32,DewPointA32(P_TOTAL,D22))</f>
        <v>32</v>
      </c>
      <c r="D22" s="397">
        <f>D21+0.0002</f>
        <v>1.8000000000000004E-3</v>
      </c>
      <c r="E22" s="406"/>
      <c r="F22" s="406"/>
      <c r="G22" s="406"/>
      <c r="H22" s="406"/>
      <c r="K22" s="405">
        <v>50</v>
      </c>
      <c r="L22" s="406">
        <f t="shared" si="17"/>
        <v>0.17810558582410912</v>
      </c>
      <c r="M22" s="406">
        <f t="shared" si="18"/>
        <v>1.7810558582410912E-2</v>
      </c>
      <c r="N22" s="407">
        <f t="shared" si="0"/>
        <v>7.5467028924683572E-4</v>
      </c>
      <c r="O22" s="405">
        <v>50</v>
      </c>
      <c r="P22" s="406">
        <f t="shared" si="19"/>
        <v>0.17810558582410912</v>
      </c>
      <c r="Q22" s="406">
        <f t="shared" si="20"/>
        <v>3.5621117164821824E-2</v>
      </c>
      <c r="R22" s="407">
        <f t="shared" si="1"/>
        <v>1.5111742417986181E-3</v>
      </c>
      <c r="S22" s="405">
        <v>50</v>
      </c>
      <c r="T22" s="406">
        <f t="shared" si="21"/>
        <v>0.17810558582410912</v>
      </c>
      <c r="U22" s="406">
        <f t="shared" si="22"/>
        <v>5.3431675747232739E-2</v>
      </c>
      <c r="V22" s="407">
        <f t="shared" si="2"/>
        <v>2.269518548810954E-3</v>
      </c>
      <c r="W22" s="405">
        <v>50</v>
      </c>
      <c r="X22" s="406">
        <f t="shared" si="23"/>
        <v>0.17810558582410912</v>
      </c>
      <c r="Y22" s="406">
        <f t="shared" si="24"/>
        <v>7.1242234329643647E-2</v>
      </c>
      <c r="Z22" s="407">
        <f t="shared" si="3"/>
        <v>3.0297099340343748E-3</v>
      </c>
      <c r="AA22" s="405">
        <v>50</v>
      </c>
      <c r="AB22" s="406">
        <f t="shared" si="25"/>
        <v>0.17810558582410912</v>
      </c>
      <c r="AC22" s="406">
        <f t="shared" si="26"/>
        <v>8.9052792912054562E-2</v>
      </c>
      <c r="AD22" s="407">
        <f t="shared" si="4"/>
        <v>3.7917551540130544E-3</v>
      </c>
      <c r="AE22" s="405">
        <v>50</v>
      </c>
      <c r="AF22" s="406">
        <f t="shared" si="27"/>
        <v>0.17810558582410912</v>
      </c>
      <c r="AG22" s="406">
        <f t="shared" si="28"/>
        <v>0.10686335149446548</v>
      </c>
      <c r="AH22" s="407">
        <f t="shared" si="5"/>
        <v>4.5556609982849846E-3</v>
      </c>
      <c r="AI22" s="405">
        <v>50</v>
      </c>
      <c r="AJ22" s="406">
        <f t="shared" si="29"/>
        <v>0.17810558582410912</v>
      </c>
      <c r="AK22" s="406">
        <f t="shared" si="30"/>
        <v>0.12467391007687638</v>
      </c>
      <c r="AL22" s="407">
        <f t="shared" si="6"/>
        <v>5.3214342895836131E-3</v>
      </c>
      <c r="AM22" s="405">
        <v>50</v>
      </c>
      <c r="AN22" s="406">
        <f t="shared" si="31"/>
        <v>0.17810558582410912</v>
      </c>
      <c r="AO22" s="406">
        <f t="shared" si="32"/>
        <v>0.14248446865928729</v>
      </c>
      <c r="AP22" s="407">
        <f t="shared" si="7"/>
        <v>6.0890818840409746E-3</v>
      </c>
      <c r="AQ22" s="405">
        <v>50</v>
      </c>
      <c r="AR22" s="406">
        <f t="shared" si="33"/>
        <v>0.17810558582410912</v>
      </c>
      <c r="AS22" s="406">
        <f t="shared" si="34"/>
        <v>0.16029502724169822</v>
      </c>
      <c r="AT22" s="407">
        <f t="shared" si="8"/>
        <v>6.8586106713922962E-3</v>
      </c>
      <c r="AU22" s="396">
        <f>AU21+5</f>
        <v>75</v>
      </c>
      <c r="AV22" s="397">
        <v>0</v>
      </c>
      <c r="AW22" s="386">
        <v>38</v>
      </c>
      <c r="AX22" s="386">
        <f>VLOOKUP(AW22,THERMO_WATER_SAT!$A$3:$D$103,4,FALSE)</f>
        <v>4.8007382724371628E-3</v>
      </c>
      <c r="AY22" s="386">
        <f t="shared" si="43"/>
        <v>38</v>
      </c>
      <c r="AZ22" s="386">
        <f t="shared" si="10"/>
        <v>43</v>
      </c>
      <c r="BA22" s="386">
        <f t="shared" si="42"/>
        <v>3.6735930754104554E-3</v>
      </c>
      <c r="BB22" s="386">
        <f t="shared" si="44"/>
        <v>-2.2542903940534148E-4</v>
      </c>
      <c r="BC22" s="386">
        <v>120</v>
      </c>
      <c r="BD22" s="386">
        <f t="shared" si="45"/>
        <v>-1.3684442958800839E-2</v>
      </c>
      <c r="BE22" s="396">
        <f>BE20+5</f>
        <v>70</v>
      </c>
      <c r="BF22" s="397">
        <f>VLOOKUP(BE22,$AW$4:$BD$104,2,FALSE)</f>
        <v>1.5763820288538288E-2</v>
      </c>
      <c r="BG22" s="396">
        <v>55</v>
      </c>
      <c r="BH22" s="398">
        <v>120</v>
      </c>
      <c r="BI22" s="397">
        <f t="shared" si="37"/>
        <v>2.3512941092005604E-2</v>
      </c>
      <c r="BJ22" s="386">
        <f t="shared" si="12"/>
        <v>4.8007382724371628E-3</v>
      </c>
      <c r="BK22" s="386">
        <f t="shared" si="13"/>
        <v>14.294581363188389</v>
      </c>
      <c r="BL22" s="386">
        <f t="shared" si="38"/>
        <v>38</v>
      </c>
    </row>
    <row r="23" spans="1:64" x14ac:dyDescent="0.3">
      <c r="A23" s="401">
        <v>120</v>
      </c>
      <c r="B23" s="402">
        <f>B22</f>
        <v>2.0000000000000004E-2</v>
      </c>
      <c r="C23" s="401">
        <v>120</v>
      </c>
      <c r="D23" s="402">
        <f>D22</f>
        <v>1.8000000000000004E-3</v>
      </c>
      <c r="E23" s="406"/>
      <c r="F23" s="406"/>
      <c r="G23" s="406"/>
      <c r="H23" s="406"/>
      <c r="K23" s="405">
        <v>51</v>
      </c>
      <c r="L23" s="406">
        <f t="shared" si="17"/>
        <v>0.18484469857913322</v>
      </c>
      <c r="M23" s="406">
        <f t="shared" si="18"/>
        <v>1.8484469857913324E-2</v>
      </c>
      <c r="N23" s="407">
        <f t="shared" si="0"/>
        <v>7.8326126846349291E-4</v>
      </c>
      <c r="O23" s="405">
        <v>51</v>
      </c>
      <c r="P23" s="406">
        <f t="shared" si="19"/>
        <v>0.18484469857913322</v>
      </c>
      <c r="Q23" s="406">
        <f t="shared" si="20"/>
        <v>3.6968939715826647E-2</v>
      </c>
      <c r="R23" s="407">
        <f t="shared" si="1"/>
        <v>1.5684978611142726E-3</v>
      </c>
      <c r="S23" s="405">
        <v>51</v>
      </c>
      <c r="T23" s="406">
        <f t="shared" si="21"/>
        <v>0.18484469857913322</v>
      </c>
      <c r="U23" s="406">
        <f t="shared" si="22"/>
        <v>5.545340957373996E-2</v>
      </c>
      <c r="V23" s="407">
        <f t="shared" si="2"/>
        <v>2.3557172598083283E-3</v>
      </c>
      <c r="W23" s="405">
        <v>51</v>
      </c>
      <c r="X23" s="406">
        <f t="shared" si="23"/>
        <v>0.18484469857913322</v>
      </c>
      <c r="Y23" s="406">
        <f t="shared" si="24"/>
        <v>7.3937879431653294E-2</v>
      </c>
      <c r="Z23" s="407">
        <f t="shared" si="3"/>
        <v>3.1449269842343838E-3</v>
      </c>
      <c r="AA23" s="405">
        <v>51</v>
      </c>
      <c r="AB23" s="406">
        <f t="shared" si="25"/>
        <v>0.18484469857913322</v>
      </c>
      <c r="AC23" s="406">
        <f t="shared" si="26"/>
        <v>9.2422349289566608E-2</v>
      </c>
      <c r="AD23" s="407">
        <f t="shared" si="4"/>
        <v>3.9361345921533255E-3</v>
      </c>
      <c r="AE23" s="405">
        <v>51</v>
      </c>
      <c r="AF23" s="406">
        <f t="shared" si="27"/>
        <v>0.18484469857913322</v>
      </c>
      <c r="AG23" s="406">
        <f t="shared" si="28"/>
        <v>0.11090681914747992</v>
      </c>
      <c r="AH23" s="407">
        <f t="shared" si="5"/>
        <v>4.7293476796394637E-3</v>
      </c>
      <c r="AI23" s="405">
        <v>51</v>
      </c>
      <c r="AJ23" s="406">
        <f t="shared" si="29"/>
        <v>0.18484469857913322</v>
      </c>
      <c r="AK23" s="406">
        <f t="shared" si="30"/>
        <v>0.12939128900539323</v>
      </c>
      <c r="AL23" s="407">
        <f t="shared" si="6"/>
        <v>5.5245738813236205E-3</v>
      </c>
      <c r="AM23" s="405">
        <v>51</v>
      </c>
      <c r="AN23" s="406">
        <f t="shared" si="31"/>
        <v>0.18484469857913322</v>
      </c>
      <c r="AO23" s="406">
        <f t="shared" si="32"/>
        <v>0.14787575886330659</v>
      </c>
      <c r="AP23" s="407">
        <f t="shared" si="7"/>
        <v>6.3218208706380752E-3</v>
      </c>
      <c r="AQ23" s="405">
        <v>51</v>
      </c>
      <c r="AR23" s="406">
        <f t="shared" si="33"/>
        <v>0.18484469857913322</v>
      </c>
      <c r="AS23" s="406">
        <f t="shared" si="34"/>
        <v>0.16636022872121989</v>
      </c>
      <c r="AT23" s="407">
        <f t="shared" si="8"/>
        <v>7.1210963600633736E-3</v>
      </c>
      <c r="AU23" s="401">
        <f>AU22</f>
        <v>75</v>
      </c>
      <c r="AV23" s="402">
        <f>VLOOKUP(AU23,THERMO_WATER_SAT!$A$13:$D$103,4,FALSE)</f>
        <v>1.874977149125126E-2</v>
      </c>
      <c r="AW23" s="386">
        <v>39</v>
      </c>
      <c r="AX23" s="386">
        <f>VLOOKUP(AW23,THERMO_WATER_SAT!$A$3:$D$103,4,FALSE)</f>
        <v>4.9941295203131536E-3</v>
      </c>
      <c r="AY23" s="386">
        <f t="shared" si="43"/>
        <v>39</v>
      </c>
      <c r="AZ23" s="386">
        <f t="shared" si="10"/>
        <v>44</v>
      </c>
      <c r="BA23" s="386">
        <f t="shared" si="42"/>
        <v>3.8660006382494911E-3</v>
      </c>
      <c r="BB23" s="386">
        <f t="shared" si="44"/>
        <v>-2.256257764127325E-4</v>
      </c>
      <c r="BC23" s="386">
        <v>120</v>
      </c>
      <c r="BD23" s="386">
        <f t="shared" si="45"/>
        <v>-1.3281558369118178E-2</v>
      </c>
      <c r="BE23" s="401">
        <v>120</v>
      </c>
      <c r="BF23" s="402">
        <f>VLOOKUP(BE22,$AW$4:$BD$104,8,FALSE)</f>
        <v>4.072106939673803E-3</v>
      </c>
      <c r="BG23" s="401">
        <v>55</v>
      </c>
      <c r="BH23" s="403">
        <f>VLOOKUP(BG23,$BM$4:$BS$14,7,FALSE)</f>
        <v>93.027401646516253</v>
      </c>
      <c r="BI23" s="402">
        <f t="shared" si="37"/>
        <v>2.9641023415149959E-2</v>
      </c>
      <c r="BJ23" s="386">
        <f t="shared" si="12"/>
        <v>4.9941295203131536E-3</v>
      </c>
      <c r="BK23" s="386">
        <f t="shared" si="13"/>
        <v>14.745249767825998</v>
      </c>
      <c r="BL23" s="386">
        <f t="shared" si="38"/>
        <v>39</v>
      </c>
    </row>
    <row r="24" spans="1:64" x14ac:dyDescent="0.3">
      <c r="A24" s="396">
        <f>IF(DewPointA32(P_TOTAL,B24)&lt;32,32,DewPointA32(P_TOTAL,B24))</f>
        <v>79.677367191070132</v>
      </c>
      <c r="B24" s="397">
        <f>B23+0.002</f>
        <v>2.2000000000000006E-2</v>
      </c>
      <c r="C24" s="396">
        <f>IF(DewPointA32(P_TOTAL,D24)&lt;32,32,DewPointA32(P_TOTAL,D24))</f>
        <v>32</v>
      </c>
      <c r="D24" s="397">
        <f>D23+0.0002</f>
        <v>2.0000000000000005E-3</v>
      </c>
      <c r="E24" s="406"/>
      <c r="F24" s="406"/>
      <c r="G24" s="406"/>
      <c r="H24" s="406"/>
      <c r="K24" s="405">
        <v>52</v>
      </c>
      <c r="L24" s="406">
        <f t="shared" si="17"/>
        <v>0.1918074014093272</v>
      </c>
      <c r="M24" s="406">
        <f t="shared" si="18"/>
        <v>1.9180740140932722E-2</v>
      </c>
      <c r="N24" s="407">
        <f t="shared" si="0"/>
        <v>8.1280359602800957E-4</v>
      </c>
      <c r="O24" s="405">
        <v>52</v>
      </c>
      <c r="P24" s="406">
        <f t="shared" si="19"/>
        <v>0.1918074014093272</v>
      </c>
      <c r="Q24" s="406">
        <f t="shared" si="20"/>
        <v>3.8361480281865444E-2</v>
      </c>
      <c r="R24" s="407">
        <f t="shared" si="1"/>
        <v>1.6277344343863655E-3</v>
      </c>
      <c r="S24" s="405">
        <v>52</v>
      </c>
      <c r="T24" s="406">
        <f t="shared" si="21"/>
        <v>0.1918074014093272</v>
      </c>
      <c r="U24" s="406">
        <f t="shared" si="22"/>
        <v>5.7542220422798156E-2</v>
      </c>
      <c r="V24" s="407">
        <f t="shared" si="2"/>
        <v>2.4448008770383903E-3</v>
      </c>
      <c r="W24" s="405">
        <v>52</v>
      </c>
      <c r="X24" s="406">
        <f t="shared" si="23"/>
        <v>0.1918074014093272</v>
      </c>
      <c r="Y24" s="406">
        <f t="shared" si="24"/>
        <v>7.6722960563730888E-2</v>
      </c>
      <c r="Z24" s="407">
        <f t="shared" si="3"/>
        <v>3.2640113298315621E-3</v>
      </c>
      <c r="AA24" s="405">
        <v>52</v>
      </c>
      <c r="AB24" s="406">
        <f t="shared" si="25"/>
        <v>0.1918074014093272</v>
      </c>
      <c r="AC24" s="406">
        <f t="shared" si="26"/>
        <v>9.59037007046636E-2</v>
      </c>
      <c r="AD24" s="407">
        <f t="shared" si="4"/>
        <v>4.085374242785769E-3</v>
      </c>
      <c r="AE24" s="405">
        <v>52</v>
      </c>
      <c r="AF24" s="406">
        <f t="shared" si="27"/>
        <v>0.1918074014093272</v>
      </c>
      <c r="AG24" s="406">
        <f t="shared" si="28"/>
        <v>0.11508444084559631</v>
      </c>
      <c r="AH24" s="407">
        <f t="shared" si="5"/>
        <v>4.9088981103838532E-3</v>
      </c>
      <c r="AI24" s="405">
        <v>52</v>
      </c>
      <c r="AJ24" s="406">
        <f t="shared" si="29"/>
        <v>0.1918074014093272</v>
      </c>
      <c r="AK24" s="406">
        <f t="shared" si="30"/>
        <v>0.13426518098652904</v>
      </c>
      <c r="AL24" s="407">
        <f t="shared" si="6"/>
        <v>5.7345914718644449E-3</v>
      </c>
      <c r="AM24" s="405">
        <v>52</v>
      </c>
      <c r="AN24" s="406">
        <f t="shared" si="31"/>
        <v>0.1918074014093272</v>
      </c>
      <c r="AO24" s="406">
        <f t="shared" si="32"/>
        <v>0.15344592112746178</v>
      </c>
      <c r="AP24" s="407">
        <f t="shared" si="7"/>
        <v>6.5624629115171029E-3</v>
      </c>
      <c r="AQ24" s="405">
        <v>52</v>
      </c>
      <c r="AR24" s="406">
        <f t="shared" si="33"/>
        <v>0.1918074014093272</v>
      </c>
      <c r="AS24" s="406">
        <f t="shared" si="34"/>
        <v>0.17262666126839449</v>
      </c>
      <c r="AT24" s="407">
        <f t="shared" si="8"/>
        <v>7.3925210589798158E-3</v>
      </c>
      <c r="AU24" s="396">
        <f>AU23+5</f>
        <v>80</v>
      </c>
      <c r="AV24" s="397">
        <v>0</v>
      </c>
      <c r="AW24" s="386">
        <v>40</v>
      </c>
      <c r="AX24" s="386">
        <f>VLOOKUP(AW24,THERMO_WATER_SAT!$A$3:$D$103,4,FALSE)</f>
        <v>5.1944521047341524E-3</v>
      </c>
      <c r="AY24" s="386">
        <f t="shared" si="43"/>
        <v>40</v>
      </c>
      <c r="AZ24" s="386">
        <f t="shared" si="10"/>
        <v>45</v>
      </c>
      <c r="BA24" s="386">
        <f t="shared" si="42"/>
        <v>4.0653241772121949E-3</v>
      </c>
      <c r="BB24" s="386">
        <f t="shared" si="44"/>
        <v>-2.2582558550439147E-4</v>
      </c>
      <c r="BC24" s="386">
        <v>120</v>
      </c>
      <c r="BD24" s="386">
        <f t="shared" si="45"/>
        <v>-1.2871594735617164E-2</v>
      </c>
      <c r="BE24" s="396">
        <f>BE22+5</f>
        <v>75</v>
      </c>
      <c r="BF24" s="397">
        <f>VLOOKUP(BE24,$AW$4:$BD$104,2,FALSE)</f>
        <v>1.874977149125126E-2</v>
      </c>
      <c r="BG24" s="396">
        <v>60</v>
      </c>
      <c r="BH24" s="398">
        <v>120</v>
      </c>
      <c r="BI24" s="397">
        <f t="shared" si="37"/>
        <v>2.8000143590479955E-2</v>
      </c>
      <c r="BJ24" s="386">
        <f t="shared" si="12"/>
        <v>5.1944521047341524E-3</v>
      </c>
      <c r="BK24" s="386">
        <f t="shared" si="13"/>
        <v>15.203567152503012</v>
      </c>
      <c r="BL24" s="386">
        <f t="shared" si="38"/>
        <v>40</v>
      </c>
    </row>
    <row r="25" spans="1:64" x14ac:dyDescent="0.3">
      <c r="A25" s="401">
        <v>120</v>
      </c>
      <c r="B25" s="402">
        <f>B24</f>
        <v>2.2000000000000006E-2</v>
      </c>
      <c r="C25" s="401">
        <v>120</v>
      </c>
      <c r="D25" s="402">
        <f>D24</f>
        <v>2.0000000000000005E-3</v>
      </c>
      <c r="E25" s="406"/>
      <c r="F25" s="406"/>
      <c r="G25" s="406"/>
      <c r="H25" s="406"/>
      <c r="K25" s="408">
        <v>53</v>
      </c>
      <c r="L25" s="406">
        <f t="shared" si="17"/>
        <v>0.1989999931773149</v>
      </c>
      <c r="M25" s="406">
        <f t="shared" si="18"/>
        <v>1.9899999317731492E-2</v>
      </c>
      <c r="N25" s="407">
        <f t="shared" si="0"/>
        <v>8.4332427194648183E-4</v>
      </c>
      <c r="O25" s="408">
        <v>53</v>
      </c>
      <c r="P25" s="406">
        <f t="shared" si="19"/>
        <v>0.1989999931773149</v>
      </c>
      <c r="Q25" s="406">
        <f t="shared" si="20"/>
        <v>3.9799998635462984E-2</v>
      </c>
      <c r="R25" s="407">
        <f t="shared" si="1"/>
        <v>1.6889386535304959E-3</v>
      </c>
      <c r="S25" s="408">
        <v>53</v>
      </c>
      <c r="T25" s="406">
        <f t="shared" si="21"/>
        <v>0.1989999931773149</v>
      </c>
      <c r="U25" s="406">
        <f t="shared" si="22"/>
        <v>5.9699997953194466E-2</v>
      </c>
      <c r="V25" s="407">
        <f t="shared" si="2"/>
        <v>2.5368524858792839E-3</v>
      </c>
      <c r="W25" s="408">
        <v>53</v>
      </c>
      <c r="X25" s="406">
        <f t="shared" si="23"/>
        <v>0.1989999931773149</v>
      </c>
      <c r="Y25" s="406">
        <f t="shared" si="24"/>
        <v>7.9599997270925968E-2</v>
      </c>
      <c r="Z25" s="407">
        <f t="shared" si="3"/>
        <v>3.3870751609912813E-3</v>
      </c>
      <c r="AA25" s="408">
        <v>53</v>
      </c>
      <c r="AB25" s="406">
        <f t="shared" si="25"/>
        <v>0.1989999931773149</v>
      </c>
      <c r="AC25" s="406">
        <f t="shared" si="26"/>
        <v>9.9499996588657449E-2</v>
      </c>
      <c r="AD25" s="407">
        <f t="shared" si="4"/>
        <v>4.2396161220828888E-3</v>
      </c>
      <c r="AE25" s="408">
        <v>53</v>
      </c>
      <c r="AF25" s="406">
        <f t="shared" si="27"/>
        <v>0.1989999931773149</v>
      </c>
      <c r="AG25" s="406">
        <f t="shared" si="28"/>
        <v>0.11939999590638893</v>
      </c>
      <c r="AH25" s="407">
        <f t="shared" si="5"/>
        <v>5.0944848639380902E-3</v>
      </c>
      <c r="AI25" s="408">
        <v>53</v>
      </c>
      <c r="AJ25" s="406">
        <f t="shared" si="29"/>
        <v>0.1989999931773149</v>
      </c>
      <c r="AK25" s="406">
        <f t="shared" si="30"/>
        <v>0.13929999522412043</v>
      </c>
      <c r="AL25" s="407">
        <f t="shared" si="6"/>
        <v>5.9516909332609311E-3</v>
      </c>
      <c r="AM25" s="408">
        <v>53</v>
      </c>
      <c r="AN25" s="406">
        <f t="shared" si="31"/>
        <v>0.1989999931773149</v>
      </c>
      <c r="AO25" s="406">
        <f t="shared" si="32"/>
        <v>0.15919999454185194</v>
      </c>
      <c r="AP25" s="407">
        <f t="shared" si="7"/>
        <v>6.8112439290308954E-3</v>
      </c>
      <c r="AQ25" s="408">
        <v>53</v>
      </c>
      <c r="AR25" s="406">
        <f t="shared" si="33"/>
        <v>0.1989999931773149</v>
      </c>
      <c r="AS25" s="406">
        <f t="shared" si="34"/>
        <v>0.17909999385958342</v>
      </c>
      <c r="AT25" s="407">
        <f t="shared" si="8"/>
        <v>7.6731535028612078E-3</v>
      </c>
      <c r="AU25" s="401">
        <f>AU24</f>
        <v>80</v>
      </c>
      <c r="AV25" s="402">
        <f>VLOOKUP(AU25,THERMO_WATER_SAT!$A$13:$D$103,4,FALSE)</f>
        <v>2.2239361756574878E-2</v>
      </c>
      <c r="AW25" s="386">
        <v>41</v>
      </c>
      <c r="AX25" s="386">
        <f>VLOOKUP(AW25,THERMO_WATER_SAT!$A$3:$D$103,4,FALSE)</f>
        <v>5.4019242284255318E-3</v>
      </c>
      <c r="AY25" s="386">
        <f t="shared" si="43"/>
        <v>41</v>
      </c>
      <c r="AZ25" s="386">
        <f t="shared" si="10"/>
        <v>46</v>
      </c>
      <c r="BA25" s="386">
        <f t="shared" si="42"/>
        <v>4.2717814194366379E-3</v>
      </c>
      <c r="BB25" s="386">
        <f t="shared" si="44"/>
        <v>-2.2602856179777879E-4</v>
      </c>
      <c r="BC25" s="386">
        <v>120</v>
      </c>
      <c r="BD25" s="386">
        <f t="shared" si="45"/>
        <v>-1.2454332153598993E-2</v>
      </c>
      <c r="BE25" s="401">
        <v>120</v>
      </c>
      <c r="BF25" s="402">
        <f>VLOOKUP(BE24,$AW$4:$BD$104,8,FALSE)</f>
        <v>8.1428343335369288E-3</v>
      </c>
      <c r="BG25" s="401">
        <v>60</v>
      </c>
      <c r="BH25" s="403">
        <f>VLOOKUP(BG25,$BM$4:$BS$14,7,FALSE)</f>
        <v>96.957015344400219</v>
      </c>
      <c r="BI25" s="402">
        <f t="shared" si="37"/>
        <v>3.3268740020969162E-2</v>
      </c>
      <c r="BJ25" s="386">
        <f t="shared" si="12"/>
        <v>5.4019242284255318E-3</v>
      </c>
      <c r="BK25" s="386">
        <f t="shared" si="13"/>
        <v>15.669778235013748</v>
      </c>
      <c r="BL25" s="386">
        <f t="shared" si="38"/>
        <v>41</v>
      </c>
    </row>
    <row r="26" spans="1:64" x14ac:dyDescent="0.3">
      <c r="A26" s="396">
        <f>IF(DewPointA32(P_TOTAL,B26)&lt;32,32,DewPointA32(P_TOTAL,B26))</f>
        <v>82.246472840717956</v>
      </c>
      <c r="B26" s="397">
        <f>B25+0.002</f>
        <v>2.4000000000000007E-2</v>
      </c>
      <c r="C26" s="396">
        <f>IF(DewPointA32(P_TOTAL,D26)&lt;32,32,DewPointA32(P_TOTAL,D26))</f>
        <v>32</v>
      </c>
      <c r="D26" s="397">
        <f>D25+0.0002</f>
        <v>2.2000000000000006E-3</v>
      </c>
      <c r="E26" s="406"/>
      <c r="F26" s="406"/>
      <c r="G26" s="406"/>
      <c r="H26" s="406"/>
      <c r="K26" s="405">
        <v>54</v>
      </c>
      <c r="L26" s="406">
        <f t="shared" si="17"/>
        <v>0.2064289152218457</v>
      </c>
      <c r="M26" s="406">
        <f t="shared" si="18"/>
        <v>2.064289152218457E-2</v>
      </c>
      <c r="N26" s="407">
        <f t="shared" si="0"/>
        <v>8.7485092045415174E-4</v>
      </c>
      <c r="O26" s="405">
        <v>54</v>
      </c>
      <c r="P26" s="406">
        <f t="shared" si="19"/>
        <v>0.2064289152218457</v>
      </c>
      <c r="Q26" s="406">
        <f t="shared" si="20"/>
        <v>4.128578304436914E-2</v>
      </c>
      <c r="R26" s="407">
        <f t="shared" si="1"/>
        <v>1.7521665020926375E-3</v>
      </c>
      <c r="S26" s="405">
        <v>54</v>
      </c>
      <c r="T26" s="406">
        <f t="shared" si="21"/>
        <v>0.2064289152218457</v>
      </c>
      <c r="U26" s="406">
        <f t="shared" si="22"/>
        <v>6.192867456655371E-2</v>
      </c>
      <c r="V26" s="407">
        <f t="shared" si="2"/>
        <v>2.6319571749042828E-3</v>
      </c>
      <c r="W26" s="405">
        <v>54</v>
      </c>
      <c r="X26" s="406">
        <f t="shared" si="23"/>
        <v>0.2064289152218457</v>
      </c>
      <c r="Y26" s="406">
        <f t="shared" si="24"/>
        <v>8.257156608873828E-2</v>
      </c>
      <c r="Z26" s="407">
        <f t="shared" si="3"/>
        <v>3.5142334278114159E-3</v>
      </c>
      <c r="AA26" s="405">
        <v>54</v>
      </c>
      <c r="AB26" s="406">
        <f t="shared" si="25"/>
        <v>0.2064289152218457</v>
      </c>
      <c r="AC26" s="406">
        <f t="shared" si="26"/>
        <v>0.10321445761092285</v>
      </c>
      <c r="AD26" s="407">
        <f t="shared" si="4"/>
        <v>4.3990058090867014E-3</v>
      </c>
      <c r="AE26" s="405">
        <v>54</v>
      </c>
      <c r="AF26" s="406">
        <f t="shared" si="27"/>
        <v>0.2064289152218457</v>
      </c>
      <c r="AG26" s="406">
        <f t="shared" si="28"/>
        <v>0.12385734913310742</v>
      </c>
      <c r="AH26" s="407">
        <f t="shared" si="5"/>
        <v>5.2862849267735195E-3</v>
      </c>
      <c r="AI26" s="405">
        <v>54</v>
      </c>
      <c r="AJ26" s="406">
        <f t="shared" si="29"/>
        <v>0.2064289152218457</v>
      </c>
      <c r="AK26" s="406">
        <f t="shared" si="30"/>
        <v>0.14450024065529199</v>
      </c>
      <c r="AL26" s="407">
        <f t="shared" si="6"/>
        <v>6.1760814491099237E-3</v>
      </c>
      <c r="AM26" s="405">
        <v>54</v>
      </c>
      <c r="AN26" s="406">
        <f t="shared" si="31"/>
        <v>0.2064289152218457</v>
      </c>
      <c r="AO26" s="406">
        <f t="shared" si="32"/>
        <v>0.16514313217747656</v>
      </c>
      <c r="AP26" s="407">
        <f t="shared" si="7"/>
        <v>7.068406104956208E-3</v>
      </c>
      <c r="AQ26" s="405">
        <v>54</v>
      </c>
      <c r="AR26" s="406">
        <f t="shared" si="33"/>
        <v>0.2064289152218457</v>
      </c>
      <c r="AS26" s="406">
        <f t="shared" si="34"/>
        <v>0.18578602369966113</v>
      </c>
      <c r="AT26" s="407">
        <f t="shared" si="8"/>
        <v>7.9632696842261291E-3</v>
      </c>
      <c r="AU26" s="396">
        <f>AU25+5</f>
        <v>85</v>
      </c>
      <c r="AV26" s="397">
        <v>0</v>
      </c>
      <c r="AW26" s="386">
        <v>42</v>
      </c>
      <c r="AX26" s="386">
        <f>VLOOKUP(AW26,THERMO_WATER_SAT!$A$3:$D$103,4,FALSE)</f>
        <v>5.6167701385320887E-3</v>
      </c>
      <c r="AY26" s="386">
        <f t="shared" si="43"/>
        <v>42</v>
      </c>
      <c r="AZ26" s="386">
        <f t="shared" si="10"/>
        <v>47</v>
      </c>
      <c r="BA26" s="386">
        <f t="shared" si="42"/>
        <v>4.4855961229746302E-3</v>
      </c>
      <c r="BB26" s="386">
        <f t="shared" si="44"/>
        <v>-2.2623480311149171E-4</v>
      </c>
      <c r="BC26" s="386">
        <v>120</v>
      </c>
      <c r="BD26" s="386">
        <f t="shared" si="45"/>
        <v>-1.2029544504164264E-2</v>
      </c>
      <c r="BE26" s="396">
        <f>BE24+5</f>
        <v>80</v>
      </c>
      <c r="BF26" s="397">
        <f>VLOOKUP(BE26,$AW$4:$BD$104,2,FALSE)</f>
        <v>2.2239361756574878E-2</v>
      </c>
      <c r="BJ26" s="386">
        <f t="shared" si="12"/>
        <v>5.6167701385320887E-3</v>
      </c>
      <c r="BK26" s="386">
        <f t="shared" si="13"/>
        <v>16.144134646525892</v>
      </c>
      <c r="BL26" s="386">
        <f t="shared" si="38"/>
        <v>42</v>
      </c>
    </row>
    <row r="27" spans="1:64" x14ac:dyDescent="0.3">
      <c r="A27" s="401">
        <v>120</v>
      </c>
      <c r="B27" s="402">
        <f>B26</f>
        <v>2.4000000000000007E-2</v>
      </c>
      <c r="C27" s="401">
        <v>120</v>
      </c>
      <c r="D27" s="402">
        <f>D26</f>
        <v>2.2000000000000006E-3</v>
      </c>
      <c r="E27" s="406"/>
      <c r="F27" s="406"/>
      <c r="G27" s="406"/>
      <c r="H27" s="406"/>
      <c r="K27" s="405">
        <v>55</v>
      </c>
      <c r="L27" s="406">
        <f t="shared" si="17"/>
        <v>0.21410075364760794</v>
      </c>
      <c r="M27" s="406">
        <f t="shared" si="18"/>
        <v>2.1410075364760795E-2</v>
      </c>
      <c r="N27" s="407">
        <f t="shared" si="0"/>
        <v>9.0741180091009584E-4</v>
      </c>
      <c r="O27" s="405">
        <v>55</v>
      </c>
      <c r="P27" s="406">
        <f t="shared" si="19"/>
        <v>0.21410075364760794</v>
      </c>
      <c r="Q27" s="406">
        <f t="shared" si="20"/>
        <v>4.282015072952159E-2</v>
      </c>
      <c r="R27" s="407">
        <f t="shared" si="1"/>
        <v>1.8174752795098402E-3</v>
      </c>
      <c r="S27" s="405">
        <v>55</v>
      </c>
      <c r="T27" s="406">
        <f t="shared" si="21"/>
        <v>0.21410075364760794</v>
      </c>
      <c r="U27" s="406">
        <f t="shared" si="22"/>
        <v>6.4230226094282375E-2</v>
      </c>
      <c r="V27" s="407">
        <f t="shared" si="2"/>
        <v>2.7302020760765311E-3</v>
      </c>
      <c r="W27" s="405">
        <v>55</v>
      </c>
      <c r="X27" s="406">
        <f t="shared" si="23"/>
        <v>0.21410075364760794</v>
      </c>
      <c r="Y27" s="406">
        <f t="shared" si="24"/>
        <v>8.564030145904318E-2</v>
      </c>
      <c r="Z27" s="407">
        <f t="shared" si="3"/>
        <v>3.6456038991182901E-3</v>
      </c>
      <c r="AA27" s="405">
        <v>55</v>
      </c>
      <c r="AB27" s="406">
        <f t="shared" si="25"/>
        <v>0.21410075364760794</v>
      </c>
      <c r="AC27" s="406">
        <f t="shared" si="26"/>
        <v>0.10705037682380397</v>
      </c>
      <c r="AD27" s="407">
        <f t="shared" si="4"/>
        <v>4.5636925258747216E-3</v>
      </c>
      <c r="AE27" s="405">
        <v>55</v>
      </c>
      <c r="AF27" s="406">
        <f t="shared" si="27"/>
        <v>0.21410075364760794</v>
      </c>
      <c r="AG27" s="406">
        <f t="shared" si="28"/>
        <v>0.12846045218856475</v>
      </c>
      <c r="AH27" s="407">
        <f t="shared" si="5"/>
        <v>5.4844798028219933E-3</v>
      </c>
      <c r="AI27" s="405">
        <v>55</v>
      </c>
      <c r="AJ27" s="406">
        <f t="shared" si="29"/>
        <v>0.21410075364760794</v>
      </c>
      <c r="AK27" s="406">
        <f t="shared" si="30"/>
        <v>0.14987052755332556</v>
      </c>
      <c r="AL27" s="407">
        <f t="shared" si="6"/>
        <v>6.4079776461823711E-3</v>
      </c>
      <c r="AM27" s="405">
        <v>55</v>
      </c>
      <c r="AN27" s="406">
        <f t="shared" si="31"/>
        <v>0.21410075364760794</v>
      </c>
      <c r="AO27" s="406">
        <f t="shared" si="32"/>
        <v>0.17128060291808636</v>
      </c>
      <c r="AP27" s="407">
        <f t="shared" si="7"/>
        <v>7.3341980424382657E-3</v>
      </c>
      <c r="AQ27" s="405">
        <v>55</v>
      </c>
      <c r="AR27" s="406">
        <f t="shared" si="33"/>
        <v>0.21410075364760794</v>
      </c>
      <c r="AS27" s="406">
        <f t="shared" si="34"/>
        <v>0.19269067828284717</v>
      </c>
      <c r="AT27" s="407">
        <f t="shared" si="8"/>
        <v>8.2631530488508267E-3</v>
      </c>
      <c r="AU27" s="401">
        <f>AU26</f>
        <v>85</v>
      </c>
      <c r="AV27" s="402">
        <f>VLOOKUP(AU27,THERMO_WATER_SAT!$A$13:$D$103,4,FALSE)</f>
        <v>2.6310677901240059E-2</v>
      </c>
      <c r="AW27" s="386">
        <v>43</v>
      </c>
      <c r="AX27" s="386">
        <f>VLOOKUP(AW27,THERMO_WATER_SAT!$A$3:$D$103,4,FALSE)</f>
        <v>5.8392202843114928E-3</v>
      </c>
      <c r="AY27" s="386">
        <f t="shared" si="43"/>
        <v>43</v>
      </c>
      <c r="AZ27" s="386">
        <f t="shared" si="10"/>
        <v>48</v>
      </c>
      <c r="BA27" s="386">
        <f t="shared" si="42"/>
        <v>4.7069982341233401E-3</v>
      </c>
      <c r="BB27" s="386">
        <f t="shared" si="44"/>
        <v>-2.2644441003763055E-4</v>
      </c>
      <c r="BC27" s="386">
        <v>120</v>
      </c>
      <c r="BD27" s="386">
        <f t="shared" si="45"/>
        <v>-1.1596999288586061E-2</v>
      </c>
      <c r="BE27" s="401">
        <v>120</v>
      </c>
      <c r="BF27" s="402">
        <f>VLOOKUP(BE26,$AW$4:$BD$104,8,FALSE)</f>
        <v>1.2727045612907779E-2</v>
      </c>
      <c r="BJ27" s="386">
        <f t="shared" si="12"/>
        <v>5.8392202843114928E-3</v>
      </c>
      <c r="BK27" s="386">
        <f t="shared" si="13"/>
        <v>16.626895115322569</v>
      </c>
      <c r="BL27" s="386">
        <f t="shared" si="38"/>
        <v>43</v>
      </c>
    </row>
    <row r="28" spans="1:64" x14ac:dyDescent="0.3">
      <c r="A28" s="396">
        <f>IF(DewPointA32(P_TOTAL,B28)&lt;32,32,DewPointA32(P_TOTAL,B28))</f>
        <v>84.627625365568477</v>
      </c>
      <c r="B28" s="397">
        <f>B27+0.002</f>
        <v>2.6000000000000009E-2</v>
      </c>
      <c r="C28" s="396">
        <f>IF(DewPointA32(P_TOTAL,D28)&lt;32,32,DewPointA32(P_TOTAL,D28))</f>
        <v>32</v>
      </c>
      <c r="D28" s="397">
        <f>D27+0.0002</f>
        <v>2.4000000000000007E-3</v>
      </c>
      <c r="E28" s="406"/>
      <c r="F28" s="406"/>
      <c r="G28" s="406"/>
      <c r="H28" s="406"/>
      <c r="K28" s="408">
        <v>56</v>
      </c>
      <c r="L28" s="406">
        <f t="shared" si="17"/>
        <v>0.22202224163123313</v>
      </c>
      <c r="M28" s="406">
        <f t="shared" si="18"/>
        <v>2.2202224163123313E-2</v>
      </c>
      <c r="N28" s="407">
        <f t="shared" si="0"/>
        <v>9.4103581882185776E-4</v>
      </c>
      <c r="O28" s="408">
        <v>56</v>
      </c>
      <c r="P28" s="406">
        <f t="shared" si="19"/>
        <v>0.22202224163123313</v>
      </c>
      <c r="Q28" s="406">
        <f t="shared" si="20"/>
        <v>4.4404448326246626E-2</v>
      </c>
      <c r="R28" s="407">
        <f t="shared" si="1"/>
        <v>1.884923625759457E-3</v>
      </c>
      <c r="S28" s="408">
        <v>56</v>
      </c>
      <c r="T28" s="406">
        <f t="shared" si="21"/>
        <v>0.22202224163123313</v>
      </c>
      <c r="U28" s="406">
        <f t="shared" si="22"/>
        <v>6.6606672489369939E-2</v>
      </c>
      <c r="V28" s="407">
        <f t="shared" si="2"/>
        <v>2.8316764057284474E-3</v>
      </c>
      <c r="W28" s="408">
        <v>56</v>
      </c>
      <c r="X28" s="406">
        <f t="shared" si="23"/>
        <v>0.22202224163123313</v>
      </c>
      <c r="Y28" s="406">
        <f t="shared" si="24"/>
        <v>8.8808896652493252E-2</v>
      </c>
      <c r="Z28" s="407">
        <f t="shared" si="3"/>
        <v>3.7813072225902551E-3</v>
      </c>
      <c r="AA28" s="408">
        <v>56</v>
      </c>
      <c r="AB28" s="406">
        <f t="shared" si="25"/>
        <v>0.22202224163123313</v>
      </c>
      <c r="AC28" s="406">
        <f t="shared" si="26"/>
        <v>0.11101112081561657</v>
      </c>
      <c r="AD28" s="407">
        <f t="shared" si="4"/>
        <v>4.7338292197529634E-3</v>
      </c>
      <c r="AE28" s="408">
        <v>56</v>
      </c>
      <c r="AF28" s="406">
        <f t="shared" si="27"/>
        <v>0.22202224163123313</v>
      </c>
      <c r="AG28" s="406">
        <f t="shared" si="28"/>
        <v>0.13321334497873988</v>
      </c>
      <c r="AH28" s="407">
        <f t="shared" si="5"/>
        <v>5.6892556207776921E-3</v>
      </c>
      <c r="AI28" s="408">
        <v>56</v>
      </c>
      <c r="AJ28" s="406">
        <f t="shared" si="29"/>
        <v>0.22202224163123313</v>
      </c>
      <c r="AK28" s="406">
        <f t="shared" si="30"/>
        <v>0.15541556914186319</v>
      </c>
      <c r="AL28" s="407">
        <f t="shared" si="6"/>
        <v>6.6475997299905321E-3</v>
      </c>
      <c r="AM28" s="408">
        <v>56</v>
      </c>
      <c r="AN28" s="406">
        <f t="shared" si="31"/>
        <v>0.22202224163123313</v>
      </c>
      <c r="AO28" s="406">
        <f t="shared" si="32"/>
        <v>0.1776177933049865</v>
      </c>
      <c r="AP28" s="407">
        <f t="shared" si="7"/>
        <v>7.6088749331000918E-3</v>
      </c>
      <c r="AQ28" s="408">
        <v>56</v>
      </c>
      <c r="AR28" s="406">
        <f t="shared" si="33"/>
        <v>0.22202224163123313</v>
      </c>
      <c r="AS28" s="406">
        <f t="shared" si="34"/>
        <v>0.19982001746810982</v>
      </c>
      <c r="AT28" s="407">
        <f t="shared" si="8"/>
        <v>8.5730946978207264E-3</v>
      </c>
      <c r="AU28" s="396">
        <f>AU27+5</f>
        <v>90</v>
      </c>
      <c r="AV28" s="397">
        <v>0</v>
      </c>
      <c r="AW28" s="386">
        <v>44</v>
      </c>
      <c r="AX28" s="386">
        <f>VLOOKUP(AW28,THERMO_WATER_SAT!$A$3:$D$103,4,FALSE)</f>
        <v>6.0695114796581844E-3</v>
      </c>
      <c r="AY28" s="386">
        <f t="shared" si="43"/>
        <v>44</v>
      </c>
      <c r="AZ28" s="386">
        <f t="shared" si="10"/>
        <v>49</v>
      </c>
      <c r="BA28" s="386">
        <f t="shared" si="42"/>
        <v>4.9362240495762219E-3</v>
      </c>
      <c r="BB28" s="386">
        <f t="shared" si="44"/>
        <v>-2.2665748601639248E-4</v>
      </c>
      <c r="BC28" s="386">
        <v>120</v>
      </c>
      <c r="BD28" s="386">
        <f t="shared" si="45"/>
        <v>-1.1156457457587646E-2</v>
      </c>
      <c r="BE28" s="396">
        <f>BE26+5</f>
        <v>85</v>
      </c>
      <c r="BF28" s="397">
        <f>VLOOKUP(BE28,$AW$4:$BD$104,2,FALSE)</f>
        <v>2.6310677901240059E-2</v>
      </c>
      <c r="BJ28" s="386">
        <f t="shared" si="12"/>
        <v>6.0695114796581844E-3</v>
      </c>
      <c r="BK28" s="386">
        <f t="shared" si="13"/>
        <v>17.118325656183934</v>
      </c>
      <c r="BL28" s="386">
        <f t="shared" si="38"/>
        <v>44</v>
      </c>
    </row>
    <row r="29" spans="1:64" x14ac:dyDescent="0.3">
      <c r="A29" s="401">
        <v>120</v>
      </c>
      <c r="B29" s="402">
        <f>B28</f>
        <v>2.6000000000000009E-2</v>
      </c>
      <c r="C29" s="401">
        <v>120</v>
      </c>
      <c r="D29" s="402">
        <f>D28</f>
        <v>2.4000000000000007E-3</v>
      </c>
      <c r="E29" s="406"/>
      <c r="F29" s="406"/>
      <c r="G29" s="406"/>
      <c r="H29" s="406"/>
      <c r="K29" s="405">
        <v>57</v>
      </c>
      <c r="L29" s="406">
        <f t="shared" si="17"/>
        <v>0.23020026174331826</v>
      </c>
      <c r="M29" s="406">
        <f t="shared" si="18"/>
        <v>2.3020026174331826E-2</v>
      </c>
      <c r="N29" s="407">
        <f t="shared" si="0"/>
        <v>9.7575253700206801E-4</v>
      </c>
      <c r="O29" s="405">
        <v>57</v>
      </c>
      <c r="P29" s="406">
        <f t="shared" si="19"/>
        <v>0.23020026174331826</v>
      </c>
      <c r="Q29" s="406">
        <f t="shared" si="20"/>
        <v>4.6040052348663651E-2</v>
      </c>
      <c r="R29" s="407">
        <f t="shared" si="1"/>
        <v>1.9545715464070264E-3</v>
      </c>
      <c r="S29" s="405">
        <v>57</v>
      </c>
      <c r="T29" s="406">
        <f t="shared" si="21"/>
        <v>0.23020026174331826</v>
      </c>
      <c r="U29" s="406">
        <f t="shared" si="22"/>
        <v>6.9060078522995477E-2</v>
      </c>
      <c r="V29" s="407">
        <f t="shared" si="2"/>
        <v>2.9364715063508393E-3</v>
      </c>
      <c r="W29" s="405">
        <v>57</v>
      </c>
      <c r="X29" s="406">
        <f t="shared" si="23"/>
        <v>0.23020026174331826</v>
      </c>
      <c r="Y29" s="406">
        <f t="shared" si="24"/>
        <v>9.2080104697327303E-2</v>
      </c>
      <c r="Z29" s="407">
        <f t="shared" si="3"/>
        <v>3.9214669862564881E-3</v>
      </c>
      <c r="AA29" s="405">
        <v>57</v>
      </c>
      <c r="AB29" s="406">
        <f t="shared" si="25"/>
        <v>0.23020026174331826</v>
      </c>
      <c r="AC29" s="406">
        <f t="shared" si="26"/>
        <v>0.11510013087165913</v>
      </c>
      <c r="AD29" s="407">
        <f t="shared" si="4"/>
        <v>4.9095726475545803E-3</v>
      </c>
      <c r="AE29" s="405">
        <v>57</v>
      </c>
      <c r="AF29" s="406">
        <f t="shared" si="27"/>
        <v>0.23020026174331826</v>
      </c>
      <c r="AG29" s="406">
        <f t="shared" si="28"/>
        <v>0.13812015704599095</v>
      </c>
      <c r="AH29" s="407">
        <f t="shared" si="5"/>
        <v>5.9008032444108011E-3</v>
      </c>
      <c r="AI29" s="405">
        <v>57</v>
      </c>
      <c r="AJ29" s="406">
        <f t="shared" si="29"/>
        <v>0.23020026174331826</v>
      </c>
      <c r="AK29" s="406">
        <f t="shared" si="30"/>
        <v>0.16114018322032278</v>
      </c>
      <c r="AL29" s="407">
        <f t="shared" si="6"/>
        <v>6.8951736244602614E-3</v>
      </c>
      <c r="AM29" s="405">
        <v>57</v>
      </c>
      <c r="AN29" s="406">
        <f t="shared" si="31"/>
        <v>0.23020026174331826</v>
      </c>
      <c r="AO29" s="406">
        <f t="shared" si="32"/>
        <v>0.18416020939465461</v>
      </c>
      <c r="AP29" s="407">
        <f t="shared" si="7"/>
        <v>7.8926987295488658E-3</v>
      </c>
      <c r="AQ29" s="405">
        <v>57</v>
      </c>
      <c r="AR29" s="406">
        <f t="shared" si="33"/>
        <v>0.23020026174331826</v>
      </c>
      <c r="AS29" s="406">
        <f t="shared" si="34"/>
        <v>0.20718023556898643</v>
      </c>
      <c r="AT29" s="407">
        <f t="shared" si="8"/>
        <v>8.8933935964817107E-3</v>
      </c>
      <c r="AU29" s="401">
        <f>AU28</f>
        <v>90</v>
      </c>
      <c r="AV29" s="402">
        <f>VLOOKUP(AU29,THERMO_WATER_SAT!$A$13:$D$103,4,FALSE)</f>
        <v>3.1054261700060724E-2</v>
      </c>
      <c r="AW29" s="386">
        <v>45</v>
      </c>
      <c r="AX29" s="386">
        <f>VLOOKUP(AW29,THERMO_WATER_SAT!$A$3:$D$103,4,FALSE)</f>
        <v>6.3078870706696974E-3</v>
      </c>
      <c r="AY29" s="386">
        <f t="shared" si="43"/>
        <v>45</v>
      </c>
      <c r="AZ29" s="386">
        <f t="shared" si="10"/>
        <v>50</v>
      </c>
      <c r="BA29" s="386">
        <f t="shared" si="42"/>
        <v>5.173516383604769E-3</v>
      </c>
      <c r="BB29" s="386">
        <f t="shared" si="44"/>
        <v>-2.2687413741298568E-4</v>
      </c>
      <c r="BC29" s="386">
        <v>120</v>
      </c>
      <c r="BD29" s="386">
        <f t="shared" si="45"/>
        <v>-1.0707673235304228E-2</v>
      </c>
      <c r="BE29" s="401">
        <v>120</v>
      </c>
      <c r="BF29" s="402">
        <f>VLOOKUP(BE28,$AW$4:$BD$104,8,FALSE)</f>
        <v>1.7904948737354719E-2</v>
      </c>
      <c r="BJ29" s="386">
        <f t="shared" si="12"/>
        <v>6.3078870706696974E-3</v>
      </c>
      <c r="BK29" s="386">
        <f t="shared" si="13"/>
        <v>17.618699765652529</v>
      </c>
      <c r="BL29" s="386">
        <f t="shared" si="38"/>
        <v>45</v>
      </c>
    </row>
    <row r="30" spans="1:64" x14ac:dyDescent="0.3">
      <c r="A30" s="396">
        <f>IF(DewPointA32(P_TOTAL,B30)&lt;32,32,DewPointA32(P_TOTAL,B30))</f>
        <v>86.847174341144594</v>
      </c>
      <c r="B30" s="397">
        <f>B29+0.002</f>
        <v>2.8000000000000011E-2</v>
      </c>
      <c r="C30" s="396">
        <f>IF(DewPointA32(P_TOTAL,D30)&lt;32,32,DewPointA32(P_TOTAL,D30))</f>
        <v>32</v>
      </c>
      <c r="D30" s="397">
        <f>D29+0.0002</f>
        <v>2.6000000000000007E-3</v>
      </c>
      <c r="E30" s="406"/>
      <c r="F30" s="406"/>
      <c r="G30" s="406"/>
      <c r="H30" s="406"/>
      <c r="K30" s="405">
        <v>58</v>
      </c>
      <c r="L30" s="406">
        <f t="shared" si="17"/>
        <v>0.23864184828613369</v>
      </c>
      <c r="M30" s="406">
        <f t="shared" si="18"/>
        <v>2.3864184828613369E-2</v>
      </c>
      <c r="N30" s="407">
        <f t="shared" si="0"/>
        <v>1.011592186858521E-3</v>
      </c>
      <c r="O30" s="405">
        <v>58</v>
      </c>
      <c r="P30" s="406">
        <f t="shared" si="19"/>
        <v>0.23864184828613369</v>
      </c>
      <c r="Q30" s="406">
        <f t="shared" si="20"/>
        <v>4.7728369657226738E-2</v>
      </c>
      <c r="R30" s="407">
        <f t="shared" si="1"/>
        <v>2.0264804380620486E-3</v>
      </c>
      <c r="S30" s="405">
        <v>58</v>
      </c>
      <c r="T30" s="406">
        <f t="shared" si="21"/>
        <v>0.23864184828613369</v>
      </c>
      <c r="U30" s="406">
        <f t="shared" si="22"/>
        <v>7.1592554485840107E-2</v>
      </c>
      <c r="V30" s="407">
        <f t="shared" si="2"/>
        <v>3.0446808892158773E-3</v>
      </c>
      <c r="W30" s="405">
        <v>58</v>
      </c>
      <c r="X30" s="406">
        <f t="shared" si="23"/>
        <v>0.23864184828613369</v>
      </c>
      <c r="Y30" s="406">
        <f t="shared" si="24"/>
        <v>9.5456739314453476E-2</v>
      </c>
      <c r="Z30" s="407">
        <f t="shared" si="3"/>
        <v>4.0662097814181085E-3</v>
      </c>
      <c r="AA30" s="405">
        <v>58</v>
      </c>
      <c r="AB30" s="406">
        <f t="shared" si="25"/>
        <v>0.23864184828613369</v>
      </c>
      <c r="AC30" s="406">
        <f t="shared" si="26"/>
        <v>0.11932092414306684</v>
      </c>
      <c r="AD30" s="407">
        <f t="shared" si="4"/>
        <v>5.0910834621231815E-3</v>
      </c>
      <c r="AE30" s="405">
        <v>58</v>
      </c>
      <c r="AF30" s="406">
        <f t="shared" si="27"/>
        <v>0.23864184828613369</v>
      </c>
      <c r="AG30" s="406">
        <f t="shared" si="28"/>
        <v>0.14318510897168021</v>
      </c>
      <c r="AH30" s="407">
        <f t="shared" si="5"/>
        <v>6.1193183860139165E-3</v>
      </c>
      <c r="AI30" s="405">
        <v>58</v>
      </c>
      <c r="AJ30" s="406">
        <f t="shared" si="29"/>
        <v>0.23864184828613369</v>
      </c>
      <c r="AK30" s="406">
        <f t="shared" si="30"/>
        <v>0.16704929380029357</v>
      </c>
      <c r="AL30" s="407">
        <f t="shared" si="6"/>
        <v>7.1509311158821313E-3</v>
      </c>
      <c r="AM30" s="405">
        <v>58</v>
      </c>
      <c r="AN30" s="406">
        <f t="shared" si="31"/>
        <v>0.23864184828613369</v>
      </c>
      <c r="AO30" s="406">
        <f t="shared" si="32"/>
        <v>0.19091347862890695</v>
      </c>
      <c r="AP30" s="407">
        <f t="shared" si="7"/>
        <v>8.1859383235179713E-3</v>
      </c>
      <c r="AQ30" s="405">
        <v>58</v>
      </c>
      <c r="AR30" s="406">
        <f t="shared" si="33"/>
        <v>0.23864184828613369</v>
      </c>
      <c r="AS30" s="406">
        <f t="shared" si="34"/>
        <v>0.21477766345752033</v>
      </c>
      <c r="AT30" s="407">
        <f t="shared" si="8"/>
        <v>9.2243567906080143E-3</v>
      </c>
      <c r="AU30" s="396">
        <f>AU29+5</f>
        <v>95</v>
      </c>
      <c r="AV30" s="397">
        <v>0</v>
      </c>
      <c r="AW30" s="386">
        <v>46</v>
      </c>
      <c r="AX30" s="386">
        <f>VLOOKUP(AW30,THERMO_WATER_SAT!$A$3:$D$103,4,FALSE)</f>
        <v>6.5545971084741191E-3</v>
      </c>
      <c r="AY30" s="386">
        <f t="shared" si="43"/>
        <v>46</v>
      </c>
      <c r="AZ30" s="386">
        <f t="shared" si="10"/>
        <v>51</v>
      </c>
      <c r="BA30" s="386">
        <f t="shared" si="42"/>
        <v>5.4191247404892446E-3</v>
      </c>
      <c r="BB30" s="386">
        <f t="shared" si="44"/>
        <v>-2.270944735969749E-4</v>
      </c>
      <c r="BC30" s="386">
        <v>120</v>
      </c>
      <c r="BD30" s="386">
        <f t="shared" si="45"/>
        <v>-1.0250393937702024E-2</v>
      </c>
      <c r="BE30" s="396">
        <f>BE28+5</f>
        <v>90</v>
      </c>
      <c r="BF30" s="397">
        <f>VLOOKUP(BE30,$AW$4:$BD$104,2,FALSE)</f>
        <v>3.1054261700060724E-2</v>
      </c>
      <c r="BJ30" s="386">
        <f t="shared" si="12"/>
        <v>6.5545971084741191E-3</v>
      </c>
      <c r="BK30" s="386">
        <f t="shared" si="13"/>
        <v>18.128298623434514</v>
      </c>
      <c r="BL30" s="386">
        <f t="shared" si="38"/>
        <v>46</v>
      </c>
    </row>
    <row r="31" spans="1:64" x14ac:dyDescent="0.3">
      <c r="A31" s="401">
        <v>120</v>
      </c>
      <c r="B31" s="402">
        <f>B30</f>
        <v>2.8000000000000011E-2</v>
      </c>
      <c r="C31" s="401">
        <v>120</v>
      </c>
      <c r="D31" s="402">
        <f>D30</f>
        <v>2.6000000000000007E-3</v>
      </c>
      <c r="E31" s="406"/>
      <c r="F31" s="406"/>
      <c r="G31" s="406"/>
      <c r="H31" s="406"/>
      <c r="K31" s="408">
        <v>59</v>
      </c>
      <c r="L31" s="406">
        <f t="shared" si="17"/>
        <v>0.24735418964674571</v>
      </c>
      <c r="M31" s="406">
        <f t="shared" si="18"/>
        <v>2.4735418964674571E-2</v>
      </c>
      <c r="N31" s="407">
        <f t="shared" si="0"/>
        <v>1.0485856798195582E-3</v>
      </c>
      <c r="O31" s="408">
        <v>59</v>
      </c>
      <c r="P31" s="406">
        <f t="shared" si="19"/>
        <v>0.24735418964674571</v>
      </c>
      <c r="Q31" s="406">
        <f t="shared" si="20"/>
        <v>4.9470837929349143E-2</v>
      </c>
      <c r="R31" s="407">
        <f t="shared" si="1"/>
        <v>2.1007131142519245E-3</v>
      </c>
      <c r="S31" s="408">
        <v>59</v>
      </c>
      <c r="T31" s="406">
        <f t="shared" si="21"/>
        <v>0.24735418964674571</v>
      </c>
      <c r="U31" s="406">
        <f t="shared" si="22"/>
        <v>7.4206256894023714E-2</v>
      </c>
      <c r="V31" s="407">
        <f t="shared" si="2"/>
        <v>3.1564002778600884E-3</v>
      </c>
      <c r="W31" s="408">
        <v>59</v>
      </c>
      <c r="X31" s="406">
        <f t="shared" si="23"/>
        <v>0.24735418964674571</v>
      </c>
      <c r="Y31" s="406">
        <f t="shared" si="24"/>
        <v>9.8941675858698286E-2</v>
      </c>
      <c r="Z31" s="407">
        <f t="shared" si="3"/>
        <v>4.2156652670420919E-3</v>
      </c>
      <c r="AA31" s="408">
        <v>59</v>
      </c>
      <c r="AB31" s="406">
        <f t="shared" si="25"/>
        <v>0.24735418964674571</v>
      </c>
      <c r="AC31" s="406">
        <f t="shared" si="26"/>
        <v>0.12367709482337286</v>
      </c>
      <c r="AD31" s="407">
        <f t="shared" si="4"/>
        <v>5.2785263010650622E-3</v>
      </c>
      <c r="AE31" s="408">
        <v>59</v>
      </c>
      <c r="AF31" s="406">
        <f t="shared" si="27"/>
        <v>0.24735418964674571</v>
      </c>
      <c r="AG31" s="406">
        <f t="shared" si="28"/>
        <v>0.14841251378804743</v>
      </c>
      <c r="AH31" s="407">
        <f t="shared" si="5"/>
        <v>6.3450017231097867E-3</v>
      </c>
      <c r="AI31" s="408">
        <v>59</v>
      </c>
      <c r="AJ31" s="406">
        <f t="shared" si="29"/>
        <v>0.24735418964674571</v>
      </c>
      <c r="AK31" s="406">
        <f t="shared" si="30"/>
        <v>0.173147932752722</v>
      </c>
      <c r="AL31" s="407">
        <f t="shared" si="6"/>
        <v>7.4151100013259636E-3</v>
      </c>
      <c r="AM31" s="408">
        <v>59</v>
      </c>
      <c r="AN31" s="406">
        <f t="shared" si="31"/>
        <v>0.24735418964674571</v>
      </c>
      <c r="AO31" s="406">
        <f t="shared" si="32"/>
        <v>0.19788335171739657</v>
      </c>
      <c r="AP31" s="407">
        <f t="shared" si="7"/>
        <v>8.4888697298982629E-3</v>
      </c>
      <c r="AQ31" s="408">
        <v>59</v>
      </c>
      <c r="AR31" s="406">
        <f t="shared" si="33"/>
        <v>0.24735418964674571</v>
      </c>
      <c r="AS31" s="406">
        <f t="shared" si="34"/>
        <v>0.22261877068207114</v>
      </c>
      <c r="AT31" s="407">
        <f t="shared" si="8"/>
        <v>9.5662996301233132E-3</v>
      </c>
      <c r="AU31" s="401">
        <f>AU30</f>
        <v>95</v>
      </c>
      <c r="AV31" s="402">
        <f>VLOOKUP(AU31,THERMO_WATER_SAT!$A$13:$D$103,4,FALSE)</f>
        <v>3.6575595938695249E-2</v>
      </c>
      <c r="AW31" s="386">
        <v>47</v>
      </c>
      <c r="AX31" s="386">
        <f>VLOOKUP(AW31,THERMO_WATER_SAT!$A$3:$D$103,4,FALSE)</f>
        <v>6.8098985275542451E-3</v>
      </c>
      <c r="AY31" s="386">
        <f t="shared" si="43"/>
        <v>47</v>
      </c>
      <c r="AZ31" s="386">
        <f t="shared" si="10"/>
        <v>52</v>
      </c>
      <c r="BA31" s="386">
        <f t="shared" si="42"/>
        <v>5.6733054924334959E-3</v>
      </c>
      <c r="BB31" s="386">
        <f t="shared" si="44"/>
        <v>-2.2731860702414984E-4</v>
      </c>
      <c r="BC31" s="386">
        <v>120</v>
      </c>
      <c r="BD31" s="386">
        <f t="shared" si="45"/>
        <v>-9.7843597852086926E-3</v>
      </c>
      <c r="BE31" s="401">
        <v>120</v>
      </c>
      <c r="BF31" s="402">
        <f>VLOOKUP(BE30,$AW$4:$BD$104,8,FALSE)</f>
        <v>2.3769733900213044E-2</v>
      </c>
      <c r="BJ31" s="386">
        <f t="shared" si="12"/>
        <v>6.8098985275542451E-3</v>
      </c>
      <c r="BK31" s="386">
        <f t="shared" si="13"/>
        <v>18.647411300208056</v>
      </c>
      <c r="BL31" s="386">
        <f t="shared" si="38"/>
        <v>47</v>
      </c>
    </row>
    <row r="32" spans="1:64" x14ac:dyDescent="0.3">
      <c r="A32" s="396">
        <f>IF(DewPointA32(P_TOTAL,B32)&lt;32,32,DewPointA32(P_TOTAL,B32))</f>
        <v>88.926182430883316</v>
      </c>
      <c r="B32" s="397">
        <f>B31+0.002</f>
        <v>3.0000000000000013E-2</v>
      </c>
      <c r="C32" s="396">
        <f>IF(DewPointA32(P_TOTAL,D32)&lt;32,32,DewPointA32(P_TOTAL,D32))</f>
        <v>32</v>
      </c>
      <c r="D32" s="397">
        <f>D31+0.0002</f>
        <v>2.8000000000000008E-3</v>
      </c>
      <c r="E32" s="406"/>
      <c r="F32" s="406"/>
      <c r="G32" s="406"/>
      <c r="H32" s="406"/>
      <c r="K32" s="405">
        <v>60</v>
      </c>
      <c r="L32" s="406">
        <f t="shared" si="17"/>
        <v>0.25634463066536495</v>
      </c>
      <c r="M32" s="406">
        <f t="shared" si="18"/>
        <v>2.5634463066536495E-2</v>
      </c>
      <c r="N32" s="407">
        <f t="shared" si="0"/>
        <v>1.0867646188970673E-3</v>
      </c>
      <c r="O32" s="405">
        <v>60</v>
      </c>
      <c r="P32" s="406">
        <f t="shared" si="19"/>
        <v>0.25634463066536495</v>
      </c>
      <c r="Q32" s="406">
        <f t="shared" si="20"/>
        <v>5.126892613307299E-2</v>
      </c>
      <c r="R32" s="407">
        <f t="shared" si="1"/>
        <v>2.1773338317255106E-3</v>
      </c>
      <c r="S32" s="405">
        <v>60</v>
      </c>
      <c r="T32" s="406">
        <f t="shared" si="21"/>
        <v>0.25634463066536495</v>
      </c>
      <c r="U32" s="406">
        <f t="shared" si="22"/>
        <v>7.6903389199609484E-2</v>
      </c>
      <c r="V32" s="407">
        <f t="shared" si="2"/>
        <v>3.2717276524557998E-3</v>
      </c>
      <c r="W32" s="405">
        <v>60</v>
      </c>
      <c r="X32" s="406">
        <f t="shared" si="23"/>
        <v>0.25634463066536495</v>
      </c>
      <c r="Y32" s="406">
        <f t="shared" si="24"/>
        <v>0.10253785226614598</v>
      </c>
      <c r="Z32" s="407">
        <f t="shared" si="3"/>
        <v>4.3699662356823012E-3</v>
      </c>
      <c r="AA32" s="405">
        <v>60</v>
      </c>
      <c r="AB32" s="406">
        <f t="shared" si="25"/>
        <v>0.25634463066536495</v>
      </c>
      <c r="AC32" s="406">
        <f t="shared" si="26"/>
        <v>0.12817231533268247</v>
      </c>
      <c r="AD32" s="407">
        <f t="shared" si="4"/>
        <v>5.4720698778605364E-3</v>
      </c>
      <c r="AE32" s="405">
        <v>60</v>
      </c>
      <c r="AF32" s="406">
        <f t="shared" si="27"/>
        <v>0.25634463066536495</v>
      </c>
      <c r="AG32" s="406">
        <f t="shared" si="28"/>
        <v>0.15380677839921897</v>
      </c>
      <c r="AH32" s="407">
        <f t="shared" si="5"/>
        <v>6.5780590185575156E-3</v>
      </c>
      <c r="AI32" s="405">
        <v>60</v>
      </c>
      <c r="AJ32" s="406">
        <f t="shared" si="29"/>
        <v>0.25634463066536495</v>
      </c>
      <c r="AK32" s="406">
        <f t="shared" si="30"/>
        <v>0.17944124146575546</v>
      </c>
      <c r="AL32" s="407">
        <f t="shared" si="6"/>
        <v>7.6879542417153295E-3</v>
      </c>
      <c r="AM32" s="405">
        <v>60</v>
      </c>
      <c r="AN32" s="406">
        <f t="shared" si="31"/>
        <v>0.25634463066536495</v>
      </c>
      <c r="AO32" s="406">
        <f t="shared" si="32"/>
        <v>0.20507570453229196</v>
      </c>
      <c r="AP32" s="407">
        <f t="shared" si="7"/>
        <v>8.8017762769281426E-3</v>
      </c>
      <c r="AQ32" s="405">
        <v>60</v>
      </c>
      <c r="AR32" s="406">
        <f t="shared" si="33"/>
        <v>0.25634463066536495</v>
      </c>
      <c r="AS32" s="406">
        <f t="shared" si="34"/>
        <v>0.23071016759882845</v>
      </c>
      <c r="AT32" s="407">
        <f t="shared" si="8"/>
        <v>9.9195460007327745E-3</v>
      </c>
      <c r="AU32" s="396">
        <f>AU31+5</f>
        <v>100</v>
      </c>
      <c r="AV32" s="397">
        <v>0</v>
      </c>
      <c r="AW32" s="386">
        <v>48</v>
      </c>
      <c r="AX32" s="386">
        <f>VLOOKUP(AW32,THERMO_WATER_SAT!$A$3:$D$103,4,FALSE)</f>
        <v>7.0740553298106155E-3</v>
      </c>
      <c r="AY32" s="386">
        <f t="shared" si="43"/>
        <v>48</v>
      </c>
      <c r="AZ32" s="386">
        <f t="shared" si="10"/>
        <v>53</v>
      </c>
      <c r="BA32" s="386">
        <f t="shared" si="42"/>
        <v>5.9363220632054226E-3</v>
      </c>
      <c r="BB32" s="386">
        <f t="shared" si="44"/>
        <v>-2.2754665332103859E-4</v>
      </c>
      <c r="BC32" s="386">
        <v>120</v>
      </c>
      <c r="BD32" s="386">
        <f t="shared" si="45"/>
        <v>-9.3093037093041637E-3</v>
      </c>
      <c r="BE32" s="396">
        <f>BE30+5</f>
        <v>95</v>
      </c>
      <c r="BF32" s="397">
        <f>VLOOKUP(BE32,$AW$4:$BD$104,2,FALSE)</f>
        <v>3.6575595938695249E-2</v>
      </c>
      <c r="BJ32" s="386">
        <f t="shared" si="12"/>
        <v>7.0740553298106155E-3</v>
      </c>
      <c r="BK32" s="386">
        <f t="shared" si="13"/>
        <v>19.176334972117985</v>
      </c>
      <c r="BL32" s="386">
        <f t="shared" si="38"/>
        <v>48</v>
      </c>
    </row>
    <row r="33" spans="1:64" x14ac:dyDescent="0.3">
      <c r="A33" s="401">
        <v>120</v>
      </c>
      <c r="B33" s="402">
        <f>B32</f>
        <v>3.0000000000000013E-2</v>
      </c>
      <c r="C33" s="401">
        <v>120</v>
      </c>
      <c r="D33" s="402">
        <f>D32</f>
        <v>2.8000000000000008E-3</v>
      </c>
      <c r="E33" s="406"/>
      <c r="F33" s="406"/>
      <c r="G33" s="406"/>
      <c r="H33" s="406"/>
      <c r="K33" s="405">
        <v>61</v>
      </c>
      <c r="L33" s="406">
        <f t="shared" si="17"/>
        <v>0.265620675018506</v>
      </c>
      <c r="M33" s="406">
        <f t="shared" si="18"/>
        <v>2.6562067501850601E-2</v>
      </c>
      <c r="N33" s="407">
        <f t="shared" si="0"/>
        <v>1.1261613103885661E-3</v>
      </c>
      <c r="O33" s="405">
        <v>61</v>
      </c>
      <c r="P33" s="406">
        <f t="shared" si="19"/>
        <v>0.265620675018506</v>
      </c>
      <c r="Q33" s="406">
        <f t="shared" si="20"/>
        <v>5.3124135003701202E-2</v>
      </c>
      <c r="R33" s="407">
        <f t="shared" si="1"/>
        <v>2.2564083171963743E-3</v>
      </c>
      <c r="S33" s="405">
        <v>61</v>
      </c>
      <c r="T33" s="406">
        <f t="shared" si="21"/>
        <v>0.265620675018506</v>
      </c>
      <c r="U33" s="406">
        <f t="shared" si="22"/>
        <v>7.9686202505551793E-2</v>
      </c>
      <c r="V33" s="407">
        <f t="shared" si="2"/>
        <v>3.3907632950979259E-3</v>
      </c>
      <c r="W33" s="405">
        <v>61</v>
      </c>
      <c r="X33" s="406">
        <f t="shared" si="23"/>
        <v>0.265620675018506</v>
      </c>
      <c r="Y33" s="406">
        <f t="shared" si="24"/>
        <v>0.1062482700074024</v>
      </c>
      <c r="Z33" s="407">
        <f t="shared" si="3"/>
        <v>4.5292486809806005E-3</v>
      </c>
      <c r="AA33" s="405">
        <v>61</v>
      </c>
      <c r="AB33" s="406">
        <f t="shared" si="25"/>
        <v>0.265620675018506</v>
      </c>
      <c r="AC33" s="406">
        <f t="shared" si="26"/>
        <v>0.132810337509253</v>
      </c>
      <c r="AD33" s="407">
        <f t="shared" si="4"/>
        <v>5.6718870754239722E-3</v>
      </c>
      <c r="AE33" s="405">
        <v>61</v>
      </c>
      <c r="AF33" s="406">
        <f t="shared" si="27"/>
        <v>0.265620675018506</v>
      </c>
      <c r="AG33" s="406">
        <f t="shared" si="28"/>
        <v>0.15937240501110359</v>
      </c>
      <c r="AH33" s="407">
        <f t="shared" si="5"/>
        <v>6.8187012441953392E-3</v>
      </c>
      <c r="AI33" s="405">
        <v>61</v>
      </c>
      <c r="AJ33" s="406">
        <f t="shared" si="29"/>
        <v>0.265620675018506</v>
      </c>
      <c r="AK33" s="406">
        <f t="shared" si="30"/>
        <v>0.1859344725129542</v>
      </c>
      <c r="AL33" s="407">
        <f t="shared" si="6"/>
        <v>7.9697141197616964E-3</v>
      </c>
      <c r="AM33" s="405">
        <v>61</v>
      </c>
      <c r="AN33" s="406">
        <f t="shared" si="31"/>
        <v>0.265620675018506</v>
      </c>
      <c r="AO33" s="406">
        <f t="shared" si="32"/>
        <v>0.21249654001480481</v>
      </c>
      <c r="AP33" s="407">
        <f t="shared" si="7"/>
        <v>9.1249488028183143E-3</v>
      </c>
      <c r="AQ33" s="405">
        <v>61</v>
      </c>
      <c r="AR33" s="406">
        <f t="shared" si="33"/>
        <v>0.265620675018506</v>
      </c>
      <c r="AS33" s="406">
        <f t="shared" si="34"/>
        <v>0.23905860751665542</v>
      </c>
      <c r="AT33" s="407">
        <f t="shared" si="8"/>
        <v>1.02844285638342E-2</v>
      </c>
      <c r="AU33" s="401">
        <f>AU32</f>
        <v>100</v>
      </c>
      <c r="AV33" s="402">
        <f>VLOOKUP(AU33,THERMO_WATER_SAT!$A$13:$D$103,4,FALSE)</f>
        <v>4.2998261118408897E-2</v>
      </c>
      <c r="AW33" s="386">
        <v>49</v>
      </c>
      <c r="AX33" s="386">
        <f>VLOOKUP(AW33,THERMO_WATER_SAT!$A$3:$D$103,4,FALSE)</f>
        <v>7.3473387746228946E-3</v>
      </c>
      <c r="AY33" s="386">
        <f t="shared" si="43"/>
        <v>49</v>
      </c>
      <c r="AZ33" s="386">
        <f t="shared" si="10"/>
        <v>54</v>
      </c>
      <c r="BA33" s="386">
        <f t="shared" si="42"/>
        <v>6.2084451177620075E-3</v>
      </c>
      <c r="BB33" s="386">
        <f t="shared" si="44"/>
        <v>-2.2777873137217741E-4</v>
      </c>
      <c r="BC33" s="386">
        <v>120</v>
      </c>
      <c r="BD33" s="386">
        <f t="shared" si="45"/>
        <v>-8.8249511528017029E-3</v>
      </c>
      <c r="BE33" s="401">
        <v>120</v>
      </c>
      <c r="BF33" s="402">
        <f>VLOOKUP(BE32,$AW$4:$BD$104,8,FALSE)</f>
        <v>3.0430172766285873E-2</v>
      </c>
      <c r="BJ33" s="386">
        <f t="shared" si="12"/>
        <v>7.3473387746228946E-3</v>
      </c>
      <c r="BK33" s="386">
        <f t="shared" si="13"/>
        <v>19.715375142255589</v>
      </c>
      <c r="BL33" s="386">
        <f t="shared" si="38"/>
        <v>49</v>
      </c>
    </row>
    <row r="34" spans="1:64" x14ac:dyDescent="0.3">
      <c r="C34" s="396">
        <f>IF(DewPointA32(P_TOTAL,D34)&lt;32,32,DewPointA32(P_TOTAL,D34))</f>
        <v>32</v>
      </c>
      <c r="D34" s="397">
        <f>D33+0.0002</f>
        <v>3.0000000000000009E-3</v>
      </c>
      <c r="E34" s="406"/>
      <c r="F34" s="406"/>
      <c r="G34" s="406"/>
      <c r="H34" s="406"/>
      <c r="K34" s="408">
        <v>62</v>
      </c>
      <c r="L34" s="406">
        <f t="shared" si="17"/>
        <v>0.27518998761678765</v>
      </c>
      <c r="M34" s="406">
        <f t="shared" si="18"/>
        <v>2.7518998761678765E-2</v>
      </c>
      <c r="N34" s="407">
        <f t="shared" si="0"/>
        <v>1.1668087757210018E-3</v>
      </c>
      <c r="O34" s="408">
        <v>62</v>
      </c>
      <c r="P34" s="406">
        <f t="shared" si="19"/>
        <v>0.27518998761678765</v>
      </c>
      <c r="Q34" s="406">
        <f t="shared" si="20"/>
        <v>5.5037997523357529E-2</v>
      </c>
      <c r="R34" s="407">
        <f t="shared" si="1"/>
        <v>2.3380037945384276E-3</v>
      </c>
      <c r="S34" s="408">
        <v>62</v>
      </c>
      <c r="T34" s="406">
        <f t="shared" si="21"/>
        <v>0.27518998761678765</v>
      </c>
      <c r="U34" s="406">
        <f t="shared" si="22"/>
        <v>8.2556996285036294E-2</v>
      </c>
      <c r="V34" s="407">
        <f t="shared" si="2"/>
        <v>3.5136098360374112E-3</v>
      </c>
      <c r="W34" s="408">
        <v>62</v>
      </c>
      <c r="X34" s="406">
        <f t="shared" si="23"/>
        <v>0.27518998761678765</v>
      </c>
      <c r="Y34" s="406">
        <f t="shared" si="24"/>
        <v>0.11007599504671506</v>
      </c>
      <c r="Z34" s="407">
        <f t="shared" si="3"/>
        <v>4.693651866807866E-3</v>
      </c>
      <c r="AA34" s="408">
        <v>62</v>
      </c>
      <c r="AB34" s="406">
        <f t="shared" si="25"/>
        <v>0.27518998761678765</v>
      </c>
      <c r="AC34" s="406">
        <f t="shared" si="26"/>
        <v>0.13759499380839382</v>
      </c>
      <c r="AD34" s="407">
        <f t="shared" si="4"/>
        <v>5.8781550422119114E-3</v>
      </c>
      <c r="AE34" s="408">
        <v>62</v>
      </c>
      <c r="AF34" s="406">
        <f t="shared" si="27"/>
        <v>0.27518998761678765</v>
      </c>
      <c r="AG34" s="406">
        <f t="shared" si="28"/>
        <v>0.16511399257007259</v>
      </c>
      <c r="AH34" s="407">
        <f t="shared" si="5"/>
        <v>7.0671447081713809E-3</v>
      </c>
      <c r="AI34" s="408">
        <v>62</v>
      </c>
      <c r="AJ34" s="406">
        <f t="shared" si="29"/>
        <v>0.27518998761678765</v>
      </c>
      <c r="AK34" s="406">
        <f t="shared" si="30"/>
        <v>0.19263299133175135</v>
      </c>
      <c r="AL34" s="407">
        <f t="shared" si="6"/>
        <v>8.2606464029756875E-3</v>
      </c>
      <c r="AM34" s="408">
        <v>62</v>
      </c>
      <c r="AN34" s="406">
        <f t="shared" si="31"/>
        <v>0.27518998761678765</v>
      </c>
      <c r="AO34" s="406">
        <f t="shared" si="32"/>
        <v>0.22015199009343012</v>
      </c>
      <c r="AP34" s="407">
        <f t="shared" si="7"/>
        <v>9.4586858591103034E-3</v>
      </c>
      <c r="AQ34" s="408">
        <v>62</v>
      </c>
      <c r="AR34" s="406">
        <f t="shared" si="33"/>
        <v>0.27518998761678765</v>
      </c>
      <c r="AS34" s="406">
        <f t="shared" si="34"/>
        <v>0.24767098885510888</v>
      </c>
      <c r="AT34" s="407">
        <f t="shared" si="8"/>
        <v>1.0661289005106132E-2</v>
      </c>
      <c r="AU34" s="396">
        <f>AU33+5</f>
        <v>105</v>
      </c>
      <c r="AV34" s="397">
        <v>0</v>
      </c>
      <c r="AW34" s="386">
        <v>50</v>
      </c>
      <c r="AX34" s="386">
        <f>VLOOKUP(AW34,THERMO_WATER_SAT!$A$3:$D$103,4,FALSE)</f>
        <v>7.6300275751821269E-3</v>
      </c>
      <c r="AY34" s="386">
        <f t="shared" si="43"/>
        <v>50</v>
      </c>
      <c r="AZ34" s="386">
        <f t="shared" si="10"/>
        <v>55</v>
      </c>
      <c r="BA34" s="386">
        <f t="shared" si="42"/>
        <v>6.4899527581308214E-3</v>
      </c>
      <c r="BB34" s="386">
        <f t="shared" si="44"/>
        <v>-2.2801496341026112E-4</v>
      </c>
      <c r="BC34" s="386">
        <v>120</v>
      </c>
      <c r="BD34" s="386">
        <f t="shared" si="45"/>
        <v>-8.3310198635361508E-3</v>
      </c>
      <c r="BE34" s="396">
        <f>BE32+5</f>
        <v>100</v>
      </c>
      <c r="BF34" s="397">
        <f>VLOOKUP(BE34,$AW$4:$BD$104,2,FALSE)</f>
        <v>4.2998261118408897E-2</v>
      </c>
      <c r="BJ34" s="386">
        <f t="shared" si="12"/>
        <v>7.6300275751821269E-3</v>
      </c>
      <c r="BK34" s="386">
        <f t="shared" si="13"/>
        <v>20.264845869437281</v>
      </c>
      <c r="BL34" s="386">
        <f t="shared" si="38"/>
        <v>50</v>
      </c>
    </row>
    <row r="35" spans="1:64" x14ac:dyDescent="0.3">
      <c r="C35" s="401">
        <v>120</v>
      </c>
      <c r="D35" s="402">
        <f>D34</f>
        <v>3.0000000000000009E-3</v>
      </c>
      <c r="E35" s="406"/>
      <c r="F35" s="406"/>
      <c r="G35" s="406"/>
      <c r="H35" s="406"/>
      <c r="K35" s="405">
        <v>63</v>
      </c>
      <c r="L35" s="406">
        <f t="shared" si="17"/>
        <v>0.28506039701703678</v>
      </c>
      <c r="M35" s="406">
        <f t="shared" si="18"/>
        <v>2.8506039701703678E-2</v>
      </c>
      <c r="N35" s="407">
        <f t="shared" si="0"/>
        <v>1.2087407634383213E-3</v>
      </c>
      <c r="O35" s="405">
        <v>63</v>
      </c>
      <c r="P35" s="406">
        <f t="shared" si="19"/>
        <v>0.28506039701703678</v>
      </c>
      <c r="Q35" s="406">
        <f t="shared" si="20"/>
        <v>5.7012079403407356E-2</v>
      </c>
      <c r="R35" s="407">
        <f t="shared" si="1"/>
        <v>2.4221890124458E-3</v>
      </c>
      <c r="S35" s="405">
        <v>63</v>
      </c>
      <c r="T35" s="406">
        <f t="shared" si="21"/>
        <v>0.28506039701703678</v>
      </c>
      <c r="U35" s="406">
        <f t="shared" si="22"/>
        <v>8.5518119105111035E-2</v>
      </c>
      <c r="V35" s="407">
        <f t="shared" si="2"/>
        <v>3.6403723008919709E-3</v>
      </c>
      <c r="W35" s="405">
        <v>63</v>
      </c>
      <c r="X35" s="406">
        <f t="shared" si="23"/>
        <v>0.28506039701703678</v>
      </c>
      <c r="Y35" s="406">
        <f t="shared" si="24"/>
        <v>0.11402415880681471</v>
      </c>
      <c r="Z35" s="407">
        <f t="shared" si="3"/>
        <v>4.8633183981046067E-3</v>
      </c>
      <c r="AA35" s="405">
        <v>63</v>
      </c>
      <c r="AB35" s="406">
        <f t="shared" si="25"/>
        <v>0.28506039701703678</v>
      </c>
      <c r="AC35" s="406">
        <f t="shared" si="26"/>
        <v>0.14253019850851839</v>
      </c>
      <c r="AD35" s="407">
        <f t="shared" si="4"/>
        <v>6.0910552909798146E-3</v>
      </c>
      <c r="AE35" s="405">
        <v>63</v>
      </c>
      <c r="AF35" s="406">
        <f t="shared" si="27"/>
        <v>0.28506039701703678</v>
      </c>
      <c r="AG35" s="406">
        <f t="shared" si="28"/>
        <v>0.17103623821022207</v>
      </c>
      <c r="AH35" s="407">
        <f t="shared" si="5"/>
        <v>7.3236111861169914E-3</v>
      </c>
      <c r="AI35" s="405">
        <v>63</v>
      </c>
      <c r="AJ35" s="406">
        <f t="shared" si="29"/>
        <v>0.28506039701703678</v>
      </c>
      <c r="AK35" s="406">
        <f t="shared" si="30"/>
        <v>0.19954227791192575</v>
      </c>
      <c r="AL35" s="407">
        <f t="shared" si="6"/>
        <v>8.5610145119789614E-3</v>
      </c>
      <c r="AM35" s="405">
        <v>63</v>
      </c>
      <c r="AN35" s="406">
        <f t="shared" si="31"/>
        <v>0.28506039701703678</v>
      </c>
      <c r="AO35" s="406">
        <f t="shared" si="32"/>
        <v>0.22804831761362943</v>
      </c>
      <c r="AP35" s="407">
        <f t="shared" si="7"/>
        <v>9.8032939210776476E-3</v>
      </c>
      <c r="AQ35" s="405">
        <v>63</v>
      </c>
      <c r="AR35" s="406">
        <f t="shared" si="33"/>
        <v>0.28506039701703678</v>
      </c>
      <c r="AS35" s="406">
        <f t="shared" si="34"/>
        <v>0.2565543573153331</v>
      </c>
      <c r="AT35" s="407">
        <f t="shared" si="8"/>
        <v>1.1050478292185634E-2</v>
      </c>
      <c r="AU35" s="401">
        <f>AU34</f>
        <v>105</v>
      </c>
      <c r="AV35" s="402">
        <f>VLOOKUP(AU35,THERMO_WATER_SAT!$A$13:$D$103,4,FALSE)</f>
        <v>5.0467985830663357E-2</v>
      </c>
      <c r="AW35" s="386">
        <v>51</v>
      </c>
      <c r="AX35" s="386">
        <f>VLOOKUP(AW35,THERMO_WATER_SAT!$A$3:$D$103,4,FALSE)</f>
        <v>7.9224081013770393E-3</v>
      </c>
      <c r="AY35" s="386">
        <f t="shared" si="43"/>
        <v>51</v>
      </c>
      <c r="AZ35" s="386">
        <f t="shared" si="10"/>
        <v>56</v>
      </c>
      <c r="BA35" s="386">
        <f t="shared" si="42"/>
        <v>6.781130725830524E-3</v>
      </c>
      <c r="BB35" s="386">
        <f t="shared" si="44"/>
        <v>-2.2825547510930307E-4</v>
      </c>
      <c r="BC35" s="386">
        <v>120</v>
      </c>
      <c r="BD35" s="386">
        <f t="shared" si="45"/>
        <v>-7.8272196811648726E-3</v>
      </c>
      <c r="BE35" s="401">
        <v>120</v>
      </c>
      <c r="BF35" s="402">
        <f>VLOOKUP(BE34,$AW$4:$BD$104,8,FALSE)</f>
        <v>3.8013916301330129E-2</v>
      </c>
      <c r="BJ35" s="386">
        <f t="shared" si="12"/>
        <v>7.9224081013770393E-3</v>
      </c>
      <c r="BK35" s="386">
        <f t="shared" si="13"/>
        <v>20.825070004608619</v>
      </c>
      <c r="BL35" s="386">
        <f t="shared" si="38"/>
        <v>51</v>
      </c>
    </row>
    <row r="36" spans="1:64" x14ac:dyDescent="0.3">
      <c r="C36" s="396">
        <f>IF(DewPointA32(P_TOTAL,D36)&lt;32,32,DewPointA32(P_TOTAL,D36))</f>
        <v>32</v>
      </c>
      <c r="D36" s="397">
        <f>D35+0.0002</f>
        <v>3.200000000000001E-3</v>
      </c>
      <c r="E36" s="406"/>
      <c r="F36" s="406"/>
      <c r="G36" s="406"/>
      <c r="H36" s="406"/>
      <c r="K36" s="405">
        <v>64</v>
      </c>
      <c r="L36" s="406">
        <f t="shared" si="17"/>
        <v>0.2952398978483709</v>
      </c>
      <c r="M36" s="406">
        <f t="shared" si="18"/>
        <v>2.9523989784837092E-2</v>
      </c>
      <c r="N36" s="407">
        <f t="shared" ref="N36:N67" si="46">MW_MDA_RATIO*M36/(P_TOTAL-M36)</f>
        <v>1.2519917613350324E-3</v>
      </c>
      <c r="O36" s="405">
        <v>64</v>
      </c>
      <c r="P36" s="406">
        <f t="shared" si="19"/>
        <v>0.2952398978483709</v>
      </c>
      <c r="Q36" s="406">
        <f t="shared" si="20"/>
        <v>5.9047979569674183E-2</v>
      </c>
      <c r="R36" s="407">
        <f t="shared" ref="R36:R67" si="47">MW_MDA_RATIO*Q36/(P_TOTAL-Q36)</f>
        <v>2.5090342725694651E-3</v>
      </c>
      <c r="S36" s="405">
        <v>64</v>
      </c>
      <c r="T36" s="406">
        <f t="shared" si="21"/>
        <v>0.2952398978483709</v>
      </c>
      <c r="U36" s="406">
        <f t="shared" si="22"/>
        <v>8.8571969354511268E-2</v>
      </c>
      <c r="V36" s="407">
        <f t="shared" ref="V36:V67" si="48">MW_MDA_RATIO*U36/(P_TOTAL-U36)</f>
        <v>3.7711581588663555E-3</v>
      </c>
      <c r="W36" s="405">
        <v>64</v>
      </c>
      <c r="X36" s="406">
        <f t="shared" si="23"/>
        <v>0.2952398978483709</v>
      </c>
      <c r="Y36" s="406">
        <f t="shared" si="24"/>
        <v>0.11809595913934837</v>
      </c>
      <c r="Z36" s="407">
        <f t="shared" ref="Z36:Z67" si="49">MW_MDA_RATIO*Y36/(P_TOTAL-Y36)</f>
        <v>5.0383942934839636E-3</v>
      </c>
      <c r="AA36" s="405">
        <v>64</v>
      </c>
      <c r="AB36" s="406">
        <f t="shared" si="25"/>
        <v>0.2952398978483709</v>
      </c>
      <c r="AC36" s="406">
        <f t="shared" si="26"/>
        <v>0.14761994892418545</v>
      </c>
      <c r="AD36" s="407">
        <f t="shared" ref="AD36:AD67" si="50">MW_MDA_RATIO*AC36/(P_TOTAL-AC36)</f>
        <v>6.3107738002931256E-3</v>
      </c>
      <c r="AE36" s="405">
        <v>64</v>
      </c>
      <c r="AF36" s="406">
        <f t="shared" si="27"/>
        <v>0.2952398978483709</v>
      </c>
      <c r="AG36" s="406">
        <f t="shared" si="28"/>
        <v>0.17714393870902254</v>
      </c>
      <c r="AH36" s="407">
        <f t="shared" ref="AH36:AH67" si="51">MW_MDA_RATIO*AG36/(P_TOTAL-AG36)</f>
        <v>7.588328056325349E-3</v>
      </c>
      <c r="AI36" s="405">
        <v>64</v>
      </c>
      <c r="AJ36" s="406">
        <f t="shared" si="29"/>
        <v>0.2952398978483709</v>
      </c>
      <c r="AK36" s="406">
        <f t="shared" si="30"/>
        <v>0.20666792849385962</v>
      </c>
      <c r="AL36" s="407">
        <f t="shared" ref="AL36:AL67" si="52">MW_MDA_RATIO*AK36/(P_TOTAL-AK36)</f>
        <v>8.8710886943520664E-3</v>
      </c>
      <c r="AM36" s="405">
        <v>64</v>
      </c>
      <c r="AN36" s="406">
        <f t="shared" si="31"/>
        <v>0.2952398978483709</v>
      </c>
      <c r="AO36" s="406">
        <f t="shared" si="32"/>
        <v>0.23619191827869673</v>
      </c>
      <c r="AP36" s="407">
        <f t="shared" ref="AP36:AP67" si="53">MW_MDA_RATIO*AO36/(P_TOTAL-AO36)</f>
        <v>1.0159087605495479E-2</v>
      </c>
      <c r="AQ36" s="405">
        <v>64</v>
      </c>
      <c r="AR36" s="406">
        <f t="shared" si="33"/>
        <v>0.2952398978483709</v>
      </c>
      <c r="AS36" s="406">
        <f t="shared" si="34"/>
        <v>0.26571590806353385</v>
      </c>
      <c r="AT36" s="407">
        <f t="shared" ref="AT36:AT67" si="54">MW_MDA_RATIO*AS36/(P_TOTAL-AS36)</f>
        <v>1.1452356941871435E-2</v>
      </c>
      <c r="AU36" s="396">
        <f>AU35+5</f>
        <v>110</v>
      </c>
      <c r="AV36" s="397">
        <v>0</v>
      </c>
      <c r="AW36" s="386">
        <v>52</v>
      </c>
      <c r="AX36" s="386">
        <f>VLOOKUP(AW36,THERMO_WATER_SAT!$A$3:$D$103,4,FALSE)</f>
        <v>8.2247745895388472E-3</v>
      </c>
      <c r="AY36" s="386">
        <f t="shared" si="43"/>
        <v>52</v>
      </c>
      <c r="AZ36" s="386">
        <f t="shared" si="10"/>
        <v>57</v>
      </c>
      <c r="BA36" s="386">
        <f t="shared" si="42"/>
        <v>7.08227261113413E-3</v>
      </c>
      <c r="BB36" s="386">
        <f t="shared" si="44"/>
        <v>-2.2850039568094344E-4</v>
      </c>
      <c r="BC36" s="386">
        <v>120</v>
      </c>
      <c r="BD36" s="386">
        <f t="shared" si="45"/>
        <v>-7.3132523167653059E-3</v>
      </c>
      <c r="BE36" s="396">
        <f>BE34+5</f>
        <v>105</v>
      </c>
      <c r="BF36" s="397">
        <f>VLOOKUP(BE36,$AW$4:$BD$104,2,FALSE)</f>
        <v>5.0467985830663357E-2</v>
      </c>
      <c r="BJ36" s="386">
        <f t="shared" si="12"/>
        <v>8.2247745895388472E-3</v>
      </c>
      <c r="BK36" s="386">
        <f t="shared" si="13"/>
        <v>21.396379435223992</v>
      </c>
      <c r="BL36" s="386">
        <f t="shared" si="38"/>
        <v>52</v>
      </c>
    </row>
    <row r="37" spans="1:64" x14ac:dyDescent="0.3">
      <c r="C37" s="401">
        <v>120</v>
      </c>
      <c r="D37" s="402">
        <f>D36</f>
        <v>3.200000000000001E-3</v>
      </c>
      <c r="E37" s="406"/>
      <c r="F37" s="406"/>
      <c r="G37" s="406"/>
      <c r="H37" s="406"/>
      <c r="K37" s="408">
        <v>65</v>
      </c>
      <c r="L37" s="406">
        <f t="shared" si="17"/>
        <v>0.30573665325203037</v>
      </c>
      <c r="M37" s="406">
        <f t="shared" si="18"/>
        <v>3.0573665325203038E-2</v>
      </c>
      <c r="N37" s="407">
        <f t="shared" si="46"/>
        <v>1.2965970087385496E-3</v>
      </c>
      <c r="O37" s="408">
        <v>65</v>
      </c>
      <c r="P37" s="406">
        <f t="shared" si="19"/>
        <v>0.30573665325203037</v>
      </c>
      <c r="Q37" s="406">
        <f t="shared" si="20"/>
        <v>6.1147330650406076E-2</v>
      </c>
      <c r="R37" s="407">
        <f t="shared" si="47"/>
        <v>2.5986114581445898E-3</v>
      </c>
      <c r="S37" s="408">
        <v>65</v>
      </c>
      <c r="T37" s="406">
        <f t="shared" si="21"/>
        <v>0.30573665325203037</v>
      </c>
      <c r="U37" s="406">
        <f t="shared" si="22"/>
        <v>9.1720995975609107E-2</v>
      </c>
      <c r="V37" s="407">
        <f t="shared" si="48"/>
        <v>3.9060773720171393E-3</v>
      </c>
      <c r="W37" s="408">
        <v>65</v>
      </c>
      <c r="X37" s="406">
        <f t="shared" si="23"/>
        <v>0.30573665325203037</v>
      </c>
      <c r="Y37" s="406">
        <f t="shared" si="24"/>
        <v>0.12229466130081215</v>
      </c>
      <c r="Z37" s="407">
        <f t="shared" si="49"/>
        <v>5.219029059664558E-3</v>
      </c>
      <c r="AA37" s="408">
        <v>65</v>
      </c>
      <c r="AB37" s="406">
        <f t="shared" si="25"/>
        <v>0.30573665325203037</v>
      </c>
      <c r="AC37" s="406">
        <f t="shared" si="26"/>
        <v>0.15286832662601518</v>
      </c>
      <c r="AD37" s="407">
        <f t="shared" si="50"/>
        <v>6.5375011189056391E-3</v>
      </c>
      <c r="AE37" s="408">
        <v>65</v>
      </c>
      <c r="AF37" s="406">
        <f t="shared" si="27"/>
        <v>0.30573665325203037</v>
      </c>
      <c r="AG37" s="406">
        <f t="shared" si="28"/>
        <v>0.18344199195121821</v>
      </c>
      <c r="AH37" s="407">
        <f t="shared" si="51"/>
        <v>7.8615284391086414E-3</v>
      </c>
      <c r="AI37" s="408">
        <v>65</v>
      </c>
      <c r="AJ37" s="406">
        <f t="shared" si="29"/>
        <v>0.30573665325203037</v>
      </c>
      <c r="AK37" s="406">
        <f t="shared" si="30"/>
        <v>0.21401565727642125</v>
      </c>
      <c r="AL37" s="407">
        <f t="shared" si="52"/>
        <v>9.1911462042688161E-3</v>
      </c>
      <c r="AM37" s="408">
        <v>65</v>
      </c>
      <c r="AN37" s="406">
        <f t="shared" si="31"/>
        <v>0.30573665325203037</v>
      </c>
      <c r="AO37" s="406">
        <f t="shared" si="32"/>
        <v>0.2445893226016243</v>
      </c>
      <c r="AP37" s="407">
        <f t="shared" si="53"/>
        <v>1.0526389896124998E-2</v>
      </c>
      <c r="AQ37" s="408">
        <v>65</v>
      </c>
      <c r="AR37" s="406">
        <f t="shared" si="33"/>
        <v>0.30573665325203037</v>
      </c>
      <c r="AS37" s="406">
        <f t="shared" si="34"/>
        <v>0.27516298792682736</v>
      </c>
      <c r="AT37" s="407">
        <f t="shared" si="54"/>
        <v>1.1867295297315833E-2</v>
      </c>
      <c r="AU37" s="401">
        <f>AU36</f>
        <v>110</v>
      </c>
      <c r="AV37" s="402">
        <f>VLOOKUP(AU37,THERMO_WATER_SAT!$A$13:$D$103,4,FALSE)</f>
        <v>5.9157901084424029E-2</v>
      </c>
      <c r="AW37" s="386">
        <v>53</v>
      </c>
      <c r="AX37" s="386">
        <f>VLOOKUP(AW37,THERMO_WATER_SAT!$A$3:$D$103,4,FALSE)</f>
        <v>8.537429359360086E-3</v>
      </c>
      <c r="AY37" s="386">
        <f t="shared" si="43"/>
        <v>53</v>
      </c>
      <c r="AZ37" s="386">
        <f t="shared" si="10"/>
        <v>58</v>
      </c>
      <c r="BA37" s="386">
        <f t="shared" si="42"/>
        <v>7.3936800694898537E-3</v>
      </c>
      <c r="BB37" s="386">
        <f t="shared" si="44"/>
        <v>-2.2874985797404645E-4</v>
      </c>
      <c r="BC37" s="386">
        <v>120</v>
      </c>
      <c r="BD37" s="386">
        <f t="shared" si="45"/>
        <v>-6.7888111249010267E-3</v>
      </c>
      <c r="BE37" s="401">
        <v>120</v>
      </c>
      <c r="BF37" s="402">
        <f>VLOOKUP(BE36,$AW$4:$BD$104,8,FALSE)</f>
        <v>4.667172335464756E-2</v>
      </c>
      <c r="BJ37" s="386">
        <f t="shared" si="12"/>
        <v>8.537429359360086E-3</v>
      </c>
      <c r="BK37" s="386">
        <f t="shared" si="13"/>
        <v>21.97911533796551</v>
      </c>
      <c r="BL37" s="386">
        <f t="shared" si="38"/>
        <v>53</v>
      </c>
    </row>
    <row r="38" spans="1:64" x14ac:dyDescent="0.3">
      <c r="C38" s="396">
        <f>IF(DewPointA32(P_TOTAL,D38)&lt;32,32,DewPointA32(P_TOTAL,D38))</f>
        <v>32</v>
      </c>
      <c r="D38" s="397">
        <f>D37+0.0002</f>
        <v>3.4000000000000011E-3</v>
      </c>
      <c r="E38" s="406"/>
      <c r="F38" s="406"/>
      <c r="G38" s="406"/>
      <c r="H38" s="406"/>
      <c r="K38" s="405">
        <v>66</v>
      </c>
      <c r="L38" s="406">
        <f t="shared" si="17"/>
        <v>0.31655899733456028</v>
      </c>
      <c r="M38" s="406">
        <f t="shared" si="18"/>
        <v>3.1655899733456026E-2</v>
      </c>
      <c r="N38" s="407">
        <f t="shared" si="46"/>
        <v>1.342592508942498E-3</v>
      </c>
      <c r="O38" s="405">
        <v>66</v>
      </c>
      <c r="P38" s="406">
        <f t="shared" si="19"/>
        <v>0.31655899733456028</v>
      </c>
      <c r="Q38" s="406">
        <f t="shared" si="20"/>
        <v>6.3311799466912053E-2</v>
      </c>
      <c r="R38" s="407">
        <f t="shared" si="47"/>
        <v>2.6909940631217317E-3</v>
      </c>
      <c r="S38" s="405">
        <v>66</v>
      </c>
      <c r="T38" s="406">
        <f t="shared" si="21"/>
        <v>0.31655899733456028</v>
      </c>
      <c r="U38" s="406">
        <f t="shared" si="22"/>
        <v>9.4967699200368086E-2</v>
      </c>
      <c r="V38" s="407">
        <f t="shared" si="48"/>
        <v>4.0452424455964132E-3</v>
      </c>
      <c r="W38" s="405">
        <v>66</v>
      </c>
      <c r="X38" s="406">
        <f t="shared" si="23"/>
        <v>0.31655899733456028</v>
      </c>
      <c r="Y38" s="406">
        <f t="shared" si="24"/>
        <v>0.12662359893382411</v>
      </c>
      <c r="Z38" s="407">
        <f t="shared" si="49"/>
        <v>5.4053757678007974E-3</v>
      </c>
      <c r="AA38" s="405">
        <v>66</v>
      </c>
      <c r="AB38" s="406">
        <f t="shared" si="25"/>
        <v>0.31655899733456028</v>
      </c>
      <c r="AC38" s="406">
        <f t="shared" si="26"/>
        <v>0.15827949866728014</v>
      </c>
      <c r="AD38" s="407">
        <f t="shared" si="50"/>
        <v>6.7714324731198722E-3</v>
      </c>
      <c r="AE38" s="405">
        <v>66</v>
      </c>
      <c r="AF38" s="406">
        <f t="shared" si="27"/>
        <v>0.31655899733456028</v>
      </c>
      <c r="AG38" s="406">
        <f t="shared" si="28"/>
        <v>0.18993539840073617</v>
      </c>
      <c r="AH38" s="407">
        <f t="shared" si="51"/>
        <v>8.1434513405113564E-3</v>
      </c>
      <c r="AI38" s="405">
        <v>66</v>
      </c>
      <c r="AJ38" s="406">
        <f t="shared" si="29"/>
        <v>0.31655899733456028</v>
      </c>
      <c r="AK38" s="406">
        <f t="shared" si="30"/>
        <v>0.22159129813419218</v>
      </c>
      <c r="AL38" s="407">
        <f t="shared" si="52"/>
        <v>9.5214714881752364E-3</v>
      </c>
      <c r="AM38" s="405">
        <v>66</v>
      </c>
      <c r="AN38" s="406">
        <f t="shared" si="31"/>
        <v>0.31655899733456028</v>
      </c>
      <c r="AO38" s="406">
        <f t="shared" si="32"/>
        <v>0.25324719786764821</v>
      </c>
      <c r="AP38" s="407">
        <f t="shared" si="53"/>
        <v>1.0905532377271553E-2</v>
      </c>
      <c r="AQ38" s="405">
        <v>66</v>
      </c>
      <c r="AR38" s="406">
        <f t="shared" si="33"/>
        <v>0.31655899733456028</v>
      </c>
      <c r="AS38" s="406">
        <f t="shared" si="34"/>
        <v>0.28490309760110427</v>
      </c>
      <c r="AT38" s="407">
        <f t="shared" si="54"/>
        <v>1.2295673815687184E-2</v>
      </c>
      <c r="AU38" s="396">
        <f>AU37+5</f>
        <v>115</v>
      </c>
      <c r="AV38" s="397">
        <v>0</v>
      </c>
      <c r="AW38" s="386">
        <v>54</v>
      </c>
      <c r="AX38" s="386">
        <f>VLOOKUP(AW38,THERMO_WATER_SAT!$A$3:$D$103,4,FALSE)</f>
        <v>8.8606830383218104E-3</v>
      </c>
      <c r="AY38" s="386">
        <f t="shared" si="43"/>
        <v>54</v>
      </c>
      <c r="AZ38" s="386">
        <f t="shared" si="10"/>
        <v>59</v>
      </c>
      <c r="BA38" s="386">
        <f t="shared" si="42"/>
        <v>7.7156630454331097E-3</v>
      </c>
      <c r="BB38" s="386">
        <f t="shared" si="44"/>
        <v>-2.2900399857774014E-4</v>
      </c>
      <c r="BC38" s="386">
        <v>120</v>
      </c>
      <c r="BD38" s="386">
        <f t="shared" si="45"/>
        <v>-6.2535808678090381E-3</v>
      </c>
      <c r="BE38" s="396">
        <f>BE36+5</f>
        <v>110</v>
      </c>
      <c r="BF38" s="397">
        <f>VLOOKUP(BE38,$AW$4:$BD$104,2,FALSE)</f>
        <v>5.9157901084424029E-2</v>
      </c>
      <c r="BJ38" s="386">
        <f t="shared" si="12"/>
        <v>8.8606830383218104E-3</v>
      </c>
      <c r="BK38" s="386">
        <f t="shared" si="13"/>
        <v>22.573628440186244</v>
      </c>
      <c r="BL38" s="386">
        <f t="shared" si="38"/>
        <v>54</v>
      </c>
    </row>
    <row r="39" spans="1:64" x14ac:dyDescent="0.3">
      <c r="C39" s="401">
        <v>120</v>
      </c>
      <c r="D39" s="402">
        <f>D38</f>
        <v>3.4000000000000011E-3</v>
      </c>
      <c r="E39" s="406"/>
      <c r="F39" s="406"/>
      <c r="G39" s="406"/>
      <c r="H39" s="406"/>
      <c r="K39" s="405">
        <v>67</v>
      </c>
      <c r="L39" s="406">
        <f t="shared" si="17"/>
        <v>0.32771543763415978</v>
      </c>
      <c r="M39" s="406">
        <f t="shared" si="18"/>
        <v>3.2771543763415976E-2</v>
      </c>
      <c r="N39" s="407">
        <f t="shared" si="46"/>
        <v>1.3900150417942418E-3</v>
      </c>
      <c r="O39" s="405">
        <v>67</v>
      </c>
      <c r="P39" s="406">
        <f t="shared" si="19"/>
        <v>0.32771543763415978</v>
      </c>
      <c r="Q39" s="406">
        <f t="shared" si="20"/>
        <v>6.5543087526831953E-2</v>
      </c>
      <c r="R39" s="407">
        <f t="shared" si="47"/>
        <v>2.78625722181752E-3</v>
      </c>
      <c r="S39" s="405">
        <v>67</v>
      </c>
      <c r="T39" s="406">
        <f t="shared" si="21"/>
        <v>0.32771543763415978</v>
      </c>
      <c r="U39" s="406">
        <f t="shared" si="22"/>
        <v>9.8314631290247936E-2</v>
      </c>
      <c r="V39" s="407">
        <f t="shared" si="48"/>
        <v>4.1887684795132137E-3</v>
      </c>
      <c r="W39" s="405">
        <v>67</v>
      </c>
      <c r="X39" s="406">
        <f t="shared" si="23"/>
        <v>0.32771543763415978</v>
      </c>
      <c r="Y39" s="406">
        <f t="shared" si="24"/>
        <v>0.13108617505366391</v>
      </c>
      <c r="Z39" s="407">
        <f t="shared" si="49"/>
        <v>5.5975911317853082E-3</v>
      </c>
      <c r="AA39" s="405">
        <v>67</v>
      </c>
      <c r="AB39" s="406">
        <f t="shared" si="25"/>
        <v>0.32771543763415978</v>
      </c>
      <c r="AC39" s="406">
        <f t="shared" si="26"/>
        <v>0.16385771881707989</v>
      </c>
      <c r="AD39" s="407">
        <f t="shared" si="50"/>
        <v>7.0127678772544692E-3</v>
      </c>
      <c r="AE39" s="405">
        <v>67</v>
      </c>
      <c r="AF39" s="406">
        <f t="shared" si="27"/>
        <v>0.32771543763415978</v>
      </c>
      <c r="AG39" s="406">
        <f t="shared" si="28"/>
        <v>0.19662926258049587</v>
      </c>
      <c r="AH39" s="407">
        <f t="shared" si="51"/>
        <v>8.4343418005718256E-3</v>
      </c>
      <c r="AI39" s="405">
        <v>67</v>
      </c>
      <c r="AJ39" s="406">
        <f t="shared" si="29"/>
        <v>0.32771543763415978</v>
      </c>
      <c r="AK39" s="406">
        <f t="shared" si="30"/>
        <v>0.22940080634391183</v>
      </c>
      <c r="AL39" s="407">
        <f t="shared" si="52"/>
        <v>9.8623563767914028E-3</v>
      </c>
      <c r="AM39" s="405">
        <v>67</v>
      </c>
      <c r="AN39" s="406">
        <f t="shared" si="31"/>
        <v>0.32771543763415978</v>
      </c>
      <c r="AO39" s="406">
        <f t="shared" si="32"/>
        <v>0.26217235010732781</v>
      </c>
      <c r="AP39" s="407">
        <f t="shared" si="53"/>
        <v>1.1296855475802092E-2</v>
      </c>
      <c r="AQ39" s="405">
        <v>67</v>
      </c>
      <c r="AR39" s="406">
        <f t="shared" si="33"/>
        <v>0.32771543763415978</v>
      </c>
      <c r="AS39" s="406">
        <f t="shared" si="34"/>
        <v>0.29494389387074382</v>
      </c>
      <c r="AT39" s="407">
        <f t="shared" si="54"/>
        <v>1.2737883366820172E-2</v>
      </c>
      <c r="AU39" s="401">
        <f>AU38</f>
        <v>115</v>
      </c>
      <c r="AV39" s="402">
        <f>VLOOKUP(AU39,THERMO_WATER_SAT!$A$13:$D$103,4,FALSE)</f>
        <v>6.9275436526392786E-2</v>
      </c>
      <c r="AW39" s="386">
        <v>55</v>
      </c>
      <c r="AX39" s="386">
        <f>VLOOKUP(AW39,THERMO_WATER_SAT!$A$3:$D$103,4,FALSE)</f>
        <v>9.1948547939831385E-3</v>
      </c>
      <c r="AY39" s="386">
        <f t="shared" si="43"/>
        <v>55</v>
      </c>
      <c r="AZ39" s="386">
        <f t="shared" si="10"/>
        <v>60</v>
      </c>
      <c r="BA39" s="386">
        <f t="shared" si="42"/>
        <v>8.0485400043428454E-3</v>
      </c>
      <c r="BB39" s="386">
        <f t="shared" si="44"/>
        <v>-2.2926295792805861E-4</v>
      </c>
      <c r="BC39" s="386">
        <v>120</v>
      </c>
      <c r="BD39" s="386">
        <f t="shared" si="45"/>
        <v>-5.7072374713406718E-3</v>
      </c>
      <c r="BE39" s="401">
        <v>120</v>
      </c>
      <c r="BF39" s="402">
        <f>VLOOKUP(BE38,$AW$4:$BD$104,8,FALSE)</f>
        <v>5.6582943073462517E-2</v>
      </c>
      <c r="BJ39" s="386">
        <f t="shared" si="12"/>
        <v>9.1948547939831385E-3</v>
      </c>
      <c r="BK39" s="386">
        <f t="shared" si="13"/>
        <v>23.180279290485178</v>
      </c>
      <c r="BL39" s="386">
        <f t="shared" si="38"/>
        <v>55</v>
      </c>
    </row>
    <row r="40" spans="1:64" x14ac:dyDescent="0.3">
      <c r="C40" s="396">
        <f>IF(DewPointA32(P_TOTAL,D40)&lt;32,32,DewPointA32(P_TOTAL,D40))</f>
        <v>32</v>
      </c>
      <c r="D40" s="397">
        <f>D39+0.0002</f>
        <v>3.6000000000000012E-3</v>
      </c>
      <c r="E40" s="406"/>
      <c r="F40" s="406"/>
      <c r="G40" s="406"/>
      <c r="H40" s="406"/>
      <c r="K40" s="408">
        <v>68</v>
      </c>
      <c r="L40" s="406">
        <f t="shared" si="17"/>
        <v>0.33921465759971386</v>
      </c>
      <c r="M40" s="406">
        <f t="shared" si="18"/>
        <v>3.3921465759971389E-2</v>
      </c>
      <c r="N40" s="407">
        <f t="shared" si="46"/>
        <v>1.4389021764387583E-3</v>
      </c>
      <c r="O40" s="408">
        <v>68</v>
      </c>
      <c r="P40" s="406">
        <f t="shared" si="19"/>
        <v>0.33921465759971386</v>
      </c>
      <c r="Q40" s="406">
        <f t="shared" si="20"/>
        <v>6.7842931519942778E-2</v>
      </c>
      <c r="R40" s="407">
        <f t="shared" si="47"/>
        <v>2.8844777390985583E-3</v>
      </c>
      <c r="S40" s="408">
        <v>68</v>
      </c>
      <c r="T40" s="406">
        <f t="shared" si="21"/>
        <v>0.33921465759971386</v>
      </c>
      <c r="U40" s="406">
        <f t="shared" si="22"/>
        <v>0.10176439727991415</v>
      </c>
      <c r="V40" s="407">
        <f t="shared" si="48"/>
        <v>4.3367732209493399E-3</v>
      </c>
      <c r="W40" s="408">
        <v>68</v>
      </c>
      <c r="X40" s="406">
        <f t="shared" si="23"/>
        <v>0.33921465759971386</v>
      </c>
      <c r="Y40" s="406">
        <f t="shared" si="24"/>
        <v>0.13568586303988556</v>
      </c>
      <c r="Z40" s="407">
        <f t="shared" si="49"/>
        <v>5.7958355885963445E-3</v>
      </c>
      <c r="AA40" s="408">
        <v>68</v>
      </c>
      <c r="AB40" s="406">
        <f t="shared" si="25"/>
        <v>0.33921465759971386</v>
      </c>
      <c r="AC40" s="406">
        <f t="shared" si="26"/>
        <v>0.16960732879985693</v>
      </c>
      <c r="AD40" s="407">
        <f t="shared" si="50"/>
        <v>7.2617122473431521E-3</v>
      </c>
      <c r="AE40" s="408">
        <v>68</v>
      </c>
      <c r="AF40" s="406">
        <f t="shared" si="27"/>
        <v>0.33921465759971386</v>
      </c>
      <c r="AG40" s="406">
        <f t="shared" si="28"/>
        <v>0.20352879455982831</v>
      </c>
      <c r="AH40" s="407">
        <f t="shared" si="51"/>
        <v>8.7344510463258276E-3</v>
      </c>
      <c r="AI40" s="408">
        <v>68</v>
      </c>
      <c r="AJ40" s="406">
        <f t="shared" si="29"/>
        <v>0.33921465759971386</v>
      </c>
      <c r="AK40" s="406">
        <f t="shared" si="30"/>
        <v>0.23745026031979968</v>
      </c>
      <c r="AL40" s="407">
        <f t="shared" si="52"/>
        <v>1.0214100283719347E-2</v>
      </c>
      <c r="AM40" s="408">
        <v>68</v>
      </c>
      <c r="AN40" s="406">
        <f t="shared" si="31"/>
        <v>0.33921465759971386</v>
      </c>
      <c r="AO40" s="406">
        <f t="shared" si="32"/>
        <v>0.27137172607977111</v>
      </c>
      <c r="AP40" s="407">
        <f t="shared" si="53"/>
        <v>1.1700708712017461E-2</v>
      </c>
      <c r="AQ40" s="408">
        <v>68</v>
      </c>
      <c r="AR40" s="406">
        <f t="shared" si="33"/>
        <v>0.33921465759971386</v>
      </c>
      <c r="AS40" s="406">
        <f t="shared" si="34"/>
        <v>0.30529319183974246</v>
      </c>
      <c r="AT40" s="407">
        <f t="shared" si="54"/>
        <v>1.3194325543387257E-2</v>
      </c>
      <c r="AU40" s="396">
        <f>AU39+5</f>
        <v>120</v>
      </c>
      <c r="AV40" s="397">
        <v>0</v>
      </c>
      <c r="AW40" s="386">
        <v>56</v>
      </c>
      <c r="AX40" s="386">
        <f>VLOOKUP(AW40,THERMO_WATER_SAT!$A$3:$D$103,4,FALSE)</f>
        <v>9.5402725745014905E-3</v>
      </c>
      <c r="AY40" s="386">
        <f t="shared" si="43"/>
        <v>56</v>
      </c>
      <c r="AZ40" s="386">
        <f t="shared" si="10"/>
        <v>61</v>
      </c>
      <c r="BA40" s="386">
        <f t="shared" si="42"/>
        <v>8.3926381724097453E-3</v>
      </c>
      <c r="BB40" s="386">
        <f t="shared" si="44"/>
        <v>-2.2952688041834904E-4</v>
      </c>
      <c r="BC40" s="386">
        <v>120</v>
      </c>
      <c r="BD40" s="386">
        <f t="shared" si="45"/>
        <v>-5.1494477722728478E-3</v>
      </c>
      <c r="BE40" s="396">
        <f>BE38+5</f>
        <v>115</v>
      </c>
      <c r="BF40" s="397">
        <f>VLOOKUP(BE40,$AW$4:$BD$104,2,FALSE)</f>
        <v>6.9275436526392786E-2</v>
      </c>
      <c r="BJ40" s="386">
        <f t="shared" si="12"/>
        <v>9.5402725745014905E-3</v>
      </c>
      <c r="BK40" s="386">
        <f t="shared" si="13"/>
        <v>23.799438538838487</v>
      </c>
      <c r="BL40" s="386">
        <f t="shared" si="38"/>
        <v>56</v>
      </c>
    </row>
    <row r="41" spans="1:64" x14ac:dyDescent="0.3">
      <c r="C41" s="401">
        <v>120</v>
      </c>
      <c r="D41" s="402">
        <f>D40</f>
        <v>3.6000000000000012E-3</v>
      </c>
      <c r="E41" s="406"/>
      <c r="F41" s="406"/>
      <c r="G41" s="406"/>
      <c r="H41" s="406"/>
      <c r="K41" s="405">
        <v>69</v>
      </c>
      <c r="L41" s="406">
        <f t="shared" si="17"/>
        <v>0.35106551908236749</v>
      </c>
      <c r="M41" s="406">
        <f t="shared" si="18"/>
        <v>3.5106551908236749E-2</v>
      </c>
      <c r="N41" s="407">
        <f t="shared" si="46"/>
        <v>1.4892922842225929E-3</v>
      </c>
      <c r="O41" s="405">
        <v>69</v>
      </c>
      <c r="P41" s="406">
        <f t="shared" si="19"/>
        <v>0.35106551908236749</v>
      </c>
      <c r="Q41" s="406">
        <f t="shared" si="20"/>
        <v>7.0213103816473499E-2</v>
      </c>
      <c r="R41" s="407">
        <f t="shared" si="47"/>
        <v>2.9857341211159197E-3</v>
      </c>
      <c r="S41" s="405">
        <v>69</v>
      </c>
      <c r="T41" s="406">
        <f t="shared" si="21"/>
        <v>0.35106551908236749</v>
      </c>
      <c r="U41" s="406">
        <f t="shared" si="22"/>
        <v>0.10531965572471025</v>
      </c>
      <c r="V41" s="407">
        <f t="shared" si="48"/>
        <v>4.4893771181724407E-3</v>
      </c>
      <c r="W41" s="405">
        <v>69</v>
      </c>
      <c r="X41" s="406">
        <f t="shared" si="23"/>
        <v>0.35106551908236749</v>
      </c>
      <c r="Y41" s="406">
        <f t="shared" si="24"/>
        <v>0.140426207632947</v>
      </c>
      <c r="Z41" s="407">
        <f t="shared" si="49"/>
        <v>6.000273380772545E-3</v>
      </c>
      <c r="AA41" s="405">
        <v>69</v>
      </c>
      <c r="AB41" s="406">
        <f t="shared" si="25"/>
        <v>0.35106551908236749</v>
      </c>
      <c r="AC41" s="406">
        <f t="shared" si="26"/>
        <v>0.17553275954118375</v>
      </c>
      <c r="AD41" s="407">
        <f t="shared" si="50"/>
        <v>7.5184755182033346E-3</v>
      </c>
      <c r="AE41" s="405">
        <v>69</v>
      </c>
      <c r="AF41" s="406">
        <f t="shared" si="27"/>
        <v>0.35106551908236749</v>
      </c>
      <c r="AG41" s="406">
        <f t="shared" si="28"/>
        <v>0.2106393114494205</v>
      </c>
      <c r="AH41" s="407">
        <f t="shared" si="51"/>
        <v>9.0440366497649416E-3</v>
      </c>
      <c r="AI41" s="405">
        <v>69</v>
      </c>
      <c r="AJ41" s="406">
        <f t="shared" si="29"/>
        <v>0.35106551908236749</v>
      </c>
      <c r="AK41" s="406">
        <f t="shared" si="30"/>
        <v>0.24574586335765722</v>
      </c>
      <c r="AL41" s="407">
        <f t="shared" si="52"/>
        <v>1.0577010410965848E-2</v>
      </c>
      <c r="AM41" s="405">
        <v>69</v>
      </c>
      <c r="AN41" s="406">
        <f t="shared" si="31"/>
        <v>0.35106551908236749</v>
      </c>
      <c r="AO41" s="406">
        <f t="shared" si="32"/>
        <v>0.280852415265894</v>
      </c>
      <c r="AP41" s="407">
        <f t="shared" si="53"/>
        <v>1.2117450959808746E-2</v>
      </c>
      <c r="AQ41" s="405">
        <v>69</v>
      </c>
      <c r="AR41" s="406">
        <f t="shared" si="33"/>
        <v>0.35106551908236749</v>
      </c>
      <c r="AS41" s="406">
        <f t="shared" si="34"/>
        <v>0.31595896717413074</v>
      </c>
      <c r="AT41" s="407">
        <f t="shared" si="54"/>
        <v>1.3665412983168448E-2</v>
      </c>
      <c r="AU41" s="401">
        <f>AU40</f>
        <v>120</v>
      </c>
      <c r="AV41" s="402">
        <f>VLOOKUP(AU41,THERMO_WATER_SAT!$A$13:$D$103,4,FALSE)</f>
        <v>8.1071486524262604E-2</v>
      </c>
      <c r="AW41" s="386">
        <v>57</v>
      </c>
      <c r="AX41" s="386">
        <f>VLOOKUP(AW41,THERMO_WATER_SAT!$A$3:$D$103,4,FALSE)</f>
        <v>9.897273357778659E-3</v>
      </c>
      <c r="AY41" s="386">
        <f t="shared" si="43"/>
        <v>57</v>
      </c>
      <c r="AZ41" s="386">
        <f t="shared" si="10"/>
        <v>62</v>
      </c>
      <c r="BA41" s="386">
        <f t="shared" si="42"/>
        <v>8.7482937852105015E-3</v>
      </c>
      <c r="BB41" s="386">
        <f t="shared" si="44"/>
        <v>-2.2979591451363149E-4</v>
      </c>
      <c r="BC41" s="386">
        <v>120</v>
      </c>
      <c r="BD41" s="386">
        <f t="shared" si="45"/>
        <v>-4.5798692565801255E-3</v>
      </c>
      <c r="BE41" s="401">
        <v>120</v>
      </c>
      <c r="BF41" s="402">
        <f>VLOOKUP(BE40,$AW$4:$BD$104,8,FALSE)</f>
        <v>6.79627072297046E-2</v>
      </c>
      <c r="BJ41" s="386">
        <f t="shared" si="12"/>
        <v>9.897273357778659E-3</v>
      </c>
      <c r="BK41" s="386">
        <f t="shared" si="13"/>
        <v>24.431487226741819</v>
      </c>
      <c r="BL41" s="386">
        <f t="shared" si="38"/>
        <v>57</v>
      </c>
    </row>
    <row r="42" spans="1:64" x14ac:dyDescent="0.3">
      <c r="C42" s="396">
        <f>IF(DewPointA32(P_TOTAL,D42)&lt;32,32,DewPointA32(P_TOTAL,D42))</f>
        <v>32.121739867946424</v>
      </c>
      <c r="D42" s="397">
        <f>D41+0.0002</f>
        <v>3.8000000000000013E-3</v>
      </c>
      <c r="E42" s="406"/>
      <c r="F42" s="406"/>
      <c r="G42" s="406"/>
      <c r="H42" s="406"/>
      <c r="K42" s="405">
        <v>70</v>
      </c>
      <c r="L42" s="406">
        <f t="shared" si="17"/>
        <v>0.36327706483917216</v>
      </c>
      <c r="M42" s="406">
        <f t="shared" si="18"/>
        <v>3.632770648391722E-2</v>
      </c>
      <c r="N42" s="407">
        <f t="shared" si="46"/>
        <v>1.5412245517603966E-3</v>
      </c>
      <c r="O42" s="405">
        <v>70</v>
      </c>
      <c r="P42" s="406">
        <f t="shared" si="19"/>
        <v>0.36327706483917216</v>
      </c>
      <c r="Q42" s="406">
        <f t="shared" si="20"/>
        <v>7.265541296783444E-2</v>
      </c>
      <c r="R42" s="407">
        <f t="shared" si="47"/>
        <v>3.0901066066055267E-3</v>
      </c>
      <c r="S42" s="405">
        <v>70</v>
      </c>
      <c r="T42" s="406">
        <f t="shared" si="21"/>
        <v>0.36327706483917216</v>
      </c>
      <c r="U42" s="406">
        <f t="shared" si="22"/>
        <v>0.10898311945175164</v>
      </c>
      <c r="V42" s="407">
        <f t="shared" si="48"/>
        <v>4.6467033755868475E-3</v>
      </c>
      <c r="W42" s="405">
        <v>70</v>
      </c>
      <c r="X42" s="406">
        <f t="shared" si="23"/>
        <v>0.36327706483917216</v>
      </c>
      <c r="Y42" s="406">
        <f t="shared" si="24"/>
        <v>0.14531082593566888</v>
      </c>
      <c r="Z42" s="407">
        <f t="shared" si="49"/>
        <v>6.2110726410954361E-3</v>
      </c>
      <c r="AA42" s="405">
        <v>70</v>
      </c>
      <c r="AB42" s="406">
        <f t="shared" si="25"/>
        <v>0.36327706483917216</v>
      </c>
      <c r="AC42" s="406">
        <f t="shared" si="26"/>
        <v>0.18163853241958608</v>
      </c>
      <c r="AD42" s="407">
        <f t="shared" si="50"/>
        <v>7.7832727640119491E-3</v>
      </c>
      <c r="AE42" s="405">
        <v>70</v>
      </c>
      <c r="AF42" s="406">
        <f t="shared" si="27"/>
        <v>0.36327706483917216</v>
      </c>
      <c r="AG42" s="406">
        <f t="shared" si="28"/>
        <v>0.21796623890350328</v>
      </c>
      <c r="AH42" s="407">
        <f t="shared" si="51"/>
        <v>9.3633626909642494E-3</v>
      </c>
      <c r="AI42" s="405">
        <v>70</v>
      </c>
      <c r="AJ42" s="406">
        <f t="shared" si="29"/>
        <v>0.36327706483917216</v>
      </c>
      <c r="AK42" s="406">
        <f t="shared" si="30"/>
        <v>0.25429394538742051</v>
      </c>
      <c r="AL42" s="407">
        <f t="shared" si="52"/>
        <v>1.0951401961694559E-2</v>
      </c>
      <c r="AM42" s="405">
        <v>70</v>
      </c>
      <c r="AN42" s="406">
        <f t="shared" si="31"/>
        <v>0.36327706483917216</v>
      </c>
      <c r="AO42" s="406">
        <f t="shared" si="32"/>
        <v>0.29062165187133776</v>
      </c>
      <c r="AP42" s="407">
        <f t="shared" si="53"/>
        <v>1.2547450716538074E-2</v>
      </c>
      <c r="AQ42" s="405">
        <v>70</v>
      </c>
      <c r="AR42" s="406">
        <f t="shared" si="33"/>
        <v>0.36327706483917216</v>
      </c>
      <c r="AS42" s="406">
        <f t="shared" si="34"/>
        <v>0.32694935835525496</v>
      </c>
      <c r="AT42" s="407">
        <f t="shared" si="54"/>
        <v>1.4151569704015043E-2</v>
      </c>
      <c r="AW42" s="386">
        <v>58</v>
      </c>
      <c r="AX42" s="386">
        <f>VLOOKUP(AW42,THERMO_WATER_SAT!$A$3:$D$103,4,FALSE)</f>
        <v>1.0266203409642282E-2</v>
      </c>
      <c r="AY42" s="386">
        <f t="shared" si="43"/>
        <v>58</v>
      </c>
      <c r="AZ42" s="386">
        <f t="shared" si="10"/>
        <v>63</v>
      </c>
      <c r="BA42" s="386">
        <f t="shared" si="42"/>
        <v>9.1158523452968369E-3</v>
      </c>
      <c r="BB42" s="386">
        <f t="shared" si="44"/>
        <v>-2.3007021286908894E-4</v>
      </c>
      <c r="BC42" s="386">
        <v>120</v>
      </c>
      <c r="BD42" s="386">
        <f t="shared" si="45"/>
        <v>-3.9981497882412322E-3</v>
      </c>
      <c r="BE42" s="396">
        <f>BE40+5</f>
        <v>120</v>
      </c>
      <c r="BF42" s="397">
        <f>VLOOKUP(BE42,$AW$4:$BD$104,2,FALSE)</f>
        <v>8.1071486524262604E-2</v>
      </c>
      <c r="BJ42" s="386">
        <f t="shared" si="12"/>
        <v>1.0266203409642282E-2</v>
      </c>
      <c r="BK42" s="386">
        <f t="shared" si="13"/>
        <v>25.076817087835568</v>
      </c>
      <c r="BL42" s="386">
        <f t="shared" si="38"/>
        <v>58</v>
      </c>
    </row>
    <row r="43" spans="1:64" x14ac:dyDescent="0.3">
      <c r="C43" s="401">
        <v>120</v>
      </c>
      <c r="D43" s="402">
        <f>D42</f>
        <v>3.8000000000000013E-3</v>
      </c>
      <c r="E43" s="406"/>
      <c r="F43" s="406"/>
      <c r="G43" s="406"/>
      <c r="H43" s="406"/>
      <c r="K43" s="405">
        <v>71</v>
      </c>
      <c r="L43" s="406">
        <f t="shared" si="17"/>
        <v>0.3758585210485797</v>
      </c>
      <c r="M43" s="406">
        <f t="shared" si="18"/>
        <v>3.7585852104857972E-2</v>
      </c>
      <c r="N43" s="407">
        <f t="shared" si="46"/>
        <v>1.594738994167743E-3</v>
      </c>
      <c r="O43" s="405">
        <v>71</v>
      </c>
      <c r="P43" s="406">
        <f t="shared" si="19"/>
        <v>0.3758585210485797</v>
      </c>
      <c r="Q43" s="406">
        <f t="shared" si="20"/>
        <v>7.5171704209715945E-2</v>
      </c>
      <c r="R43" s="407">
        <f t="shared" si="47"/>
        <v>3.1976771987725439E-3</v>
      </c>
      <c r="S43" s="405">
        <v>71</v>
      </c>
      <c r="T43" s="406">
        <f t="shared" si="21"/>
        <v>0.3758585210485797</v>
      </c>
      <c r="U43" s="406">
        <f t="shared" si="22"/>
        <v>0.1127575563145739</v>
      </c>
      <c r="V43" s="407">
        <f t="shared" si="48"/>
        <v>4.8088780100677504E-3</v>
      </c>
      <c r="W43" s="405">
        <v>71</v>
      </c>
      <c r="X43" s="406">
        <f t="shared" si="23"/>
        <v>0.3758585210485797</v>
      </c>
      <c r="Y43" s="406">
        <f t="shared" si="24"/>
        <v>0.15034340841943189</v>
      </c>
      <c r="Z43" s="407">
        <f t="shared" si="49"/>
        <v>6.4284054795682149E-3</v>
      </c>
      <c r="AA43" s="405">
        <v>71</v>
      </c>
      <c r="AB43" s="406">
        <f t="shared" si="25"/>
        <v>0.3758585210485797</v>
      </c>
      <c r="AC43" s="406">
        <f t="shared" si="26"/>
        <v>0.18792926052428985</v>
      </c>
      <c r="AD43" s="407">
        <f t="shared" si="50"/>
        <v>8.0563243225381734E-3</v>
      </c>
      <c r="AE43" s="405">
        <v>71</v>
      </c>
      <c r="AF43" s="406">
        <f t="shared" si="27"/>
        <v>0.3758585210485797</v>
      </c>
      <c r="AG43" s="406">
        <f t="shared" si="28"/>
        <v>0.22551511262914781</v>
      </c>
      <c r="AH43" s="407">
        <f t="shared" si="51"/>
        <v>9.6926999266114169E-3</v>
      </c>
      <c r="AI43" s="405">
        <v>71</v>
      </c>
      <c r="AJ43" s="406">
        <f t="shared" si="29"/>
        <v>0.3758585210485797</v>
      </c>
      <c r="AK43" s="406">
        <f t="shared" si="30"/>
        <v>0.26310096473400579</v>
      </c>
      <c r="AL43" s="407">
        <f t="shared" si="52"/>
        <v>1.1337598360546132E-2</v>
      </c>
      <c r="AM43" s="405">
        <v>71</v>
      </c>
      <c r="AN43" s="406">
        <f t="shared" si="31"/>
        <v>0.3758585210485797</v>
      </c>
      <c r="AO43" s="406">
        <f t="shared" si="32"/>
        <v>0.30068681683886378</v>
      </c>
      <c r="AP43" s="407">
        <f t="shared" si="53"/>
        <v>1.2991086383116919E-2</v>
      </c>
      <c r="AQ43" s="405">
        <v>71</v>
      </c>
      <c r="AR43" s="406">
        <f t="shared" si="33"/>
        <v>0.3758585210485797</v>
      </c>
      <c r="AS43" s="406">
        <f t="shared" si="34"/>
        <v>0.33827266894372171</v>
      </c>
      <c r="AT43" s="407">
        <f t="shared" si="54"/>
        <v>1.4653231452146451E-2</v>
      </c>
      <c r="AW43" s="386">
        <v>59</v>
      </c>
      <c r="AX43" s="386">
        <f>VLOOKUP(AW43,THERMO_WATER_SAT!$A$3:$D$103,4,FALSE)</f>
        <v>1.064741855149774E-2</v>
      </c>
      <c r="AY43" s="386">
        <f t="shared" si="43"/>
        <v>59</v>
      </c>
      <c r="AZ43" s="386">
        <f t="shared" si="10"/>
        <v>64</v>
      </c>
      <c r="BA43" s="386">
        <f t="shared" si="42"/>
        <v>9.4956688892333125E-3</v>
      </c>
      <c r="BB43" s="386">
        <f t="shared" si="44"/>
        <v>-2.3034993245288558E-4</v>
      </c>
      <c r="BC43" s="386">
        <v>120</v>
      </c>
      <c r="BD43" s="386">
        <f t="shared" si="45"/>
        <v>-3.4039273281282791E-3</v>
      </c>
      <c r="BE43" s="401">
        <v>120</v>
      </c>
      <c r="BF43" s="402">
        <f>VLOOKUP(BE42,$AW$4:$BD$104,8,FALSE)</f>
        <v>8.080313869731387E-2</v>
      </c>
      <c r="BJ43" s="386">
        <f t="shared" si="12"/>
        <v>1.064741855149774E-2</v>
      </c>
      <c r="BK43" s="386">
        <f t="shared" si="13"/>
        <v>25.735830859514138</v>
      </c>
      <c r="BL43" s="386">
        <f t="shared" si="38"/>
        <v>59</v>
      </c>
    </row>
    <row r="44" spans="1:64" x14ac:dyDescent="0.3">
      <c r="C44" s="396">
        <f>IF(DewPointA32(P_TOTAL,D44)&lt;32,32,DewPointA32(P_TOTAL,D44))</f>
        <v>33.405316924704131</v>
      </c>
      <c r="D44" s="397">
        <f>D43+0.0002</f>
        <v>4.000000000000001E-3</v>
      </c>
      <c r="E44" s="406"/>
      <c r="F44" s="406"/>
      <c r="G44" s="406"/>
      <c r="H44" s="406"/>
      <c r="K44" s="408">
        <v>72</v>
      </c>
      <c r="L44" s="406">
        <f t="shared" si="17"/>
        <v>0.38881929983738461</v>
      </c>
      <c r="M44" s="406">
        <f t="shared" si="18"/>
        <v>3.8881929983738461E-2</v>
      </c>
      <c r="N44" s="407">
        <f t="shared" si="46"/>
        <v>1.6498764684633556E-3</v>
      </c>
      <c r="O44" s="408">
        <v>72</v>
      </c>
      <c r="P44" s="406">
        <f t="shared" si="19"/>
        <v>0.38881929983738461</v>
      </c>
      <c r="Q44" s="406">
        <f t="shared" si="20"/>
        <v>7.7763859967476923E-2</v>
      </c>
      <c r="R44" s="407">
        <f t="shared" si="47"/>
        <v>3.3085296977772125E-3</v>
      </c>
      <c r="S44" s="408">
        <v>72</v>
      </c>
      <c r="T44" s="406">
        <f t="shared" si="21"/>
        <v>0.38881929983738461</v>
      </c>
      <c r="U44" s="406">
        <f t="shared" si="22"/>
        <v>0.11664578995121538</v>
      </c>
      <c r="V44" s="407">
        <f t="shared" si="48"/>
        <v>4.9760299086240422E-3</v>
      </c>
      <c r="W44" s="408">
        <v>72</v>
      </c>
      <c r="X44" s="406">
        <f t="shared" si="23"/>
        <v>0.38881929983738461</v>
      </c>
      <c r="Y44" s="406">
        <f t="shared" si="24"/>
        <v>0.15552771993495385</v>
      </c>
      <c r="Z44" s="407">
        <f t="shared" si="49"/>
        <v>6.6524480727803937E-3</v>
      </c>
      <c r="AA44" s="408">
        <v>72</v>
      </c>
      <c r="AB44" s="406">
        <f t="shared" si="25"/>
        <v>0.38881929983738461</v>
      </c>
      <c r="AC44" s="406">
        <f t="shared" si="26"/>
        <v>0.19440964991869231</v>
      </c>
      <c r="AD44" s="407">
        <f t="shared" si="50"/>
        <v>8.3378559231861334E-3</v>
      </c>
      <c r="AE44" s="408">
        <v>72</v>
      </c>
      <c r="AF44" s="406">
        <f t="shared" si="27"/>
        <v>0.38881929983738461</v>
      </c>
      <c r="AG44" s="406">
        <f t="shared" si="28"/>
        <v>0.23329157990243077</v>
      </c>
      <c r="AH44" s="407">
        <f t="shared" si="51"/>
        <v>1.0032325964176103E-2</v>
      </c>
      <c r="AI44" s="408">
        <v>72</v>
      </c>
      <c r="AJ44" s="406">
        <f t="shared" si="29"/>
        <v>0.38881929983738461</v>
      </c>
      <c r="AK44" s="406">
        <f t="shared" si="30"/>
        <v>0.27217350988616923</v>
      </c>
      <c r="AL44" s="407">
        <f t="shared" si="52"/>
        <v>1.1735931481877257E-2</v>
      </c>
      <c r="AM44" s="408">
        <v>72</v>
      </c>
      <c r="AN44" s="406">
        <f t="shared" si="31"/>
        <v>0.38881929983738461</v>
      </c>
      <c r="AO44" s="406">
        <f t="shared" si="32"/>
        <v>0.31105543986990769</v>
      </c>
      <c r="AP44" s="407">
        <f t="shared" si="53"/>
        <v>1.3448746554774441E-2</v>
      </c>
      <c r="AQ44" s="408">
        <v>72</v>
      </c>
      <c r="AR44" s="406">
        <f t="shared" si="33"/>
        <v>0.38881929983738461</v>
      </c>
      <c r="AS44" s="406">
        <f t="shared" si="34"/>
        <v>0.34993736985364615</v>
      </c>
      <c r="AT44" s="407">
        <f t="shared" si="54"/>
        <v>1.5170846064447961E-2</v>
      </c>
      <c r="AW44" s="386">
        <v>60</v>
      </c>
      <c r="AX44" s="386">
        <f>VLOOKUP(AW44,THERMO_WATER_SAT!$A$3:$D$103,4,FALSE)</f>
        <v>1.1041284437913019E-2</v>
      </c>
      <c r="AY44" s="386">
        <f t="shared" si="43"/>
        <v>60</v>
      </c>
      <c r="AZ44" s="386">
        <f t="shared" si="10"/>
        <v>65</v>
      </c>
      <c r="BA44" s="386">
        <f t="shared" si="42"/>
        <v>9.8881082645453765E-3</v>
      </c>
      <c r="BB44" s="386">
        <f t="shared" si="44"/>
        <v>-2.3063523467352839E-4</v>
      </c>
      <c r="BC44" s="386">
        <v>120</v>
      </c>
      <c r="BD44" s="386">
        <f t="shared" si="45"/>
        <v>-2.7968296424986851E-3</v>
      </c>
      <c r="BJ44" s="386">
        <f t="shared" si="12"/>
        <v>1.1041284437913019E-2</v>
      </c>
      <c r="BK44" s="386">
        <f t="shared" si="13"/>
        <v>26.408942606051717</v>
      </c>
      <c r="BL44" s="386">
        <f t="shared" si="38"/>
        <v>60</v>
      </c>
    </row>
    <row r="45" spans="1:64" x14ac:dyDescent="0.3">
      <c r="C45" s="401">
        <v>120</v>
      </c>
      <c r="D45" s="402">
        <f>D44</f>
        <v>4.000000000000001E-3</v>
      </c>
      <c r="E45" s="406"/>
      <c r="F45" s="406"/>
      <c r="G45" s="406"/>
      <c r="H45" s="406"/>
      <c r="K45" s="405">
        <v>73</v>
      </c>
      <c r="L45" s="406">
        <f t="shared" si="17"/>
        <v>0.40216900181878207</v>
      </c>
      <c r="M45" s="406">
        <f t="shared" si="18"/>
        <v>4.0216900181878207E-2</v>
      </c>
      <c r="N45" s="407">
        <f t="shared" si="46"/>
        <v>1.7066786871443305E-3</v>
      </c>
      <c r="O45" s="405">
        <v>73</v>
      </c>
      <c r="P45" s="406">
        <f t="shared" si="19"/>
        <v>0.40216900181878207</v>
      </c>
      <c r="Q45" s="406">
        <f t="shared" si="20"/>
        <v>8.0433800363756414E-2</v>
      </c>
      <c r="R45" s="407">
        <f t="shared" si="47"/>
        <v>3.4227497338409213E-3</v>
      </c>
      <c r="S45" s="405">
        <v>73</v>
      </c>
      <c r="T45" s="406">
        <f t="shared" si="21"/>
        <v>0.40216900181878207</v>
      </c>
      <c r="U45" s="406">
        <f t="shared" si="22"/>
        <v>0.12065070054563462</v>
      </c>
      <c r="V45" s="407">
        <f t="shared" si="48"/>
        <v>5.148290887438154E-3</v>
      </c>
      <c r="W45" s="405">
        <v>73</v>
      </c>
      <c r="X45" s="406">
        <f t="shared" si="23"/>
        <v>0.40216900181878207</v>
      </c>
      <c r="Y45" s="406">
        <f t="shared" si="24"/>
        <v>0.16086760072751283</v>
      </c>
      <c r="Z45" s="407">
        <f t="shared" si="49"/>
        <v>6.8833807557533077E-3</v>
      </c>
      <c r="AA45" s="405">
        <v>73</v>
      </c>
      <c r="AB45" s="406">
        <f t="shared" si="25"/>
        <v>0.40216900181878207</v>
      </c>
      <c r="AC45" s="406">
        <f t="shared" si="26"/>
        <v>0.20108450090939103</v>
      </c>
      <c r="AD45" s="407">
        <f t="shared" si="50"/>
        <v>8.6280988190096455E-3</v>
      </c>
      <c r="AE45" s="405">
        <v>73</v>
      </c>
      <c r="AF45" s="406">
        <f t="shared" si="27"/>
        <v>0.40216900181878207</v>
      </c>
      <c r="AG45" s="406">
        <f t="shared" si="28"/>
        <v>0.24130140109126924</v>
      </c>
      <c r="AH45" s="407">
        <f t="shared" si="51"/>
        <v>1.0382525441972764E-2</v>
      </c>
      <c r="AI45" s="405">
        <v>73</v>
      </c>
      <c r="AJ45" s="406">
        <f t="shared" si="29"/>
        <v>0.40216900181878207</v>
      </c>
      <c r="AK45" s="406">
        <f t="shared" si="30"/>
        <v>0.28151830127314742</v>
      </c>
      <c r="AL45" s="407">
        <f t="shared" si="52"/>
        <v>1.2146741886290103E-2</v>
      </c>
      <c r="AM45" s="405">
        <v>73</v>
      </c>
      <c r="AN45" s="406">
        <f t="shared" si="31"/>
        <v>0.40216900181878207</v>
      </c>
      <c r="AO45" s="406">
        <f t="shared" si="32"/>
        <v>0.32173520145502565</v>
      </c>
      <c r="AP45" s="407">
        <f t="shared" si="53"/>
        <v>1.392083032303763E-2</v>
      </c>
      <c r="AQ45" s="405">
        <v>73</v>
      </c>
      <c r="AR45" s="406">
        <f t="shared" si="33"/>
        <v>0.40216900181878207</v>
      </c>
      <c r="AS45" s="406">
        <f t="shared" si="34"/>
        <v>0.36195210163690389</v>
      </c>
      <c r="AT45" s="407">
        <f t="shared" si="54"/>
        <v>1.5704873845477686E-2</v>
      </c>
      <c r="AW45" s="386">
        <v>61</v>
      </c>
      <c r="AX45" s="386">
        <f>VLOOKUP(AW45,THERMO_WATER_SAT!$A$3:$D$103,4,FALSE)</f>
        <v>1.1448176844614608E-2</v>
      </c>
      <c r="AY45" s="386">
        <f t="shared" si="43"/>
        <v>61</v>
      </c>
      <c r="AZ45" s="386">
        <f t="shared" si="10"/>
        <v>66</v>
      </c>
      <c r="BA45" s="386">
        <f t="shared" si="42"/>
        <v>1.0293545417054697E-2</v>
      </c>
      <c r="BB45" s="386">
        <f t="shared" si="44"/>
        <v>-2.3092628551198217E-4</v>
      </c>
      <c r="BC45" s="386">
        <v>120</v>
      </c>
      <c r="BD45" s="386">
        <f t="shared" si="45"/>
        <v>-2.1764740005923398E-3</v>
      </c>
      <c r="BJ45" s="386">
        <f t="shared" si="12"/>
        <v>1.1448176844614608E-2</v>
      </c>
      <c r="BK45" s="386">
        <f t="shared" si="13"/>
        <v>27.096578053795639</v>
      </c>
      <c r="BL45" s="386">
        <f t="shared" si="38"/>
        <v>61</v>
      </c>
    </row>
    <row r="46" spans="1:64" x14ac:dyDescent="0.3">
      <c r="C46" s="396">
        <f>IF(DewPointA32(P_TOTAL,D46)&lt;32,32,DewPointA32(P_TOTAL,D46))</f>
        <v>34.631272174064733</v>
      </c>
      <c r="D46" s="397">
        <f>D45+0.0002</f>
        <v>4.2000000000000006E-3</v>
      </c>
      <c r="E46" s="406"/>
      <c r="F46" s="406"/>
      <c r="G46" s="406"/>
      <c r="H46" s="406"/>
      <c r="K46" s="405">
        <v>74</v>
      </c>
      <c r="L46" s="406">
        <f t="shared" si="17"/>
        <v>0.41591741864129167</v>
      </c>
      <c r="M46" s="406">
        <f t="shared" si="18"/>
        <v>4.1591741864129173E-2</v>
      </c>
      <c r="N46" s="407">
        <f t="shared" si="46"/>
        <v>1.765188231938471E-3</v>
      </c>
      <c r="O46" s="405">
        <v>74</v>
      </c>
      <c r="P46" s="406">
        <f t="shared" si="19"/>
        <v>0.41591741864129167</v>
      </c>
      <c r="Q46" s="406">
        <f t="shared" si="20"/>
        <v>8.3183483728258345E-2</v>
      </c>
      <c r="R46" s="407">
        <f t="shared" si="47"/>
        <v>3.5404248009928744E-3</v>
      </c>
      <c r="S46" s="405">
        <v>74</v>
      </c>
      <c r="T46" s="406">
        <f t="shared" si="21"/>
        <v>0.41591741864129167</v>
      </c>
      <c r="U46" s="406">
        <f t="shared" si="22"/>
        <v>0.12477522559238749</v>
      </c>
      <c r="V46" s="407">
        <f t="shared" si="48"/>
        <v>5.3257957523344208E-3</v>
      </c>
      <c r="W46" s="405">
        <v>74</v>
      </c>
      <c r="X46" s="406">
        <f t="shared" si="23"/>
        <v>0.41591741864129167</v>
      </c>
      <c r="Y46" s="406">
        <f t="shared" si="24"/>
        <v>0.16636696745651669</v>
      </c>
      <c r="Z46" s="407">
        <f t="shared" si="49"/>
        <v>7.1213881163673422E-3</v>
      </c>
      <c r="AA46" s="405">
        <v>74</v>
      </c>
      <c r="AB46" s="406">
        <f t="shared" si="25"/>
        <v>0.41591741864129167</v>
      </c>
      <c r="AC46" s="406">
        <f t="shared" si="26"/>
        <v>0.20795870932064583</v>
      </c>
      <c r="AD46" s="407">
        <f t="shared" si="50"/>
        <v>8.9272899228707344E-3</v>
      </c>
      <c r="AE46" s="405">
        <v>74</v>
      </c>
      <c r="AF46" s="406">
        <f t="shared" si="27"/>
        <v>0.41591741864129167</v>
      </c>
      <c r="AG46" s="406">
        <f t="shared" si="28"/>
        <v>0.24955045118477498</v>
      </c>
      <c r="AH46" s="407">
        <f t="shared" si="51"/>
        <v>1.0743590215384721E-2</v>
      </c>
      <c r="AI46" s="405">
        <v>74</v>
      </c>
      <c r="AJ46" s="406">
        <f t="shared" si="29"/>
        <v>0.41591741864129167</v>
      </c>
      <c r="AK46" s="406">
        <f t="shared" si="30"/>
        <v>0.29114219304890415</v>
      </c>
      <c r="AL46" s="407">
        <f t="shared" si="52"/>
        <v>1.2570379065845811E-2</v>
      </c>
      <c r="AM46" s="405">
        <v>74</v>
      </c>
      <c r="AN46" s="406">
        <f t="shared" si="31"/>
        <v>0.41591741864129167</v>
      </c>
      <c r="AO46" s="406">
        <f t="shared" si="32"/>
        <v>0.33273393491303338</v>
      </c>
      <c r="AP46" s="407">
        <f t="shared" si="53"/>
        <v>1.4407747589476551E-2</v>
      </c>
      <c r="AQ46" s="405">
        <v>74</v>
      </c>
      <c r="AR46" s="406">
        <f t="shared" si="33"/>
        <v>0.41591741864129167</v>
      </c>
      <c r="AS46" s="406">
        <f t="shared" si="34"/>
        <v>0.3743256767771625</v>
      </c>
      <c r="AT46" s="407">
        <f t="shared" si="54"/>
        <v>1.6255787959934608E-2</v>
      </c>
      <c r="AW46" s="386">
        <v>62</v>
      </c>
      <c r="AX46" s="386">
        <f>VLOOKUP(AW46,THERMO_WATER_SAT!$A$3:$D$103,4,FALSE)</f>
        <v>1.1868481967410062E-2</v>
      </c>
      <c r="AY46" s="386">
        <f t="shared" si="43"/>
        <v>62</v>
      </c>
      <c r="AZ46" s="386">
        <f t="shared" si="10"/>
        <v>67</v>
      </c>
      <c r="BA46" s="386">
        <f t="shared" si="42"/>
        <v>1.0712365689116207E-2</v>
      </c>
      <c r="BB46" s="386">
        <f t="shared" si="44"/>
        <v>-2.3122325565877108E-4</v>
      </c>
      <c r="BC46" s="386">
        <v>120</v>
      </c>
      <c r="BD46" s="386">
        <f t="shared" si="45"/>
        <v>-1.5424668607986608E-3</v>
      </c>
      <c r="BJ46" s="386">
        <f t="shared" si="12"/>
        <v>1.1868481967410062E-2</v>
      </c>
      <c r="BK46" s="386">
        <f t="shared" si="13"/>
        <v>27.79917493902094</v>
      </c>
      <c r="BL46" s="386">
        <f t="shared" si="38"/>
        <v>62</v>
      </c>
    </row>
    <row r="47" spans="1:64" x14ac:dyDescent="0.3">
      <c r="C47" s="401">
        <v>120</v>
      </c>
      <c r="D47" s="402">
        <f>D46</f>
        <v>4.2000000000000006E-3</v>
      </c>
      <c r="E47" s="406"/>
      <c r="F47" s="406"/>
      <c r="G47" s="406"/>
      <c r="H47" s="406"/>
      <c r="K47" s="408">
        <v>75</v>
      </c>
      <c r="L47" s="406">
        <f t="shared" si="17"/>
        <v>0.43007453554805986</v>
      </c>
      <c r="M47" s="406">
        <f t="shared" si="18"/>
        <v>4.3007453554805987E-2</v>
      </c>
      <c r="N47" s="407">
        <f t="shared" si="46"/>
        <v>1.8254485677370216E-3</v>
      </c>
      <c r="O47" s="408">
        <v>75</v>
      </c>
      <c r="P47" s="406">
        <f t="shared" si="19"/>
        <v>0.43007453554805986</v>
      </c>
      <c r="Q47" s="406">
        <f t="shared" si="20"/>
        <v>8.6014907109611974E-2</v>
      </c>
      <c r="R47" s="407">
        <f t="shared" si="47"/>
        <v>3.6616442914765286E-3</v>
      </c>
      <c r="S47" s="408">
        <v>75</v>
      </c>
      <c r="T47" s="406">
        <f t="shared" si="21"/>
        <v>0.43007453554805986</v>
      </c>
      <c r="U47" s="406">
        <f t="shared" si="22"/>
        <v>0.12902236066441794</v>
      </c>
      <c r="V47" s="407">
        <f t="shared" si="48"/>
        <v>5.5086823607267488E-3</v>
      </c>
      <c r="W47" s="408">
        <v>75</v>
      </c>
      <c r="X47" s="406">
        <f t="shared" si="23"/>
        <v>0.43007453554805986</v>
      </c>
      <c r="Y47" s="406">
        <f t="shared" si="24"/>
        <v>0.17202981421922395</v>
      </c>
      <c r="Z47" s="407">
        <f t="shared" si="49"/>
        <v>7.3666590924722991E-3</v>
      </c>
      <c r="AA47" s="408">
        <v>75</v>
      </c>
      <c r="AB47" s="406">
        <f t="shared" si="25"/>
        <v>0.43007453554805986</v>
      </c>
      <c r="AC47" s="406">
        <f t="shared" si="26"/>
        <v>0.21503726777402993</v>
      </c>
      <c r="AD47" s="407">
        <f t="shared" si="50"/>
        <v>9.2356719479168101E-3</v>
      </c>
      <c r="AE47" s="408">
        <v>75</v>
      </c>
      <c r="AF47" s="406">
        <f t="shared" si="27"/>
        <v>0.43007453554805986</v>
      </c>
      <c r="AG47" s="406">
        <f t="shared" si="28"/>
        <v>0.25804472132883588</v>
      </c>
      <c r="AH47" s="407">
        <f t="shared" si="51"/>
        <v>1.1115819549524807E-2</v>
      </c>
      <c r="AI47" s="408">
        <v>75</v>
      </c>
      <c r="AJ47" s="406">
        <f t="shared" si="29"/>
        <v>0.43007453554805986</v>
      </c>
      <c r="AK47" s="406">
        <f t="shared" si="30"/>
        <v>0.30105217488364189</v>
      </c>
      <c r="AL47" s="407">
        <f t="shared" si="52"/>
        <v>1.3007201698369055E-2</v>
      </c>
      <c r="AM47" s="408">
        <v>75</v>
      </c>
      <c r="AN47" s="406">
        <f t="shared" si="31"/>
        <v>0.43007453554805986</v>
      </c>
      <c r="AO47" s="406">
        <f t="shared" si="32"/>
        <v>0.3440596284384479</v>
      </c>
      <c r="AP47" s="407">
        <f t="shared" si="53"/>
        <v>1.4909919391789841E-2</v>
      </c>
      <c r="AQ47" s="408">
        <v>75</v>
      </c>
      <c r="AR47" s="406">
        <f t="shared" si="33"/>
        <v>0.43007453554805986</v>
      </c>
      <c r="AS47" s="406">
        <f t="shared" si="34"/>
        <v>0.3870670819932539</v>
      </c>
      <c r="AT47" s="407">
        <f t="shared" si="54"/>
        <v>1.6824074841372685E-2</v>
      </c>
      <c r="AW47" s="386">
        <v>63</v>
      </c>
      <c r="AX47" s="386">
        <f>VLOOKUP(AW47,THERMO_WATER_SAT!$A$3:$D$103,4,FALSE)</f>
        <v>1.2302596732573988E-2</v>
      </c>
      <c r="AY47" s="386">
        <f t="shared" si="43"/>
        <v>63</v>
      </c>
      <c r="AZ47" s="386">
        <f t="shared" si="10"/>
        <v>68</v>
      </c>
      <c r="BA47" s="386">
        <f t="shared" si="42"/>
        <v>1.1144965129292399E-2</v>
      </c>
      <c r="BB47" s="386">
        <f t="shared" si="44"/>
        <v>-2.3152632065631776E-4</v>
      </c>
      <c r="BC47" s="386">
        <v>120</v>
      </c>
      <c r="BD47" s="386">
        <f t="shared" si="45"/>
        <v>-8.9440354483612435E-4</v>
      </c>
      <c r="BJ47" s="386">
        <f t="shared" si="12"/>
        <v>1.2302596732573988E-2</v>
      </c>
      <c r="BK47" s="386">
        <f t="shared" si="13"/>
        <v>28.517183369064561</v>
      </c>
      <c r="BL47" s="386">
        <f t="shared" si="38"/>
        <v>63</v>
      </c>
    </row>
    <row r="48" spans="1:64" x14ac:dyDescent="0.3">
      <c r="C48" s="396">
        <f>IF(DewPointA32(P_TOTAL,D48)&lt;32,32,DewPointA32(P_TOTAL,D48))</f>
        <v>35.804827888340434</v>
      </c>
      <c r="D48" s="397">
        <f>D47+0.0002</f>
        <v>4.4000000000000003E-3</v>
      </c>
      <c r="E48" s="406"/>
      <c r="F48" s="406"/>
      <c r="G48" s="406"/>
      <c r="H48" s="406"/>
      <c r="K48" s="405">
        <v>76</v>
      </c>
      <c r="L48" s="406">
        <f t="shared" si="17"/>
        <v>0.4446505339462945</v>
      </c>
      <c r="M48" s="406">
        <f t="shared" si="18"/>
        <v>4.4465053394629452E-2</v>
      </c>
      <c r="N48" s="407">
        <f t="shared" si="46"/>
        <v>1.8875040567123175E-3</v>
      </c>
      <c r="O48" s="405">
        <v>76</v>
      </c>
      <c r="P48" s="406">
        <f t="shared" si="19"/>
        <v>0.4446505339462945</v>
      </c>
      <c r="Q48" s="406">
        <f t="shared" si="20"/>
        <v>8.8930106789258903E-2</v>
      </c>
      <c r="R48" s="407">
        <f t="shared" si="47"/>
        <v>3.7864995308379661E-3</v>
      </c>
      <c r="S48" s="405">
        <v>76</v>
      </c>
      <c r="T48" s="406">
        <f t="shared" si="21"/>
        <v>0.4446505339462945</v>
      </c>
      <c r="U48" s="406">
        <f t="shared" si="22"/>
        <v>0.13339516018388833</v>
      </c>
      <c r="V48" s="407">
        <f t="shared" si="48"/>
        <v>5.6970916851018108E-3</v>
      </c>
      <c r="W48" s="405">
        <v>76</v>
      </c>
      <c r="X48" s="406">
        <f t="shared" si="23"/>
        <v>0.4446505339462945</v>
      </c>
      <c r="Y48" s="406">
        <f t="shared" si="24"/>
        <v>0.17786021357851781</v>
      </c>
      <c r="Z48" s="407">
        <f t="shared" si="49"/>
        <v>7.6193870717913654E-3</v>
      </c>
      <c r="AA48" s="405">
        <v>76</v>
      </c>
      <c r="AB48" s="406">
        <f t="shared" si="25"/>
        <v>0.4446505339462945</v>
      </c>
      <c r="AC48" s="406">
        <f t="shared" si="26"/>
        <v>0.22232526697314725</v>
      </c>
      <c r="AD48" s="407">
        <f t="shared" si="50"/>
        <v>9.5534935525653196E-3</v>
      </c>
      <c r="AE48" s="405">
        <v>76</v>
      </c>
      <c r="AF48" s="406">
        <f t="shared" si="27"/>
        <v>0.4446505339462945</v>
      </c>
      <c r="AG48" s="406">
        <f t="shared" si="28"/>
        <v>0.26679032036777667</v>
      </c>
      <c r="AH48" s="407">
        <f t="shared" si="51"/>
        <v>1.1499520318628343E-2</v>
      </c>
      <c r="AI48" s="405">
        <v>76</v>
      </c>
      <c r="AJ48" s="406">
        <f t="shared" si="29"/>
        <v>0.4446505339462945</v>
      </c>
      <c r="AK48" s="406">
        <f t="shared" si="30"/>
        <v>0.31125537376240614</v>
      </c>
      <c r="AL48" s="407">
        <f t="shared" si="52"/>
        <v>1.3457577911280051E-2</v>
      </c>
      <c r="AM48" s="405">
        <v>76</v>
      </c>
      <c r="AN48" s="406">
        <f t="shared" si="31"/>
        <v>0.4446505339462945</v>
      </c>
      <c r="AO48" s="406">
        <f t="shared" si="32"/>
        <v>0.35572042715703561</v>
      </c>
      <c r="AP48" s="407">
        <f t="shared" si="53"/>
        <v>1.5427778242846262E-2</v>
      </c>
      <c r="AQ48" s="405">
        <v>76</v>
      </c>
      <c r="AR48" s="406">
        <f t="shared" si="33"/>
        <v>0.4446505339462945</v>
      </c>
      <c r="AS48" s="406">
        <f t="shared" si="34"/>
        <v>0.40018548055166508</v>
      </c>
      <c r="AT48" s="407">
        <f t="shared" si="54"/>
        <v>1.7410234618000901E-2</v>
      </c>
      <c r="AW48" s="386">
        <v>64</v>
      </c>
      <c r="AX48" s="386">
        <f>VLOOKUP(AW48,THERMO_WATER_SAT!$A$3:$D$103,4,FALSE)</f>
        <v>1.275092911926486E-2</v>
      </c>
      <c r="AY48" s="386">
        <f t="shared" si="43"/>
        <v>64</v>
      </c>
      <c r="AZ48" s="386">
        <f t="shared" si="10"/>
        <v>69</v>
      </c>
      <c r="BA48" s="386">
        <f t="shared" si="42"/>
        <v>1.1591750814031018E-2</v>
      </c>
      <c r="BB48" s="386">
        <f t="shared" si="44"/>
        <v>-2.3183566104676838E-4</v>
      </c>
      <c r="BC48" s="386">
        <v>120</v>
      </c>
      <c r="BD48" s="386">
        <f t="shared" si="45"/>
        <v>-2.3186789935416945E-4</v>
      </c>
      <c r="BJ48" s="386">
        <f t="shared" si="12"/>
        <v>1.275092911926486E-2</v>
      </c>
      <c r="BK48" s="386">
        <f t="shared" si="13"/>
        <v>29.251066197393044</v>
      </c>
      <c r="BL48" s="386">
        <f t="shared" si="38"/>
        <v>64</v>
      </c>
    </row>
    <row r="49" spans="3:64" x14ac:dyDescent="0.3">
      <c r="C49" s="401">
        <v>120</v>
      </c>
      <c r="D49" s="402">
        <f>D48</f>
        <v>4.4000000000000003E-3</v>
      </c>
      <c r="E49" s="406"/>
      <c r="F49" s="406"/>
      <c r="G49" s="406"/>
      <c r="H49" s="406"/>
      <c r="K49" s="405">
        <v>77</v>
      </c>
      <c r="L49" s="406">
        <f t="shared" si="17"/>
        <v>0.45965579398648448</v>
      </c>
      <c r="M49" s="406">
        <f t="shared" si="18"/>
        <v>4.5965579398648454E-2</v>
      </c>
      <c r="N49" s="407">
        <f t="shared" si="46"/>
        <v>1.9513999726246056E-3</v>
      </c>
      <c r="O49" s="405">
        <v>77</v>
      </c>
      <c r="P49" s="406">
        <f t="shared" si="19"/>
        <v>0.45965579398648448</v>
      </c>
      <c r="Q49" s="406">
        <f t="shared" si="20"/>
        <v>9.1931158797296908E-2</v>
      </c>
      <c r="R49" s="407">
        <f t="shared" si="47"/>
        <v>3.9150838137184058E-3</v>
      </c>
      <c r="S49" s="405">
        <v>77</v>
      </c>
      <c r="T49" s="406">
        <f t="shared" si="21"/>
        <v>0.45965579398648448</v>
      </c>
      <c r="U49" s="406">
        <f t="shared" si="22"/>
        <v>0.13789673819594533</v>
      </c>
      <c r="V49" s="407">
        <f t="shared" si="48"/>
        <v>5.8911678780952E-3</v>
      </c>
      <c r="W49" s="405">
        <v>77</v>
      </c>
      <c r="X49" s="406">
        <f t="shared" si="23"/>
        <v>0.45965579398648448</v>
      </c>
      <c r="Y49" s="406">
        <f t="shared" si="24"/>
        <v>0.18386231759459382</v>
      </c>
      <c r="Z49" s="407">
        <f t="shared" si="49"/>
        <v>7.8797699947324353E-3</v>
      </c>
      <c r="AA49" s="405">
        <v>77</v>
      </c>
      <c r="AB49" s="406">
        <f t="shared" si="25"/>
        <v>0.45965579398648448</v>
      </c>
      <c r="AC49" s="406">
        <f t="shared" si="26"/>
        <v>0.22982789699324224</v>
      </c>
      <c r="AD49" s="407">
        <f t="shared" si="50"/>
        <v>9.8810094901916196E-3</v>
      </c>
      <c r="AE49" s="405">
        <v>77</v>
      </c>
      <c r="AF49" s="406">
        <f t="shared" si="27"/>
        <v>0.45965579398648448</v>
      </c>
      <c r="AG49" s="406">
        <f t="shared" si="28"/>
        <v>0.27579347639189067</v>
      </c>
      <c r="AH49" s="407">
        <f t="shared" si="51"/>
        <v>1.1895007212486685E-2</v>
      </c>
      <c r="AI49" s="405">
        <v>77</v>
      </c>
      <c r="AJ49" s="406">
        <f t="shared" si="29"/>
        <v>0.45965579398648448</v>
      </c>
      <c r="AK49" s="406">
        <f t="shared" si="30"/>
        <v>0.32175905579053909</v>
      </c>
      <c r="AL49" s="407">
        <f t="shared" si="52"/>
        <v>1.3921885555410298E-2</v>
      </c>
      <c r="AM49" s="405">
        <v>77</v>
      </c>
      <c r="AN49" s="406">
        <f t="shared" si="31"/>
        <v>0.45965579398648448</v>
      </c>
      <c r="AO49" s="406">
        <f t="shared" si="32"/>
        <v>0.36772463518918763</v>
      </c>
      <c r="AP49" s="407">
        <f t="shared" si="53"/>
        <v>1.5961768483328406E-2</v>
      </c>
      <c r="AQ49" s="405">
        <v>77</v>
      </c>
      <c r="AR49" s="406">
        <f t="shared" si="33"/>
        <v>0.45965579398648448</v>
      </c>
      <c r="AS49" s="406">
        <f t="shared" si="34"/>
        <v>0.41369021458783606</v>
      </c>
      <c r="AT49" s="407">
        <f t="shared" si="54"/>
        <v>1.8014781556453547E-2</v>
      </c>
      <c r="AW49" s="386">
        <v>65</v>
      </c>
      <c r="AX49" s="386">
        <f>VLOOKUP(AW49,THERMO_WATER_SAT!$A$3:$D$103,4,FALSE)</f>
        <v>1.321389849457626E-2</v>
      </c>
      <c r="AY49" s="386">
        <f t="shared" si="43"/>
        <v>65</v>
      </c>
      <c r="AZ49" s="386">
        <f t="shared" si="10"/>
        <v>70</v>
      </c>
      <c r="BA49" s="386">
        <f t="shared" si="42"/>
        <v>1.2053141181948357E-2</v>
      </c>
      <c r="BB49" s="386">
        <f t="shared" si="44"/>
        <v>-2.3215146252558057E-4</v>
      </c>
      <c r="BC49" s="386">
        <v>120</v>
      </c>
      <c r="BD49" s="386">
        <f t="shared" si="45"/>
        <v>4.4556805566932887E-4</v>
      </c>
      <c r="BJ49" s="386">
        <f t="shared" si="12"/>
        <v>1.321389849457626E-2</v>
      </c>
      <c r="BK49" s="386">
        <f t="shared" si="13"/>
        <v>30.001299413298881</v>
      </c>
      <c r="BL49" s="386">
        <f t="shared" si="38"/>
        <v>65</v>
      </c>
    </row>
    <row r="50" spans="3:64" x14ac:dyDescent="0.3">
      <c r="C50" s="396">
        <f>IF(DewPointA32(P_TOTAL,D50)&lt;32,32,DewPointA32(P_TOTAL,D50))</f>
        <v>36.930516928165304</v>
      </c>
      <c r="D50" s="397">
        <f>D49+0.0002</f>
        <v>4.5999999999999999E-3</v>
      </c>
      <c r="E50" s="406"/>
      <c r="F50" s="406"/>
      <c r="G50" s="406"/>
      <c r="H50" s="406"/>
      <c r="K50" s="408">
        <v>78</v>
      </c>
      <c r="L50" s="406">
        <f t="shared" si="17"/>
        <v>0.47510089715093806</v>
      </c>
      <c r="M50" s="406">
        <f t="shared" si="18"/>
        <v>4.7510089715093809E-2</v>
      </c>
      <c r="N50" s="407">
        <f t="shared" si="46"/>
        <v>2.0171825153220261E-3</v>
      </c>
      <c r="O50" s="408">
        <v>78</v>
      </c>
      <c r="P50" s="406">
        <f t="shared" si="19"/>
        <v>0.47510089715093806</v>
      </c>
      <c r="Q50" s="406">
        <f t="shared" si="20"/>
        <v>9.5020179430187618E-2</v>
      </c>
      <c r="R50" s="407">
        <f t="shared" si="47"/>
        <v>4.0474924403730425E-3</v>
      </c>
      <c r="S50" s="408">
        <v>78</v>
      </c>
      <c r="T50" s="406">
        <f t="shared" si="21"/>
        <v>0.47510089715093806</v>
      </c>
      <c r="U50" s="406">
        <f t="shared" si="22"/>
        <v>0.14253026914528141</v>
      </c>
      <c r="V50" s="407">
        <f t="shared" si="48"/>
        <v>6.0910583392189688E-3</v>
      </c>
      <c r="W50" s="408">
        <v>78</v>
      </c>
      <c r="X50" s="406">
        <f t="shared" si="23"/>
        <v>0.47510089715093806</v>
      </c>
      <c r="Y50" s="406">
        <f t="shared" si="24"/>
        <v>0.19004035886037524</v>
      </c>
      <c r="Z50" s="407">
        <f t="shared" si="49"/>
        <v>8.1480104602238944E-3</v>
      </c>
      <c r="AA50" s="408">
        <v>78</v>
      </c>
      <c r="AB50" s="406">
        <f t="shared" si="25"/>
        <v>0.47510089715093806</v>
      </c>
      <c r="AC50" s="406">
        <f t="shared" si="26"/>
        <v>0.23755044857546903</v>
      </c>
      <c r="AD50" s="407">
        <f t="shared" si="50"/>
        <v>1.021848076372287E-2</v>
      </c>
      <c r="AE50" s="408">
        <v>78</v>
      </c>
      <c r="AF50" s="406">
        <f t="shared" si="27"/>
        <v>0.47510089715093806</v>
      </c>
      <c r="AG50" s="406">
        <f t="shared" si="28"/>
        <v>0.28506053829056283</v>
      </c>
      <c r="AH50" s="407">
        <f t="shared" si="51"/>
        <v>1.2302602950242108E-2</v>
      </c>
      <c r="AI50" s="408">
        <v>78</v>
      </c>
      <c r="AJ50" s="406">
        <f t="shared" si="29"/>
        <v>0.47510089715093806</v>
      </c>
      <c r="AK50" s="406">
        <f t="shared" si="30"/>
        <v>0.33257062800565662</v>
      </c>
      <c r="AL50" s="407">
        <f t="shared" si="52"/>
        <v>1.4400512489279238E-2</v>
      </c>
      <c r="AM50" s="408">
        <v>78</v>
      </c>
      <c r="AN50" s="406">
        <f t="shared" si="31"/>
        <v>0.47510089715093806</v>
      </c>
      <c r="AO50" s="406">
        <f t="shared" si="32"/>
        <v>0.38008071772075047</v>
      </c>
      <c r="AP50" s="407">
        <f t="shared" si="53"/>
        <v>1.6512346648656633E-2</v>
      </c>
      <c r="AQ50" s="408">
        <v>78</v>
      </c>
      <c r="AR50" s="406">
        <f t="shared" si="33"/>
        <v>0.47510089715093806</v>
      </c>
      <c r="AS50" s="406">
        <f t="shared" si="34"/>
        <v>0.42759080743584427</v>
      </c>
      <c r="AT50" s="407">
        <f t="shared" si="54"/>
        <v>1.8638244524461181E-2</v>
      </c>
      <c r="AW50" s="386">
        <v>66</v>
      </c>
      <c r="AX50" s="386">
        <f>VLOOKUP(AW50,THERMO_WATER_SAT!$A$3:$D$103,4,FALSE)</f>
        <v>1.3691935961852393E-2</v>
      </c>
      <c r="AY50" s="386">
        <f t="shared" si="43"/>
        <v>66</v>
      </c>
      <c r="AZ50" s="386">
        <f t="shared" si="10"/>
        <v>71</v>
      </c>
      <c r="BA50" s="386">
        <f t="shared" si="42"/>
        <v>1.2529566381346606E-2</v>
      </c>
      <c r="BB50" s="386">
        <f t="shared" si="44"/>
        <v>-2.3247391610115749E-4</v>
      </c>
      <c r="BC50" s="386">
        <v>120</v>
      </c>
      <c r="BD50" s="386">
        <f t="shared" si="45"/>
        <v>1.1383444923898887E-3</v>
      </c>
      <c r="BJ50" s="386">
        <f t="shared" si="12"/>
        <v>1.3691935961852393E-2</v>
      </c>
      <c r="BK50" s="386">
        <f t="shared" si="13"/>
        <v>30.768372546951511</v>
      </c>
      <c r="BL50" s="386">
        <f t="shared" si="38"/>
        <v>66</v>
      </c>
    </row>
    <row r="51" spans="3:64" x14ac:dyDescent="0.3">
      <c r="C51" s="401">
        <v>120</v>
      </c>
      <c r="D51" s="402">
        <f>D50</f>
        <v>4.5999999999999999E-3</v>
      </c>
      <c r="E51" s="406"/>
      <c r="F51" s="406"/>
      <c r="G51" s="406"/>
      <c r="H51" s="406"/>
      <c r="K51" s="405">
        <v>79</v>
      </c>
      <c r="L51" s="406">
        <f t="shared" si="17"/>
        <v>0.49099662885146134</v>
      </c>
      <c r="M51" s="406">
        <f t="shared" si="18"/>
        <v>4.9099662885146139E-2</v>
      </c>
      <c r="N51" s="407">
        <f t="shared" si="46"/>
        <v>2.0848988254391415E-3</v>
      </c>
      <c r="O51" s="405">
        <v>79</v>
      </c>
      <c r="P51" s="406">
        <f t="shared" si="19"/>
        <v>0.49099662885146134</v>
      </c>
      <c r="Q51" s="406">
        <f t="shared" si="20"/>
        <v>9.8199325770292278E-2</v>
      </c>
      <c r="R51" s="407">
        <f t="shared" si="47"/>
        <v>4.1838227539418441E-3</v>
      </c>
      <c r="S51" s="405">
        <v>79</v>
      </c>
      <c r="T51" s="406">
        <f t="shared" si="21"/>
        <v>0.49099662885146134</v>
      </c>
      <c r="U51" s="406">
        <f t="shared" si="22"/>
        <v>0.14729898865543839</v>
      </c>
      <c r="V51" s="407">
        <f t="shared" si="48"/>
        <v>6.2969137833053974E-3</v>
      </c>
      <c r="W51" s="405">
        <v>79</v>
      </c>
      <c r="X51" s="406">
        <f t="shared" si="23"/>
        <v>0.49099662885146134</v>
      </c>
      <c r="Y51" s="406">
        <f t="shared" si="24"/>
        <v>0.19639865154058456</v>
      </c>
      <c r="Z51" s="407">
        <f t="shared" si="49"/>
        <v>8.4243158347024529E-3</v>
      </c>
      <c r="AA51" s="405">
        <v>79</v>
      </c>
      <c r="AB51" s="406">
        <f t="shared" si="25"/>
        <v>0.49099662885146134</v>
      </c>
      <c r="AC51" s="406">
        <f t="shared" si="26"/>
        <v>0.24549831442573067</v>
      </c>
      <c r="AD51" s="407">
        <f t="shared" si="50"/>
        <v>1.0566174785357063E-2</v>
      </c>
      <c r="AE51" s="405">
        <v>79</v>
      </c>
      <c r="AF51" s="406">
        <f t="shared" si="27"/>
        <v>0.49099662885146134</v>
      </c>
      <c r="AG51" s="406">
        <f t="shared" si="28"/>
        <v>0.29459797731087678</v>
      </c>
      <c r="AH51" s="407">
        <f t="shared" si="51"/>
        <v>1.2722638501889191E-2</v>
      </c>
      <c r="AI51" s="405">
        <v>79</v>
      </c>
      <c r="AJ51" s="406">
        <f t="shared" si="29"/>
        <v>0.49099662885146134</v>
      </c>
      <c r="AK51" s="406">
        <f t="shared" si="30"/>
        <v>0.34369764019602289</v>
      </c>
      <c r="AL51" s="407">
        <f t="shared" si="52"/>
        <v>1.4893856874343605E-2</v>
      </c>
      <c r="AM51" s="405">
        <v>79</v>
      </c>
      <c r="AN51" s="406">
        <f t="shared" si="31"/>
        <v>0.49099662885146134</v>
      </c>
      <c r="AO51" s="406">
        <f t="shared" si="32"/>
        <v>0.39279730308116911</v>
      </c>
      <c r="AP51" s="407">
        <f t="shared" si="53"/>
        <v>1.7079981850919704E-2</v>
      </c>
      <c r="AQ51" s="405">
        <v>79</v>
      </c>
      <c r="AR51" s="406">
        <f t="shared" si="33"/>
        <v>0.49099662885146134</v>
      </c>
      <c r="AS51" s="406">
        <f t="shared" si="34"/>
        <v>0.44189696596631522</v>
      </c>
      <c r="AT51" s="407">
        <f t="shared" si="54"/>
        <v>1.9281167473419066E-2</v>
      </c>
      <c r="AW51" s="386">
        <v>67</v>
      </c>
      <c r="AX51" s="386">
        <f>VLOOKUP(AW51,THERMO_WATER_SAT!$A$3:$D$103,4,FALSE)</f>
        <v>1.4185484722943261E-2</v>
      </c>
      <c r="AY51" s="386">
        <f t="shared" si="43"/>
        <v>67</v>
      </c>
      <c r="AZ51" s="386">
        <f t="shared" si="10"/>
        <v>72</v>
      </c>
      <c r="BA51" s="386">
        <f t="shared" si="42"/>
        <v>1.302146863163905E-2</v>
      </c>
      <c r="BB51" s="386">
        <f t="shared" si="44"/>
        <v>-2.3280321826084222E-4</v>
      </c>
      <c r="BC51" s="386">
        <v>120</v>
      </c>
      <c r="BD51" s="386">
        <f t="shared" si="45"/>
        <v>1.8469141551186227E-3</v>
      </c>
      <c r="BJ51" s="386">
        <f t="shared" si="12"/>
        <v>1.4185484722943261E-2</v>
      </c>
      <c r="BK51" s="386">
        <f t="shared" si="13"/>
        <v>31.552789090580916</v>
      </c>
      <c r="BL51" s="386">
        <f t="shared" si="38"/>
        <v>67</v>
      </c>
    </row>
    <row r="52" spans="3:64" x14ac:dyDescent="0.3">
      <c r="C52" s="396">
        <f>IF(DewPointA32(P_TOTAL,D52)&lt;32,32,DewPointA32(P_TOTAL,D52))</f>
        <v>38.012299655215109</v>
      </c>
      <c r="D52" s="397">
        <f>D51+0.0002</f>
        <v>4.7999999999999996E-3</v>
      </c>
      <c r="E52" s="406"/>
      <c r="F52" s="406"/>
      <c r="G52" s="406"/>
      <c r="H52" s="406"/>
      <c r="K52" s="405">
        <v>80</v>
      </c>
      <c r="L52" s="406">
        <f t="shared" si="17"/>
        <v>0.50735398103564899</v>
      </c>
      <c r="M52" s="406">
        <f t="shared" si="18"/>
        <v>5.0735398103564901E-2</v>
      </c>
      <c r="N52" s="407">
        <f t="shared" si="46"/>
        <v>2.1545969992981468E-3</v>
      </c>
      <c r="O52" s="405">
        <v>80</v>
      </c>
      <c r="P52" s="406">
        <f t="shared" si="19"/>
        <v>0.50735398103564899</v>
      </c>
      <c r="Q52" s="406">
        <f t="shared" si="20"/>
        <v>0.1014707962071298</v>
      </c>
      <c r="R52" s="407">
        <f t="shared" si="47"/>
        <v>4.324174178495995E-3</v>
      </c>
      <c r="S52" s="405">
        <v>80</v>
      </c>
      <c r="T52" s="406">
        <f t="shared" si="21"/>
        <v>0.50735398103564899</v>
      </c>
      <c r="U52" s="406">
        <f t="shared" si="22"/>
        <v>0.15220619431069468</v>
      </c>
      <c r="V52" s="407">
        <f t="shared" si="48"/>
        <v>6.5088883107301213E-3</v>
      </c>
      <c r="W52" s="405">
        <v>80</v>
      </c>
      <c r="X52" s="406">
        <f t="shared" si="23"/>
        <v>0.50735398103564899</v>
      </c>
      <c r="Y52" s="406">
        <f t="shared" si="24"/>
        <v>0.2029415924142596</v>
      </c>
      <c r="Z52" s="407">
        <f t="shared" si="49"/>
        <v>8.7088983643804439E-3</v>
      </c>
      <c r="AA52" s="405">
        <v>80</v>
      </c>
      <c r="AB52" s="406">
        <f t="shared" si="25"/>
        <v>0.50735398103564899</v>
      </c>
      <c r="AC52" s="406">
        <f t="shared" si="26"/>
        <v>0.2536769905178245</v>
      </c>
      <c r="AD52" s="407">
        <f t="shared" si="50"/>
        <v>1.0924365541629304E-2</v>
      </c>
      <c r="AE52" s="405">
        <v>80</v>
      </c>
      <c r="AF52" s="406">
        <f t="shared" si="27"/>
        <v>0.50735398103564899</v>
      </c>
      <c r="AG52" s="406">
        <f t="shared" si="28"/>
        <v>0.30441238862138936</v>
      </c>
      <c r="AH52" s="407">
        <f t="shared" si="51"/>
        <v>1.3155453317836159E-2</v>
      </c>
      <c r="AI52" s="405">
        <v>80</v>
      </c>
      <c r="AJ52" s="406">
        <f t="shared" si="29"/>
        <v>0.50735398103564899</v>
      </c>
      <c r="AK52" s="406">
        <f t="shared" si="30"/>
        <v>0.35514778672495428</v>
      </c>
      <c r="AL52" s="407">
        <f t="shared" si="52"/>
        <v>1.5402327481748074E-2</v>
      </c>
      <c r="AM52" s="405">
        <v>80</v>
      </c>
      <c r="AN52" s="406">
        <f t="shared" si="31"/>
        <v>0.50735398103564899</v>
      </c>
      <c r="AO52" s="406">
        <f t="shared" si="32"/>
        <v>0.40588318482851921</v>
      </c>
      <c r="AP52" s="407">
        <f t="shared" si="53"/>
        <v>1.7665156176566787E-2</v>
      </c>
      <c r="AQ52" s="405">
        <v>80</v>
      </c>
      <c r="AR52" s="406">
        <f t="shared" si="33"/>
        <v>0.50735398103564899</v>
      </c>
      <c r="AS52" s="406">
        <f t="shared" si="34"/>
        <v>0.45661858293208413</v>
      </c>
      <c r="AT52" s="407">
        <f t="shared" si="54"/>
        <v>1.9944109941893714E-2</v>
      </c>
      <c r="AW52" s="386">
        <v>68</v>
      </c>
      <c r="AX52" s="386">
        <f>VLOOKUP(AW52,THERMO_WATER_SAT!$A$3:$D$103,4,FALSE)</f>
        <v>1.4695000455099619E-2</v>
      </c>
      <c r="AY52" s="386">
        <f t="shared" si="43"/>
        <v>68</v>
      </c>
      <c r="AZ52" s="386">
        <f t="shared" si="10"/>
        <v>73</v>
      </c>
      <c r="BA52" s="386">
        <f t="shared" si="42"/>
        <v>1.3529302599381772E-2</v>
      </c>
      <c r="BB52" s="386">
        <f t="shared" si="44"/>
        <v>-2.331395711435695E-4</v>
      </c>
      <c r="BC52" s="386">
        <v>120</v>
      </c>
      <c r="BD52" s="386">
        <f t="shared" si="45"/>
        <v>2.5717427556340051E-3</v>
      </c>
      <c r="BJ52" s="386">
        <f t="shared" si="12"/>
        <v>1.4695000455099619E-2</v>
      </c>
      <c r="BK52" s="386">
        <f t="shared" si="13"/>
        <v>32.355066936601062</v>
      </c>
      <c r="BL52" s="386">
        <f t="shared" si="38"/>
        <v>68</v>
      </c>
    </row>
    <row r="53" spans="3:64" x14ac:dyDescent="0.3">
      <c r="C53" s="401">
        <v>120</v>
      </c>
      <c r="D53" s="402">
        <f>D52</f>
        <v>4.7999999999999996E-3</v>
      </c>
      <c r="E53" s="406"/>
      <c r="F53" s="406"/>
      <c r="G53" s="406"/>
      <c r="H53" s="406"/>
      <c r="K53" s="408">
        <v>81</v>
      </c>
      <c r="L53" s="406">
        <f t="shared" si="17"/>
        <v>0.52418415480150615</v>
      </c>
      <c r="M53" s="406">
        <f t="shared" si="18"/>
        <v>5.2418415480150617E-2</v>
      </c>
      <c r="N53" s="407">
        <f t="shared" si="46"/>
        <v>2.226326104018168E-3</v>
      </c>
      <c r="O53" s="408">
        <v>81</v>
      </c>
      <c r="P53" s="406">
        <f t="shared" si="19"/>
        <v>0.52418415480150615</v>
      </c>
      <c r="Q53" s="406">
        <f t="shared" si="20"/>
        <v>0.10483683096030123</v>
      </c>
      <c r="R53" s="407">
        <f t="shared" si="47"/>
        <v>4.4686482578868859E-3</v>
      </c>
      <c r="S53" s="408">
        <v>81</v>
      </c>
      <c r="T53" s="406">
        <f t="shared" si="21"/>
        <v>0.52418415480150615</v>
      </c>
      <c r="U53" s="406">
        <f t="shared" si="22"/>
        <v>0.15725524644045183</v>
      </c>
      <c r="V53" s="407">
        <f t="shared" si="48"/>
        <v>6.7271394794838259E-3</v>
      </c>
      <c r="W53" s="408">
        <v>81</v>
      </c>
      <c r="X53" s="406">
        <f t="shared" si="23"/>
        <v>0.52418415480150615</v>
      </c>
      <c r="Y53" s="406">
        <f t="shared" si="24"/>
        <v>0.20967366192060247</v>
      </c>
      <c r="Z53" s="407">
        <f t="shared" si="49"/>
        <v>9.0019752909304036E-3</v>
      </c>
      <c r="AA53" s="408">
        <v>81</v>
      </c>
      <c r="AB53" s="406">
        <f t="shared" si="25"/>
        <v>0.52418415480150615</v>
      </c>
      <c r="AC53" s="406">
        <f t="shared" si="26"/>
        <v>0.26209207740075308</v>
      </c>
      <c r="AD53" s="407">
        <f t="shared" si="50"/>
        <v>1.1293333764064026E-2</v>
      </c>
      <c r="AE53" s="408">
        <v>81</v>
      </c>
      <c r="AF53" s="406">
        <f t="shared" si="27"/>
        <v>0.52418415480150615</v>
      </c>
      <c r="AG53" s="406">
        <f t="shared" si="28"/>
        <v>0.31451049288090366</v>
      </c>
      <c r="AH53" s="407">
        <f t="shared" si="51"/>
        <v>1.36013955669048E-2</v>
      </c>
      <c r="AI53" s="408">
        <v>81</v>
      </c>
      <c r="AJ53" s="406">
        <f t="shared" si="29"/>
        <v>0.52418415480150615</v>
      </c>
      <c r="AK53" s="406">
        <f t="shared" si="30"/>
        <v>0.3669289083610543</v>
      </c>
      <c r="AL53" s="407">
        <f t="shared" si="52"/>
        <v>1.5926344011142138E-2</v>
      </c>
      <c r="AM53" s="408">
        <v>81</v>
      </c>
      <c r="AN53" s="406">
        <f t="shared" si="31"/>
        <v>0.52418415480150615</v>
      </c>
      <c r="AO53" s="406">
        <f t="shared" si="32"/>
        <v>0.41934732384120493</v>
      </c>
      <c r="AP53" s="407">
        <f t="shared" si="53"/>
        <v>1.8268365100667466E-2</v>
      </c>
      <c r="AQ53" s="408">
        <v>81</v>
      </c>
      <c r="AR53" s="406">
        <f t="shared" si="33"/>
        <v>0.52418415480150615</v>
      </c>
      <c r="AS53" s="406">
        <f t="shared" si="34"/>
        <v>0.47176573932135557</v>
      </c>
      <c r="AT53" s="407">
        <f t="shared" si="54"/>
        <v>2.0627647581180061E-2</v>
      </c>
      <c r="AW53" s="386">
        <v>69</v>
      </c>
      <c r="AX53" s="386">
        <f>VLOOKUP(AW53,THERMO_WATER_SAT!$A$3:$D$103,4,FALSE)</f>
        <v>1.5220951703263479E-2</v>
      </c>
      <c r="AY53" s="386">
        <f t="shared" si="43"/>
        <v>69</v>
      </c>
      <c r="AZ53" s="386">
        <f t="shared" si="10"/>
        <v>74</v>
      </c>
      <c r="BA53" s="386">
        <f t="shared" si="42"/>
        <v>1.4053535789665747E-2</v>
      </c>
      <c r="BB53" s="386">
        <f t="shared" si="44"/>
        <v>-2.334831827195464E-4</v>
      </c>
      <c r="BC53" s="386">
        <v>120</v>
      </c>
      <c r="BD53" s="386">
        <f t="shared" si="45"/>
        <v>3.3133093845666116E-3</v>
      </c>
      <c r="BJ53" s="386">
        <f t="shared" si="12"/>
        <v>1.5220951703263479E-2</v>
      </c>
      <c r="BK53" s="386">
        <f t="shared" si="13"/>
        <v>33.175738833543733</v>
      </c>
      <c r="BL53" s="386">
        <f t="shared" si="38"/>
        <v>69</v>
      </c>
    </row>
    <row r="54" spans="3:64" x14ac:dyDescent="0.3">
      <c r="C54" s="396">
        <f>IF(DewPointA32(P_TOTAL,D54)&lt;32,32,DewPointA32(P_TOTAL,D54))</f>
        <v>39.053657002093736</v>
      </c>
      <c r="D54" s="397">
        <f>D53+0.0002</f>
        <v>4.9999999999999992E-3</v>
      </c>
      <c r="E54" s="406"/>
      <c r="F54" s="406"/>
      <c r="G54" s="406"/>
      <c r="H54" s="406"/>
      <c r="K54" s="405">
        <v>82</v>
      </c>
      <c r="L54" s="406">
        <f t="shared" si="17"/>
        <v>0.54149856302003518</v>
      </c>
      <c r="M54" s="406">
        <f t="shared" si="18"/>
        <v>5.4149856302003523E-2</v>
      </c>
      <c r="N54" s="407">
        <f t="shared" si="46"/>
        <v>2.3001361928379127E-3</v>
      </c>
      <c r="O54" s="405">
        <v>82</v>
      </c>
      <c r="P54" s="406">
        <f t="shared" si="19"/>
        <v>0.54149856302003518</v>
      </c>
      <c r="Q54" s="406">
        <f t="shared" si="20"/>
        <v>0.10829971260400705</v>
      </c>
      <c r="R54" s="407">
        <f t="shared" si="47"/>
        <v>4.6173486954249115E-3</v>
      </c>
      <c r="S54" s="405">
        <v>82</v>
      </c>
      <c r="T54" s="406">
        <f t="shared" si="21"/>
        <v>0.54149856302003518</v>
      </c>
      <c r="U54" s="406">
        <f t="shared" si="22"/>
        <v>0.16244956890601056</v>
      </c>
      <c r="V54" s="407">
        <f t="shared" si="48"/>
        <v>6.9518283791637145E-3</v>
      </c>
      <c r="W54" s="405">
        <v>82</v>
      </c>
      <c r="X54" s="406">
        <f t="shared" si="23"/>
        <v>0.54149856302003518</v>
      </c>
      <c r="Y54" s="406">
        <f t="shared" si="24"/>
        <v>0.21659942520801409</v>
      </c>
      <c r="Z54" s="407">
        <f t="shared" si="49"/>
        <v>9.3037689707296672E-3</v>
      </c>
      <c r="AA54" s="405">
        <v>82</v>
      </c>
      <c r="AB54" s="406">
        <f t="shared" si="25"/>
        <v>0.54149856302003518</v>
      </c>
      <c r="AC54" s="406">
        <f t="shared" si="26"/>
        <v>0.27074928151001759</v>
      </c>
      <c r="AD54" s="407">
        <f t="shared" si="50"/>
        <v>1.1673367105661697E-2</v>
      </c>
      <c r="AE54" s="405">
        <v>82</v>
      </c>
      <c r="AF54" s="406">
        <f t="shared" si="27"/>
        <v>0.54149856302003518</v>
      </c>
      <c r="AG54" s="406">
        <f t="shared" si="28"/>
        <v>0.32489913781202112</v>
      </c>
      <c r="AH54" s="407">
        <f t="shared" si="51"/>
        <v>1.4060822383164855E-2</v>
      </c>
      <c r="AI54" s="405">
        <v>82</v>
      </c>
      <c r="AJ54" s="406">
        <f t="shared" si="29"/>
        <v>0.54149856302003518</v>
      </c>
      <c r="AK54" s="406">
        <f t="shared" si="30"/>
        <v>0.3790489941140246</v>
      </c>
      <c r="AL54" s="407">
        <f t="shared" si="52"/>
        <v>1.6466337422156488E-2</v>
      </c>
      <c r="AM54" s="405">
        <v>82</v>
      </c>
      <c r="AN54" s="406">
        <f t="shared" si="31"/>
        <v>0.54149856302003518</v>
      </c>
      <c r="AO54" s="406">
        <f t="shared" si="32"/>
        <v>0.43319885041602818</v>
      </c>
      <c r="AP54" s="407">
        <f t="shared" si="53"/>
        <v>1.8890117918589144E-2</v>
      </c>
      <c r="AQ54" s="405">
        <v>82</v>
      </c>
      <c r="AR54" s="406">
        <f t="shared" si="33"/>
        <v>0.54149856302003518</v>
      </c>
      <c r="AS54" s="406">
        <f t="shared" si="34"/>
        <v>0.48734870671803165</v>
      </c>
      <c r="AT54" s="407">
        <f t="shared" si="54"/>
        <v>2.1332372704084186E-2</v>
      </c>
      <c r="AW54" s="386">
        <v>70</v>
      </c>
      <c r="AX54" s="386">
        <f>VLOOKUP(AW54,THERMO_WATER_SAT!$A$3:$D$103,4,FALSE)</f>
        <v>1.5763820288538288E-2</v>
      </c>
      <c r="AY54" s="386">
        <f t="shared" si="43"/>
        <v>70</v>
      </c>
      <c r="AZ54" s="386">
        <f t="shared" si="10"/>
        <v>75</v>
      </c>
      <c r="BA54" s="386">
        <f t="shared" si="42"/>
        <v>1.459464895365184E-2</v>
      </c>
      <c r="BB54" s="386">
        <f t="shared" si="44"/>
        <v>-2.3383426697728971E-4</v>
      </c>
      <c r="BC54" s="386">
        <v>120</v>
      </c>
      <c r="BD54" s="386">
        <f t="shared" si="45"/>
        <v>4.072106939673803E-3</v>
      </c>
      <c r="BJ54" s="386">
        <f t="shared" si="12"/>
        <v>1.5763820288538288E-2</v>
      </c>
      <c r="BK54" s="386">
        <f t="shared" si="13"/>
        <v>34.015352860706898</v>
      </c>
      <c r="BL54" s="386">
        <f t="shared" si="38"/>
        <v>70</v>
      </c>
    </row>
    <row r="55" spans="3:64" x14ac:dyDescent="0.3">
      <c r="C55" s="401">
        <v>120</v>
      </c>
      <c r="D55" s="402">
        <f>D54</f>
        <v>4.9999999999999992E-3</v>
      </c>
      <c r="E55" s="406"/>
      <c r="F55" s="406"/>
      <c r="G55" s="406"/>
      <c r="H55" s="406"/>
      <c r="K55" s="405">
        <v>83</v>
      </c>
      <c r="L55" s="406">
        <f t="shared" si="17"/>
        <v>0.5593088329654039</v>
      </c>
      <c r="M55" s="406">
        <f t="shared" si="18"/>
        <v>5.593088329654039E-2</v>
      </c>
      <c r="N55" s="407">
        <f t="shared" si="46"/>
        <v>2.3760783206570961E-3</v>
      </c>
      <c r="O55" s="405">
        <v>83</v>
      </c>
      <c r="P55" s="406">
        <f t="shared" si="19"/>
        <v>0.5593088329654039</v>
      </c>
      <c r="Q55" s="406">
        <f t="shared" si="20"/>
        <v>0.11186176659308078</v>
      </c>
      <c r="R55" s="407">
        <f t="shared" si="47"/>
        <v>4.7703813944163943E-3</v>
      </c>
      <c r="S55" s="405">
        <v>83</v>
      </c>
      <c r="T55" s="406">
        <f t="shared" si="21"/>
        <v>0.5593088329654039</v>
      </c>
      <c r="U55" s="406">
        <f t="shared" si="22"/>
        <v>0.16779264988962117</v>
      </c>
      <c r="V55" s="407">
        <f t="shared" si="48"/>
        <v>7.1831197069588118E-3</v>
      </c>
      <c r="W55" s="405">
        <v>83</v>
      </c>
      <c r="X55" s="406">
        <f t="shared" si="23"/>
        <v>0.5593088329654039</v>
      </c>
      <c r="Y55" s="406">
        <f t="shared" si="24"/>
        <v>0.22372353318616156</v>
      </c>
      <c r="Z55" s="407">
        <f t="shared" si="49"/>
        <v>9.6145069978141231E-3</v>
      </c>
      <c r="AA55" s="405">
        <v>83</v>
      </c>
      <c r="AB55" s="406">
        <f t="shared" si="25"/>
        <v>0.5593088329654039</v>
      </c>
      <c r="AC55" s="406">
        <f t="shared" si="26"/>
        <v>0.27965441648270195</v>
      </c>
      <c r="AD55" s="407">
        <f t="shared" si="50"/>
        <v>1.2064760323480502E-2</v>
      </c>
      <c r="AE55" s="405">
        <v>83</v>
      </c>
      <c r="AF55" s="406">
        <f t="shared" si="27"/>
        <v>0.5593088329654039</v>
      </c>
      <c r="AG55" s="406">
        <f t="shared" si="28"/>
        <v>0.33558529977924234</v>
      </c>
      <c r="AH55" s="407">
        <f t="shared" si="51"/>
        <v>1.4534100122019103E-2</v>
      </c>
      <c r="AI55" s="405">
        <v>83</v>
      </c>
      <c r="AJ55" s="406">
        <f t="shared" si="29"/>
        <v>0.5593088329654039</v>
      </c>
      <c r="AK55" s="406">
        <f t="shared" si="30"/>
        <v>0.39151618307578273</v>
      </c>
      <c r="AL55" s="407">
        <f t="shared" si="52"/>
        <v>1.7022750279164025E-2</v>
      </c>
      <c r="AM55" s="405">
        <v>83</v>
      </c>
      <c r="AN55" s="406">
        <f t="shared" si="31"/>
        <v>0.5593088329654039</v>
      </c>
      <c r="AO55" s="406">
        <f t="shared" si="32"/>
        <v>0.44744706637232312</v>
      </c>
      <c r="AP55" s="407">
        <f t="shared" si="53"/>
        <v>1.9530938195989327E-2</v>
      </c>
      <c r="AQ55" s="405">
        <v>83</v>
      </c>
      <c r="AR55" s="406">
        <f t="shared" si="33"/>
        <v>0.5593088329654039</v>
      </c>
      <c r="AS55" s="406">
        <f t="shared" si="34"/>
        <v>0.50337794966886351</v>
      </c>
      <c r="AT55" s="407">
        <f t="shared" si="54"/>
        <v>2.2058894858176022E-2</v>
      </c>
      <c r="AW55" s="386">
        <v>71</v>
      </c>
      <c r="AX55" s="386">
        <f>VLOOKUP(AW55,THERMO_WATER_SAT!$A$3:$D$103,4,FALSE)</f>
        <v>1.6324101733679396E-2</v>
      </c>
      <c r="AY55" s="386">
        <f t="shared" si="43"/>
        <v>71</v>
      </c>
      <c r="AZ55" s="386">
        <f t="shared" si="10"/>
        <v>76</v>
      </c>
      <c r="BA55" s="386">
        <f t="shared" si="42"/>
        <v>1.5153136513087313E-2</v>
      </c>
      <c r="BB55" s="386">
        <f t="shared" si="44"/>
        <v>-2.3419304411841647E-4</v>
      </c>
      <c r="BC55" s="386">
        <v>120</v>
      </c>
      <c r="BD55" s="386">
        <f t="shared" si="45"/>
        <v>4.8486425718769887E-3</v>
      </c>
      <c r="BJ55" s="386">
        <f t="shared" si="12"/>
        <v>1.6324101733679396E-2</v>
      </c>
      <c r="BK55" s="386">
        <f t="shared" si="13"/>
        <v>34.874472922486348</v>
      </c>
      <c r="BL55" s="386">
        <f t="shared" si="38"/>
        <v>71</v>
      </c>
    </row>
    <row r="56" spans="3:64" x14ac:dyDescent="0.3">
      <c r="C56" s="396">
        <f>IF(DewPointA32(P_TOTAL,D56)&lt;32,32,DewPointA32(P_TOTAL,D56))</f>
        <v>40.057665314581911</v>
      </c>
      <c r="D56" s="397">
        <f>D55+0.0002</f>
        <v>5.1999999999999989E-3</v>
      </c>
      <c r="E56" s="406"/>
      <c r="F56" s="406"/>
      <c r="G56" s="406"/>
      <c r="H56" s="406"/>
      <c r="K56" s="408">
        <v>84</v>
      </c>
      <c r="L56" s="406">
        <f t="shared" si="17"/>
        <v>0.57762680895229657</v>
      </c>
      <c r="M56" s="406">
        <f t="shared" si="18"/>
        <v>5.7762680895229658E-2</v>
      </c>
      <c r="N56" s="407">
        <f t="shared" si="46"/>
        <v>2.4542045598022716E-3</v>
      </c>
      <c r="O56" s="408">
        <v>84</v>
      </c>
      <c r="P56" s="406">
        <f t="shared" si="19"/>
        <v>0.57762680895229657</v>
      </c>
      <c r="Q56" s="406">
        <f t="shared" si="20"/>
        <v>0.11552536179045932</v>
      </c>
      <c r="R56" s="407">
        <f t="shared" si="47"/>
        <v>4.927854499587987E-3</v>
      </c>
      <c r="S56" s="408">
        <v>84</v>
      </c>
      <c r="T56" s="406">
        <f t="shared" si="21"/>
        <v>0.57762680895229657</v>
      </c>
      <c r="U56" s="406">
        <f t="shared" si="22"/>
        <v>0.17328804268568895</v>
      </c>
      <c r="V56" s="407">
        <f t="shared" si="48"/>
        <v>7.4211818457063927E-3</v>
      </c>
      <c r="W56" s="408">
        <v>84</v>
      </c>
      <c r="X56" s="406">
        <f t="shared" si="23"/>
        <v>0.57762680895229657</v>
      </c>
      <c r="Y56" s="406">
        <f t="shared" si="24"/>
        <v>0.23105072358091863</v>
      </c>
      <c r="Z56" s="407">
        <f t="shared" si="49"/>
        <v>9.9344223306971173E-3</v>
      </c>
      <c r="AA56" s="408">
        <v>84</v>
      </c>
      <c r="AB56" s="406">
        <f t="shared" si="25"/>
        <v>0.57762680895229657</v>
      </c>
      <c r="AC56" s="406">
        <f t="shared" si="26"/>
        <v>0.28881340447614828</v>
      </c>
      <c r="AD56" s="407">
        <f t="shared" si="50"/>
        <v>1.2467815467586249E-2</v>
      </c>
      <c r="AE56" s="408">
        <v>84</v>
      </c>
      <c r="AF56" s="406">
        <f t="shared" si="27"/>
        <v>0.57762680895229657</v>
      </c>
      <c r="AG56" s="406">
        <f t="shared" si="28"/>
        <v>0.34657608537137791</v>
      </c>
      <c r="AH56" s="407">
        <f t="shared" si="51"/>
        <v>1.5021604625976856E-2</v>
      </c>
      <c r="AI56" s="408">
        <v>84</v>
      </c>
      <c r="AJ56" s="406">
        <f t="shared" si="29"/>
        <v>0.57762680895229657</v>
      </c>
      <c r="AK56" s="406">
        <f t="shared" si="30"/>
        <v>0.40433876626660759</v>
      </c>
      <c r="AL56" s="407">
        <f t="shared" si="52"/>
        <v>1.7596037109984728E-2</v>
      </c>
      <c r="AM56" s="408">
        <v>84</v>
      </c>
      <c r="AN56" s="406">
        <f t="shared" si="31"/>
        <v>0.57762680895229657</v>
      </c>
      <c r="AO56" s="406">
        <f t="shared" si="32"/>
        <v>0.46210144716183726</v>
      </c>
      <c r="AP56" s="407">
        <f t="shared" si="53"/>
        <v>2.0191364238071746E-2</v>
      </c>
      <c r="AQ56" s="408">
        <v>84</v>
      </c>
      <c r="AR56" s="406">
        <f t="shared" si="33"/>
        <v>0.57762680895229657</v>
      </c>
      <c r="AS56" s="406">
        <f t="shared" si="34"/>
        <v>0.51986412805706694</v>
      </c>
      <c r="AT56" s="407">
        <f t="shared" si="54"/>
        <v>2.2807841424830975E-2</v>
      </c>
      <c r="AW56" s="386">
        <v>72</v>
      </c>
      <c r="AX56" s="386">
        <f>VLOOKUP(AW56,THERMO_WATER_SAT!$A$3:$D$103,4,FALSE)</f>
        <v>1.6902305706486258E-2</v>
      </c>
      <c r="AY56" s="386">
        <f t="shared" si="43"/>
        <v>72</v>
      </c>
      <c r="AZ56" s="386">
        <f t="shared" si="10"/>
        <v>77</v>
      </c>
      <c r="BA56" s="386">
        <f t="shared" si="42"/>
        <v>1.5729507002683333E-2</v>
      </c>
      <c r="BB56" s="386">
        <f t="shared" si="44"/>
        <v>-2.3455974076058497E-4</v>
      </c>
      <c r="BC56" s="386">
        <v>120</v>
      </c>
      <c r="BD56" s="386">
        <f t="shared" si="45"/>
        <v>5.6434381499781798E-3</v>
      </c>
      <c r="BJ56" s="386">
        <f t="shared" si="12"/>
        <v>1.6902305706486258E-2</v>
      </c>
      <c r="BK56" s="386">
        <f t="shared" si="13"/>
        <v>35.753679263406873</v>
      </c>
      <c r="BL56" s="386">
        <f t="shared" si="38"/>
        <v>72</v>
      </c>
    </row>
    <row r="57" spans="3:64" x14ac:dyDescent="0.3">
      <c r="C57" s="401">
        <v>120</v>
      </c>
      <c r="D57" s="402">
        <f>D56</f>
        <v>5.1999999999999989E-3</v>
      </c>
      <c r="E57" s="406"/>
      <c r="F57" s="406"/>
      <c r="G57" s="406"/>
      <c r="H57" s="406"/>
      <c r="K57" s="405">
        <v>85</v>
      </c>
      <c r="L57" s="406">
        <f t="shared" si="17"/>
        <v>0.59646455498013584</v>
      </c>
      <c r="M57" s="406">
        <f t="shared" si="18"/>
        <v>5.964645549801359E-2</v>
      </c>
      <c r="N57" s="407">
        <f t="shared" si="46"/>
        <v>2.534568016023267E-3</v>
      </c>
      <c r="O57" s="405">
        <v>85</v>
      </c>
      <c r="P57" s="406">
        <f t="shared" si="19"/>
        <v>0.59646455498013584</v>
      </c>
      <c r="Q57" s="406">
        <f t="shared" si="20"/>
        <v>0.11929291099602718</v>
      </c>
      <c r="R57" s="407">
        <f t="shared" si="47"/>
        <v>5.089878439429949E-3</v>
      </c>
      <c r="S57" s="405">
        <v>85</v>
      </c>
      <c r="T57" s="406">
        <f t="shared" si="21"/>
        <v>0.59646455498013584</v>
      </c>
      <c r="U57" s="406">
        <f t="shared" si="22"/>
        <v>0.17893936649404074</v>
      </c>
      <c r="V57" s="407">
        <f t="shared" si="48"/>
        <v>7.6661869441013121E-3</v>
      </c>
      <c r="W57" s="405">
        <v>85</v>
      </c>
      <c r="X57" s="406">
        <f t="shared" si="23"/>
        <v>0.59646455498013584</v>
      </c>
      <c r="Y57" s="406">
        <f t="shared" si="24"/>
        <v>0.23858582199205436</v>
      </c>
      <c r="Z57" s="407">
        <f t="shared" si="49"/>
        <v>1.0263753423218313E-2</v>
      </c>
      <c r="AA57" s="405">
        <v>85</v>
      </c>
      <c r="AB57" s="406">
        <f t="shared" si="25"/>
        <v>0.59646455498013584</v>
      </c>
      <c r="AC57" s="406">
        <f t="shared" si="26"/>
        <v>0.29823227749006792</v>
      </c>
      <c r="AD57" s="407">
        <f t="shared" si="50"/>
        <v>1.2882842076659261E-2</v>
      </c>
      <c r="AE57" s="405">
        <v>85</v>
      </c>
      <c r="AF57" s="406">
        <f t="shared" si="27"/>
        <v>0.59646455498013584</v>
      </c>
      <c r="AG57" s="406">
        <f t="shared" si="28"/>
        <v>0.35787873298808148</v>
      </c>
      <c r="AH57" s="407">
        <f t="shared" si="51"/>
        <v>1.5523721500578937E-2</v>
      </c>
      <c r="AI57" s="405">
        <v>85</v>
      </c>
      <c r="AJ57" s="406">
        <f t="shared" si="29"/>
        <v>0.59646455498013584</v>
      </c>
      <c r="AK57" s="406">
        <f t="shared" si="30"/>
        <v>0.41752518848609504</v>
      </c>
      <c r="AL57" s="407">
        <f t="shared" si="52"/>
        <v>1.8186664779232933E-2</v>
      </c>
      <c r="AM57" s="405">
        <v>85</v>
      </c>
      <c r="AN57" s="406">
        <f t="shared" si="31"/>
        <v>0.59646455498013584</v>
      </c>
      <c r="AO57" s="406">
        <f t="shared" si="32"/>
        <v>0.47717164398410872</v>
      </c>
      <c r="AP57" s="407">
        <f t="shared" si="53"/>
        <v>2.0871949579113154E-2</v>
      </c>
      <c r="AQ57" s="405">
        <v>85</v>
      </c>
      <c r="AR57" s="406">
        <f t="shared" si="33"/>
        <v>0.59646455498013584</v>
      </c>
      <c r="AS57" s="406">
        <f t="shared" si="34"/>
        <v>0.53681809948212222</v>
      </c>
      <c r="AT57" s="407">
        <f t="shared" si="54"/>
        <v>2.3579858245462618E-2</v>
      </c>
      <c r="AW57" s="386">
        <v>73</v>
      </c>
      <c r="AX57" s="386">
        <f>VLOOKUP(AW57,THERMO_WATER_SAT!$A$3:$D$103,4,FALSE)</f>
        <v>1.749895648203224E-2</v>
      </c>
      <c r="AY57" s="386">
        <f t="shared" si="43"/>
        <v>73</v>
      </c>
      <c r="AZ57" s="386">
        <f t="shared" si="10"/>
        <v>78</v>
      </c>
      <c r="BA57" s="386">
        <f t="shared" si="42"/>
        <v>1.6324283531287231E-2</v>
      </c>
      <c r="BB57" s="386">
        <f t="shared" si="44"/>
        <v>-2.3493459014900173E-4</v>
      </c>
      <c r="BC57" s="386">
        <v>120</v>
      </c>
      <c r="BD57" s="386">
        <f t="shared" si="45"/>
        <v>6.4570307450291589E-3</v>
      </c>
      <c r="BJ57" s="386">
        <f t="shared" si="12"/>
        <v>1.749895648203224E-2</v>
      </c>
      <c r="BK57" s="386">
        <f t="shared" si="13"/>
        <v>36.653569004931839</v>
      </c>
      <c r="BL57" s="386">
        <f t="shared" si="38"/>
        <v>73</v>
      </c>
    </row>
    <row r="58" spans="3:64" x14ac:dyDescent="0.3">
      <c r="C58" s="396">
        <f>IF(DewPointA32(P_TOTAL,D58)&lt;32,32,DewPointA32(P_TOTAL,D58))</f>
        <v>41.027057095432106</v>
      </c>
      <c r="D58" s="397">
        <f>D57+0.0002</f>
        <v>5.3999999999999986E-3</v>
      </c>
      <c r="E58" s="406"/>
      <c r="F58" s="406"/>
      <c r="G58" s="406"/>
      <c r="H58" s="406"/>
      <c r="K58" s="405">
        <v>86</v>
      </c>
      <c r="L58" s="406">
        <f t="shared" si="17"/>
        <v>0.61583435738371894</v>
      </c>
      <c r="M58" s="406">
        <f t="shared" si="18"/>
        <v>6.1583435738371897E-2</v>
      </c>
      <c r="N58" s="407">
        <f t="shared" si="46"/>
        <v>2.6172228447261126E-3</v>
      </c>
      <c r="O58" s="405">
        <v>86</v>
      </c>
      <c r="P58" s="406">
        <f t="shared" si="19"/>
        <v>0.61583435738371894</v>
      </c>
      <c r="Q58" s="406">
        <f t="shared" si="20"/>
        <v>0.12316687147674379</v>
      </c>
      <c r="R58" s="407">
        <f t="shared" si="47"/>
        <v>5.2565659694897042E-3</v>
      </c>
      <c r="S58" s="405">
        <v>86</v>
      </c>
      <c r="T58" s="406">
        <f t="shared" si="21"/>
        <v>0.61583435738371894</v>
      </c>
      <c r="U58" s="406">
        <f t="shared" si="22"/>
        <v>0.18475030721511568</v>
      </c>
      <c r="V58" s="407">
        <f t="shared" si="48"/>
        <v>7.9183109991417758E-3</v>
      </c>
      <c r="W58" s="405">
        <v>86</v>
      </c>
      <c r="X58" s="406">
        <f t="shared" si="23"/>
        <v>0.61583435738371894</v>
      </c>
      <c r="Y58" s="406">
        <f t="shared" si="24"/>
        <v>0.24633374295348759</v>
      </c>
      <c r="Z58" s="407">
        <f t="shared" si="49"/>
        <v>1.0602744359592573E-2</v>
      </c>
      <c r="AA58" s="405">
        <v>86</v>
      </c>
      <c r="AB58" s="406">
        <f t="shared" si="25"/>
        <v>0.61583435738371894</v>
      </c>
      <c r="AC58" s="406">
        <f t="shared" si="26"/>
        <v>0.30791717869185947</v>
      </c>
      <c r="AD58" s="407">
        <f t="shared" si="50"/>
        <v>1.3310157380558312E-2</v>
      </c>
      <c r="AE58" s="405">
        <v>86</v>
      </c>
      <c r="AF58" s="406">
        <f t="shared" si="27"/>
        <v>0.61583435738371894</v>
      </c>
      <c r="AG58" s="406">
        <f t="shared" si="28"/>
        <v>0.36950061443023136</v>
      </c>
      <c r="AH58" s="407">
        <f t="shared" si="51"/>
        <v>1.6040846400957914E-2</v>
      </c>
      <c r="AI58" s="405">
        <v>86</v>
      </c>
      <c r="AJ58" s="406">
        <f t="shared" si="29"/>
        <v>0.61583435738371894</v>
      </c>
      <c r="AK58" s="406">
        <f t="shared" si="30"/>
        <v>0.43108405016860324</v>
      </c>
      <c r="AL58" s="407">
        <f t="shared" si="52"/>
        <v>1.8795112877039787E-2</v>
      </c>
      <c r="AM58" s="405">
        <v>86</v>
      </c>
      <c r="AN58" s="406">
        <f t="shared" si="31"/>
        <v>0.61583435738371894</v>
      </c>
      <c r="AO58" s="406">
        <f t="shared" si="32"/>
        <v>0.49266748590697518</v>
      </c>
      <c r="AP58" s="407">
        <f t="shared" si="53"/>
        <v>2.1573263493321553E-2</v>
      </c>
      <c r="AQ58" s="405">
        <v>86</v>
      </c>
      <c r="AR58" s="406">
        <f t="shared" si="33"/>
        <v>0.61583435738371894</v>
      </c>
      <c r="AS58" s="406">
        <f t="shared" si="34"/>
        <v>0.55425092164534706</v>
      </c>
      <c r="AT58" s="407">
        <f t="shared" si="54"/>
        <v>2.4375610276428421E-2</v>
      </c>
      <c r="AW58" s="386">
        <v>74</v>
      </c>
      <c r="AX58" s="386">
        <f>VLOOKUP(AW58,THERMO_WATER_SAT!$A$3:$D$103,4,FALSE)</f>
        <v>1.8114593424726634E-2</v>
      </c>
      <c r="AY58" s="386">
        <f t="shared" si="43"/>
        <v>74</v>
      </c>
      <c r="AZ58" s="386">
        <f t="shared" si="10"/>
        <v>79</v>
      </c>
      <c r="BA58" s="386">
        <f t="shared" si="42"/>
        <v>1.6938004262841824E-2</v>
      </c>
      <c r="BB58" s="386">
        <f t="shared" si="44"/>
        <v>-2.3531783237696198E-4</v>
      </c>
      <c r="BC58" s="386">
        <v>120</v>
      </c>
      <c r="BD58" s="386">
        <f t="shared" si="45"/>
        <v>7.2899731353863826E-3</v>
      </c>
      <c r="BJ58" s="386">
        <f t="shared" si="12"/>
        <v>1.8114593424726634E-2</v>
      </c>
      <c r="BK58" s="386">
        <f t="shared" si="13"/>
        <v>37.574756705197771</v>
      </c>
      <c r="BL58" s="386">
        <f t="shared" si="38"/>
        <v>74</v>
      </c>
    </row>
    <row r="59" spans="3:64" x14ac:dyDescent="0.3">
      <c r="C59" s="401">
        <v>120</v>
      </c>
      <c r="D59" s="402">
        <f>D58</f>
        <v>5.3999999999999986E-3</v>
      </c>
      <c r="E59" s="406"/>
      <c r="F59" s="406"/>
      <c r="G59" s="406"/>
      <c r="H59" s="406"/>
      <c r="K59" s="408">
        <v>87</v>
      </c>
      <c r="L59" s="406">
        <f t="shared" si="17"/>
        <v>0.6357487274900071</v>
      </c>
      <c r="M59" s="406">
        <f t="shared" si="18"/>
        <v>6.3574872749000713E-2</v>
      </c>
      <c r="N59" s="407">
        <f t="shared" si="46"/>
        <v>2.7022242674494346E-3</v>
      </c>
      <c r="O59" s="408">
        <v>87</v>
      </c>
      <c r="P59" s="406">
        <f t="shared" si="19"/>
        <v>0.6357487274900071</v>
      </c>
      <c r="Q59" s="406">
        <f t="shared" si="20"/>
        <v>0.12714974549800143</v>
      </c>
      <c r="R59" s="407">
        <f t="shared" si="47"/>
        <v>5.4280322166501823E-3</v>
      </c>
      <c r="S59" s="408">
        <v>87</v>
      </c>
      <c r="T59" s="406">
        <f t="shared" si="21"/>
        <v>0.6357487274900071</v>
      </c>
      <c r="U59" s="406">
        <f t="shared" si="22"/>
        <v>0.19072461824700213</v>
      </c>
      <c r="V59" s="407">
        <f t="shared" si="48"/>
        <v>8.1777339409014396E-3</v>
      </c>
      <c r="W59" s="408">
        <v>87</v>
      </c>
      <c r="X59" s="406">
        <f t="shared" si="23"/>
        <v>0.6357487274900071</v>
      </c>
      <c r="Y59" s="406">
        <f t="shared" si="24"/>
        <v>0.25429949099600285</v>
      </c>
      <c r="Z59" s="407">
        <f t="shared" si="49"/>
        <v>1.0951644993840548E-2</v>
      </c>
      <c r="AA59" s="408">
        <v>87</v>
      </c>
      <c r="AB59" s="406">
        <f t="shared" si="25"/>
        <v>0.6357487274900071</v>
      </c>
      <c r="AC59" s="406">
        <f t="shared" si="26"/>
        <v>0.31787436374500355</v>
      </c>
      <c r="AD59" s="407">
        <f t="shared" si="50"/>
        <v>1.3750086510161191E-2</v>
      </c>
      <c r="AE59" s="408">
        <v>87</v>
      </c>
      <c r="AF59" s="406">
        <f t="shared" si="27"/>
        <v>0.6357487274900071</v>
      </c>
      <c r="AG59" s="406">
        <f t="shared" si="28"/>
        <v>0.38144923649400425</v>
      </c>
      <c r="AH59" s="407">
        <f t="shared" si="51"/>
        <v>1.6573385329548471E-2</v>
      </c>
      <c r="AI59" s="408">
        <v>87</v>
      </c>
      <c r="AJ59" s="406">
        <f t="shared" si="29"/>
        <v>0.6357487274900071</v>
      </c>
      <c r="AK59" s="406">
        <f t="shared" si="30"/>
        <v>0.44502410924300495</v>
      </c>
      <c r="AL59" s="407">
        <f t="shared" si="52"/>
        <v>1.9421874123931274E-2</v>
      </c>
      <c r="AM59" s="408">
        <v>87</v>
      </c>
      <c r="AN59" s="406">
        <f t="shared" si="31"/>
        <v>0.6357487274900071</v>
      </c>
      <c r="AO59" s="406">
        <f t="shared" si="32"/>
        <v>0.50859898199200571</v>
      </c>
      <c r="AP59" s="407">
        <f t="shared" si="53"/>
        <v>2.2295891528155996E-2</v>
      </c>
      <c r="AQ59" s="408">
        <v>87</v>
      </c>
      <c r="AR59" s="406">
        <f t="shared" si="33"/>
        <v>0.6357487274900071</v>
      </c>
      <c r="AS59" s="406">
        <f t="shared" si="34"/>
        <v>0.57217385474100646</v>
      </c>
      <c r="AT59" s="407">
        <f t="shared" si="54"/>
        <v>2.5195782274189501E-2</v>
      </c>
      <c r="AW59" s="386">
        <v>75</v>
      </c>
      <c r="AX59" s="386">
        <f>VLOOKUP(AW59,THERMO_WATER_SAT!$A$3:$D$103,4,FALSE)</f>
        <v>1.874977149125126E-2</v>
      </c>
      <c r="AY59" s="386">
        <f t="shared" si="43"/>
        <v>75</v>
      </c>
      <c r="AZ59" s="386">
        <f t="shared" si="10"/>
        <v>80</v>
      </c>
      <c r="BA59" s="386">
        <f t="shared" si="42"/>
        <v>1.757122291817189E-2</v>
      </c>
      <c r="BB59" s="386">
        <f t="shared" si="44"/>
        <v>-2.3570971461587403E-4</v>
      </c>
      <c r="BC59" s="386">
        <v>120</v>
      </c>
      <c r="BD59" s="386">
        <f t="shared" si="45"/>
        <v>8.1428343335369288E-3</v>
      </c>
      <c r="BJ59" s="386">
        <f t="shared" si="12"/>
        <v>1.874977149125126E-2</v>
      </c>
      <c r="BK59" s="386">
        <f t="shared" si="13"/>
        <v>38.517874942876254</v>
      </c>
      <c r="BL59" s="386">
        <f t="shared" si="38"/>
        <v>75</v>
      </c>
    </row>
    <row r="60" spans="3:64" x14ac:dyDescent="0.3">
      <c r="C60" s="396">
        <f>IF(DewPointA32(P_TOTAL,D60)&lt;32,32,DewPointA32(P_TOTAL,D60))</f>
        <v>41.964270726225138</v>
      </c>
      <c r="D60" s="397">
        <f>D59+0.0002</f>
        <v>5.5999999999999982E-3</v>
      </c>
      <c r="E60" s="406"/>
      <c r="F60" s="406"/>
      <c r="G60" s="406"/>
      <c r="H60" s="406"/>
      <c r="K60" s="405">
        <v>88</v>
      </c>
      <c r="L60" s="406">
        <f t="shared" si="17"/>
        <v>0.65622040428052841</v>
      </c>
      <c r="M60" s="406">
        <f t="shared" si="18"/>
        <v>6.562204042805285E-2</v>
      </c>
      <c r="N60" s="407">
        <f t="shared" si="46"/>
        <v>2.789628588590345E-3</v>
      </c>
      <c r="O60" s="405">
        <v>88</v>
      </c>
      <c r="P60" s="406">
        <f t="shared" si="19"/>
        <v>0.65622040428052841</v>
      </c>
      <c r="Q60" s="406">
        <f t="shared" si="20"/>
        <v>0.1312440808561057</v>
      </c>
      <c r="R60" s="407">
        <f t="shared" si="47"/>
        <v>5.6043947244263821E-3</v>
      </c>
      <c r="S60" s="405">
        <v>88</v>
      </c>
      <c r="T60" s="406">
        <f t="shared" si="21"/>
        <v>0.65622040428052841</v>
      </c>
      <c r="U60" s="406">
        <f t="shared" si="22"/>
        <v>0.19686612128415851</v>
      </c>
      <c r="V60" s="407">
        <f t="shared" si="48"/>
        <v>8.4446397197179453E-3</v>
      </c>
      <c r="W60" s="405">
        <v>88</v>
      </c>
      <c r="X60" s="406">
        <f t="shared" si="23"/>
        <v>0.65622040428052841</v>
      </c>
      <c r="Y60" s="406">
        <f t="shared" si="24"/>
        <v>0.2624881617122114</v>
      </c>
      <c r="Z60" s="407">
        <f t="shared" si="49"/>
        <v>1.1310711093786185E-2</v>
      </c>
      <c r="AA60" s="405">
        <v>88</v>
      </c>
      <c r="AB60" s="406">
        <f t="shared" si="25"/>
        <v>0.65622040428052841</v>
      </c>
      <c r="AC60" s="406">
        <f t="shared" si="26"/>
        <v>0.32811020214026421</v>
      </c>
      <c r="AD60" s="407">
        <f t="shared" si="50"/>
        <v>1.4202962714811328E-2</v>
      </c>
      <c r="AE60" s="405">
        <v>88</v>
      </c>
      <c r="AF60" s="406">
        <f t="shared" si="27"/>
        <v>0.65622040428052841</v>
      </c>
      <c r="AG60" s="406">
        <f t="shared" si="28"/>
        <v>0.39373224256831701</v>
      </c>
      <c r="AH60" s="407">
        <f t="shared" si="51"/>
        <v>1.7121754945482709E-2</v>
      </c>
      <c r="AI60" s="405">
        <v>88</v>
      </c>
      <c r="AJ60" s="406">
        <f t="shared" si="29"/>
        <v>0.65622040428052841</v>
      </c>
      <c r="AK60" s="406">
        <f t="shared" si="30"/>
        <v>0.45935428299636988</v>
      </c>
      <c r="AL60" s="407">
        <f t="shared" si="52"/>
        <v>2.0067454792676919E-2</v>
      </c>
      <c r="AM60" s="405">
        <v>88</v>
      </c>
      <c r="AN60" s="406">
        <f t="shared" si="31"/>
        <v>0.65622040428052841</v>
      </c>
      <c r="AO60" s="406">
        <f t="shared" si="32"/>
        <v>0.5249763234244228</v>
      </c>
      <c r="AP60" s="407">
        <f t="shared" si="53"/>
        <v>2.304043606129462E-2</v>
      </c>
      <c r="AQ60" s="405">
        <v>88</v>
      </c>
      <c r="AR60" s="406">
        <f t="shared" si="33"/>
        <v>0.65622040428052841</v>
      </c>
      <c r="AS60" s="406">
        <f t="shared" si="34"/>
        <v>0.59059836385247555</v>
      </c>
      <c r="AT60" s="407">
        <f t="shared" si="54"/>
        <v>2.6041079512391565E-2</v>
      </c>
      <c r="AW60" s="386">
        <v>76</v>
      </c>
      <c r="AX60" s="386">
        <f>VLOOKUP(AW60,THERMO_WATER_SAT!$A$3:$D$103,4,FALSE)</f>
        <v>1.9405061755487025E-2</v>
      </c>
      <c r="AY60" s="386">
        <f t="shared" si="43"/>
        <v>76</v>
      </c>
      <c r="AZ60" s="386">
        <f t="shared" si="10"/>
        <v>81</v>
      </c>
      <c r="BA60" s="386">
        <f t="shared" si="42"/>
        <v>1.8224509298710553E-2</v>
      </c>
      <c r="BB60" s="386">
        <f t="shared" si="44"/>
        <v>-2.3611049135529444E-4</v>
      </c>
      <c r="BC60" s="386">
        <v>120</v>
      </c>
      <c r="BD60" s="386">
        <f t="shared" si="45"/>
        <v>9.0162001358540696E-3</v>
      </c>
      <c r="BJ60" s="386">
        <f t="shared" si="12"/>
        <v>1.9405061755487025E-2</v>
      </c>
      <c r="BK60" s="386">
        <f t="shared" si="13"/>
        <v>39.483574926448881</v>
      </c>
      <c r="BL60" s="386">
        <f t="shared" si="38"/>
        <v>76</v>
      </c>
    </row>
    <row r="61" spans="3:64" x14ac:dyDescent="0.3">
      <c r="C61" s="401">
        <v>120</v>
      </c>
      <c r="D61" s="402">
        <f>D60</f>
        <v>5.5999999999999982E-3</v>
      </c>
      <c r="E61" s="406"/>
      <c r="F61" s="406"/>
      <c r="G61" s="406"/>
      <c r="H61" s="406"/>
      <c r="K61" s="405">
        <v>89</v>
      </c>
      <c r="L61" s="406">
        <f t="shared" si="17"/>
        <v>0.67726235705915594</v>
      </c>
      <c r="M61" s="406">
        <f t="shared" si="18"/>
        <v>6.7726235705915599E-2</v>
      </c>
      <c r="N61" s="407">
        <f t="shared" si="46"/>
        <v>2.8794932123874782E-3</v>
      </c>
      <c r="O61" s="405">
        <v>89</v>
      </c>
      <c r="P61" s="406">
        <f t="shared" si="19"/>
        <v>0.67726235705915594</v>
      </c>
      <c r="Q61" s="406">
        <f t="shared" si="20"/>
        <v>0.1354524714118312</v>
      </c>
      <c r="R61" s="407">
        <f t="shared" si="47"/>
        <v>5.785773499317701E-3</v>
      </c>
      <c r="S61" s="405">
        <v>89</v>
      </c>
      <c r="T61" s="406">
        <f t="shared" si="21"/>
        <v>0.67726235705915594</v>
      </c>
      <c r="U61" s="406">
        <f t="shared" si="22"/>
        <v>0.20317870711774677</v>
      </c>
      <c r="V61" s="407">
        <f t="shared" si="48"/>
        <v>8.719216395896158E-3</v>
      </c>
      <c r="W61" s="405">
        <v>89</v>
      </c>
      <c r="X61" s="406">
        <f t="shared" si="23"/>
        <v>0.67726235705915594</v>
      </c>
      <c r="Y61" s="406">
        <f t="shared" si="24"/>
        <v>0.2709049428236624</v>
      </c>
      <c r="Z61" s="407">
        <f t="shared" si="49"/>
        <v>1.1680204489820777E-2</v>
      </c>
      <c r="AA61" s="405">
        <v>89</v>
      </c>
      <c r="AB61" s="406">
        <f t="shared" si="25"/>
        <v>0.67726235705915594</v>
      </c>
      <c r="AC61" s="406">
        <f t="shared" si="26"/>
        <v>0.33863117852957797</v>
      </c>
      <c r="AD61" s="407">
        <f t="shared" si="50"/>
        <v>1.4669127587723511E-2</v>
      </c>
      <c r="AE61" s="405">
        <v>89</v>
      </c>
      <c r="AF61" s="406">
        <f t="shared" si="27"/>
        <v>0.67726235705915594</v>
      </c>
      <c r="AG61" s="406">
        <f t="shared" si="28"/>
        <v>0.40635741423549354</v>
      </c>
      <c r="AH61" s="407">
        <f t="shared" si="51"/>
        <v>1.768638288624225E-2</v>
      </c>
      <c r="AI61" s="405">
        <v>89</v>
      </c>
      <c r="AJ61" s="406">
        <f t="shared" si="29"/>
        <v>0.67726235705915594</v>
      </c>
      <c r="AK61" s="406">
        <f t="shared" si="30"/>
        <v>0.47408364994140911</v>
      </c>
      <c r="AL61" s="407">
        <f t="shared" si="52"/>
        <v>2.0732375147980649E-2</v>
      </c>
      <c r="AM61" s="405">
        <v>89</v>
      </c>
      <c r="AN61" s="406">
        <f t="shared" si="31"/>
        <v>0.67726235705915594</v>
      </c>
      <c r="AO61" s="406">
        <f t="shared" si="32"/>
        <v>0.5418098856473248</v>
      </c>
      <c r="AP61" s="407">
        <f t="shared" si="53"/>
        <v>2.3807516882519725E-2</v>
      </c>
      <c r="AQ61" s="405">
        <v>89</v>
      </c>
      <c r="AR61" s="406">
        <f t="shared" si="33"/>
        <v>0.67726235705915594</v>
      </c>
      <c r="AS61" s="406">
        <f t="shared" si="34"/>
        <v>0.60953612135324031</v>
      </c>
      <c r="AT61" s="407">
        <f t="shared" si="54"/>
        <v>2.6912228532651048E-2</v>
      </c>
      <c r="AW61" s="386">
        <v>77</v>
      </c>
      <c r="AX61" s="386">
        <f>VLOOKUP(AW61,THERMO_WATER_SAT!$A$3:$D$103,4,FALSE)</f>
        <v>2.0081051956607816E-2</v>
      </c>
      <c r="AY61" s="386">
        <f t="shared" si="43"/>
        <v>77</v>
      </c>
      <c r="AZ61" s="386">
        <f t="shared" si="10"/>
        <v>82</v>
      </c>
      <c r="BA61" s="386">
        <f t="shared" si="42"/>
        <v>1.8898449833340353E-2</v>
      </c>
      <c r="BB61" s="386">
        <f t="shared" si="44"/>
        <v>-2.365204246534927E-4</v>
      </c>
      <c r="BC61" s="386">
        <v>120</v>
      </c>
      <c r="BD61" s="386">
        <f t="shared" si="45"/>
        <v>9.9106736965076294E-3</v>
      </c>
      <c r="BJ61" s="386">
        <f t="shared" si="12"/>
        <v>2.0081051956607816E-2</v>
      </c>
      <c r="BK61" s="386">
        <f t="shared" si="13"/>
        <v>40.472527130253404</v>
      </c>
      <c r="BL61" s="386">
        <f t="shared" si="38"/>
        <v>77</v>
      </c>
    </row>
    <row r="62" spans="3:64" x14ac:dyDescent="0.3">
      <c r="C62" s="396">
        <f>IF(DewPointA32(P_TOTAL,D62)&lt;32,32,DewPointA32(P_TOTAL,D62))</f>
        <v>42.871491487256129</v>
      </c>
      <c r="D62" s="397">
        <f>D61+0.0002</f>
        <v>5.7999999999999979E-3</v>
      </c>
      <c r="E62" s="406"/>
      <c r="F62" s="406"/>
      <c r="G62" s="406"/>
      <c r="H62" s="406"/>
      <c r="K62" s="405">
        <v>90</v>
      </c>
      <c r="L62" s="406">
        <f t="shared" si="17"/>
        <v>0.69888778812477892</v>
      </c>
      <c r="M62" s="406">
        <f t="shared" si="18"/>
        <v>6.9888778812477889E-2</v>
      </c>
      <c r="N62" s="407">
        <f t="shared" si="46"/>
        <v>2.9718766601680283E-3</v>
      </c>
      <c r="O62" s="405">
        <v>90</v>
      </c>
      <c r="P62" s="406">
        <f t="shared" si="19"/>
        <v>0.69888778812477892</v>
      </c>
      <c r="Q62" s="406">
        <f t="shared" si="20"/>
        <v>0.13977755762495578</v>
      </c>
      <c r="R62" s="407">
        <f t="shared" si="47"/>
        <v>5.9722910582529773E-3</v>
      </c>
      <c r="S62" s="405">
        <v>90</v>
      </c>
      <c r="T62" s="406">
        <f t="shared" si="21"/>
        <v>0.69888778812477892</v>
      </c>
      <c r="U62" s="406">
        <f t="shared" si="22"/>
        <v>0.20966633643743368</v>
      </c>
      <c r="V62" s="407">
        <f t="shared" si="48"/>
        <v>9.0016562320253558E-3</v>
      </c>
      <c r="W62" s="405">
        <v>90</v>
      </c>
      <c r="X62" s="406">
        <f t="shared" si="23"/>
        <v>0.69888778812477892</v>
      </c>
      <c r="Y62" s="406">
        <f t="shared" si="24"/>
        <v>0.27955511524991156</v>
      </c>
      <c r="Z62" s="407">
        <f t="shared" si="49"/>
        <v>1.2060393228638186E-2</v>
      </c>
      <c r="AA62" s="405">
        <v>90</v>
      </c>
      <c r="AB62" s="406">
        <f t="shared" si="25"/>
        <v>0.69888778812477892</v>
      </c>
      <c r="AC62" s="406">
        <f t="shared" si="26"/>
        <v>0.34944389406238946</v>
      </c>
      <c r="AD62" s="407">
        <f t="shared" si="50"/>
        <v>1.5148931299714223E-2</v>
      </c>
      <c r="AE62" s="405">
        <v>90</v>
      </c>
      <c r="AF62" s="406">
        <f t="shared" si="27"/>
        <v>0.69888778812477892</v>
      </c>
      <c r="AG62" s="406">
        <f t="shared" si="28"/>
        <v>0.41933267287486736</v>
      </c>
      <c r="AH62" s="407">
        <f t="shared" si="51"/>
        <v>1.8267708102163268E-2</v>
      </c>
      <c r="AI62" s="405">
        <v>90</v>
      </c>
      <c r="AJ62" s="406">
        <f t="shared" si="29"/>
        <v>0.69888778812477892</v>
      </c>
      <c r="AK62" s="406">
        <f t="shared" si="30"/>
        <v>0.48922145168734521</v>
      </c>
      <c r="AL62" s="407">
        <f t="shared" si="52"/>
        <v>2.1417169904926859E-2</v>
      </c>
      <c r="AM62" s="405">
        <v>90</v>
      </c>
      <c r="AN62" s="406">
        <f t="shared" si="31"/>
        <v>0.69888778812477892</v>
      </c>
      <c r="AO62" s="406">
        <f t="shared" si="32"/>
        <v>0.55911023049982311</v>
      </c>
      <c r="AP62" s="407">
        <f t="shared" si="53"/>
        <v>2.4597771801855513E-2</v>
      </c>
      <c r="AQ62" s="405">
        <v>90</v>
      </c>
      <c r="AR62" s="406">
        <f t="shared" si="33"/>
        <v>0.69888778812477892</v>
      </c>
      <c r="AS62" s="406">
        <f t="shared" si="34"/>
        <v>0.62899900931230102</v>
      </c>
      <c r="AT62" s="407">
        <f t="shared" si="54"/>
        <v>2.7809977930931755E-2</v>
      </c>
      <c r="AW62" s="386">
        <v>78</v>
      </c>
      <c r="AX62" s="386">
        <f>VLOOKUP(AW62,THERMO_WATER_SAT!$A$3:$D$103,4,FALSE)</f>
        <v>2.0778347071584206E-2</v>
      </c>
      <c r="AY62" s="386">
        <f t="shared" si="43"/>
        <v>78</v>
      </c>
      <c r="AZ62" s="386">
        <f t="shared" si="10"/>
        <v>83</v>
      </c>
      <c r="BA62" s="386">
        <f t="shared" si="42"/>
        <v>1.9593648149588607E-2</v>
      </c>
      <c r="BB62" s="386">
        <f t="shared" si="44"/>
        <v>-2.3693978439911985E-4</v>
      </c>
      <c r="BC62" s="386">
        <v>120</v>
      </c>
      <c r="BD62" s="386">
        <f t="shared" si="45"/>
        <v>1.0826876126821173E-2</v>
      </c>
      <c r="BJ62" s="386">
        <f t="shared" si="12"/>
        <v>2.0778347071584206E-2</v>
      </c>
      <c r="BK62" s="386">
        <f t="shared" si="13"/>
        <v>41.485421958733951</v>
      </c>
      <c r="BL62" s="386">
        <f t="shared" si="38"/>
        <v>78</v>
      </c>
    </row>
    <row r="63" spans="3:64" x14ac:dyDescent="0.3">
      <c r="C63" s="401">
        <v>120</v>
      </c>
      <c r="D63" s="402">
        <f>D62</f>
        <v>5.7999999999999979E-3</v>
      </c>
      <c r="E63" s="406"/>
      <c r="F63" s="406"/>
      <c r="G63" s="406"/>
      <c r="H63" s="406"/>
      <c r="K63" s="408">
        <v>91</v>
      </c>
      <c r="L63" s="406">
        <f t="shared" si="17"/>
        <v>0.72111013544855707</v>
      </c>
      <c r="M63" s="406">
        <f t="shared" si="18"/>
        <v>7.2111013544855704E-2</v>
      </c>
      <c r="N63" s="407">
        <f t="shared" si="46"/>
        <v>3.0668385878667094E-3</v>
      </c>
      <c r="O63" s="408">
        <v>91</v>
      </c>
      <c r="P63" s="406">
        <f t="shared" si="19"/>
        <v>0.72111013544855707</v>
      </c>
      <c r="Q63" s="406">
        <f t="shared" si="20"/>
        <v>0.14422202708971141</v>
      </c>
      <c r="R63" s="407">
        <f t="shared" si="47"/>
        <v>6.1640724771682316E-3</v>
      </c>
      <c r="S63" s="408">
        <v>91</v>
      </c>
      <c r="T63" s="406">
        <f t="shared" si="21"/>
        <v>0.72111013544855707</v>
      </c>
      <c r="U63" s="406">
        <f t="shared" si="22"/>
        <v>0.21633304063456713</v>
      </c>
      <c r="V63" s="407">
        <f t="shared" si="48"/>
        <v>9.2921557880165043E-3</v>
      </c>
      <c r="W63" s="408">
        <v>91</v>
      </c>
      <c r="X63" s="406">
        <f t="shared" si="23"/>
        <v>0.72111013544855707</v>
      </c>
      <c r="Y63" s="406">
        <f t="shared" si="24"/>
        <v>0.28844405417942282</v>
      </c>
      <c r="Z63" s="407">
        <f t="shared" si="49"/>
        <v>1.2451551732158899E-2</v>
      </c>
      <c r="AA63" s="408">
        <v>91</v>
      </c>
      <c r="AB63" s="406">
        <f t="shared" si="25"/>
        <v>0.72111013544855707</v>
      </c>
      <c r="AC63" s="406">
        <f t="shared" si="26"/>
        <v>0.36055506772427853</v>
      </c>
      <c r="AD63" s="407">
        <f t="shared" si="50"/>
        <v>1.5642732841644674E-2</v>
      </c>
      <c r="AE63" s="408">
        <v>91</v>
      </c>
      <c r="AF63" s="406">
        <f t="shared" si="27"/>
        <v>0.72111013544855707</v>
      </c>
      <c r="AG63" s="406">
        <f t="shared" si="28"/>
        <v>0.43266608126913425</v>
      </c>
      <c r="AH63" s="407">
        <f t="shared" si="51"/>
        <v>1.8866181204427797E-2</v>
      </c>
      <c r="AI63" s="408">
        <v>91</v>
      </c>
      <c r="AJ63" s="406">
        <f t="shared" si="29"/>
        <v>0.72111013544855707</v>
      </c>
      <c r="AK63" s="406">
        <f t="shared" si="30"/>
        <v>0.50477709481398991</v>
      </c>
      <c r="AL63" s="407">
        <f t="shared" si="52"/>
        <v>2.2122388707152954E-2</v>
      </c>
      <c r="AM63" s="408">
        <v>91</v>
      </c>
      <c r="AN63" s="406">
        <f t="shared" si="31"/>
        <v>0.72111013544855707</v>
      </c>
      <c r="AO63" s="406">
        <f t="shared" si="32"/>
        <v>0.57688810835884563</v>
      </c>
      <c r="AP63" s="407">
        <f t="shared" si="53"/>
        <v>2.5411857285381437E-2</v>
      </c>
      <c r="AQ63" s="408">
        <v>91</v>
      </c>
      <c r="AR63" s="406">
        <f t="shared" si="33"/>
        <v>0.72111013544855707</v>
      </c>
      <c r="AS63" s="406">
        <f t="shared" si="34"/>
        <v>0.64899912190370135</v>
      </c>
      <c r="AT63" s="407">
        <f t="shared" si="54"/>
        <v>2.8735099181524337E-2</v>
      </c>
      <c r="AW63" s="386">
        <v>79</v>
      </c>
      <c r="AX63" s="386">
        <f>VLOOKUP(AW63,THERMO_WATER_SAT!$A$3:$D$103,4,FALSE)</f>
        <v>2.1497569913428213E-2</v>
      </c>
      <c r="AY63" s="386">
        <f t="shared" si="43"/>
        <v>79</v>
      </c>
      <c r="AZ63" s="386">
        <f t="shared" si="10"/>
        <v>84</v>
      </c>
      <c r="BA63" s="386">
        <f t="shared" si="42"/>
        <v>2.0310725670505372E-2</v>
      </c>
      <c r="BB63" s="386">
        <f t="shared" si="44"/>
        <v>-2.3736884858456818E-4</v>
      </c>
      <c r="BC63" s="386">
        <v>120</v>
      </c>
      <c r="BD63" s="386">
        <f t="shared" si="45"/>
        <v>1.1765447121460918E-2</v>
      </c>
      <c r="BJ63" s="386">
        <f t="shared" si="12"/>
        <v>2.1497569913428213E-2</v>
      </c>
      <c r="BK63" s="386">
        <f t="shared" si="13"/>
        <v>42.52297044043074</v>
      </c>
      <c r="BL63" s="386">
        <f t="shared" si="38"/>
        <v>79</v>
      </c>
    </row>
    <row r="64" spans="3:64" x14ac:dyDescent="0.3">
      <c r="C64" s="396">
        <f>IF(DewPointA32(P_TOTAL,D64)&lt;32,32,DewPointA32(P_TOTAL,D64))</f>
        <v>43.750685644415469</v>
      </c>
      <c r="D64" s="397">
        <f>D63+0.0002</f>
        <v>5.9999999999999975E-3</v>
      </c>
      <c r="E64" s="406"/>
      <c r="F64" s="406"/>
      <c r="G64" s="406"/>
      <c r="H64" s="406"/>
      <c r="K64" s="405">
        <v>92</v>
      </c>
      <c r="L64" s="406">
        <f t="shared" si="17"/>
        <v>0.74394307535535575</v>
      </c>
      <c r="M64" s="406">
        <f t="shared" si="18"/>
        <v>7.4394307535535581E-2</v>
      </c>
      <c r="N64" s="407">
        <f t="shared" si="46"/>
        <v>3.1644398038244508E-3</v>
      </c>
      <c r="O64" s="405">
        <v>92</v>
      </c>
      <c r="P64" s="406">
        <f t="shared" si="19"/>
        <v>0.74394307535535575</v>
      </c>
      <c r="Q64" s="406">
        <f t="shared" si="20"/>
        <v>0.14878861507107116</v>
      </c>
      <c r="R64" s="407">
        <f t="shared" si="47"/>
        <v>6.3612454407579603E-3</v>
      </c>
      <c r="S64" s="405">
        <v>92</v>
      </c>
      <c r="T64" s="406">
        <f t="shared" si="21"/>
        <v>0.74394307535535575</v>
      </c>
      <c r="U64" s="406">
        <f t="shared" si="22"/>
        <v>0.22318292260660672</v>
      </c>
      <c r="V64" s="407">
        <f t="shared" si="48"/>
        <v>9.5909160189691211E-3</v>
      </c>
      <c r="W64" s="405">
        <v>92</v>
      </c>
      <c r="X64" s="406">
        <f t="shared" si="23"/>
        <v>0.74394307535535575</v>
      </c>
      <c r="Y64" s="406">
        <f t="shared" si="24"/>
        <v>0.29757723014214232</v>
      </c>
      <c r="Z64" s="407">
        <f t="shared" si="49"/>
        <v>1.2853960961869297E-2</v>
      </c>
      <c r="AA64" s="405">
        <v>92</v>
      </c>
      <c r="AB64" s="406">
        <f t="shared" si="25"/>
        <v>0.74394307535535575</v>
      </c>
      <c r="AC64" s="406">
        <f t="shared" si="26"/>
        <v>0.37197153767767788</v>
      </c>
      <c r="AD64" s="407">
        <f t="shared" si="50"/>
        <v>1.6150900275982556E-2</v>
      </c>
      <c r="AE64" s="405">
        <v>92</v>
      </c>
      <c r="AF64" s="406">
        <f t="shared" si="27"/>
        <v>0.74394307535535575</v>
      </c>
      <c r="AG64" s="406">
        <f t="shared" si="28"/>
        <v>0.44636584521321343</v>
      </c>
      <c r="AH64" s="407">
        <f t="shared" si="51"/>
        <v>1.9482264827206587E-2</v>
      </c>
      <c r="AI64" s="405">
        <v>92</v>
      </c>
      <c r="AJ64" s="406">
        <f t="shared" si="29"/>
        <v>0.74394307535535575</v>
      </c>
      <c r="AK64" s="406">
        <f t="shared" si="30"/>
        <v>0.52076015274874898</v>
      </c>
      <c r="AL64" s="407">
        <f t="shared" si="52"/>
        <v>2.2848596625772793E-2</v>
      </c>
      <c r="AM64" s="405">
        <v>92</v>
      </c>
      <c r="AN64" s="406">
        <f t="shared" si="31"/>
        <v>0.74394307535535575</v>
      </c>
      <c r="AO64" s="406">
        <f t="shared" si="32"/>
        <v>0.59515446028428465</v>
      </c>
      <c r="AP64" s="407">
        <f t="shared" si="53"/>
        <v>2.6250449120226896E-2</v>
      </c>
      <c r="AQ64" s="405">
        <v>92</v>
      </c>
      <c r="AR64" s="406">
        <f t="shared" si="33"/>
        <v>0.74394307535535575</v>
      </c>
      <c r="AS64" s="406">
        <f t="shared" si="34"/>
        <v>0.6695487678198202</v>
      </c>
      <c r="AT64" s="407">
        <f t="shared" si="54"/>
        <v>2.9688387500764902E-2</v>
      </c>
      <c r="AW64" s="386">
        <v>80</v>
      </c>
      <c r="AX64" s="386">
        <f>VLOOKUP(AW64,THERMO_WATER_SAT!$A$3:$D$103,4,FALSE)</f>
        <v>2.2239361756574878E-2</v>
      </c>
      <c r="AY64" s="386">
        <f t="shared" si="43"/>
        <v>80</v>
      </c>
      <c r="AZ64" s="386">
        <f t="shared" si="10"/>
        <v>85</v>
      </c>
      <c r="BA64" s="386">
        <f t="shared" si="42"/>
        <v>2.1050322238616491E-2</v>
      </c>
      <c r="BB64" s="386">
        <f t="shared" si="44"/>
        <v>-2.3780790359167748E-4</v>
      </c>
      <c r="BC64" s="386">
        <v>120</v>
      </c>
      <c r="BD64" s="386">
        <f t="shared" si="45"/>
        <v>1.2727045612907779E-2</v>
      </c>
      <c r="BJ64" s="386">
        <f t="shared" si="12"/>
        <v>2.2239361756574878E-2</v>
      </c>
      <c r="BK64" s="386">
        <f t="shared" si="13"/>
        <v>43.585904953319485</v>
      </c>
      <c r="BL64" s="386">
        <f t="shared" si="38"/>
        <v>80</v>
      </c>
    </row>
    <row r="65" spans="3:64" x14ac:dyDescent="0.3">
      <c r="C65" s="401">
        <v>120</v>
      </c>
      <c r="D65" s="402">
        <f>D64</f>
        <v>5.9999999999999975E-3</v>
      </c>
      <c r="E65" s="406"/>
      <c r="F65" s="406"/>
      <c r="G65" s="406"/>
      <c r="H65" s="406"/>
      <c r="K65" s="405">
        <v>93</v>
      </c>
      <c r="L65" s="406">
        <f t="shared" si="17"/>
        <v>0.76740052520881641</v>
      </c>
      <c r="M65" s="406">
        <f t="shared" si="18"/>
        <v>7.6740052520881646E-2</v>
      </c>
      <c r="N65" s="407">
        <f t="shared" si="46"/>
        <v>3.2647422868743699E-3</v>
      </c>
      <c r="O65" s="405">
        <v>93</v>
      </c>
      <c r="P65" s="406">
        <f t="shared" si="19"/>
        <v>0.76740052520881641</v>
      </c>
      <c r="Q65" s="406">
        <f t="shared" si="20"/>
        <v>0.15348010504176329</v>
      </c>
      <c r="R65" s="407">
        <f t="shared" si="47"/>
        <v>6.5639402934412738E-3</v>
      </c>
      <c r="S65" s="405">
        <v>93</v>
      </c>
      <c r="T65" s="406">
        <f t="shared" si="21"/>
        <v>0.76740052520881641</v>
      </c>
      <c r="U65" s="406">
        <f t="shared" si="22"/>
        <v>0.23022015756264491</v>
      </c>
      <c r="V65" s="407">
        <f t="shared" si="48"/>
        <v>9.8981423759803514E-3</v>
      </c>
      <c r="W65" s="405">
        <v>93</v>
      </c>
      <c r="X65" s="406">
        <f t="shared" si="23"/>
        <v>0.76740052520881641</v>
      </c>
      <c r="Y65" s="406">
        <f t="shared" si="24"/>
        <v>0.30696021008352659</v>
      </c>
      <c r="Z65" s="407">
        <f t="shared" si="49"/>
        <v>1.326790858881096E-2</v>
      </c>
      <c r="AA65" s="405">
        <v>93</v>
      </c>
      <c r="AB65" s="406">
        <f t="shared" si="25"/>
        <v>0.76740052520881641</v>
      </c>
      <c r="AC65" s="406">
        <f t="shared" si="26"/>
        <v>0.3837002626044082</v>
      </c>
      <c r="AD65" s="407">
        <f t="shared" si="50"/>
        <v>1.6673810997906387E-2</v>
      </c>
      <c r="AE65" s="405">
        <v>93</v>
      </c>
      <c r="AF65" s="406">
        <f t="shared" si="27"/>
        <v>0.76740052520881641</v>
      </c>
      <c r="AG65" s="406">
        <f t="shared" si="28"/>
        <v>0.46044031512528982</v>
      </c>
      <c r="AH65" s="407">
        <f t="shared" si="51"/>
        <v>2.0116434004651747E-2</v>
      </c>
      <c r="AI65" s="405">
        <v>93</v>
      </c>
      <c r="AJ65" s="406">
        <f t="shared" si="29"/>
        <v>0.76740052520881641</v>
      </c>
      <c r="AK65" s="406">
        <f t="shared" si="30"/>
        <v>0.5371803676461715</v>
      </c>
      <c r="AL65" s="407">
        <f t="shared" si="52"/>
        <v>2.3596374680130393E-2</v>
      </c>
      <c r="AM65" s="405">
        <v>93</v>
      </c>
      <c r="AN65" s="406">
        <f t="shared" si="31"/>
        <v>0.76740052520881641</v>
      </c>
      <c r="AO65" s="406">
        <f t="shared" si="32"/>
        <v>0.61392042016705317</v>
      </c>
      <c r="AP65" s="407">
        <f t="shared" si="53"/>
        <v>2.7114243110340414E-2</v>
      </c>
      <c r="AQ65" s="405">
        <v>93</v>
      </c>
      <c r="AR65" s="406">
        <f t="shared" si="33"/>
        <v>0.76740052520881641</v>
      </c>
      <c r="AS65" s="406">
        <f t="shared" si="34"/>
        <v>0.69066047268793473</v>
      </c>
      <c r="AT65" s="407">
        <f t="shared" si="54"/>
        <v>3.0670662752760515E-2</v>
      </c>
      <c r="AW65" s="386">
        <v>81</v>
      </c>
      <c r="AX65" s="386">
        <f>VLOOKUP(AW65,THERMO_WATER_SAT!$A$3:$D$103,4,FALSE)</f>
        <v>2.3004382990893742E-2</v>
      </c>
      <c r="AY65" s="386">
        <f t="shared" si="43"/>
        <v>81</v>
      </c>
      <c r="AZ65" s="386">
        <f t="shared" si="10"/>
        <v>86</v>
      </c>
      <c r="BA65" s="386">
        <f t="shared" si="42"/>
        <v>2.1813096768441502E-2</v>
      </c>
      <c r="BB65" s="386">
        <f t="shared" si="44"/>
        <v>-2.3825724449044809E-4</v>
      </c>
      <c r="BC65" s="386">
        <v>120</v>
      </c>
      <c r="BD65" s="386">
        <f t="shared" si="45"/>
        <v>1.3712350455766267E-2</v>
      </c>
      <c r="BJ65" s="386">
        <f t="shared" si="12"/>
        <v>2.3004382990893742E-2</v>
      </c>
      <c r="BK65" s="386">
        <f t="shared" si="13"/>
        <v>44.674979983222755</v>
      </c>
      <c r="BL65" s="386">
        <f t="shared" si="38"/>
        <v>81</v>
      </c>
    </row>
    <row r="66" spans="3:64" x14ac:dyDescent="0.3">
      <c r="C66" s="396">
        <f>IF(DewPointA32(P_TOTAL,D66)&lt;32,32,DewPointA32(P_TOTAL,D66))</f>
        <v>44.603628965786513</v>
      </c>
      <c r="D66" s="397">
        <f>D65+0.0002</f>
        <v>6.1999999999999972E-3</v>
      </c>
      <c r="E66" s="406"/>
      <c r="F66" s="406"/>
      <c r="G66" s="406"/>
      <c r="H66" s="406"/>
      <c r="K66" s="408">
        <v>94</v>
      </c>
      <c r="L66" s="406">
        <f t="shared" si="17"/>
        <v>0.79149664609998904</v>
      </c>
      <c r="M66" s="406">
        <f t="shared" si="18"/>
        <v>7.9149664609998907E-2</v>
      </c>
      <c r="N66" s="407">
        <f t="shared" si="46"/>
        <v>3.3678092047249013E-3</v>
      </c>
      <c r="O66" s="408">
        <v>94</v>
      </c>
      <c r="P66" s="406">
        <f t="shared" si="19"/>
        <v>0.79149664609998904</v>
      </c>
      <c r="Q66" s="406">
        <f t="shared" si="20"/>
        <v>0.15829932921999781</v>
      </c>
      <c r="R66" s="407">
        <f t="shared" si="47"/>
        <v>6.7722900915900492E-3</v>
      </c>
      <c r="S66" s="408">
        <v>94</v>
      </c>
      <c r="T66" s="406">
        <f t="shared" si="21"/>
        <v>0.79149664609998904</v>
      </c>
      <c r="U66" s="406">
        <f t="shared" si="22"/>
        <v>0.23744899382999671</v>
      </c>
      <c r="V66" s="407">
        <f t="shared" si="48"/>
        <v>1.0214044910020195E-2</v>
      </c>
      <c r="W66" s="408">
        <v>94</v>
      </c>
      <c r="X66" s="406">
        <f t="shared" si="23"/>
        <v>0.79149664609998904</v>
      </c>
      <c r="Y66" s="406">
        <f t="shared" si="24"/>
        <v>0.31659865843999563</v>
      </c>
      <c r="Z66" s="407">
        <f t="shared" si="49"/>
        <v>1.3693689169474743E-2</v>
      </c>
      <c r="AA66" s="408">
        <v>94</v>
      </c>
      <c r="AB66" s="406">
        <f t="shared" si="25"/>
        <v>0.79149664609998904</v>
      </c>
      <c r="AC66" s="406">
        <f t="shared" si="26"/>
        <v>0.39574832304999452</v>
      </c>
      <c r="AD66" s="407">
        <f t="shared" si="50"/>
        <v>1.7211852006408852E-2</v>
      </c>
      <c r="AE66" s="408">
        <v>94</v>
      </c>
      <c r="AF66" s="406">
        <f t="shared" si="27"/>
        <v>0.79149664609998904</v>
      </c>
      <c r="AG66" s="406">
        <f t="shared" si="28"/>
        <v>0.47489798765999341</v>
      </c>
      <c r="AH66" s="407">
        <f t="shared" si="51"/>
        <v>2.076917656348885E-2</v>
      </c>
      <c r="AI66" s="408">
        <v>94</v>
      </c>
      <c r="AJ66" s="406">
        <f t="shared" si="29"/>
        <v>0.79149664609998904</v>
      </c>
      <c r="AK66" s="406">
        <f t="shared" si="30"/>
        <v>0.55404765226999231</v>
      </c>
      <c r="AL66" s="407">
        <f t="shared" si="52"/>
        <v>2.4366320381541965E-2</v>
      </c>
      <c r="AM66" s="408">
        <v>94</v>
      </c>
      <c r="AN66" s="406">
        <f t="shared" si="31"/>
        <v>0.79149664609998904</v>
      </c>
      <c r="AO66" s="406">
        <f t="shared" si="32"/>
        <v>0.63319731687999126</v>
      </c>
      <c r="AP66" s="407">
        <f t="shared" si="53"/>
        <v>2.8003955804742124E-2</v>
      </c>
      <c r="AQ66" s="408">
        <v>94</v>
      </c>
      <c r="AR66" s="406">
        <f t="shared" si="33"/>
        <v>0.79149664609998904</v>
      </c>
      <c r="AS66" s="406">
        <f t="shared" si="34"/>
        <v>0.71234698148999021</v>
      </c>
      <c r="AT66" s="407">
        <f t="shared" si="54"/>
        <v>3.1682770399556248E-2</v>
      </c>
      <c r="AW66" s="386">
        <v>82</v>
      </c>
      <c r="AX66" s="386">
        <f>VLOOKUP(AW66,THERMO_WATER_SAT!$A$3:$D$103,4,FALSE)</f>
        <v>2.3793313805911352E-2</v>
      </c>
      <c r="AY66" s="386">
        <f t="shared" si="43"/>
        <v>82</v>
      </c>
      <c r="AZ66" s="386">
        <f t="shared" si="10"/>
        <v>87</v>
      </c>
      <c r="BA66" s="386">
        <f t="shared" si="42"/>
        <v>2.2599727929153945E-2</v>
      </c>
      <c r="BB66" s="386">
        <f t="shared" si="44"/>
        <v>-2.3871717535148135E-4</v>
      </c>
      <c r="BC66" s="386">
        <v>120</v>
      </c>
      <c r="BD66" s="386">
        <f t="shared" si="45"/>
        <v>1.472206114255506E-2</v>
      </c>
      <c r="BJ66" s="386">
        <f t="shared" si="12"/>
        <v>2.3793313805911352E-2</v>
      </c>
      <c r="BK66" s="386">
        <f t="shared" si="13"/>
        <v>45.790972917117557</v>
      </c>
      <c r="BL66" s="386">
        <f t="shared" si="38"/>
        <v>82</v>
      </c>
    </row>
    <row r="67" spans="3:64" x14ac:dyDescent="0.3">
      <c r="C67" s="401">
        <v>120</v>
      </c>
      <c r="D67" s="402">
        <f>D66</f>
        <v>6.1999999999999972E-3</v>
      </c>
      <c r="E67" s="406"/>
      <c r="F67" s="406"/>
      <c r="G67" s="406"/>
      <c r="H67" s="406"/>
      <c r="K67" s="405">
        <v>95</v>
      </c>
      <c r="L67" s="406">
        <f t="shared" si="17"/>
        <v>0.81624584553883761</v>
      </c>
      <c r="M67" s="406">
        <f t="shared" si="18"/>
        <v>8.1624584553883772E-2</v>
      </c>
      <c r="N67" s="407">
        <f t="shared" si="46"/>
        <v>3.4737049326476581E-3</v>
      </c>
      <c r="O67" s="405">
        <v>95</v>
      </c>
      <c r="P67" s="406">
        <f t="shared" si="19"/>
        <v>0.81624584553883761</v>
      </c>
      <c r="Q67" s="406">
        <f t="shared" si="20"/>
        <v>0.16324916910776754</v>
      </c>
      <c r="R67" s="407">
        <f t="shared" si="47"/>
        <v>6.9864306570627524E-3</v>
      </c>
      <c r="S67" s="405">
        <v>95</v>
      </c>
      <c r="T67" s="406">
        <f t="shared" si="21"/>
        <v>0.81624584553883761</v>
      </c>
      <c r="U67" s="406">
        <f t="shared" si="22"/>
        <v>0.24487375366165126</v>
      </c>
      <c r="V67" s="407">
        <f t="shared" si="48"/>
        <v>1.0538838378994097E-2</v>
      </c>
      <c r="W67" s="405">
        <v>95</v>
      </c>
      <c r="X67" s="406">
        <f t="shared" si="23"/>
        <v>0.81624584553883761</v>
      </c>
      <c r="Y67" s="406">
        <f t="shared" si="24"/>
        <v>0.32649833821553509</v>
      </c>
      <c r="Z67" s="407">
        <f t="shared" si="49"/>
        <v>1.4131604327855445E-2</v>
      </c>
      <c r="AA67" s="405">
        <v>95</v>
      </c>
      <c r="AB67" s="406">
        <f t="shared" si="25"/>
        <v>0.81624584553883761</v>
      </c>
      <c r="AC67" s="406">
        <f t="shared" si="26"/>
        <v>0.40812292276941881</v>
      </c>
      <c r="AD67" s="407">
        <f t="shared" si="50"/>
        <v>1.7765420185865639E-2</v>
      </c>
      <c r="AE67" s="405">
        <v>95</v>
      </c>
      <c r="AF67" s="406">
        <f t="shared" si="27"/>
        <v>0.81624584553883761</v>
      </c>
      <c r="AG67" s="406">
        <f t="shared" si="28"/>
        <v>0.48974750732330252</v>
      </c>
      <c r="AH67" s="407">
        <f t="shared" si="51"/>
        <v>2.1440993531983036E-2</v>
      </c>
      <c r="AI67" s="405">
        <v>95</v>
      </c>
      <c r="AJ67" s="406">
        <f t="shared" si="29"/>
        <v>0.81624584553883761</v>
      </c>
      <c r="AK67" s="406">
        <f t="shared" si="30"/>
        <v>0.57137209187718629</v>
      </c>
      <c r="AL67" s="407">
        <f t="shared" si="52"/>
        <v>2.5159048301232525E-2</v>
      </c>
      <c r="AM67" s="405">
        <v>95</v>
      </c>
      <c r="AN67" s="406">
        <f t="shared" si="31"/>
        <v>0.81624584553883761</v>
      </c>
      <c r="AO67" s="406">
        <f t="shared" si="32"/>
        <v>0.65299667643107018</v>
      </c>
      <c r="AP67" s="407">
        <f t="shared" si="53"/>
        <v>2.8920325260051574E-2</v>
      </c>
      <c r="AQ67" s="405">
        <v>95</v>
      </c>
      <c r="AR67" s="406">
        <f t="shared" si="33"/>
        <v>0.81624584553883761</v>
      </c>
      <c r="AS67" s="406">
        <f t="shared" si="34"/>
        <v>0.73462126098495384</v>
      </c>
      <c r="AT67" s="407">
        <f t="shared" si="54"/>
        <v>3.2725582498310736E-2</v>
      </c>
      <c r="AW67" s="386">
        <v>83</v>
      </c>
      <c r="AX67" s="386">
        <f>VLOOKUP(AW67,THERMO_WATER_SAT!$A$3:$D$103,4,FALSE)</f>
        <v>2.4606854906923388E-2</v>
      </c>
      <c r="AY67" s="386">
        <f t="shared" si="43"/>
        <v>83</v>
      </c>
      <c r="AZ67" s="386">
        <f t="shared" si="10"/>
        <v>88</v>
      </c>
      <c r="BA67" s="386">
        <f t="shared" si="42"/>
        <v>2.3410914859058825E-2</v>
      </c>
      <c r="BB67" s="386">
        <f t="shared" si="44"/>
        <v>-2.3918800957291249E-4</v>
      </c>
      <c r="BC67" s="386">
        <v>120</v>
      </c>
      <c r="BD67" s="386">
        <f t="shared" si="45"/>
        <v>1.5756898552725628E-2</v>
      </c>
      <c r="BJ67" s="386">
        <f t="shared" si="12"/>
        <v>2.4606854906923388E-2</v>
      </c>
      <c r="BK67" s="386">
        <f t="shared" si="13"/>
        <v>46.934684873275657</v>
      </c>
      <c r="BL67" s="386">
        <f t="shared" si="38"/>
        <v>83</v>
      </c>
    </row>
    <row r="68" spans="3:64" x14ac:dyDescent="0.3">
      <c r="C68" s="396">
        <f>IF(DewPointA32(P_TOTAL,D68)&lt;32,32,DewPointA32(P_TOTAL,D68))</f>
        <v>45.43193072774784</v>
      </c>
      <c r="D68" s="397">
        <f>D67+0.0002</f>
        <v>6.3999999999999968E-3</v>
      </c>
      <c r="E68" s="406"/>
      <c r="F68" s="406"/>
      <c r="G68" s="406"/>
      <c r="H68" s="406"/>
      <c r="K68" s="405">
        <v>96</v>
      </c>
      <c r="L68" s="406">
        <f t="shared" si="17"/>
        <v>0.84166278014837259</v>
      </c>
      <c r="M68" s="406">
        <f t="shared" si="18"/>
        <v>8.4166278014837267E-2</v>
      </c>
      <c r="N68" s="407">
        <f t="shared" ref="N68:N92" si="55">MW_MDA_RATIO*M68/(P_TOTAL-M68)</f>
        <v>3.5824950724798695E-3</v>
      </c>
      <c r="O68" s="405">
        <v>96</v>
      </c>
      <c r="P68" s="406">
        <f t="shared" si="19"/>
        <v>0.84166278014837259</v>
      </c>
      <c r="Q68" s="406">
        <f t="shared" si="20"/>
        <v>0.16833255602967453</v>
      </c>
      <c r="R68" s="407">
        <f t="shared" ref="R68:R92" si="56">MW_MDA_RATIO*Q68/(P_TOTAL-Q68)</f>
        <v>7.2065006320933458E-3</v>
      </c>
      <c r="S68" s="405">
        <v>96</v>
      </c>
      <c r="T68" s="406">
        <f t="shared" si="21"/>
        <v>0.84166278014837259</v>
      </c>
      <c r="U68" s="406">
        <f t="shared" si="22"/>
        <v>0.25249883404451179</v>
      </c>
      <c r="V68" s="407">
        <f t="shared" ref="V68:V92" si="57">MW_MDA_RATIO*U68/(P_TOTAL-U68)</f>
        <v>1.0872742358125626E-2</v>
      </c>
      <c r="W68" s="405">
        <v>96</v>
      </c>
      <c r="X68" s="406">
        <f t="shared" si="23"/>
        <v>0.84166278014837259</v>
      </c>
      <c r="Y68" s="406">
        <f t="shared" si="24"/>
        <v>0.33666511205934907</v>
      </c>
      <c r="Z68" s="407">
        <f t="shared" ref="Z68:Z92" si="58">MW_MDA_RATIO*Y68/(P_TOTAL-Y68)</f>
        <v>1.4581962943943672E-2</v>
      </c>
      <c r="AA68" s="405">
        <v>96</v>
      </c>
      <c r="AB68" s="406">
        <f t="shared" si="25"/>
        <v>0.84166278014837259</v>
      </c>
      <c r="AC68" s="406">
        <f t="shared" si="26"/>
        <v>0.4208313900741863</v>
      </c>
      <c r="AD68" s="407">
        <f t="shared" ref="AD68:AD92" si="59">MW_MDA_RATIO*AC68/(P_TOTAL-AC68)</f>
        <v>1.8334922598570648E-2</v>
      </c>
      <c r="AE68" s="405">
        <v>96</v>
      </c>
      <c r="AF68" s="406">
        <f t="shared" si="27"/>
        <v>0.84166278014837259</v>
      </c>
      <c r="AG68" s="406">
        <f t="shared" si="28"/>
        <v>0.50499766808902358</v>
      </c>
      <c r="AH68" s="407">
        <f t="shared" ref="AH68:AH92" si="60">MW_MDA_RATIO*AG68/(P_TOTAL-AG68)</f>
        <v>2.2132399566109275E-2</v>
      </c>
      <c r="AI68" s="405">
        <v>96</v>
      </c>
      <c r="AJ68" s="406">
        <f t="shared" si="29"/>
        <v>0.84166278014837259</v>
      </c>
      <c r="AK68" s="406">
        <f t="shared" si="30"/>
        <v>0.5891639461038608</v>
      </c>
      <c r="AL68" s="407">
        <f t="shared" ref="AL68:AL92" si="61">MW_MDA_RATIO*AK68/(P_TOTAL-AK68)</f>
        <v>2.5975190663759522E-2</v>
      </c>
      <c r="AM68" s="405">
        <v>96</v>
      </c>
      <c r="AN68" s="406">
        <f t="shared" si="31"/>
        <v>0.84166278014837259</v>
      </c>
      <c r="AO68" s="406">
        <f t="shared" si="32"/>
        <v>0.67333022411869814</v>
      </c>
      <c r="AP68" s="407">
        <f t="shared" ref="AP68:AP92" si="62">MW_MDA_RATIO*AO68/(P_TOTAL-AO68)</f>
        <v>2.9864111839211945E-2</v>
      </c>
      <c r="AQ68" s="405">
        <v>96</v>
      </c>
      <c r="AR68" s="406">
        <f t="shared" si="33"/>
        <v>0.84166278014837259</v>
      </c>
      <c r="AS68" s="406">
        <f t="shared" si="34"/>
        <v>0.75749650213353537</v>
      </c>
      <c r="AT68" s="407">
        <f t="shared" ref="AT68:AT92" si="63">MW_MDA_RATIO*AS68/(P_TOTAL-AS68)</f>
        <v>3.3799998748235548E-2</v>
      </c>
      <c r="AW68" s="386">
        <v>84</v>
      </c>
      <c r="AX68" s="386">
        <f>VLOOKUP(AW68,THERMO_WATER_SAT!$A$3:$D$103,4,FALSE)</f>
        <v>2.544572826477946E-2</v>
      </c>
      <c r="AY68" s="386">
        <f t="shared" si="43"/>
        <v>84</v>
      </c>
      <c r="AZ68" s="386">
        <f t="shared" ref="AZ68:AZ104" si="64">AW68+5</f>
        <v>89</v>
      </c>
      <c r="BA68" s="386">
        <f t="shared" si="42"/>
        <v>2.4247377913666258E-2</v>
      </c>
      <c r="BB68" s="386">
        <f t="shared" si="44"/>
        <v>-2.3967007022264035E-4</v>
      </c>
      <c r="BC68" s="386">
        <v>120</v>
      </c>
      <c r="BD68" s="386">
        <f t="shared" si="45"/>
        <v>1.6817605736764406E-2</v>
      </c>
      <c r="BJ68" s="386">
        <f t="shared" ref="BJ68:BJ104" si="65">AX68</f>
        <v>2.544572826477946E-2</v>
      </c>
      <c r="BK68" s="386">
        <f t="shared" ref="BK68:BK104" si="66">0.24*BL68+BJ68*(1061+0.444*BL68)</f>
        <v>48.106941570294225</v>
      </c>
      <c r="BL68" s="386">
        <f t="shared" si="38"/>
        <v>84</v>
      </c>
    </row>
    <row r="69" spans="3:64" x14ac:dyDescent="0.3">
      <c r="C69" s="401">
        <v>120</v>
      </c>
      <c r="D69" s="402">
        <f>D68</f>
        <v>6.3999999999999968E-3</v>
      </c>
      <c r="E69" s="406"/>
      <c r="F69" s="406"/>
      <c r="G69" s="406"/>
      <c r="H69" s="406"/>
      <c r="K69" s="408">
        <v>97</v>
      </c>
      <c r="L69" s="406">
        <f t="shared" ref="L69:L92" si="67">WaterVaporPressAtSatLiq(K69)</f>
        <v>0.86776235836099413</v>
      </c>
      <c r="M69" s="406">
        <f t="shared" ref="M69:M92" si="68">K$2*L69</f>
        <v>8.6776235836099419E-2</v>
      </c>
      <c r="N69" s="407">
        <f t="shared" si="55"/>
        <v>3.6942464719508586E-3</v>
      </c>
      <c r="O69" s="408">
        <v>97</v>
      </c>
      <c r="P69" s="406">
        <f t="shared" ref="P69:P92" si="69">WaterVaporPressAtSatLiq(O69)</f>
        <v>0.86776235836099413</v>
      </c>
      <c r="Q69" s="406">
        <f t="shared" ref="Q69:Q92" si="70">O$2*P69</f>
        <v>0.17355247167219884</v>
      </c>
      <c r="R69" s="407">
        <f t="shared" si="56"/>
        <v>7.4326415355852292E-3</v>
      </c>
      <c r="S69" s="408">
        <v>97</v>
      </c>
      <c r="T69" s="406">
        <f t="shared" ref="T69:T92" si="71">WaterVaporPressAtSatLiq(S69)</f>
        <v>0.86776235836099413</v>
      </c>
      <c r="U69" s="406">
        <f t="shared" ref="U69:U92" si="72">S$2*T69</f>
        <v>0.26032870750829823</v>
      </c>
      <c r="V69" s="407">
        <f t="shared" si="57"/>
        <v>1.1215981353795602E-2</v>
      </c>
      <c r="W69" s="408">
        <v>97</v>
      </c>
      <c r="X69" s="406">
        <f t="shared" ref="X69:X92" si="73">WaterVaporPressAtSatLiq(W69)</f>
        <v>0.86776235836099413</v>
      </c>
      <c r="Y69" s="406">
        <f t="shared" ref="Y69:Y92" si="74">W$2*X69</f>
        <v>0.34710494334439768</v>
      </c>
      <c r="Z69" s="407">
        <f t="shared" si="58"/>
        <v>1.504508134894181E-2</v>
      </c>
      <c r="AA69" s="408">
        <v>97</v>
      </c>
      <c r="AB69" s="406">
        <f t="shared" ref="AB69:AB92" si="75">WaterVaporPressAtSatLiq(AA69)</f>
        <v>0.86776235836099413</v>
      </c>
      <c r="AC69" s="406">
        <f t="shared" ref="AC69:AC92" si="76">AA$2*AB69</f>
        <v>0.43388117918049707</v>
      </c>
      <c r="AD69" s="407">
        <f t="shared" si="59"/>
        <v>1.8920776788761182E-2</v>
      </c>
      <c r="AE69" s="408">
        <v>97</v>
      </c>
      <c r="AF69" s="406">
        <f t="shared" ref="AF69:AF92" si="77">WaterVaporPressAtSatLiq(AE69)</f>
        <v>0.86776235836099413</v>
      </c>
      <c r="AG69" s="406">
        <f t="shared" ref="AG69:AG92" si="78">AE$2*AF69</f>
        <v>0.52065741501659646</v>
      </c>
      <c r="AH69" s="407">
        <f t="shared" si="60"/>
        <v>2.2843923393799086E-2</v>
      </c>
      <c r="AI69" s="408">
        <v>97</v>
      </c>
      <c r="AJ69" s="406">
        <f t="shared" ref="AJ69:AJ92" si="79">WaterVaporPressAtSatLiq(AI69)</f>
        <v>0.86776235836099413</v>
      </c>
      <c r="AK69" s="406">
        <f t="shared" ref="AK69:AK92" si="80">AI$2*AJ69</f>
        <v>0.60743365085269585</v>
      </c>
      <c r="AL69" s="407">
        <f t="shared" si="61"/>
        <v>2.6815397967287654E-2</v>
      </c>
      <c r="AM69" s="408">
        <v>97</v>
      </c>
      <c r="AN69" s="406">
        <f t="shared" ref="AN69:AN92" si="81">WaterVaporPressAtSatLiq(AM69)</f>
        <v>0.86776235836099413</v>
      </c>
      <c r="AO69" s="406">
        <f t="shared" ref="AO69:AO92" si="82">AM$2*AN69</f>
        <v>0.69420988668879535</v>
      </c>
      <c r="AP69" s="407">
        <f t="shared" si="62"/>
        <v>3.0836099048446631E-2</v>
      </c>
      <c r="AQ69" s="408">
        <v>97</v>
      </c>
      <c r="AR69" s="406">
        <f t="shared" ref="AR69:AR92" si="83">WaterVaporPressAtSatLiq(AQ69)</f>
        <v>0.86776235836099413</v>
      </c>
      <c r="AS69" s="406">
        <f t="shared" ref="AS69:AS92" si="84">AQ$2*AR69</f>
        <v>0.78098612252489474</v>
      </c>
      <c r="AT69" s="407">
        <f t="shared" si="63"/>
        <v>3.4906947590228672E-2</v>
      </c>
      <c r="AW69" s="386">
        <v>85</v>
      </c>
      <c r="AX69" s="386">
        <f>VLOOKUP(AW69,THERMO_WATER_SAT!$A$3:$D$103,4,FALSE)</f>
        <v>2.6310677901240059E-2</v>
      </c>
      <c r="AY69" s="386">
        <f t="shared" si="43"/>
        <v>85</v>
      </c>
      <c r="AZ69" s="386">
        <f t="shared" si="64"/>
        <v>90</v>
      </c>
      <c r="BA69" s="386">
        <f t="shared" si="42"/>
        <v>2.5109859449256439E-2</v>
      </c>
      <c r="BB69" s="386">
        <f t="shared" si="44"/>
        <v>-2.40163690396724E-4</v>
      </c>
      <c r="BC69" s="386">
        <v>120</v>
      </c>
      <c r="BD69" s="386">
        <f t="shared" si="45"/>
        <v>1.7904948737354719E-2</v>
      </c>
      <c r="BJ69" s="386">
        <f t="shared" si="65"/>
        <v>2.6310677901240059E-2</v>
      </c>
      <c r="BK69" s="386">
        <f t="shared" si="66"/>
        <v>49.308594237208503</v>
      </c>
      <c r="BL69" s="386">
        <f t="shared" ref="BL69:BL104" si="85">AW69</f>
        <v>85</v>
      </c>
    </row>
    <row r="70" spans="3:64" x14ac:dyDescent="0.3">
      <c r="C70" s="396">
        <f>IF(DewPointA32(P_TOTAL,D70)&lt;32,32,DewPointA32(P_TOTAL,D70))</f>
        <v>46.237054042087522</v>
      </c>
      <c r="D70" s="397">
        <f>D69+0.0002</f>
        <v>6.5999999999999965E-3</v>
      </c>
      <c r="E70" s="406"/>
      <c r="F70" s="406"/>
      <c r="G70" s="406"/>
      <c r="H70" s="406"/>
      <c r="K70" s="405">
        <v>98</v>
      </c>
      <c r="L70" s="406">
        <f t="shared" si="67"/>
        <v>0.89455974311663111</v>
      </c>
      <c r="M70" s="406">
        <f t="shared" si="68"/>
        <v>8.945597431166312E-2</v>
      </c>
      <c r="N70" s="407">
        <f t="shared" si="55"/>
        <v>3.8090272443423918E-3</v>
      </c>
      <c r="O70" s="405">
        <v>98</v>
      </c>
      <c r="P70" s="406">
        <f t="shared" si="69"/>
        <v>0.89455974311663111</v>
      </c>
      <c r="Q70" s="406">
        <f t="shared" si="70"/>
        <v>0.17891194862332624</v>
      </c>
      <c r="R70" s="407">
        <f t="shared" si="56"/>
        <v>7.6649978208622035E-3</v>
      </c>
      <c r="S70" s="405">
        <v>98</v>
      </c>
      <c r="T70" s="406">
        <f t="shared" si="71"/>
        <v>0.89455974311663111</v>
      </c>
      <c r="U70" s="406">
        <f t="shared" si="72"/>
        <v>0.26836792293498934</v>
      </c>
      <c r="V70" s="407">
        <f t="shared" si="57"/>
        <v>1.1568784920980233E-2</v>
      </c>
      <c r="W70" s="405">
        <v>98</v>
      </c>
      <c r="X70" s="406">
        <f t="shared" si="73"/>
        <v>0.89455974311663111</v>
      </c>
      <c r="Y70" s="406">
        <f t="shared" si="74"/>
        <v>0.35782389724665248</v>
      </c>
      <c r="Z70" s="407">
        <f t="shared" si="58"/>
        <v>1.5521283527505174E-2</v>
      </c>
      <c r="AA70" s="405">
        <v>98</v>
      </c>
      <c r="AB70" s="406">
        <f t="shared" si="75"/>
        <v>0.89455974311663111</v>
      </c>
      <c r="AC70" s="406">
        <f t="shared" si="76"/>
        <v>0.44727987155831556</v>
      </c>
      <c r="AD70" s="407">
        <f t="shared" si="59"/>
        <v>1.9523411098684482E-2</v>
      </c>
      <c r="AE70" s="405">
        <v>98</v>
      </c>
      <c r="AF70" s="406">
        <f t="shared" si="77"/>
        <v>0.89455974311663111</v>
      </c>
      <c r="AG70" s="406">
        <f t="shared" si="78"/>
        <v>0.53673584586997869</v>
      </c>
      <c r="AH70" s="407">
        <f t="shared" si="60"/>
        <v>2.3576108278185556E-2</v>
      </c>
      <c r="AI70" s="405">
        <v>98</v>
      </c>
      <c r="AJ70" s="406">
        <f t="shared" si="79"/>
        <v>0.89455974311663111</v>
      </c>
      <c r="AK70" s="406">
        <f t="shared" si="80"/>
        <v>0.62619182018164177</v>
      </c>
      <c r="AL70" s="407">
        <f t="shared" si="61"/>
        <v>2.7680339632161363E-2</v>
      </c>
      <c r="AM70" s="405">
        <v>98</v>
      </c>
      <c r="AN70" s="406">
        <f t="shared" si="81"/>
        <v>0.89455974311663111</v>
      </c>
      <c r="AO70" s="406">
        <f t="shared" si="82"/>
        <v>0.71564779449330496</v>
      </c>
      <c r="AP70" s="407">
        <f t="shared" si="62"/>
        <v>3.1837094414613576E-2</v>
      </c>
      <c r="AQ70" s="405">
        <v>98</v>
      </c>
      <c r="AR70" s="406">
        <f t="shared" si="83"/>
        <v>0.89455974311663111</v>
      </c>
      <c r="AS70" s="406">
        <f t="shared" si="84"/>
        <v>0.80510376880496803</v>
      </c>
      <c r="AT70" s="407">
        <f t="shared" si="63"/>
        <v>3.6047387362328848E-2</v>
      </c>
      <c r="AW70" s="386">
        <v>86</v>
      </c>
      <c r="AX70" s="386">
        <f>VLOOKUP(AW70,THERMO_WATER_SAT!$A$3:$D$103,4,FALSE)</f>
        <v>2.7202470711919006E-2</v>
      </c>
      <c r="AY70" s="386">
        <f t="shared" si="43"/>
        <v>86</v>
      </c>
      <c r="AZ70" s="386">
        <f t="shared" si="64"/>
        <v>91</v>
      </c>
      <c r="BA70" s="386">
        <f t="shared" si="42"/>
        <v>2.5999124643944795E-2</v>
      </c>
      <c r="BB70" s="386">
        <f t="shared" si="44"/>
        <v>-2.4066921359484211E-4</v>
      </c>
      <c r="BC70" s="386">
        <v>120</v>
      </c>
      <c r="BD70" s="386">
        <f t="shared" si="45"/>
        <v>1.9019717449694374E-2</v>
      </c>
      <c r="BJ70" s="386">
        <f t="shared" si="65"/>
        <v>2.7202470711919006E-2</v>
      </c>
      <c r="BK70" s="386">
        <f t="shared" si="66"/>
        <v>50.540520567009978</v>
      </c>
      <c r="BL70" s="386">
        <f t="shared" si="85"/>
        <v>86</v>
      </c>
    </row>
    <row r="71" spans="3:64" x14ac:dyDescent="0.3">
      <c r="C71" s="401">
        <v>120</v>
      </c>
      <c r="D71" s="402">
        <f>D70</f>
        <v>6.5999999999999965E-3</v>
      </c>
      <c r="E71" s="406"/>
      <c r="F71" s="406"/>
      <c r="G71" s="406"/>
      <c r="H71" s="406"/>
      <c r="K71" s="405">
        <v>99</v>
      </c>
      <c r="L71" s="406">
        <f t="shared" si="67"/>
        <v>0.92207035456229036</v>
      </c>
      <c r="M71" s="406">
        <f t="shared" si="68"/>
        <v>9.2207035456229047E-2</v>
      </c>
      <c r="N71" s="407">
        <f t="shared" si="55"/>
        <v>3.9269067884932628E-3</v>
      </c>
      <c r="O71" s="405">
        <v>99</v>
      </c>
      <c r="P71" s="406">
        <f t="shared" si="69"/>
        <v>0.92207035456229036</v>
      </c>
      <c r="Q71" s="406">
        <f t="shared" si="70"/>
        <v>0.18441407091245809</v>
      </c>
      <c r="R71" s="407">
        <f t="shared" si="56"/>
        <v>7.9037169349309017E-3</v>
      </c>
      <c r="S71" s="405">
        <v>99</v>
      </c>
      <c r="T71" s="406">
        <f t="shared" si="71"/>
        <v>0.92207035456229036</v>
      </c>
      <c r="U71" s="406">
        <f t="shared" si="72"/>
        <v>0.27662110636868709</v>
      </c>
      <c r="V71" s="407">
        <f t="shared" si="57"/>
        <v>1.1931387784437687E-2</v>
      </c>
      <c r="W71" s="405">
        <v>99</v>
      </c>
      <c r="X71" s="406">
        <f t="shared" si="73"/>
        <v>0.92207035456229036</v>
      </c>
      <c r="Y71" s="406">
        <f t="shared" si="74"/>
        <v>0.36882814182491619</v>
      </c>
      <c r="Z71" s="407">
        <f t="shared" si="58"/>
        <v>1.601090132732497E-2</v>
      </c>
      <c r="AA71" s="405">
        <v>99</v>
      </c>
      <c r="AB71" s="406">
        <f t="shared" si="75"/>
        <v>0.92207035456229036</v>
      </c>
      <c r="AC71" s="406">
        <f t="shared" si="76"/>
        <v>0.46103517728114518</v>
      </c>
      <c r="AD71" s="407">
        <f t="shared" si="59"/>
        <v>2.014326499728707E-2</v>
      </c>
      <c r="AE71" s="405">
        <v>99</v>
      </c>
      <c r="AF71" s="406">
        <f t="shared" si="77"/>
        <v>0.92207035456229036</v>
      </c>
      <c r="AG71" s="406">
        <f t="shared" si="78"/>
        <v>0.55324221273737417</v>
      </c>
      <c r="AH71" s="407">
        <f t="shared" si="60"/>
        <v>2.4329512500821913E-2</v>
      </c>
      <c r="AI71" s="405">
        <v>99</v>
      </c>
      <c r="AJ71" s="406">
        <f t="shared" si="79"/>
        <v>0.92207035456229036</v>
      </c>
      <c r="AK71" s="406">
        <f t="shared" si="80"/>
        <v>0.64544924819360316</v>
      </c>
      <c r="AL71" s="407">
        <f t="shared" si="61"/>
        <v>2.8570704679310138E-2</v>
      </c>
      <c r="AM71" s="405">
        <v>99</v>
      </c>
      <c r="AN71" s="406">
        <f t="shared" si="81"/>
        <v>0.92207035456229036</v>
      </c>
      <c r="AO71" s="406">
        <f t="shared" si="82"/>
        <v>0.73765628364983238</v>
      </c>
      <c r="AP71" s="407">
        <f t="shared" si="62"/>
        <v>3.2867930405262952E-2</v>
      </c>
      <c r="AQ71" s="405">
        <v>99</v>
      </c>
      <c r="AR71" s="406">
        <f t="shared" si="83"/>
        <v>0.92207035456229036</v>
      </c>
      <c r="AS71" s="406">
        <f t="shared" si="84"/>
        <v>0.82986331910606137</v>
      </c>
      <c r="AT71" s="407">
        <f t="shared" si="63"/>
        <v>3.7222307514329173E-2</v>
      </c>
      <c r="AW71" s="386">
        <v>87</v>
      </c>
      <c r="AX71" s="386">
        <f>VLOOKUP(AW71,THERMO_WATER_SAT!$A$3:$D$103,4,FALSE)</f>
        <v>2.812189732896285E-2</v>
      </c>
      <c r="AY71" s="386">
        <f t="shared" si="43"/>
        <v>87</v>
      </c>
      <c r="AZ71" s="386">
        <f t="shared" si="64"/>
        <v>92</v>
      </c>
      <c r="BA71" s="386">
        <f t="shared" si="42"/>
        <v>2.6915962358393771E-2</v>
      </c>
      <c r="BB71" s="386">
        <f t="shared" si="44"/>
        <v>-2.4118699411381574E-4</v>
      </c>
      <c r="BC71" s="386">
        <v>120</v>
      </c>
      <c r="BD71" s="386">
        <f t="shared" si="45"/>
        <v>2.0162726523206932E-2</v>
      </c>
      <c r="BJ71" s="386">
        <f t="shared" si="65"/>
        <v>2.812189732896285E-2</v>
      </c>
      <c r="BK71" s="386">
        <f t="shared" si="66"/>
        <v>51.803625716052757</v>
      </c>
      <c r="BL71" s="386">
        <f t="shared" si="85"/>
        <v>87</v>
      </c>
    </row>
    <row r="72" spans="3:64" x14ac:dyDescent="0.3">
      <c r="C72" s="396">
        <f>IF(DewPointA32(P_TOTAL,D72)&lt;32,32,DewPointA32(P_TOTAL,D72))</f>
        <v>47.020333161916867</v>
      </c>
      <c r="D72" s="397">
        <f>D71+0.0002</f>
        <v>6.7999999999999962E-3</v>
      </c>
      <c r="E72" s="406"/>
      <c r="F72" s="406"/>
      <c r="G72" s="406"/>
      <c r="H72" s="406"/>
      <c r="K72" s="408">
        <v>100</v>
      </c>
      <c r="L72" s="406">
        <f t="shared" si="67"/>
        <v>0.95030987275269163</v>
      </c>
      <c r="M72" s="406">
        <f t="shared" si="68"/>
        <v>9.5030987275269166E-2</v>
      </c>
      <c r="N72" s="407">
        <f t="shared" si="55"/>
        <v>4.0479558091591292E-3</v>
      </c>
      <c r="O72" s="408">
        <v>100</v>
      </c>
      <c r="P72" s="406">
        <f t="shared" si="69"/>
        <v>0.95030987275269163</v>
      </c>
      <c r="Q72" s="406">
        <f t="shared" si="70"/>
        <v>0.19006197455053833</v>
      </c>
      <c r="R72" s="407">
        <f t="shared" si="56"/>
        <v>8.1489493793118813E-3</v>
      </c>
      <c r="S72" s="408">
        <v>100</v>
      </c>
      <c r="T72" s="406">
        <f t="shared" si="71"/>
        <v>0.95030987275269163</v>
      </c>
      <c r="U72" s="406">
        <f t="shared" si="72"/>
        <v>0.28509296182580746</v>
      </c>
      <c r="V72" s="407">
        <f t="shared" si="57"/>
        <v>1.2304029963800202E-2</v>
      </c>
      <c r="W72" s="408">
        <v>100</v>
      </c>
      <c r="X72" s="406">
        <f t="shared" si="73"/>
        <v>0.95030987275269163</v>
      </c>
      <c r="Y72" s="406">
        <f t="shared" si="74"/>
        <v>0.38012394910107666</v>
      </c>
      <c r="Z72" s="407">
        <f t="shared" si="58"/>
        <v>1.6514274676386356E-2</v>
      </c>
      <c r="AA72" s="408">
        <v>100</v>
      </c>
      <c r="AB72" s="406">
        <f t="shared" si="75"/>
        <v>0.95030987275269163</v>
      </c>
      <c r="AC72" s="406">
        <f t="shared" si="76"/>
        <v>0.47515493637634582</v>
      </c>
      <c r="AD72" s="407">
        <f t="shared" si="59"/>
        <v>2.078078942214107E-2</v>
      </c>
      <c r="AE72" s="408">
        <v>100</v>
      </c>
      <c r="AF72" s="406">
        <f t="shared" si="77"/>
        <v>0.95030987275269163</v>
      </c>
      <c r="AG72" s="406">
        <f t="shared" si="78"/>
        <v>0.57018592365161491</v>
      </c>
      <c r="AH72" s="407">
        <f t="shared" si="60"/>
        <v>2.5104709865906835E-2</v>
      </c>
      <c r="AI72" s="408">
        <v>100</v>
      </c>
      <c r="AJ72" s="406">
        <f t="shared" si="79"/>
        <v>0.95030987275269163</v>
      </c>
      <c r="AK72" s="406">
        <f t="shared" si="80"/>
        <v>0.66521691092688406</v>
      </c>
      <c r="AL72" s="407">
        <f t="shared" si="61"/>
        <v>2.9487202440117804E-2</v>
      </c>
      <c r="AM72" s="408">
        <v>100</v>
      </c>
      <c r="AN72" s="406">
        <f t="shared" si="81"/>
        <v>0.95030987275269163</v>
      </c>
      <c r="AO72" s="406">
        <f t="shared" si="82"/>
        <v>0.76024789820215333</v>
      </c>
      <c r="AP72" s="407">
        <f t="shared" si="62"/>
        <v>3.3929465393854996E-2</v>
      </c>
      <c r="AQ72" s="408">
        <v>100</v>
      </c>
      <c r="AR72" s="406">
        <f t="shared" si="83"/>
        <v>0.95030987275269163</v>
      </c>
      <c r="AS72" s="406">
        <f t="shared" si="84"/>
        <v>0.85527888547742248</v>
      </c>
      <c r="AT72" s="407">
        <f t="shared" si="63"/>
        <v>3.8432729885118574E-2</v>
      </c>
      <c r="AW72" s="386">
        <v>88</v>
      </c>
      <c r="AX72" s="386">
        <f>VLOOKUP(AW72,THERMO_WATER_SAT!$A$3:$D$103,4,FALSE)</f>
        <v>2.9069773025744206E-2</v>
      </c>
      <c r="AY72" s="386">
        <f t="shared" si="43"/>
        <v>88</v>
      </c>
      <c r="AZ72" s="386">
        <f t="shared" si="64"/>
        <v>93</v>
      </c>
      <c r="BA72" s="386">
        <f t="shared" si="42"/>
        <v>2.7861186038443189E-2</v>
      </c>
      <c r="BB72" s="386">
        <f t="shared" si="44"/>
        <v>-2.4171739746020328E-4</v>
      </c>
      <c r="BC72" s="386">
        <v>120</v>
      </c>
      <c r="BD72" s="386">
        <f t="shared" si="45"/>
        <v>2.1334816307017702E-2</v>
      </c>
      <c r="BJ72" s="386">
        <f t="shared" si="65"/>
        <v>2.9069773025744206E-2</v>
      </c>
      <c r="BK72" s="386">
        <f t="shared" si="66"/>
        <v>53.098843351976484</v>
      </c>
      <c r="BL72" s="386">
        <f t="shared" si="85"/>
        <v>88</v>
      </c>
    </row>
    <row r="73" spans="3:64" x14ac:dyDescent="0.3">
      <c r="C73" s="401">
        <v>120</v>
      </c>
      <c r="D73" s="402">
        <f>D72</f>
        <v>6.7999999999999962E-3</v>
      </c>
      <c r="E73" s="406"/>
      <c r="F73" s="406"/>
      <c r="G73" s="406"/>
      <c r="H73" s="406"/>
      <c r="K73" s="405">
        <v>101</v>
      </c>
      <c r="L73" s="406">
        <f t="shared" si="67"/>
        <v>0.97929424035146062</v>
      </c>
      <c r="M73" s="406">
        <f t="shared" si="68"/>
        <v>9.7929424035146068E-2</v>
      </c>
      <c r="N73" s="407">
        <f t="shared" si="55"/>
        <v>4.1722463377381275E-3</v>
      </c>
      <c r="O73" s="405">
        <v>101</v>
      </c>
      <c r="P73" s="406">
        <f t="shared" si="69"/>
        <v>0.97929424035146062</v>
      </c>
      <c r="Q73" s="406">
        <f t="shared" si="70"/>
        <v>0.19585884807029214</v>
      </c>
      <c r="R73" s="407">
        <f t="shared" si="56"/>
        <v>8.4008487724971555E-3</v>
      </c>
      <c r="S73" s="405">
        <v>101</v>
      </c>
      <c r="T73" s="406">
        <f t="shared" si="71"/>
        <v>0.97929424035146062</v>
      </c>
      <c r="U73" s="406">
        <f t="shared" si="72"/>
        <v>0.29378827210543818</v>
      </c>
      <c r="V73" s="407">
        <f t="shared" si="57"/>
        <v>1.268695690273315E-2</v>
      </c>
      <c r="W73" s="405">
        <v>101</v>
      </c>
      <c r="X73" s="406">
        <f t="shared" si="73"/>
        <v>0.97929424035146062</v>
      </c>
      <c r="Y73" s="406">
        <f t="shared" si="74"/>
        <v>0.39171769614058427</v>
      </c>
      <c r="Z73" s="407">
        <f t="shared" si="58"/>
        <v>1.7031751808248063E-2</v>
      </c>
      <c r="AA73" s="405">
        <v>101</v>
      </c>
      <c r="AB73" s="406">
        <f t="shared" si="75"/>
        <v>0.97929424035146062</v>
      </c>
      <c r="AC73" s="406">
        <f t="shared" si="76"/>
        <v>0.48964712017573031</v>
      </c>
      <c r="AD73" s="407">
        <f t="shared" si="59"/>
        <v>2.1436447135250062E-2</v>
      </c>
      <c r="AE73" s="405">
        <v>101</v>
      </c>
      <c r="AF73" s="406">
        <f t="shared" si="77"/>
        <v>0.97929424035146062</v>
      </c>
      <c r="AG73" s="406">
        <f t="shared" si="78"/>
        <v>0.58757654421087635</v>
      </c>
      <c r="AH73" s="407">
        <f t="shared" si="60"/>
        <v>2.5902290226603661E-2</v>
      </c>
      <c r="AI73" s="405">
        <v>101</v>
      </c>
      <c r="AJ73" s="406">
        <f t="shared" si="79"/>
        <v>0.97929424035146062</v>
      </c>
      <c r="AK73" s="406">
        <f t="shared" si="80"/>
        <v>0.68550596824602239</v>
      </c>
      <c r="AL73" s="407">
        <f t="shared" si="61"/>
        <v>3.0430563299480597E-2</v>
      </c>
      <c r="AM73" s="405">
        <v>101</v>
      </c>
      <c r="AN73" s="406">
        <f t="shared" si="81"/>
        <v>0.97929424035146062</v>
      </c>
      <c r="AO73" s="406">
        <f t="shared" si="82"/>
        <v>0.78343539228116854</v>
      </c>
      <c r="AP73" s="407">
        <f t="shared" si="62"/>
        <v>3.5022584672747055E-2</v>
      </c>
      <c r="AQ73" s="405">
        <v>101</v>
      </c>
      <c r="AR73" s="406">
        <f t="shared" si="83"/>
        <v>0.97929424035146062</v>
      </c>
      <c r="AS73" s="406">
        <f t="shared" si="84"/>
        <v>0.88136481631631458</v>
      </c>
      <c r="AT73" s="407">
        <f t="shared" si="63"/>
        <v>3.9679710046555218E-2</v>
      </c>
      <c r="AW73" s="386">
        <v>89</v>
      </c>
      <c r="AX73" s="386">
        <f>VLOOKUP(AW73,THERMO_WATER_SAT!$A$3:$D$103,4,FALSE)</f>
        <v>3.0046938666008372E-2</v>
      </c>
      <c r="AY73" s="386">
        <f t="shared" si="43"/>
        <v>89</v>
      </c>
      <c r="AZ73" s="386">
        <f t="shared" si="64"/>
        <v>94</v>
      </c>
      <c r="BA73" s="386">
        <f t="shared" si="42"/>
        <v>2.8835634662092911E-2</v>
      </c>
      <c r="BB73" s="386">
        <f t="shared" si="44"/>
        <v>-2.4226080078309232E-4</v>
      </c>
      <c r="BC73" s="386">
        <v>120</v>
      </c>
      <c r="BD73" s="386">
        <f t="shared" si="45"/>
        <v>2.2536853841732509E-2</v>
      </c>
      <c r="BJ73" s="386">
        <f t="shared" si="65"/>
        <v>3.0046938666008372E-2</v>
      </c>
      <c r="BK73" s="386">
        <f t="shared" si="66"/>
        <v>54.42713675296087</v>
      </c>
      <c r="BL73" s="386">
        <f t="shared" si="85"/>
        <v>89</v>
      </c>
    </row>
    <row r="74" spans="3:64" x14ac:dyDescent="0.3">
      <c r="C74" s="396">
        <f>IF(DewPointA32(P_TOTAL,D74)&lt;32,32,DewPointA32(P_TOTAL,D74))</f>
        <v>47.782988290761757</v>
      </c>
      <c r="D74" s="397">
        <f>D73+0.0002</f>
        <v>6.9999999999999958E-3</v>
      </c>
      <c r="E74" s="406"/>
      <c r="F74" s="406"/>
      <c r="G74" s="406"/>
      <c r="H74" s="406"/>
      <c r="K74" s="405">
        <v>102</v>
      </c>
      <c r="L74" s="406">
        <f t="shared" si="67"/>
        <v>1.0090396653325286</v>
      </c>
      <c r="M74" s="406">
        <f t="shared" si="68"/>
        <v>0.10090396653325287</v>
      </c>
      <c r="N74" s="407">
        <f t="shared" si="55"/>
        <v>4.2998517533740311E-3</v>
      </c>
      <c r="O74" s="405">
        <v>102</v>
      </c>
      <c r="P74" s="406">
        <f t="shared" si="69"/>
        <v>1.0090396653325286</v>
      </c>
      <c r="Q74" s="406">
        <f t="shared" si="70"/>
        <v>0.20180793306650574</v>
      </c>
      <c r="R74" s="407">
        <f t="shared" si="56"/>
        <v>8.6595719140958888E-3</v>
      </c>
      <c r="S74" s="405">
        <v>102</v>
      </c>
      <c r="T74" s="406">
        <f t="shared" si="71"/>
        <v>1.0090396653325286</v>
      </c>
      <c r="U74" s="406">
        <f t="shared" si="72"/>
        <v>0.30271189959975858</v>
      </c>
      <c r="V74" s="407">
        <f t="shared" si="57"/>
        <v>1.3080419602332407E-2</v>
      </c>
      <c r="W74" s="405">
        <v>102</v>
      </c>
      <c r="X74" s="406">
        <f t="shared" si="73"/>
        <v>1.0090396653325286</v>
      </c>
      <c r="Y74" s="406">
        <f t="shared" si="74"/>
        <v>0.40361586613301148</v>
      </c>
      <c r="Z74" s="407">
        <f t="shared" si="58"/>
        <v>1.756368949571039E-2</v>
      </c>
      <c r="AA74" s="405">
        <v>102</v>
      </c>
      <c r="AB74" s="406">
        <f t="shared" si="75"/>
        <v>1.0090396653325286</v>
      </c>
      <c r="AC74" s="406">
        <f t="shared" si="76"/>
        <v>0.50451983266626432</v>
      </c>
      <c r="AD74" s="407">
        <f t="shared" si="59"/>
        <v>2.2110713093416164E-2</v>
      </c>
      <c r="AE74" s="405">
        <v>102</v>
      </c>
      <c r="AF74" s="406">
        <f t="shared" si="77"/>
        <v>1.0090396653325286</v>
      </c>
      <c r="AG74" s="406">
        <f t="shared" si="78"/>
        <v>0.60542379919951717</v>
      </c>
      <c r="AH74" s="407">
        <f t="shared" si="60"/>
        <v>2.672286003460916E-2</v>
      </c>
      <c r="AI74" s="405">
        <v>102</v>
      </c>
      <c r="AJ74" s="406">
        <f t="shared" si="79"/>
        <v>1.0090396653325286</v>
      </c>
      <c r="AK74" s="406">
        <f t="shared" si="80"/>
        <v>0.70632776573277001</v>
      </c>
      <c r="AL74" s="407">
        <f t="shared" si="61"/>
        <v>3.14015394738918E-2</v>
      </c>
      <c r="AM74" s="405">
        <v>102</v>
      </c>
      <c r="AN74" s="406">
        <f t="shared" si="81"/>
        <v>1.0090396653325286</v>
      </c>
      <c r="AO74" s="406">
        <f t="shared" si="82"/>
        <v>0.80723173226602296</v>
      </c>
      <c r="AP74" s="407">
        <f t="shared" si="62"/>
        <v>3.6148201516737352E-2</v>
      </c>
      <c r="AQ74" s="405">
        <v>102</v>
      </c>
      <c r="AR74" s="406">
        <f t="shared" si="83"/>
        <v>1.0090396653325286</v>
      </c>
      <c r="AS74" s="406">
        <f t="shared" si="84"/>
        <v>0.9081356987992758</v>
      </c>
      <c r="AT74" s="407">
        <f t="shared" si="63"/>
        <v>4.0964338717947232E-2</v>
      </c>
      <c r="AW74" s="386">
        <v>90</v>
      </c>
      <c r="AX74" s="386">
        <f>VLOOKUP(AW74,THERMO_WATER_SAT!$A$3:$D$103,4,FALSE)</f>
        <v>3.1054261700060724E-2</v>
      </c>
      <c r="AY74" s="386">
        <f t="shared" si="43"/>
        <v>90</v>
      </c>
      <c r="AZ74" s="386">
        <f t="shared" si="64"/>
        <v>95</v>
      </c>
      <c r="BA74" s="386">
        <f t="shared" si="42"/>
        <v>2.9840173733419444E-2</v>
      </c>
      <c r="BB74" s="386">
        <f t="shared" si="44"/>
        <v>-2.4281759332825601E-4</v>
      </c>
      <c r="BC74" s="386">
        <v>120</v>
      </c>
      <c r="BD74" s="386">
        <f t="shared" si="45"/>
        <v>2.3769733900213044E-2</v>
      </c>
      <c r="BJ74" s="386">
        <f t="shared" si="65"/>
        <v>3.1054261700060724E-2</v>
      </c>
      <c r="BK74" s="386">
        <f t="shared" si="66"/>
        <v>55.789499961298858</v>
      </c>
      <c r="BL74" s="386">
        <f t="shared" si="85"/>
        <v>90</v>
      </c>
    </row>
    <row r="75" spans="3:64" x14ac:dyDescent="0.3">
      <c r="C75" s="401">
        <v>120</v>
      </c>
      <c r="D75" s="402">
        <f>D74</f>
        <v>6.9999999999999958E-3</v>
      </c>
      <c r="E75" s="406"/>
      <c r="F75" s="406"/>
      <c r="G75" s="406"/>
      <c r="H75" s="406"/>
      <c r="K75" s="408">
        <v>103</v>
      </c>
      <c r="L75" s="406">
        <f t="shared" si="67"/>
        <v>1.0395626236815041</v>
      </c>
      <c r="M75" s="406">
        <f t="shared" si="68"/>
        <v>0.10395626236815042</v>
      </c>
      <c r="N75" s="407">
        <f t="shared" si="55"/>
        <v>4.4308468044495812E-3</v>
      </c>
      <c r="O75" s="408">
        <v>103</v>
      </c>
      <c r="P75" s="406">
        <f t="shared" si="69"/>
        <v>1.0395626236815041</v>
      </c>
      <c r="Q75" s="406">
        <f t="shared" si="70"/>
        <v>0.20791252473630084</v>
      </c>
      <c r="R75" s="407">
        <f t="shared" si="56"/>
        <v>8.9252788507335826E-3</v>
      </c>
      <c r="S75" s="408">
        <v>103</v>
      </c>
      <c r="T75" s="406">
        <f t="shared" si="71"/>
        <v>1.0395626236815041</v>
      </c>
      <c r="U75" s="406">
        <f t="shared" si="72"/>
        <v>0.31186878710445121</v>
      </c>
      <c r="V75" s="407">
        <f t="shared" si="57"/>
        <v>1.3484674758940707E-2</v>
      </c>
      <c r="W75" s="408">
        <v>103</v>
      </c>
      <c r="X75" s="406">
        <f t="shared" si="73"/>
        <v>1.0395626236815041</v>
      </c>
      <c r="Y75" s="406">
        <f t="shared" si="74"/>
        <v>0.41582504947260168</v>
      </c>
      <c r="Z75" s="407">
        <f t="shared" si="58"/>
        <v>1.8110453293259339E-2</v>
      </c>
      <c r="AA75" s="408">
        <v>103</v>
      </c>
      <c r="AB75" s="406">
        <f t="shared" si="75"/>
        <v>1.0395626236815041</v>
      </c>
      <c r="AC75" s="406">
        <f t="shared" si="76"/>
        <v>0.51978131184075205</v>
      </c>
      <c r="AD75" s="407">
        <f t="shared" si="59"/>
        <v>2.2804074833889972E-2</v>
      </c>
      <c r="AE75" s="408">
        <v>103</v>
      </c>
      <c r="AF75" s="406">
        <f t="shared" si="77"/>
        <v>1.0395626236815041</v>
      </c>
      <c r="AG75" s="406">
        <f t="shared" si="78"/>
        <v>0.62373757420890241</v>
      </c>
      <c r="AH75" s="407">
        <f t="shared" si="60"/>
        <v>2.7567042914198595E-2</v>
      </c>
      <c r="AI75" s="408">
        <v>103</v>
      </c>
      <c r="AJ75" s="406">
        <f t="shared" si="79"/>
        <v>1.0395626236815041</v>
      </c>
      <c r="AK75" s="406">
        <f t="shared" si="80"/>
        <v>0.72769383657705278</v>
      </c>
      <c r="AL75" s="407">
        <f t="shared" si="61"/>
        <v>3.2400905826509716E-2</v>
      </c>
      <c r="AM75" s="408">
        <v>103</v>
      </c>
      <c r="AN75" s="406">
        <f t="shared" si="81"/>
        <v>1.0395626236815041</v>
      </c>
      <c r="AO75" s="406">
        <f t="shared" si="82"/>
        <v>0.83165009894520336</v>
      </c>
      <c r="AP75" s="407">
        <f t="shared" si="62"/>
        <v>3.730725830014181E-2</v>
      </c>
      <c r="AQ75" s="408">
        <v>103</v>
      </c>
      <c r="AR75" s="406">
        <f t="shared" si="83"/>
        <v>1.0395626236815041</v>
      </c>
      <c r="AS75" s="406">
        <f t="shared" si="84"/>
        <v>0.93560636131335373</v>
      </c>
      <c r="AT75" s="407">
        <f t="shared" si="63"/>
        <v>4.228774325550546E-2</v>
      </c>
      <c r="AW75" s="386">
        <v>91</v>
      </c>
      <c r="AX75" s="386">
        <f>VLOOKUP(AW75,THERMO_WATER_SAT!$A$3:$D$103,4,FALSE)</f>
        <v>3.2092637210761416E-2</v>
      </c>
      <c r="AY75" s="386">
        <f t="shared" si="43"/>
        <v>91</v>
      </c>
      <c r="AZ75" s="386">
        <f t="shared" si="64"/>
        <v>96</v>
      </c>
      <c r="BA75" s="386">
        <f t="shared" si="42"/>
        <v>3.087569632618678E-2</v>
      </c>
      <c r="BB75" s="386">
        <f t="shared" si="44"/>
        <v>-2.4338817691492708E-4</v>
      </c>
      <c r="BC75" s="386">
        <v>120</v>
      </c>
      <c r="BD75" s="386">
        <f t="shared" si="45"/>
        <v>2.5034380080228531E-2</v>
      </c>
      <c r="BJ75" s="386">
        <f t="shared" si="65"/>
        <v>3.2092637210761416E-2</v>
      </c>
      <c r="BK75" s="386">
        <f t="shared" si="66"/>
        <v>57.186958994481472</v>
      </c>
      <c r="BL75" s="386">
        <f t="shared" si="85"/>
        <v>91</v>
      </c>
    </row>
    <row r="76" spans="3:64" x14ac:dyDescent="0.3">
      <c r="C76" s="396">
        <f>IF(DewPointA32(P_TOTAL,D76)&lt;32,32,DewPointA32(P_TOTAL,D76))</f>
        <v>48.52613831587756</v>
      </c>
      <c r="D76" s="397">
        <f>D75+0.0002</f>
        <v>7.1999999999999955E-3</v>
      </c>
      <c r="E76" s="406"/>
      <c r="F76" s="406"/>
      <c r="G76" s="406"/>
      <c r="H76" s="406"/>
      <c r="K76" s="405">
        <v>104</v>
      </c>
      <c r="L76" s="406">
        <f t="shared" si="67"/>
        <v>1.0708798620963373</v>
      </c>
      <c r="M76" s="406">
        <f t="shared" si="68"/>
        <v>0.10708798620963374</v>
      </c>
      <c r="N76" s="407">
        <f t="shared" si="55"/>
        <v>4.5653076304812195E-3</v>
      </c>
      <c r="O76" s="405">
        <v>104</v>
      </c>
      <c r="P76" s="406">
        <f t="shared" si="69"/>
        <v>1.0708798620963373</v>
      </c>
      <c r="Q76" s="406">
        <f t="shared" si="70"/>
        <v>0.21417597241926747</v>
      </c>
      <c r="R76" s="407">
        <f t="shared" si="56"/>
        <v>9.1981329437687796E-3</v>
      </c>
      <c r="S76" s="405">
        <v>104</v>
      </c>
      <c r="T76" s="406">
        <f t="shared" si="71"/>
        <v>1.0708798620963373</v>
      </c>
      <c r="U76" s="406">
        <f t="shared" si="72"/>
        <v>0.32126395862890117</v>
      </c>
      <c r="V76" s="407">
        <f t="shared" si="57"/>
        <v>1.3899984906566023E-2</v>
      </c>
      <c r="W76" s="405">
        <v>104</v>
      </c>
      <c r="X76" s="406">
        <f t="shared" si="73"/>
        <v>1.0708798620963373</v>
      </c>
      <c r="Y76" s="406">
        <f t="shared" si="74"/>
        <v>0.42835194483853495</v>
      </c>
      <c r="Z76" s="407">
        <f t="shared" si="58"/>
        <v>1.8672417788685794E-2</v>
      </c>
      <c r="AA76" s="405">
        <v>104</v>
      </c>
      <c r="AB76" s="406">
        <f t="shared" si="75"/>
        <v>1.0708798620963373</v>
      </c>
      <c r="AC76" s="406">
        <f t="shared" si="76"/>
        <v>0.53543993104816867</v>
      </c>
      <c r="AD76" s="407">
        <f t="shared" si="59"/>
        <v>2.3517032876054271E-2</v>
      </c>
      <c r="AE76" s="405">
        <v>104</v>
      </c>
      <c r="AF76" s="406">
        <f t="shared" si="77"/>
        <v>1.0708798620963373</v>
      </c>
      <c r="AG76" s="406">
        <f t="shared" si="78"/>
        <v>0.64252791725780234</v>
      </c>
      <c r="AH76" s="407">
        <f t="shared" si="60"/>
        <v>2.8435480262033727E-2</v>
      </c>
      <c r="AI76" s="405">
        <v>104</v>
      </c>
      <c r="AJ76" s="406">
        <f t="shared" si="79"/>
        <v>1.0708798620963373</v>
      </c>
      <c r="AK76" s="406">
        <f t="shared" si="80"/>
        <v>0.74961590346743612</v>
      </c>
      <c r="AL76" s="407">
        <f t="shared" si="61"/>
        <v>3.3429460721273889E-2</v>
      </c>
      <c r="AM76" s="405">
        <v>104</v>
      </c>
      <c r="AN76" s="406">
        <f t="shared" si="81"/>
        <v>1.0708798620963373</v>
      </c>
      <c r="AO76" s="406">
        <f t="shared" si="82"/>
        <v>0.8567038896770699</v>
      </c>
      <c r="AP76" s="407">
        <f t="shared" si="62"/>
        <v>3.8500727670561952E-2</v>
      </c>
      <c r="AQ76" s="405">
        <v>104</v>
      </c>
      <c r="AR76" s="406">
        <f t="shared" si="83"/>
        <v>1.0708798620963373</v>
      </c>
      <c r="AS76" s="406">
        <f t="shared" si="84"/>
        <v>0.96379187588670368</v>
      </c>
      <c r="AT76" s="407">
        <f t="shared" si="63"/>
        <v>4.3651089221420643E-2</v>
      </c>
      <c r="AW76" s="386">
        <v>92</v>
      </c>
      <c r="AX76" s="386">
        <f>VLOOKUP(AW76,THERMO_WATER_SAT!$A$3:$D$103,4,FALSE)</f>
        <v>3.3162989012273672E-2</v>
      </c>
      <c r="AY76" s="386">
        <f t="shared" si="43"/>
        <v>92</v>
      </c>
      <c r="AZ76" s="386">
        <f t="shared" si="64"/>
        <v>97</v>
      </c>
      <c r="BA76" s="386">
        <f t="shared" si="42"/>
        <v>3.194312418009105E-2</v>
      </c>
      <c r="BB76" s="386">
        <f t="shared" si="44"/>
        <v>-2.4397296643652449E-4</v>
      </c>
      <c r="BC76" s="386">
        <v>120</v>
      </c>
      <c r="BD76" s="386">
        <f t="shared" si="45"/>
        <v>2.6331745952050987E-2</v>
      </c>
      <c r="BJ76" s="386">
        <f t="shared" si="65"/>
        <v>3.3162989012273672E-2</v>
      </c>
      <c r="BK76" s="386">
        <f t="shared" si="66"/>
        <v>58.620573117195718</v>
      </c>
      <c r="BL76" s="386">
        <f t="shared" si="85"/>
        <v>92</v>
      </c>
    </row>
    <row r="77" spans="3:64" x14ac:dyDescent="0.3">
      <c r="C77" s="401">
        <v>120</v>
      </c>
      <c r="D77" s="402">
        <f>D76</f>
        <v>7.1999999999999955E-3</v>
      </c>
      <c r="E77" s="406"/>
      <c r="F77" s="406"/>
      <c r="G77" s="406"/>
      <c r="H77" s="406"/>
      <c r="K77" s="405">
        <v>105</v>
      </c>
      <c r="L77" s="406">
        <f t="shared" si="67"/>
        <v>1.1030084006871468</v>
      </c>
      <c r="M77" s="406">
        <f t="shared" si="68"/>
        <v>0.11030084006871468</v>
      </c>
      <c r="N77" s="407">
        <f t="shared" si="55"/>
        <v>4.7033117844292559E-3</v>
      </c>
      <c r="O77" s="405">
        <v>105</v>
      </c>
      <c r="P77" s="406">
        <f t="shared" si="69"/>
        <v>1.1030084006871468</v>
      </c>
      <c r="Q77" s="406">
        <f t="shared" si="70"/>
        <v>0.22060168013742937</v>
      </c>
      <c r="R77" s="407">
        <f t="shared" si="56"/>
        <v>9.4783009388989328E-3</v>
      </c>
      <c r="S77" s="405">
        <v>105</v>
      </c>
      <c r="T77" s="406">
        <f t="shared" si="71"/>
        <v>1.1030084006871468</v>
      </c>
      <c r="U77" s="406">
        <f t="shared" si="72"/>
        <v>0.33090252020614402</v>
      </c>
      <c r="V77" s="407">
        <f t="shared" si="57"/>
        <v>1.432661856410093E-2</v>
      </c>
      <c r="W77" s="405">
        <v>105</v>
      </c>
      <c r="X77" s="406">
        <f t="shared" si="73"/>
        <v>1.1030084006871468</v>
      </c>
      <c r="Y77" s="406">
        <f t="shared" si="74"/>
        <v>0.44120336027485874</v>
      </c>
      <c r="Z77" s="407">
        <f t="shared" si="58"/>
        <v>1.9249966864309465E-2</v>
      </c>
      <c r="AA77" s="405">
        <v>105</v>
      </c>
      <c r="AB77" s="406">
        <f t="shared" si="75"/>
        <v>1.1030084006871468</v>
      </c>
      <c r="AC77" s="406">
        <f t="shared" si="76"/>
        <v>0.55150420034357339</v>
      </c>
      <c r="AD77" s="407">
        <f t="shared" si="59"/>
        <v>2.4250101139946981E-2</v>
      </c>
      <c r="AE77" s="405">
        <v>105</v>
      </c>
      <c r="AF77" s="406">
        <f t="shared" si="77"/>
        <v>1.1030084006871468</v>
      </c>
      <c r="AG77" s="406">
        <f t="shared" si="78"/>
        <v>0.66180504041228805</v>
      </c>
      <c r="AH77" s="407">
        <f t="shared" si="60"/>
        <v>2.932883187411273E-2</v>
      </c>
      <c r="AI77" s="405">
        <v>105</v>
      </c>
      <c r="AJ77" s="406">
        <f t="shared" si="79"/>
        <v>1.1030084006871468</v>
      </c>
      <c r="AK77" s="406">
        <f t="shared" si="80"/>
        <v>0.7721058804810027</v>
      </c>
      <c r="AL77" s="407">
        <f t="shared" si="61"/>
        <v>3.4488026918284398E-2</v>
      </c>
      <c r="AM77" s="405">
        <v>105</v>
      </c>
      <c r="AN77" s="406">
        <f t="shared" si="81"/>
        <v>1.1030084006871468</v>
      </c>
      <c r="AO77" s="406">
        <f t="shared" si="82"/>
        <v>0.88240672054971747</v>
      </c>
      <c r="AP77" s="407">
        <f t="shared" si="62"/>
        <v>3.9729613782736026E-2</v>
      </c>
      <c r="AQ77" s="405">
        <v>105</v>
      </c>
      <c r="AR77" s="406">
        <f t="shared" si="83"/>
        <v>1.1030084006871468</v>
      </c>
      <c r="AS77" s="406">
        <f t="shared" si="84"/>
        <v>0.99270756061843213</v>
      </c>
      <c r="AT77" s="407">
        <f t="shared" si="63"/>
        <v>4.5055582037572449E-2</v>
      </c>
      <c r="AW77" s="386">
        <v>93</v>
      </c>
      <c r="AX77" s="386">
        <f>VLOOKUP(AW77,THERMO_WATER_SAT!$A$3:$D$103,4,FALSE)</f>
        <v>3.4266270804702993E-2</v>
      </c>
      <c r="AY77" s="386">
        <f t="shared" si="43"/>
        <v>93</v>
      </c>
      <c r="AZ77" s="386">
        <f t="shared" si="64"/>
        <v>98</v>
      </c>
      <c r="BA77" s="386">
        <f t="shared" si="42"/>
        <v>3.3043408852769095E-2</v>
      </c>
      <c r="BB77" s="386">
        <f t="shared" si="44"/>
        <v>-2.4457239038677968E-4</v>
      </c>
      <c r="BC77" s="386">
        <v>120</v>
      </c>
      <c r="BD77" s="386">
        <f t="shared" si="45"/>
        <v>2.766281626425994E-2</v>
      </c>
      <c r="BJ77" s="386">
        <f t="shared" si="65"/>
        <v>3.4266270804702993E-2</v>
      </c>
      <c r="BK77" s="386">
        <f t="shared" si="66"/>
        <v>60.091436177857666</v>
      </c>
      <c r="BL77" s="386">
        <f t="shared" si="85"/>
        <v>93</v>
      </c>
    </row>
    <row r="78" spans="3:64" x14ac:dyDescent="0.3">
      <c r="C78" s="396">
        <f>IF(DewPointA32(P_TOTAL,D78)&lt;32,32,DewPointA32(P_TOTAL,D78))</f>
        <v>49.250811806154793</v>
      </c>
      <c r="D78" s="397">
        <f>D77+0.0002</f>
        <v>7.3999999999999951E-3</v>
      </c>
      <c r="E78" s="406"/>
      <c r="F78" s="406"/>
      <c r="G78" s="406"/>
      <c r="H78" s="406"/>
      <c r="K78" s="408">
        <v>106</v>
      </c>
      <c r="L78" s="406">
        <f t="shared" si="67"/>
        <v>1.1359655356746252</v>
      </c>
      <c r="M78" s="406">
        <f t="shared" si="68"/>
        <v>0.11359655356746252</v>
      </c>
      <c r="N78" s="407">
        <f t="shared" si="55"/>
        <v>4.8449382554360074E-3</v>
      </c>
      <c r="O78" s="408">
        <v>106</v>
      </c>
      <c r="P78" s="406">
        <f t="shared" si="69"/>
        <v>1.1359655356746252</v>
      </c>
      <c r="Q78" s="406">
        <f t="shared" si="70"/>
        <v>0.22719310713492505</v>
      </c>
      <c r="R78" s="407">
        <f t="shared" si="56"/>
        <v>9.765953037725943E-3</v>
      </c>
      <c r="S78" s="408">
        <v>106</v>
      </c>
      <c r="T78" s="406">
        <f t="shared" si="71"/>
        <v>1.1359655356746252</v>
      </c>
      <c r="U78" s="406">
        <f t="shared" si="72"/>
        <v>0.34078966070238753</v>
      </c>
      <c r="V78" s="407">
        <f t="shared" si="57"/>
        <v>1.4764850387545016E-2</v>
      </c>
      <c r="W78" s="408">
        <v>106</v>
      </c>
      <c r="X78" s="406">
        <f t="shared" si="73"/>
        <v>1.1359655356746252</v>
      </c>
      <c r="Y78" s="406">
        <f t="shared" si="74"/>
        <v>0.4543862142698501</v>
      </c>
      <c r="Z78" s="407">
        <f t="shared" si="58"/>
        <v>1.9843493968250647E-2</v>
      </c>
      <c r="AA78" s="408">
        <v>106</v>
      </c>
      <c r="AB78" s="406">
        <f t="shared" si="75"/>
        <v>1.1359655356746252</v>
      </c>
      <c r="AC78" s="406">
        <f t="shared" si="76"/>
        <v>0.56798276783731261</v>
      </c>
      <c r="AD78" s="407">
        <f t="shared" si="59"/>
        <v>2.5003807382463033E-2</v>
      </c>
      <c r="AE78" s="408">
        <v>106</v>
      </c>
      <c r="AF78" s="406">
        <f t="shared" si="77"/>
        <v>1.1359655356746252</v>
      </c>
      <c r="AG78" s="406">
        <f t="shared" si="78"/>
        <v>0.68157932140477506</v>
      </c>
      <c r="AH78" s="407">
        <f t="shared" si="60"/>
        <v>3.0247776601310679E-2</v>
      </c>
      <c r="AI78" s="408">
        <v>106</v>
      </c>
      <c r="AJ78" s="406">
        <f t="shared" si="79"/>
        <v>1.1359655356746252</v>
      </c>
      <c r="AK78" s="406">
        <f t="shared" si="80"/>
        <v>0.79517587497223763</v>
      </c>
      <c r="AL78" s="407">
        <f t="shared" si="61"/>
        <v>3.5577452512785629E-2</v>
      </c>
      <c r="AM78" s="408">
        <v>106</v>
      </c>
      <c r="AN78" s="406">
        <f t="shared" si="81"/>
        <v>1.1359655356746252</v>
      </c>
      <c r="AO78" s="406">
        <f t="shared" si="82"/>
        <v>0.90877242853970019</v>
      </c>
      <c r="AP78" s="407">
        <f t="shared" si="62"/>
        <v>4.0994953596078063E-2</v>
      </c>
      <c r="AQ78" s="408">
        <v>106</v>
      </c>
      <c r="AR78" s="406">
        <f t="shared" si="83"/>
        <v>1.1359655356746252</v>
      </c>
      <c r="AS78" s="406">
        <f t="shared" si="84"/>
        <v>1.0223689821071626</v>
      </c>
      <c r="AT78" s="407">
        <f t="shared" si="63"/>
        <v>4.6502468729216449E-2</v>
      </c>
      <c r="AW78" s="386">
        <v>94</v>
      </c>
      <c r="AX78" s="386">
        <f>VLOOKUP(AW78,THERMO_WATER_SAT!$A$3:$D$103,4,FALSE)</f>
        <v>3.5403467387999377E-2</v>
      </c>
      <c r="AY78" s="386">
        <f t="shared" si="43"/>
        <v>94</v>
      </c>
      <c r="AZ78" s="386">
        <f t="shared" si="64"/>
        <v>99</v>
      </c>
      <c r="BA78" s="386">
        <f t="shared" si="42"/>
        <v>3.4177532930935652E-2</v>
      </c>
      <c r="BB78" s="386">
        <f t="shared" si="44"/>
        <v>-2.4518689141274504E-4</v>
      </c>
      <c r="BC78" s="386">
        <v>120</v>
      </c>
      <c r="BD78" s="386">
        <f t="shared" si="45"/>
        <v>2.9028608211268007E-2</v>
      </c>
      <c r="BJ78" s="386">
        <f t="shared" si="65"/>
        <v>3.5403467387999377E-2</v>
      </c>
      <c r="BK78" s="386">
        <f t="shared" si="66"/>
        <v>61.600678013572889</v>
      </c>
      <c r="BL78" s="386">
        <f t="shared" si="85"/>
        <v>94</v>
      </c>
    </row>
    <row r="79" spans="3:64" x14ac:dyDescent="0.3">
      <c r="C79" s="401">
        <v>120</v>
      </c>
      <c r="D79" s="402">
        <f>D78</f>
        <v>7.3999999999999951E-3</v>
      </c>
      <c r="E79" s="406"/>
      <c r="F79" s="406"/>
      <c r="G79" s="406"/>
      <c r="H79" s="406"/>
      <c r="K79" s="405">
        <v>107</v>
      </c>
      <c r="L79" s="406">
        <f t="shared" si="67"/>
        <v>1.1697688420867534</v>
      </c>
      <c r="M79" s="406">
        <f t="shared" si="68"/>
        <v>0.11697688420867534</v>
      </c>
      <c r="N79" s="407">
        <f t="shared" si="55"/>
        <v>4.9902674920063433E-3</v>
      </c>
      <c r="O79" s="405">
        <v>107</v>
      </c>
      <c r="P79" s="406">
        <f t="shared" si="69"/>
        <v>1.1697688420867534</v>
      </c>
      <c r="Q79" s="406">
        <f t="shared" si="70"/>
        <v>0.23395376841735069</v>
      </c>
      <c r="R79" s="407">
        <f t="shared" si="56"/>
        <v>1.006126297135765E-2</v>
      </c>
      <c r="S79" s="405">
        <v>107</v>
      </c>
      <c r="T79" s="406">
        <f t="shared" si="71"/>
        <v>1.1697688420867534</v>
      </c>
      <c r="U79" s="406">
        <f t="shared" si="72"/>
        <v>0.35093065262602602</v>
      </c>
      <c r="V79" s="407">
        <f t="shared" si="57"/>
        <v>1.5214961327446097E-2</v>
      </c>
      <c r="W79" s="405">
        <v>107</v>
      </c>
      <c r="X79" s="406">
        <f t="shared" si="73"/>
        <v>1.1697688420867534</v>
      </c>
      <c r="Y79" s="406">
        <f t="shared" si="74"/>
        <v>0.46790753683470138</v>
      </c>
      <c r="Z79" s="407">
        <f t="shared" si="58"/>
        <v>2.0453402396221763E-2</v>
      </c>
      <c r="AA79" s="405">
        <v>107</v>
      </c>
      <c r="AB79" s="406">
        <f t="shared" si="75"/>
        <v>1.1697688420867534</v>
      </c>
      <c r="AC79" s="406">
        <f t="shared" si="76"/>
        <v>0.58488442104337668</v>
      </c>
      <c r="AD79" s="407">
        <f t="shared" si="59"/>
        <v>2.5778693652129328E-2</v>
      </c>
      <c r="AE79" s="405">
        <v>107</v>
      </c>
      <c r="AF79" s="406">
        <f t="shared" si="77"/>
        <v>1.1697688420867534</v>
      </c>
      <c r="AG79" s="406">
        <f t="shared" si="78"/>
        <v>0.70186130525205204</v>
      </c>
      <c r="AH79" s="407">
        <f t="shared" si="60"/>
        <v>3.119301303505604E-2</v>
      </c>
      <c r="AI79" s="405">
        <v>107</v>
      </c>
      <c r="AJ79" s="406">
        <f t="shared" si="79"/>
        <v>1.1697688420867534</v>
      </c>
      <c r="AK79" s="406">
        <f t="shared" si="80"/>
        <v>0.81883818946072728</v>
      </c>
      <c r="AL79" s="407">
        <f t="shared" si="61"/>
        <v>3.6698611920257397E-2</v>
      </c>
      <c r="AM79" s="405">
        <v>107</v>
      </c>
      <c r="AN79" s="406">
        <f t="shared" si="81"/>
        <v>1.1697688420867534</v>
      </c>
      <c r="AO79" s="406">
        <f t="shared" si="82"/>
        <v>0.93581507366940275</v>
      </c>
      <c r="AP79" s="407">
        <f t="shared" si="62"/>
        <v>4.2297818239768928E-2</v>
      </c>
      <c r="AQ79" s="405">
        <v>107</v>
      </c>
      <c r="AR79" s="406">
        <f t="shared" si="83"/>
        <v>1.1697688420867534</v>
      </c>
      <c r="AS79" s="406">
        <f t="shared" si="84"/>
        <v>1.052791957878078</v>
      </c>
      <c r="AT79" s="407">
        <f t="shared" si="63"/>
        <v>4.7993039764395819E-2</v>
      </c>
      <c r="AW79" s="386">
        <v>95</v>
      </c>
      <c r="AX79" s="386">
        <f>VLOOKUP(AW79,THERMO_WATER_SAT!$A$3:$D$103,4,FALSE)</f>
        <v>3.6575595938695249E-2</v>
      </c>
      <c r="AY79" s="386">
        <f t="shared" si="43"/>
        <v>95</v>
      </c>
      <c r="AZ79" s="386">
        <f t="shared" si="64"/>
        <v>100</v>
      </c>
      <c r="BA79" s="386">
        <f t="shared" si="42"/>
        <v>3.5346511304213374E-2</v>
      </c>
      <c r="BB79" s="386">
        <f t="shared" si="44"/>
        <v>-2.4581692689637502E-4</v>
      </c>
      <c r="BC79" s="386">
        <v>120</v>
      </c>
      <c r="BD79" s="386">
        <f t="shared" si="45"/>
        <v>3.0430172766285873E-2</v>
      </c>
      <c r="BJ79" s="386">
        <f t="shared" si="65"/>
        <v>3.6575595938695249E-2</v>
      </c>
      <c r="BK79" s="386">
        <f t="shared" si="66"/>
        <v>63.149465927649828</v>
      </c>
      <c r="BL79" s="386">
        <f t="shared" si="85"/>
        <v>95</v>
      </c>
    </row>
    <row r="80" spans="3:64" x14ac:dyDescent="0.3">
      <c r="C80" s="396">
        <f>IF(DewPointA32(P_TOTAL,D80)&lt;32,32,DewPointA32(P_TOTAL,D80))</f>
        <v>49.957956551516361</v>
      </c>
      <c r="D80" s="397">
        <f>D79+0.0002</f>
        <v>7.5999999999999948E-3</v>
      </c>
      <c r="E80" s="406"/>
      <c r="F80" s="406"/>
      <c r="G80" s="406"/>
      <c r="H80" s="406"/>
      <c r="K80" s="405">
        <v>108</v>
      </c>
      <c r="L80" s="406">
        <f t="shared" si="67"/>
        <v>1.2044361764533629</v>
      </c>
      <c r="M80" s="406">
        <f t="shared" si="68"/>
        <v>0.12044361764533629</v>
      </c>
      <c r="N80" s="407">
        <f t="shared" si="55"/>
        <v>5.1393814256447262E-3</v>
      </c>
      <c r="O80" s="405">
        <v>108</v>
      </c>
      <c r="P80" s="406">
        <f t="shared" si="69"/>
        <v>1.2044361764533629</v>
      </c>
      <c r="Q80" s="406">
        <f t="shared" si="70"/>
        <v>0.24088723529067257</v>
      </c>
      <c r="R80" s="407">
        <f t="shared" si="56"/>
        <v>1.0364408076122999E-2</v>
      </c>
      <c r="S80" s="405">
        <v>108</v>
      </c>
      <c r="T80" s="406">
        <f t="shared" si="71"/>
        <v>1.2044361764533629</v>
      </c>
      <c r="U80" s="406">
        <f t="shared" si="72"/>
        <v>0.36133085293600886</v>
      </c>
      <c r="V80" s="407">
        <f t="shared" si="57"/>
        <v>1.5677238791783451E-2</v>
      </c>
      <c r="W80" s="405">
        <v>108</v>
      </c>
      <c r="X80" s="406">
        <f t="shared" si="73"/>
        <v>1.2044361764533629</v>
      </c>
      <c r="Y80" s="406">
        <f t="shared" si="74"/>
        <v>0.48177447058134515</v>
      </c>
      <c r="Z80" s="407">
        <f t="shared" si="58"/>
        <v>2.1080105584331387E-2</v>
      </c>
      <c r="AA80" s="405">
        <v>108</v>
      </c>
      <c r="AB80" s="406">
        <f t="shared" si="75"/>
        <v>1.2044361764533629</v>
      </c>
      <c r="AC80" s="406">
        <f t="shared" si="76"/>
        <v>0.60221808822668144</v>
      </c>
      <c r="AD80" s="407">
        <f t="shared" si="59"/>
        <v>2.6575316763393034E-2</v>
      </c>
      <c r="AE80" s="405">
        <v>108</v>
      </c>
      <c r="AF80" s="406">
        <f t="shared" si="77"/>
        <v>1.2044361764533629</v>
      </c>
      <c r="AG80" s="406">
        <f t="shared" si="78"/>
        <v>0.72266170587201772</v>
      </c>
      <c r="AH80" s="407">
        <f t="shared" si="60"/>
        <v>3.2165260224776844E-2</v>
      </c>
      <c r="AI80" s="405">
        <v>108</v>
      </c>
      <c r="AJ80" s="406">
        <f t="shared" si="79"/>
        <v>1.2044361764533629</v>
      </c>
      <c r="AK80" s="406">
        <f t="shared" si="80"/>
        <v>0.84310532351735401</v>
      </c>
      <c r="AL80" s="407">
        <f t="shared" si="61"/>
        <v>3.7852406910273091E-2</v>
      </c>
      <c r="AM80" s="405">
        <v>108</v>
      </c>
      <c r="AN80" s="406">
        <f t="shared" si="81"/>
        <v>1.2044361764533629</v>
      </c>
      <c r="AO80" s="406">
        <f t="shared" si="82"/>
        <v>0.9635489411626903</v>
      </c>
      <c r="AP80" s="407">
        <f t="shared" si="62"/>
        <v>4.3639314449523112E-2</v>
      </c>
      <c r="AQ80" s="405">
        <v>108</v>
      </c>
      <c r="AR80" s="406">
        <f t="shared" si="83"/>
        <v>1.2044361764533629</v>
      </c>
      <c r="AS80" s="406">
        <f t="shared" si="84"/>
        <v>1.0839925588080266</v>
      </c>
      <c r="AT80" s="407">
        <f t="shared" si="63"/>
        <v>4.9528630995235641E-2</v>
      </c>
      <c r="AW80" s="386">
        <v>96</v>
      </c>
      <c r="AX80" s="386">
        <f>VLOOKUP(AW80,THERMO_WATER_SAT!$A$3:$D$103,4,FALSE)</f>
        <v>3.7783707353319089E-2</v>
      </c>
      <c r="AY80" s="386">
        <f t="shared" si="43"/>
        <v>96</v>
      </c>
      <c r="AZ80" s="386">
        <f t="shared" si="64"/>
        <v>101</v>
      </c>
      <c r="BA80" s="386">
        <f t="shared" ref="BA80:BA104" si="86">((1093-0.556*AY80)*AX80-0.24*(AZ80-AY80))/(1093+(0.444*AZ80)-AY80)</f>
        <v>3.6551392505487383E-2</v>
      </c>
      <c r="BB80" s="386">
        <f t="shared" si="44"/>
        <v>-2.4646296956634119E-4</v>
      </c>
      <c r="BC80" s="386">
        <v>120</v>
      </c>
      <c r="BD80" s="386">
        <f t="shared" si="45"/>
        <v>3.1868596083726899E-2</v>
      </c>
      <c r="BJ80" s="386">
        <f t="shared" si="65"/>
        <v>3.7783707353319089E-2</v>
      </c>
      <c r="BK80" s="386">
        <f t="shared" si="66"/>
        <v>64.739006244099428</v>
      </c>
      <c r="BL80" s="386">
        <f t="shared" si="85"/>
        <v>96</v>
      </c>
    </row>
    <row r="81" spans="3:64" x14ac:dyDescent="0.3">
      <c r="C81" s="401">
        <v>120</v>
      </c>
      <c r="D81" s="402">
        <f>D80</f>
        <v>7.5999999999999948E-3</v>
      </c>
      <c r="E81" s="406"/>
      <c r="F81" s="406"/>
      <c r="G81" s="406"/>
      <c r="H81" s="406"/>
      <c r="K81" s="405">
        <v>109</v>
      </c>
      <c r="L81" s="406">
        <f t="shared" si="67"/>
        <v>1.2399856794982345</v>
      </c>
      <c r="M81" s="406">
        <f t="shared" si="68"/>
        <v>0.12399856794982345</v>
      </c>
      <c r="N81" s="407">
        <f t="shared" si="55"/>
        <v>5.2923634949639939E-3</v>
      </c>
      <c r="O81" s="405">
        <v>109</v>
      </c>
      <c r="P81" s="406">
        <f t="shared" si="69"/>
        <v>1.2399856794982345</v>
      </c>
      <c r="Q81" s="406">
        <f t="shared" si="70"/>
        <v>0.24799713589964689</v>
      </c>
      <c r="R81" s="407">
        <f t="shared" si="56"/>
        <v>1.0675569371483165E-2</v>
      </c>
      <c r="S81" s="405">
        <v>109</v>
      </c>
      <c r="T81" s="406">
        <f t="shared" si="71"/>
        <v>1.2399856794982345</v>
      </c>
      <c r="U81" s="406">
        <f t="shared" si="72"/>
        <v>0.37199570384947034</v>
      </c>
      <c r="V81" s="407">
        <f t="shared" si="57"/>
        <v>1.6151976814528929E-2</v>
      </c>
      <c r="W81" s="405">
        <v>109</v>
      </c>
      <c r="X81" s="406">
        <f t="shared" si="73"/>
        <v>1.2399856794982345</v>
      </c>
      <c r="Y81" s="406">
        <f t="shared" si="74"/>
        <v>0.49599427179929378</v>
      </c>
      <c r="Z81" s="407">
        <f t="shared" si="58"/>
        <v>2.1724027413421998E-2</v>
      </c>
      <c r="AA81" s="405">
        <v>109</v>
      </c>
      <c r="AB81" s="406">
        <f t="shared" si="75"/>
        <v>1.2399856794982345</v>
      </c>
      <c r="AC81" s="406">
        <f t="shared" si="76"/>
        <v>0.61999283974911723</v>
      </c>
      <c r="AD81" s="407">
        <f t="shared" si="59"/>
        <v>2.7394248791420349E-2</v>
      </c>
      <c r="AE81" s="405">
        <v>109</v>
      </c>
      <c r="AF81" s="406">
        <f t="shared" si="77"/>
        <v>1.2399856794982345</v>
      </c>
      <c r="AG81" s="406">
        <f t="shared" si="78"/>
        <v>0.74399140769894068</v>
      </c>
      <c r="AH81" s="407">
        <f t="shared" si="60"/>
        <v>3.3165258428855163E-2</v>
      </c>
      <c r="AI81" s="405">
        <v>109</v>
      </c>
      <c r="AJ81" s="406">
        <f t="shared" si="79"/>
        <v>1.2399856794982345</v>
      </c>
      <c r="AK81" s="406">
        <f t="shared" si="80"/>
        <v>0.86798997564876412</v>
      </c>
      <c r="AL81" s="407">
        <f t="shared" si="61"/>
        <v>3.9039767691963705E-2</v>
      </c>
      <c r="AM81" s="405">
        <v>109</v>
      </c>
      <c r="AN81" s="406">
        <f t="shared" si="81"/>
        <v>1.2399856794982345</v>
      </c>
      <c r="AO81" s="406">
        <f t="shared" si="82"/>
        <v>0.99198854359858757</v>
      </c>
      <c r="AP81" s="407">
        <f t="shared" si="62"/>
        <v>4.5020586080447837E-2</v>
      </c>
      <c r="AQ81" s="405">
        <v>109</v>
      </c>
      <c r="AR81" s="406">
        <f t="shared" si="83"/>
        <v>1.2399856794982345</v>
      </c>
      <c r="AS81" s="406">
        <f t="shared" si="84"/>
        <v>1.115987111548411</v>
      </c>
      <c r="AT81" s="407">
        <f t="shared" si="63"/>
        <v>5.1110625707738104E-2</v>
      </c>
      <c r="AW81" s="386">
        <v>97</v>
      </c>
      <c r="AX81" s="386">
        <f>VLOOKUP(AW81,THERMO_WATER_SAT!$A$3:$D$103,4,FALSE)</f>
        <v>3.9028887662583063E-2</v>
      </c>
      <c r="AY81" s="386">
        <f t="shared" ref="AY81:AY104" si="87">AW81</f>
        <v>97</v>
      </c>
      <c r="AZ81" s="386">
        <f t="shared" si="64"/>
        <v>102</v>
      </c>
      <c r="BA81" s="386">
        <f t="shared" si="86"/>
        <v>3.7793260121872958E-2</v>
      </c>
      <c r="BB81" s="386">
        <f t="shared" ref="BB81:BB104" si="88">(BA81-AX81)/(AZ81-AW81)</f>
        <v>-2.4712550814202092E-4</v>
      </c>
      <c r="BC81" s="386">
        <v>120</v>
      </c>
      <c r="BD81" s="386">
        <f t="shared" ref="BD81:BD104" si="89">(BB81*(BC81-AZ81))+BA81</f>
        <v>3.3345000975316584E-2</v>
      </c>
      <c r="BJ81" s="386">
        <f t="shared" si="65"/>
        <v>3.9028887662583063E-2</v>
      </c>
      <c r="BK81" s="386">
        <f t="shared" si="66"/>
        <v>66.370545943852761</v>
      </c>
      <c r="BL81" s="386">
        <f t="shared" si="85"/>
        <v>97</v>
      </c>
    </row>
    <row r="82" spans="3:64" x14ac:dyDescent="0.3">
      <c r="C82" s="396">
        <f>IF(DewPointA32(P_TOTAL,D82)&lt;32,32,DewPointA32(P_TOTAL,D82))</f>
        <v>50.648447870426871</v>
      </c>
      <c r="D82" s="397">
        <f>D81+0.0002</f>
        <v>7.7999999999999944E-3</v>
      </c>
      <c r="E82" s="406"/>
      <c r="F82" s="406"/>
      <c r="G82" s="406"/>
      <c r="H82" s="406"/>
      <c r="K82" s="408">
        <v>110</v>
      </c>
      <c r="L82" s="406">
        <f t="shared" si="67"/>
        <v>1.2764357788281431</v>
      </c>
      <c r="M82" s="406">
        <f t="shared" si="68"/>
        <v>0.1276435778828143</v>
      </c>
      <c r="N82" s="407">
        <f t="shared" si="55"/>
        <v>5.4492986702805333E-3</v>
      </c>
      <c r="O82" s="408">
        <v>110</v>
      </c>
      <c r="P82" s="406">
        <f t="shared" si="69"/>
        <v>1.2764357788281431</v>
      </c>
      <c r="Q82" s="406">
        <f t="shared" si="70"/>
        <v>0.2552871557656286</v>
      </c>
      <c r="R82" s="407">
        <f t="shared" si="56"/>
        <v>1.0994931640221957E-2</v>
      </c>
      <c r="S82" s="408">
        <v>110</v>
      </c>
      <c r="T82" s="406">
        <f t="shared" si="71"/>
        <v>1.2764357788281431</v>
      </c>
      <c r="U82" s="406">
        <f t="shared" si="72"/>
        <v>0.38293073364844293</v>
      </c>
      <c r="V82" s="407">
        <f t="shared" si="57"/>
        <v>1.6639476230129104E-2</v>
      </c>
      <c r="W82" s="408">
        <v>110</v>
      </c>
      <c r="X82" s="406">
        <f t="shared" si="73"/>
        <v>1.2764357788281431</v>
      </c>
      <c r="Y82" s="406">
        <f t="shared" si="74"/>
        <v>0.51057431153125721</v>
      </c>
      <c r="Z82" s="407">
        <f t="shared" si="58"/>
        <v>2.2385602525484896E-2</v>
      </c>
      <c r="AA82" s="408">
        <v>110</v>
      </c>
      <c r="AB82" s="406">
        <f t="shared" si="75"/>
        <v>1.2764357788281431</v>
      </c>
      <c r="AC82" s="406">
        <f t="shared" si="76"/>
        <v>0.63821788941407154</v>
      </c>
      <c r="AD82" s="407">
        <f t="shared" si="59"/>
        <v>2.823607758845367E-2</v>
      </c>
      <c r="AE82" s="408">
        <v>110</v>
      </c>
      <c r="AF82" s="406">
        <f t="shared" si="77"/>
        <v>1.2764357788281431</v>
      </c>
      <c r="AG82" s="406">
        <f t="shared" si="78"/>
        <v>0.76586146729688587</v>
      </c>
      <c r="AH82" s="407">
        <f t="shared" si="60"/>
        <v>3.4193769900927658E-2</v>
      </c>
      <c r="AI82" s="408">
        <v>110</v>
      </c>
      <c r="AJ82" s="406">
        <f t="shared" si="79"/>
        <v>1.2764357788281431</v>
      </c>
      <c r="AK82" s="406">
        <f t="shared" si="80"/>
        <v>0.89350504517970009</v>
      </c>
      <c r="AL82" s="407">
        <f t="shared" si="61"/>
        <v>4.0261654054105561E-2</v>
      </c>
      <c r="AM82" s="408">
        <v>110</v>
      </c>
      <c r="AN82" s="406">
        <f t="shared" si="81"/>
        <v>1.2764357788281431</v>
      </c>
      <c r="AO82" s="406">
        <f t="shared" si="82"/>
        <v>1.0211486230625144</v>
      </c>
      <c r="AP82" s="407">
        <f t="shared" si="62"/>
        <v>4.6442815700711487E-2</v>
      </c>
      <c r="AQ82" s="408">
        <v>110</v>
      </c>
      <c r="AR82" s="406">
        <f t="shared" si="83"/>
        <v>1.2764357788281431</v>
      </c>
      <c r="AS82" s="406">
        <f t="shared" si="84"/>
        <v>1.1487922009453289</v>
      </c>
      <c r="AT82" s="407">
        <f t="shared" si="63"/>
        <v>5.2740456787176586E-2</v>
      </c>
      <c r="AW82" s="386">
        <v>98</v>
      </c>
      <c r="AX82" s="386">
        <f>VLOOKUP(AW82,THERMO_WATER_SAT!$A$3:$D$103,4,FALSE)</f>
        <v>4.0312259520730129E-2</v>
      </c>
      <c r="AY82" s="386">
        <f t="shared" si="87"/>
        <v>98</v>
      </c>
      <c r="AZ82" s="386">
        <f t="shared" si="64"/>
        <v>103</v>
      </c>
      <c r="BA82" s="386">
        <f t="shared" si="86"/>
        <v>3.9073234280672144E-2</v>
      </c>
      <c r="BB82" s="386">
        <f t="shared" si="88"/>
        <v>-2.4780504801159701E-4</v>
      </c>
      <c r="BC82" s="386">
        <v>120</v>
      </c>
      <c r="BD82" s="386">
        <f t="shared" si="89"/>
        <v>3.4860548464474991E-2</v>
      </c>
      <c r="BJ82" s="386">
        <f t="shared" si="65"/>
        <v>4.0312259520730129E-2</v>
      </c>
      <c r="BK82" s="386">
        <f t="shared" si="66"/>
        <v>68.045374387760674</v>
      </c>
      <c r="BL82" s="386">
        <f t="shared" si="85"/>
        <v>98</v>
      </c>
    </row>
    <row r="83" spans="3:64" x14ac:dyDescent="0.3">
      <c r="C83" s="401">
        <v>120</v>
      </c>
      <c r="D83" s="402">
        <f>D82</f>
        <v>7.7999999999999944E-3</v>
      </c>
      <c r="E83" s="406"/>
      <c r="F83" s="406"/>
      <c r="G83" s="406"/>
      <c r="H83" s="406"/>
      <c r="K83" s="405">
        <v>111</v>
      </c>
      <c r="L83" s="406">
        <f t="shared" si="67"/>
        <v>1.3138051916187932</v>
      </c>
      <c r="M83" s="406">
        <f t="shared" si="68"/>
        <v>0.13138051916187932</v>
      </c>
      <c r="N83" s="407">
        <f t="shared" si="55"/>
        <v>5.6102734787133084E-3</v>
      </c>
      <c r="O83" s="405">
        <v>111</v>
      </c>
      <c r="P83" s="406">
        <f t="shared" si="69"/>
        <v>1.3138051916187932</v>
      </c>
      <c r="Q83" s="406">
        <f t="shared" si="70"/>
        <v>0.26276103832375863</v>
      </c>
      <c r="R83" s="407">
        <f t="shared" si="56"/>
        <v>1.1322683511006945E-2</v>
      </c>
      <c r="S83" s="405">
        <v>111</v>
      </c>
      <c r="T83" s="406">
        <f t="shared" si="71"/>
        <v>1.3138051916187932</v>
      </c>
      <c r="U83" s="406">
        <f t="shared" si="72"/>
        <v>0.39414155748563795</v>
      </c>
      <c r="V83" s="407">
        <f t="shared" si="57"/>
        <v>1.7140044854170405E-2</v>
      </c>
      <c r="W83" s="405">
        <v>111</v>
      </c>
      <c r="X83" s="406">
        <f t="shared" si="73"/>
        <v>1.3138051916187932</v>
      </c>
      <c r="Y83" s="406">
        <f t="shared" si="74"/>
        <v>0.52552207664751727</v>
      </c>
      <c r="Z83" s="407">
        <f t="shared" si="58"/>
        <v>2.3065276652734324E-2</v>
      </c>
      <c r="AA83" s="405">
        <v>111</v>
      </c>
      <c r="AB83" s="406">
        <f t="shared" si="75"/>
        <v>1.3138051916187932</v>
      </c>
      <c r="AC83" s="406">
        <f t="shared" si="76"/>
        <v>0.65690259580939658</v>
      </c>
      <c r="AD83" s="407">
        <f t="shared" si="59"/>
        <v>2.9101407322847838E-2</v>
      </c>
      <c r="AE83" s="405">
        <v>111</v>
      </c>
      <c r="AF83" s="406">
        <f t="shared" si="77"/>
        <v>1.3138051916187932</v>
      </c>
      <c r="AG83" s="406">
        <f t="shared" si="78"/>
        <v>0.7882831149712759</v>
      </c>
      <c r="AH83" s="407">
        <f t="shared" si="60"/>
        <v>3.5251579713500271E-2</v>
      </c>
      <c r="AI83" s="405">
        <v>111</v>
      </c>
      <c r="AJ83" s="406">
        <f t="shared" si="79"/>
        <v>1.3138051916187932</v>
      </c>
      <c r="AK83" s="406">
        <f t="shared" si="80"/>
        <v>0.91966363413315511</v>
      </c>
      <c r="AL83" s="407">
        <f t="shared" si="61"/>
        <v>4.1519056563068348E-2</v>
      </c>
      <c r="AM83" s="405">
        <v>111</v>
      </c>
      <c r="AN83" s="406">
        <f t="shared" si="81"/>
        <v>1.3138051916187932</v>
      </c>
      <c r="AO83" s="406">
        <f t="shared" si="82"/>
        <v>1.0510441532950345</v>
      </c>
      <c r="AP83" s="407">
        <f t="shared" si="62"/>
        <v>4.7907226271093749E-2</v>
      </c>
      <c r="AQ83" s="405">
        <v>111</v>
      </c>
      <c r="AR83" s="406">
        <f t="shared" si="83"/>
        <v>1.3138051916187932</v>
      </c>
      <c r="AS83" s="406">
        <f t="shared" si="84"/>
        <v>1.1824246724569139</v>
      </c>
      <c r="AT83" s="407">
        <f t="shared" si="63"/>
        <v>5.4419609006743884E-2</v>
      </c>
      <c r="AW83" s="386">
        <v>99</v>
      </c>
      <c r="AX83" s="386">
        <f>VLOOKUP(AW83,THERMO_WATER_SAT!$A$3:$D$103,4,FALSE)</f>
        <v>4.1634983774737212E-2</v>
      </c>
      <c r="AY83" s="386">
        <f t="shared" si="87"/>
        <v>99</v>
      </c>
      <c r="AZ83" s="386">
        <f t="shared" si="64"/>
        <v>104</v>
      </c>
      <c r="BA83" s="386">
        <f t="shared" si="86"/>
        <v>4.0392473215005088E-2</v>
      </c>
      <c r="BB83" s="386">
        <f t="shared" si="88"/>
        <v>-2.4850211194642479E-4</v>
      </c>
      <c r="BC83" s="386">
        <v>120</v>
      </c>
      <c r="BD83" s="386">
        <f t="shared" si="89"/>
        <v>3.6416439423862294E-2</v>
      </c>
      <c r="BJ83" s="386">
        <f t="shared" si="65"/>
        <v>4.1634983774737212E-2</v>
      </c>
      <c r="BK83" s="386">
        <f t="shared" si="66"/>
        <v>69.764825131798517</v>
      </c>
      <c r="BL83" s="386">
        <f t="shared" si="85"/>
        <v>99</v>
      </c>
    </row>
    <row r="84" spans="3:64" x14ac:dyDescent="0.3">
      <c r="C84" s="396">
        <f>IF(DewPointA32(P_TOTAL,D84)&lt;32,32,DewPointA32(P_TOTAL,D84))</f>
        <v>51.323095872033718</v>
      </c>
      <c r="D84" s="397">
        <f>D83+0.0002</f>
        <v>7.999999999999995E-3</v>
      </c>
      <c r="E84" s="406"/>
      <c r="F84" s="406"/>
      <c r="G84" s="406"/>
      <c r="H84" s="406"/>
      <c r="K84" s="405">
        <v>112</v>
      </c>
      <c r="L84" s="406">
        <f t="shared" si="67"/>
        <v>1.3521129272968984</v>
      </c>
      <c r="M84" s="406">
        <f t="shared" si="68"/>
        <v>0.13521129272968985</v>
      </c>
      <c r="N84" s="407">
        <f t="shared" si="55"/>
        <v>5.7753760298018238E-3</v>
      </c>
      <c r="O84" s="405">
        <v>112</v>
      </c>
      <c r="P84" s="406">
        <f t="shared" si="69"/>
        <v>1.3521129272968984</v>
      </c>
      <c r="Q84" s="406">
        <f t="shared" si="70"/>
        <v>0.27042258545937969</v>
      </c>
      <c r="R84" s="407">
        <f t="shared" si="56"/>
        <v>1.165901754341055E-2</v>
      </c>
      <c r="S84" s="405">
        <v>112</v>
      </c>
      <c r="T84" s="406">
        <f t="shared" si="71"/>
        <v>1.3521129272968984</v>
      </c>
      <c r="U84" s="406">
        <f t="shared" si="72"/>
        <v>0.40563387818906949</v>
      </c>
      <c r="V84" s="407">
        <f t="shared" si="57"/>
        <v>1.765399767049243E-2</v>
      </c>
      <c r="W84" s="405">
        <v>112</v>
      </c>
      <c r="X84" s="406">
        <f t="shared" si="73"/>
        <v>1.3521129272968984</v>
      </c>
      <c r="Y84" s="406">
        <f t="shared" si="74"/>
        <v>0.54084517091875939</v>
      </c>
      <c r="Z84" s="407">
        <f t="shared" si="58"/>
        <v>2.3763506959940832E-2</v>
      </c>
      <c r="AA84" s="405">
        <v>112</v>
      </c>
      <c r="AB84" s="406">
        <f t="shared" si="75"/>
        <v>1.3521129272968984</v>
      </c>
      <c r="AC84" s="406">
        <f t="shared" si="76"/>
        <v>0.67605646364844918</v>
      </c>
      <c r="AD84" s="407">
        <f t="shared" si="59"/>
        <v>2.9990859041955191E-2</v>
      </c>
      <c r="AE84" s="405">
        <v>112</v>
      </c>
      <c r="AF84" s="406">
        <f t="shared" si="77"/>
        <v>1.3521129272968984</v>
      </c>
      <c r="AG84" s="406">
        <f t="shared" si="78"/>
        <v>0.81126775637813897</v>
      </c>
      <c r="AH84" s="407">
        <f t="shared" si="60"/>
        <v>3.6339496620948278E-2</v>
      </c>
      <c r="AI84" s="405">
        <v>112</v>
      </c>
      <c r="AJ84" s="406">
        <f t="shared" si="79"/>
        <v>1.3521129272968984</v>
      </c>
      <c r="AK84" s="406">
        <f t="shared" si="80"/>
        <v>0.94647904910782876</v>
      </c>
      <c r="AL84" s="407">
        <f t="shared" si="61"/>
        <v>4.2812997822054999E-2</v>
      </c>
      <c r="AM84" s="405">
        <v>112</v>
      </c>
      <c r="AN84" s="406">
        <f t="shared" si="81"/>
        <v>1.3521129272968984</v>
      </c>
      <c r="AO84" s="406">
        <f t="shared" si="82"/>
        <v>1.0816903418375188</v>
      </c>
      <c r="AP84" s="407">
        <f t="shared" si="62"/>
        <v>4.9415082915825602E-2</v>
      </c>
      <c r="AQ84" s="405">
        <v>112</v>
      </c>
      <c r="AR84" s="406">
        <f t="shared" si="83"/>
        <v>1.3521129272968984</v>
      </c>
      <c r="AS84" s="406">
        <f t="shared" si="84"/>
        <v>1.2169016345672086</v>
      </c>
      <c r="AT84" s="407">
        <f t="shared" si="63"/>
        <v>5.61496214476584E-2</v>
      </c>
      <c r="AW84" s="386">
        <v>100</v>
      </c>
      <c r="AX84" s="386">
        <f>VLOOKUP(AW84,THERMO_WATER_SAT!$A$3:$D$103,4,FALSE)</f>
        <v>4.2998261118408897E-2</v>
      </c>
      <c r="AY84" s="386">
        <f t="shared" si="87"/>
        <v>100</v>
      </c>
      <c r="AZ84" s="386">
        <f t="shared" si="64"/>
        <v>105</v>
      </c>
      <c r="BA84" s="386">
        <f t="shared" si="86"/>
        <v>4.1752174914139205E-2</v>
      </c>
      <c r="BB84" s="386">
        <f t="shared" si="88"/>
        <v>-2.4921724085393839E-4</v>
      </c>
      <c r="BC84" s="386">
        <v>120</v>
      </c>
      <c r="BD84" s="386">
        <f t="shared" si="89"/>
        <v>3.8013916301330129E-2</v>
      </c>
      <c r="BJ84" s="386">
        <f t="shared" si="65"/>
        <v>4.2998261118408897E-2</v>
      </c>
      <c r="BK84" s="386">
        <f t="shared" si="66"/>
        <v>71.530277840289202</v>
      </c>
      <c r="BL84" s="386">
        <f t="shared" si="85"/>
        <v>100</v>
      </c>
    </row>
    <row r="85" spans="3:64" x14ac:dyDescent="0.3">
      <c r="C85" s="401">
        <v>120</v>
      </c>
      <c r="D85" s="402">
        <f>D84</f>
        <v>7.999999999999995E-3</v>
      </c>
      <c r="E85" s="406"/>
      <c r="F85" s="406"/>
      <c r="G85" s="406"/>
      <c r="H85" s="406"/>
      <c r="K85" s="408">
        <v>113</v>
      </c>
      <c r="L85" s="406">
        <f t="shared" si="67"/>
        <v>1.3913782902183109</v>
      </c>
      <c r="M85" s="406">
        <f t="shared" si="68"/>
        <v>0.13913782902183111</v>
      </c>
      <c r="N85" s="407">
        <f t="shared" si="55"/>
        <v>5.9446960416615589E-3</v>
      </c>
      <c r="O85" s="408">
        <v>113</v>
      </c>
      <c r="P85" s="406">
        <f t="shared" si="69"/>
        <v>1.3913782902183109</v>
      </c>
      <c r="Q85" s="406">
        <f t="shared" si="70"/>
        <v>0.27827565804366222</v>
      </c>
      <c r="R85" s="407">
        <f t="shared" si="56"/>
        <v>1.2004130315489822E-2</v>
      </c>
      <c r="S85" s="408">
        <v>113</v>
      </c>
      <c r="T85" s="406">
        <f t="shared" si="71"/>
        <v>1.3913782902183109</v>
      </c>
      <c r="U85" s="406">
        <f t="shared" si="72"/>
        <v>0.41741348706549325</v>
      </c>
      <c r="V85" s="407">
        <f t="shared" si="57"/>
        <v>1.8181657025036026E-2</v>
      </c>
      <c r="W85" s="408">
        <v>113</v>
      </c>
      <c r="X85" s="406">
        <f t="shared" si="73"/>
        <v>1.3913782902183109</v>
      </c>
      <c r="Y85" s="406">
        <f t="shared" si="74"/>
        <v>0.55655131608732444</v>
      </c>
      <c r="Z85" s="407">
        <f t="shared" si="58"/>
        <v>2.4480762400668224E-2</v>
      </c>
      <c r="AA85" s="408">
        <v>113</v>
      </c>
      <c r="AB85" s="406">
        <f t="shared" si="75"/>
        <v>1.3913782902183109</v>
      </c>
      <c r="AC85" s="406">
        <f t="shared" si="76"/>
        <v>0.69568914510915547</v>
      </c>
      <c r="AD85" s="407">
        <f t="shared" si="59"/>
        <v>3.0905071260112917E-2</v>
      </c>
      <c r="AE85" s="408">
        <v>113</v>
      </c>
      <c r="AF85" s="406">
        <f t="shared" si="77"/>
        <v>1.3913782902183109</v>
      </c>
      <c r="AG85" s="406">
        <f t="shared" si="78"/>
        <v>0.8348269741309865</v>
      </c>
      <c r="AH85" s="407">
        <f t="shared" si="60"/>
        <v>3.7458353964123385E-2</v>
      </c>
      <c r="AI85" s="408">
        <v>113</v>
      </c>
      <c r="AJ85" s="406">
        <f t="shared" si="79"/>
        <v>1.3913782902183109</v>
      </c>
      <c r="AK85" s="406">
        <f t="shared" si="80"/>
        <v>0.97396480315281764</v>
      </c>
      <c r="AL85" s="407">
        <f t="shared" si="61"/>
        <v>4.4144533795319747E-2</v>
      </c>
      <c r="AM85" s="408">
        <v>113</v>
      </c>
      <c r="AN85" s="406">
        <f t="shared" si="81"/>
        <v>1.3913782902183109</v>
      </c>
      <c r="AO85" s="406">
        <f t="shared" si="82"/>
        <v>1.1131026321746489</v>
      </c>
      <c r="AP85" s="407">
        <f t="shared" si="62"/>
        <v>5.0967694790544624E-2</v>
      </c>
      <c r="AQ85" s="408">
        <v>113</v>
      </c>
      <c r="AR85" s="406">
        <f t="shared" si="83"/>
        <v>1.3913782902183109</v>
      </c>
      <c r="AS85" s="406">
        <f t="shared" si="84"/>
        <v>1.2522404611964799</v>
      </c>
      <c r="AT85" s="407">
        <f t="shared" si="63"/>
        <v>5.7932090059590262E-2</v>
      </c>
      <c r="AW85" s="386">
        <v>101</v>
      </c>
      <c r="AX85" s="386">
        <f>VLOOKUP(AW85,THERMO_WATER_SAT!$A$3:$D$103,4,FALSE)</f>
        <v>4.4403333836748195E-2</v>
      </c>
      <c r="AY85" s="386">
        <f t="shared" si="87"/>
        <v>101</v>
      </c>
      <c r="AZ85" s="386">
        <f t="shared" si="64"/>
        <v>106</v>
      </c>
      <c r="BA85" s="386">
        <f t="shared" si="86"/>
        <v>4.3153578863890332E-2</v>
      </c>
      <c r="BB85" s="386">
        <f t="shared" si="88"/>
        <v>-2.4995099457157248E-4</v>
      </c>
      <c r="BC85" s="386">
        <v>120</v>
      </c>
      <c r="BD85" s="386">
        <f t="shared" si="89"/>
        <v>3.9654264939888315E-2</v>
      </c>
      <c r="BJ85" s="386">
        <f t="shared" si="65"/>
        <v>4.4403333836748195E-2</v>
      </c>
      <c r="BK85" s="386">
        <f t="shared" si="66"/>
        <v>73.343160303364968</v>
      </c>
      <c r="BL85" s="386">
        <f t="shared" si="85"/>
        <v>101</v>
      </c>
    </row>
    <row r="86" spans="3:64" x14ac:dyDescent="0.3">
      <c r="C86" s="396">
        <f>IF(DewPointA32(P_TOTAL,D86)&lt;32,32,DewPointA32(P_TOTAL,D86))</f>
        <v>51.982651827276527</v>
      </c>
      <c r="D86" s="397">
        <f>D85+0.0002</f>
        <v>8.1999999999999955E-3</v>
      </c>
      <c r="E86" s="406"/>
      <c r="F86" s="406"/>
      <c r="G86" s="406"/>
      <c r="H86" s="406"/>
      <c r="K86" s="405">
        <v>114</v>
      </c>
      <c r="L86" s="406">
        <f t="shared" si="67"/>
        <v>1.4316208823415508</v>
      </c>
      <c r="M86" s="406">
        <f t="shared" si="68"/>
        <v>0.14316208823415508</v>
      </c>
      <c r="N86" s="407">
        <f t="shared" si="55"/>
        <v>6.1183248676935581E-3</v>
      </c>
      <c r="O86" s="405">
        <v>114</v>
      </c>
      <c r="P86" s="406">
        <f t="shared" si="69"/>
        <v>1.4316208823415508</v>
      </c>
      <c r="Q86" s="406">
        <f t="shared" si="70"/>
        <v>0.28632417646831015</v>
      </c>
      <c r="R86" s="407">
        <f t="shared" si="56"/>
        <v>1.2358222514022923E-2</v>
      </c>
      <c r="S86" s="405">
        <v>114</v>
      </c>
      <c r="T86" s="406">
        <f t="shared" si="71"/>
        <v>1.4316208823415508</v>
      </c>
      <c r="U86" s="406">
        <f t="shared" si="72"/>
        <v>0.42948626470246526</v>
      </c>
      <c r="V86" s="407">
        <f t="shared" si="57"/>
        <v>1.8723352826719223E-2</v>
      </c>
      <c r="W86" s="405">
        <v>114</v>
      </c>
      <c r="X86" s="406">
        <f t="shared" si="73"/>
        <v>1.4316208823415508</v>
      </c>
      <c r="Y86" s="406">
        <f t="shared" si="74"/>
        <v>0.57264835293662031</v>
      </c>
      <c r="Z86" s="407">
        <f t="shared" si="58"/>
        <v>2.521752408808263E-2</v>
      </c>
      <c r="AA86" s="405">
        <v>114</v>
      </c>
      <c r="AB86" s="406">
        <f t="shared" si="75"/>
        <v>1.4316208823415508</v>
      </c>
      <c r="AC86" s="406">
        <f t="shared" si="76"/>
        <v>0.71581044117077541</v>
      </c>
      <c r="AD86" s="407">
        <f t="shared" si="59"/>
        <v>3.184470057304687E-2</v>
      </c>
      <c r="AE86" s="405">
        <v>114</v>
      </c>
      <c r="AF86" s="406">
        <f t="shared" si="77"/>
        <v>1.4316208823415508</v>
      </c>
      <c r="AG86" s="406">
        <f t="shared" si="78"/>
        <v>0.85897252940493052</v>
      </c>
      <c r="AH86" s="407">
        <f t="shared" si="60"/>
        <v>3.8609010618914988E-2</v>
      </c>
      <c r="AI86" s="405">
        <v>114</v>
      </c>
      <c r="AJ86" s="406">
        <f t="shared" si="79"/>
        <v>1.4316208823415508</v>
      </c>
      <c r="AK86" s="406">
        <f t="shared" si="80"/>
        <v>1.0021346176390855</v>
      </c>
      <c r="AL86" s="407">
        <f t="shared" si="61"/>
        <v>4.5514755201283973E-2</v>
      </c>
      <c r="AM86" s="405">
        <v>114</v>
      </c>
      <c r="AN86" s="406">
        <f t="shared" si="81"/>
        <v>1.4316208823415508</v>
      </c>
      <c r="AO86" s="406">
        <f t="shared" si="82"/>
        <v>1.1452967058732406</v>
      </c>
      <c r="AP86" s="407">
        <f t="shared" si="62"/>
        <v>5.2566417053593058E-2</v>
      </c>
      <c r="AQ86" s="405">
        <v>114</v>
      </c>
      <c r="AR86" s="406">
        <f t="shared" si="83"/>
        <v>1.4316208823415508</v>
      </c>
      <c r="AS86" s="406">
        <f t="shared" si="84"/>
        <v>1.2884587941073957</v>
      </c>
      <c r="AT86" s="407">
        <f t="shared" si="63"/>
        <v>5.9768670370928416E-2</v>
      </c>
      <c r="AW86" s="386">
        <v>102</v>
      </c>
      <c r="AX86" s="386">
        <f>VLOOKUP(AW86,THERMO_WATER_SAT!$A$3:$D$103,4,FALSE)</f>
        <v>4.5851487646390597E-2</v>
      </c>
      <c r="AY86" s="386">
        <f t="shared" si="87"/>
        <v>102</v>
      </c>
      <c r="AZ86" s="386">
        <f t="shared" si="64"/>
        <v>107</v>
      </c>
      <c r="BA86" s="386">
        <f t="shared" si="86"/>
        <v>4.459796788286928E-2</v>
      </c>
      <c r="BB86" s="386">
        <f t="shared" si="88"/>
        <v>-2.5070395270426342E-4</v>
      </c>
      <c r="BC86" s="386">
        <v>120</v>
      </c>
      <c r="BD86" s="386">
        <f t="shared" si="89"/>
        <v>4.1338816497713857E-2</v>
      </c>
      <c r="BJ86" s="386">
        <f t="shared" si="65"/>
        <v>4.5851487646390597E-2</v>
      </c>
      <c r="BK86" s="386">
        <f t="shared" si="66"/>
        <v>75.20495056535016</v>
      </c>
      <c r="BL86" s="386">
        <f t="shared" si="85"/>
        <v>102</v>
      </c>
    </row>
    <row r="87" spans="3:64" x14ac:dyDescent="0.3">
      <c r="C87" s="401">
        <v>120</v>
      </c>
      <c r="D87" s="402">
        <f>D86</f>
        <v>8.1999999999999955E-3</v>
      </c>
      <c r="E87" s="406"/>
      <c r="F87" s="406"/>
      <c r="G87" s="406"/>
      <c r="H87" s="406"/>
      <c r="K87" s="405">
        <v>115</v>
      </c>
      <c r="L87" s="406">
        <f t="shared" si="67"/>
        <v>1.472860605896688</v>
      </c>
      <c r="M87" s="406">
        <f t="shared" si="68"/>
        <v>0.14728606058966881</v>
      </c>
      <c r="N87" s="407">
        <f t="shared" si="55"/>
        <v>6.2963555238682196E-3</v>
      </c>
      <c r="O87" s="405">
        <v>115</v>
      </c>
      <c r="P87" s="406">
        <f t="shared" si="69"/>
        <v>1.472860605896688</v>
      </c>
      <c r="Q87" s="406">
        <f t="shared" si="70"/>
        <v>0.29457212117933762</v>
      </c>
      <c r="R87" s="407">
        <f t="shared" si="56"/>
        <v>1.2721499027509801E-2</v>
      </c>
      <c r="S87" s="405">
        <v>115</v>
      </c>
      <c r="T87" s="406">
        <f t="shared" si="71"/>
        <v>1.472860605896688</v>
      </c>
      <c r="U87" s="406">
        <f t="shared" si="72"/>
        <v>0.44185818176900638</v>
      </c>
      <c r="V87" s="407">
        <f t="shared" si="57"/>
        <v>1.9279422755656278E-2</v>
      </c>
      <c r="W87" s="405">
        <v>115</v>
      </c>
      <c r="X87" s="406">
        <f t="shared" si="73"/>
        <v>1.472860605896688</v>
      </c>
      <c r="Y87" s="406">
        <f t="shared" si="74"/>
        <v>0.58914424235867524</v>
      </c>
      <c r="Z87" s="407">
        <f t="shared" si="58"/>
        <v>2.5974285681049883E-2</v>
      </c>
      <c r="AA87" s="405">
        <v>115</v>
      </c>
      <c r="AB87" s="406">
        <f t="shared" si="75"/>
        <v>1.472860605896688</v>
      </c>
      <c r="AC87" s="406">
        <f t="shared" si="76"/>
        <v>0.736430302948344</v>
      </c>
      <c r="AD87" s="407">
        <f t="shared" si="59"/>
        <v>3.2810422300098577E-2</v>
      </c>
      <c r="AE87" s="405">
        <v>115</v>
      </c>
      <c r="AF87" s="406">
        <f t="shared" si="77"/>
        <v>1.472860605896688</v>
      </c>
      <c r="AG87" s="406">
        <f t="shared" si="78"/>
        <v>0.88371636353801275</v>
      </c>
      <c r="AH87" s="407">
        <f t="shared" si="60"/>
        <v>3.9792351991281186E-2</v>
      </c>
      <c r="AI87" s="405">
        <v>115</v>
      </c>
      <c r="AJ87" s="406">
        <f t="shared" si="79"/>
        <v>1.472860605896688</v>
      </c>
      <c r="AK87" s="406">
        <f t="shared" si="80"/>
        <v>1.0310024241276816</v>
      </c>
      <c r="AL87" s="407">
        <f t="shared" si="61"/>
        <v>4.6924788978761324E-2</v>
      </c>
      <c r="AM87" s="405">
        <v>115</v>
      </c>
      <c r="AN87" s="406">
        <f t="shared" si="81"/>
        <v>1.472860605896688</v>
      </c>
      <c r="AO87" s="406">
        <f t="shared" si="82"/>
        <v>1.1782884847173505</v>
      </c>
      <c r="AP87" s="407">
        <f t="shared" si="62"/>
        <v>5.4212652947369488E-2</v>
      </c>
      <c r="AQ87" s="405">
        <v>115</v>
      </c>
      <c r="AR87" s="406">
        <f t="shared" si="83"/>
        <v>1.472860605896688</v>
      </c>
      <c r="AS87" s="406">
        <f t="shared" si="84"/>
        <v>1.3255745453070191</v>
      </c>
      <c r="AT87" s="407">
        <f t="shared" si="63"/>
        <v>6.1661080359181004E-2</v>
      </c>
      <c r="AW87" s="386">
        <v>103</v>
      </c>
      <c r="AX87" s="386">
        <f>VLOOKUP(AW87,THERMO_WATER_SAT!$A$3:$D$103,4,FALSE)</f>
        <v>4.7344053638317452E-2</v>
      </c>
      <c r="AY87" s="386">
        <f t="shared" si="87"/>
        <v>103</v>
      </c>
      <c r="AZ87" s="386">
        <f t="shared" si="64"/>
        <v>108</v>
      </c>
      <c r="BA87" s="386">
        <f t="shared" si="86"/>
        <v>4.6086670060775263E-2</v>
      </c>
      <c r="BB87" s="386">
        <f t="shared" si="88"/>
        <v>-2.514767155084377E-4</v>
      </c>
      <c r="BC87" s="386">
        <v>120</v>
      </c>
      <c r="BD87" s="386">
        <f t="shared" si="89"/>
        <v>4.3068949474674011E-2</v>
      </c>
      <c r="BJ87" s="386">
        <f t="shared" si="65"/>
        <v>4.7344053638317452E-2</v>
      </c>
      <c r="BK87" s="386">
        <f t="shared" si="66"/>
        <v>77.117179171242356</v>
      </c>
      <c r="BL87" s="386">
        <f t="shared" si="85"/>
        <v>103</v>
      </c>
    </row>
    <row r="88" spans="3:64" x14ac:dyDescent="0.3">
      <c r="C88" s="396">
        <f>IF(DewPointA32(P_TOTAL,D88)&lt;32,32,DewPointA32(P_TOTAL,D88))</f>
        <v>52.627813777317741</v>
      </c>
      <c r="D88" s="397">
        <f>D87+0.0002</f>
        <v>8.399999999999996E-3</v>
      </c>
      <c r="E88" s="406"/>
      <c r="F88" s="406"/>
      <c r="G88" s="406"/>
      <c r="H88" s="406"/>
      <c r="K88" s="408">
        <v>116</v>
      </c>
      <c r="L88" s="406">
        <f t="shared" si="67"/>
        <v>1.5151176660487216</v>
      </c>
      <c r="M88" s="406">
        <f t="shared" si="68"/>
        <v>0.15151176660487217</v>
      </c>
      <c r="N88" s="407">
        <f t="shared" si="55"/>
        <v>6.4788827166003503E-3</v>
      </c>
      <c r="O88" s="408">
        <v>116</v>
      </c>
      <c r="P88" s="406">
        <f t="shared" si="69"/>
        <v>1.5151176660487216</v>
      </c>
      <c r="Q88" s="406">
        <f t="shared" si="70"/>
        <v>0.30302353320974434</v>
      </c>
      <c r="R88" s="407">
        <f t="shared" si="56"/>
        <v>1.3094169042041841E-2</v>
      </c>
      <c r="S88" s="408">
        <v>116</v>
      </c>
      <c r="T88" s="406">
        <f t="shared" si="71"/>
        <v>1.5151176660487216</v>
      </c>
      <c r="U88" s="406">
        <f t="shared" si="72"/>
        <v>0.45453529981461643</v>
      </c>
      <c r="V88" s="407">
        <f t="shared" si="57"/>
        <v>1.9850212479039644E-2</v>
      </c>
      <c r="W88" s="408">
        <v>116</v>
      </c>
      <c r="X88" s="406">
        <f t="shared" si="73"/>
        <v>1.5151176660487216</v>
      </c>
      <c r="Y88" s="406">
        <f t="shared" si="74"/>
        <v>0.60604706641948869</v>
      </c>
      <c r="Z88" s="407">
        <f t="shared" si="58"/>
        <v>2.6751553786260887E-2</v>
      </c>
      <c r="AA88" s="408">
        <v>116</v>
      </c>
      <c r="AB88" s="406">
        <f t="shared" si="75"/>
        <v>1.5151176660487216</v>
      </c>
      <c r="AC88" s="406">
        <f t="shared" si="76"/>
        <v>0.75755883302436078</v>
      </c>
      <c r="AD88" s="407">
        <f t="shared" si="59"/>
        <v>3.3802931155746771E-2</v>
      </c>
      <c r="AE88" s="408">
        <v>116</v>
      </c>
      <c r="AF88" s="406">
        <f t="shared" si="77"/>
        <v>1.5151176660487216</v>
      </c>
      <c r="AG88" s="406">
        <f t="shared" si="78"/>
        <v>0.90907059962923287</v>
      </c>
      <c r="AH88" s="407">
        <f t="shared" si="60"/>
        <v>4.1009291061404878E-2</v>
      </c>
      <c r="AI88" s="408">
        <v>116</v>
      </c>
      <c r="AJ88" s="406">
        <f t="shared" si="79"/>
        <v>1.5151176660487216</v>
      </c>
      <c r="AK88" s="406">
        <f t="shared" si="80"/>
        <v>1.060582366234105</v>
      </c>
      <c r="AL88" s="407">
        <f t="shared" si="61"/>
        <v>4.8375799830768194E-2</v>
      </c>
      <c r="AM88" s="408">
        <v>116</v>
      </c>
      <c r="AN88" s="406">
        <f t="shared" si="81"/>
        <v>1.5151176660487216</v>
      </c>
      <c r="AO88" s="406">
        <f t="shared" si="82"/>
        <v>1.2120941328389774</v>
      </c>
      <c r="AP88" s="407">
        <f t="shared" si="62"/>
        <v>5.5907855996909894E-2</v>
      </c>
      <c r="AQ88" s="408">
        <v>116</v>
      </c>
      <c r="AR88" s="406">
        <f t="shared" si="83"/>
        <v>1.5151176660487216</v>
      </c>
      <c r="AS88" s="406">
        <f t="shared" si="84"/>
        <v>1.3636058994438494</v>
      </c>
      <c r="AT88" s="407">
        <f t="shared" si="63"/>
        <v>6.3611103492574539E-2</v>
      </c>
      <c r="AW88" s="386">
        <v>104</v>
      </c>
      <c r="AX88" s="386">
        <f>VLOOKUP(AW88,THERMO_WATER_SAT!$A$3:$D$103,4,FALSE)</f>
        <v>4.8882410329501663E-2</v>
      </c>
      <c r="AY88" s="386">
        <f t="shared" si="87"/>
        <v>104</v>
      </c>
      <c r="AZ88" s="386">
        <f t="shared" si="64"/>
        <v>109</v>
      </c>
      <c r="BA88" s="386">
        <f t="shared" si="86"/>
        <v>4.7621060805374427E-2</v>
      </c>
      <c r="BB88" s="386">
        <f t="shared" si="88"/>
        <v>-2.5226990482544732E-4</v>
      </c>
      <c r="BC88" s="386">
        <v>120</v>
      </c>
      <c r="BD88" s="386">
        <f t="shared" si="89"/>
        <v>4.4846091852294503E-2</v>
      </c>
      <c r="BJ88" s="386">
        <f t="shared" si="65"/>
        <v>4.8882410329501663E-2</v>
      </c>
      <c r="BK88" s="386">
        <f t="shared" si="66"/>
        <v>79.081431538976332</v>
      </c>
      <c r="BL88" s="386">
        <f t="shared" si="85"/>
        <v>104</v>
      </c>
    </row>
    <row r="89" spans="3:64" x14ac:dyDescent="0.3">
      <c r="C89" s="401">
        <v>120</v>
      </c>
      <c r="D89" s="402">
        <f>D88</f>
        <v>8.399999999999996E-3</v>
      </c>
      <c r="E89" s="406"/>
      <c r="F89" s="406"/>
      <c r="G89" s="406"/>
      <c r="H89" s="406"/>
      <c r="K89" s="405">
        <v>117</v>
      </c>
      <c r="L89" s="406">
        <f t="shared" si="67"/>
        <v>1.5584125735556731</v>
      </c>
      <c r="M89" s="406">
        <f t="shared" si="68"/>
        <v>0.15584125735556731</v>
      </c>
      <c r="N89" s="407">
        <f t="shared" si="55"/>
        <v>6.6660028712380607E-3</v>
      </c>
      <c r="O89" s="405">
        <v>117</v>
      </c>
      <c r="P89" s="406">
        <f t="shared" si="69"/>
        <v>1.5584125735556731</v>
      </c>
      <c r="Q89" s="406">
        <f t="shared" si="70"/>
        <v>0.31168251471113462</v>
      </c>
      <c r="R89" s="407">
        <f t="shared" si="56"/>
        <v>1.3476446140159503E-2</v>
      </c>
      <c r="S89" s="405">
        <v>117</v>
      </c>
      <c r="T89" s="406">
        <f t="shared" si="71"/>
        <v>1.5584125735556731</v>
      </c>
      <c r="U89" s="406">
        <f t="shared" si="72"/>
        <v>0.46752377206670193</v>
      </c>
      <c r="V89" s="407">
        <f t="shared" si="57"/>
        <v>2.0436075875034883E-2</v>
      </c>
      <c r="W89" s="405">
        <v>117</v>
      </c>
      <c r="X89" s="406">
        <f t="shared" si="73"/>
        <v>1.5584125735556731</v>
      </c>
      <c r="Y89" s="406">
        <f t="shared" si="74"/>
        <v>0.62336502942226923</v>
      </c>
      <c r="Z89" s="407">
        <f t="shared" si="58"/>
        <v>2.7549848377185864E-2</v>
      </c>
      <c r="AA89" s="405">
        <v>117</v>
      </c>
      <c r="AB89" s="406">
        <f t="shared" si="75"/>
        <v>1.5584125735556731</v>
      </c>
      <c r="AC89" s="406">
        <f t="shared" si="76"/>
        <v>0.77920628677783654</v>
      </c>
      <c r="AD89" s="407">
        <f t="shared" si="59"/>
        <v>3.4822941952009419E-2</v>
      </c>
      <c r="AE89" s="405">
        <v>117</v>
      </c>
      <c r="AF89" s="406">
        <f t="shared" si="77"/>
        <v>1.5584125735556731</v>
      </c>
      <c r="AG89" s="406">
        <f t="shared" si="78"/>
        <v>0.93504754413340385</v>
      </c>
      <c r="AH89" s="407">
        <f t="shared" si="60"/>
        <v>4.2260769479835175E-2</v>
      </c>
      <c r="AI89" s="405">
        <v>117</v>
      </c>
      <c r="AJ89" s="406">
        <f t="shared" si="79"/>
        <v>1.5584125735556731</v>
      </c>
      <c r="AK89" s="406">
        <f t="shared" si="80"/>
        <v>1.090888801488971</v>
      </c>
      <c r="AL89" s="407">
        <f t="shared" si="61"/>
        <v>4.9868991850748591E-2</v>
      </c>
      <c r="AM89" s="405">
        <v>117</v>
      </c>
      <c r="AN89" s="406">
        <f t="shared" si="81"/>
        <v>1.5584125735556731</v>
      </c>
      <c r="AO89" s="406">
        <f t="shared" si="82"/>
        <v>1.2467300588445385</v>
      </c>
      <c r="AP89" s="407">
        <f t="shared" si="62"/>
        <v>5.7653532333457165E-2</v>
      </c>
      <c r="AQ89" s="405">
        <v>117</v>
      </c>
      <c r="AR89" s="406">
        <f t="shared" si="83"/>
        <v>1.5584125735556731</v>
      </c>
      <c r="AS89" s="406">
        <f t="shared" si="84"/>
        <v>1.4025713162001059</v>
      </c>
      <c r="AT89" s="407">
        <f t="shared" si="63"/>
        <v>6.5620591954849511E-2</v>
      </c>
      <c r="AW89" s="386">
        <v>105</v>
      </c>
      <c r="AX89" s="386">
        <f>VLOOKUP(AW89,THERMO_WATER_SAT!$A$3:$D$103,4,FALSE)</f>
        <v>5.0467985830663357E-2</v>
      </c>
      <c r="AY89" s="386">
        <f t="shared" si="87"/>
        <v>105</v>
      </c>
      <c r="AZ89" s="386">
        <f t="shared" si="64"/>
        <v>110</v>
      </c>
      <c r="BA89" s="386">
        <f t="shared" si="86"/>
        <v>4.9202565005324758E-2</v>
      </c>
      <c r="BB89" s="386">
        <f t="shared" si="88"/>
        <v>-2.5308416506771985E-4</v>
      </c>
      <c r="BC89" s="386">
        <v>120</v>
      </c>
      <c r="BD89" s="386">
        <f t="shared" si="89"/>
        <v>4.667172335464756E-2</v>
      </c>
      <c r="BJ89" s="386">
        <f t="shared" si="65"/>
        <v>5.0467985830663357E-2</v>
      </c>
      <c r="BK89" s="386">
        <f t="shared" si="66"/>
        <v>81.099350465759343</v>
      </c>
      <c r="BL89" s="386">
        <f t="shared" si="85"/>
        <v>105</v>
      </c>
    </row>
    <row r="90" spans="3:64" x14ac:dyDescent="0.3">
      <c r="C90" s="396">
        <f>IF(DewPointA32(P_TOTAL,D90)&lt;32,32,DewPointA32(P_TOTAL,D90))</f>
        <v>53.259231486550462</v>
      </c>
      <c r="D90" s="397">
        <f>D89+0.0002</f>
        <v>8.5999999999999965E-3</v>
      </c>
      <c r="E90" s="406"/>
      <c r="F90" s="406"/>
      <c r="G90" s="406"/>
      <c r="H90" s="406"/>
      <c r="K90" s="405">
        <v>118</v>
      </c>
      <c r="L90" s="406">
        <f t="shared" si="67"/>
        <v>1.6027661474203947</v>
      </c>
      <c r="M90" s="406">
        <f t="shared" si="68"/>
        <v>0.16027661474203947</v>
      </c>
      <c r="N90" s="407">
        <f t="shared" si="55"/>
        <v>6.8578141611833707E-3</v>
      </c>
      <c r="O90" s="405">
        <v>118</v>
      </c>
      <c r="P90" s="406">
        <f t="shared" si="69"/>
        <v>1.6027661474203947</v>
      </c>
      <c r="Q90" s="406">
        <f t="shared" si="70"/>
        <v>0.32055322948407894</v>
      </c>
      <c r="R90" s="407">
        <f t="shared" si="56"/>
        <v>1.3868548402810967E-2</v>
      </c>
      <c r="S90" s="405">
        <v>118</v>
      </c>
      <c r="T90" s="406">
        <f t="shared" si="71"/>
        <v>1.6027661474203947</v>
      </c>
      <c r="U90" s="406">
        <f t="shared" si="72"/>
        <v>0.48082984422611841</v>
      </c>
      <c r="V90" s="407">
        <f t="shared" si="57"/>
        <v>2.1037375265039064E-2</v>
      </c>
      <c r="W90" s="405">
        <v>118</v>
      </c>
      <c r="X90" s="406">
        <f t="shared" si="73"/>
        <v>1.6027661474203947</v>
      </c>
      <c r="Y90" s="406">
        <f t="shared" si="74"/>
        <v>0.64110645896815788</v>
      </c>
      <c r="Z90" s="407">
        <f t="shared" si="58"/>
        <v>2.8369703230679347E-2</v>
      </c>
      <c r="AA90" s="405">
        <v>118</v>
      </c>
      <c r="AB90" s="406">
        <f t="shared" si="75"/>
        <v>1.6027661474203947</v>
      </c>
      <c r="AC90" s="406">
        <f t="shared" si="76"/>
        <v>0.80138307371019735</v>
      </c>
      <c r="AD90" s="407">
        <f t="shared" si="59"/>
        <v>3.5871190333379044E-2</v>
      </c>
      <c r="AE90" s="405">
        <v>118</v>
      </c>
      <c r="AF90" s="406">
        <f t="shared" si="77"/>
        <v>1.6027661474203947</v>
      </c>
      <c r="AG90" s="406">
        <f t="shared" si="78"/>
        <v>0.96165968845223682</v>
      </c>
      <c r="AH90" s="407">
        <f t="shared" si="60"/>
        <v>4.3547758718627261E-2</v>
      </c>
      <c r="AI90" s="405">
        <v>118</v>
      </c>
      <c r="AJ90" s="406">
        <f t="shared" si="79"/>
        <v>1.6027661474203947</v>
      </c>
      <c r="AK90" s="406">
        <f t="shared" si="80"/>
        <v>1.1219363031942762</v>
      </c>
      <c r="AL90" s="407">
        <f t="shared" si="61"/>
        <v>5.1405610236341236E-2</v>
      </c>
      <c r="AM90" s="405">
        <v>118</v>
      </c>
      <c r="AN90" s="406">
        <f t="shared" si="81"/>
        <v>1.6027661474203947</v>
      </c>
      <c r="AO90" s="406">
        <f t="shared" si="82"/>
        <v>1.2822129179363158</v>
      </c>
      <c r="AP90" s="407">
        <f t="shared" si="62"/>
        <v>5.945124315131458E-2</v>
      </c>
      <c r="AQ90" s="405">
        <v>118</v>
      </c>
      <c r="AR90" s="406">
        <f t="shared" si="83"/>
        <v>1.6027661474203947</v>
      </c>
      <c r="AS90" s="406">
        <f t="shared" si="84"/>
        <v>1.4424895326783553</v>
      </c>
      <c r="AT90" s="407">
        <f t="shared" si="63"/>
        <v>6.7691470066156653E-2</v>
      </c>
      <c r="AW90" s="386">
        <v>106</v>
      </c>
      <c r="AX90" s="386">
        <f>VLOOKUP(AW90,THERMO_WATER_SAT!$A$3:$D$103,4,FALSE)</f>
        <v>5.2102260137830571E-2</v>
      </c>
      <c r="AY90" s="386">
        <f t="shared" si="87"/>
        <v>106</v>
      </c>
      <c r="AZ90" s="386">
        <f t="shared" si="64"/>
        <v>111</v>
      </c>
      <c r="BA90" s="386">
        <f t="shared" si="86"/>
        <v>5.0832659316524836E-2</v>
      </c>
      <c r="BB90" s="386">
        <f t="shared" si="88"/>
        <v>-2.5392016426114687E-4</v>
      </c>
      <c r="BC90" s="386">
        <v>120</v>
      </c>
      <c r="BD90" s="386">
        <f t="shared" si="89"/>
        <v>4.8547377838174512E-2</v>
      </c>
      <c r="BJ90" s="386">
        <f t="shared" si="65"/>
        <v>5.2102260137830571E-2</v>
      </c>
      <c r="BK90" s="386">
        <f t="shared" si="66"/>
        <v>83.172638777365094</v>
      </c>
      <c r="BL90" s="386">
        <f t="shared" si="85"/>
        <v>106</v>
      </c>
    </row>
    <row r="91" spans="3:64" x14ac:dyDescent="0.3">
      <c r="C91" s="401">
        <v>120</v>
      </c>
      <c r="D91" s="402">
        <f>D90</f>
        <v>8.5999999999999965E-3</v>
      </c>
      <c r="E91" s="406"/>
      <c r="F91" s="406"/>
      <c r="G91" s="406"/>
      <c r="H91" s="406"/>
      <c r="K91" s="408">
        <v>119</v>
      </c>
      <c r="L91" s="406">
        <f t="shared" si="67"/>
        <v>1.6481995175361721</v>
      </c>
      <c r="M91" s="406">
        <f t="shared" si="68"/>
        <v>0.16481995175361722</v>
      </c>
      <c r="N91" s="407">
        <f t="shared" si="55"/>
        <v>7.0544165376678798E-3</v>
      </c>
      <c r="O91" s="408">
        <v>119</v>
      </c>
      <c r="P91" s="406">
        <f t="shared" si="69"/>
        <v>1.6481995175361721</v>
      </c>
      <c r="Q91" s="406">
        <f t="shared" si="70"/>
        <v>0.32963990350723443</v>
      </c>
      <c r="R91" s="407">
        <f t="shared" si="56"/>
        <v>1.4270698514539415E-2</v>
      </c>
      <c r="S91" s="408">
        <v>119</v>
      </c>
      <c r="T91" s="406">
        <f t="shared" si="71"/>
        <v>1.6481995175361721</v>
      </c>
      <c r="U91" s="406">
        <f t="shared" si="72"/>
        <v>0.49445985526085162</v>
      </c>
      <c r="V91" s="407">
        <f t="shared" si="57"/>
        <v>2.1654481654685705E-2</v>
      </c>
      <c r="W91" s="408">
        <v>119</v>
      </c>
      <c r="X91" s="406">
        <f t="shared" si="73"/>
        <v>1.6481995175361721</v>
      </c>
      <c r="Y91" s="406">
        <f t="shared" si="74"/>
        <v>0.65927980701446887</v>
      </c>
      <c r="Z91" s="407">
        <f t="shared" si="58"/>
        <v>2.921166638212391E-2</v>
      </c>
      <c r="AA91" s="408">
        <v>119</v>
      </c>
      <c r="AB91" s="406">
        <f t="shared" si="75"/>
        <v>1.6481995175361721</v>
      </c>
      <c r="AC91" s="406">
        <f t="shared" si="76"/>
        <v>0.82409975876808605</v>
      </c>
      <c r="AD91" s="407">
        <f t="shared" si="59"/>
        <v>3.694843354607176E-2</v>
      </c>
      <c r="AE91" s="408">
        <v>119</v>
      </c>
      <c r="AF91" s="406">
        <f t="shared" si="77"/>
        <v>1.6481995175361721</v>
      </c>
      <c r="AG91" s="406">
        <f t="shared" si="78"/>
        <v>0.98891971052170324</v>
      </c>
      <c r="AH91" s="407">
        <f t="shared" si="60"/>
        <v>4.4871261280726209E-2</v>
      </c>
      <c r="AI91" s="408">
        <v>119</v>
      </c>
      <c r="AJ91" s="406">
        <f t="shared" si="79"/>
        <v>1.6481995175361721</v>
      </c>
      <c r="AK91" s="406">
        <f t="shared" si="80"/>
        <v>1.1537396622753204</v>
      </c>
      <c r="AL91" s="407">
        <f t="shared" si="61"/>
        <v>5.298694309622274E-2</v>
      </c>
      <c r="AM91" s="408">
        <v>119</v>
      </c>
      <c r="AN91" s="406">
        <f t="shared" si="81"/>
        <v>1.6481995175361721</v>
      </c>
      <c r="AO91" s="406">
        <f t="shared" si="82"/>
        <v>1.3185596140289377</v>
      </c>
      <c r="AP91" s="407">
        <f t="shared" si="62"/>
        <v>6.130260730695844E-2</v>
      </c>
      <c r="AQ91" s="408">
        <v>119</v>
      </c>
      <c r="AR91" s="406">
        <f t="shared" si="83"/>
        <v>1.6481995175361721</v>
      </c>
      <c r="AS91" s="406">
        <f t="shared" si="84"/>
        <v>1.483379565782555</v>
      </c>
      <c r="AT91" s="407">
        <f t="shared" si="63"/>
        <v>6.9825737914059133E-2</v>
      </c>
      <c r="AW91" s="386">
        <v>107</v>
      </c>
      <c r="AX91" s="386">
        <f>VLOOKUP(AW91,THERMO_WATER_SAT!$A$3:$D$103,4,FALSE)</f>
        <v>5.3786767556001501E-2</v>
      </c>
      <c r="AY91" s="386">
        <f t="shared" si="87"/>
        <v>107</v>
      </c>
      <c r="AZ91" s="386">
        <f t="shared" si="64"/>
        <v>112</v>
      </c>
      <c r="BA91" s="386">
        <f t="shared" si="86"/>
        <v>5.251287458026431E-2</v>
      </c>
      <c r="BB91" s="386">
        <f t="shared" si="88"/>
        <v>-2.5477859514743821E-4</v>
      </c>
      <c r="BC91" s="386">
        <v>120</v>
      </c>
      <c r="BD91" s="386">
        <f t="shared" si="89"/>
        <v>5.0474645819084805E-2</v>
      </c>
      <c r="BJ91" s="386">
        <f t="shared" si="65"/>
        <v>5.3786767556001501E-2</v>
      </c>
      <c r="BK91" s="386">
        <f t="shared" si="66"/>
        <v>85.303062129968112</v>
      </c>
      <c r="BL91" s="386">
        <f t="shared" si="85"/>
        <v>107</v>
      </c>
    </row>
    <row r="92" spans="3:64" x14ac:dyDescent="0.3">
      <c r="C92" s="396">
        <f>IF(DewPointA32(P_TOTAL,D92)&lt;32,32,DewPointA32(P_TOTAL,D92))</f>
        <v>53.877510830218867</v>
      </c>
      <c r="D92" s="397">
        <f>D91+0.0002</f>
        <v>8.7999999999999971E-3</v>
      </c>
      <c r="E92" s="406"/>
      <c r="F92" s="406"/>
      <c r="G92" s="406"/>
      <c r="H92" s="406"/>
      <c r="K92" s="404">
        <v>120</v>
      </c>
      <c r="L92" s="403">
        <f t="shared" si="67"/>
        <v>1.6947341273256407</v>
      </c>
      <c r="M92" s="403">
        <f t="shared" si="68"/>
        <v>0.16947341273256408</v>
      </c>
      <c r="N92" s="402">
        <f t="shared" si="55"/>
        <v>7.2559117602052116E-3</v>
      </c>
      <c r="O92" s="404">
        <v>120</v>
      </c>
      <c r="P92" s="403">
        <f t="shared" si="69"/>
        <v>1.6947341273256407</v>
      </c>
      <c r="Q92" s="403">
        <f t="shared" si="70"/>
        <v>0.33894682546512817</v>
      </c>
      <c r="R92" s="402">
        <f t="shared" si="56"/>
        <v>1.4683123872027064E-2</v>
      </c>
      <c r="S92" s="404">
        <v>120</v>
      </c>
      <c r="T92" s="403">
        <f t="shared" si="71"/>
        <v>1.6947341273256407</v>
      </c>
      <c r="U92" s="403">
        <f t="shared" si="72"/>
        <v>0.50842023819769222</v>
      </c>
      <c r="V92" s="402">
        <f t="shared" si="57"/>
        <v>2.228777498399015E-2</v>
      </c>
      <c r="W92" s="404">
        <v>120</v>
      </c>
      <c r="X92" s="403">
        <f t="shared" si="73"/>
        <v>1.6947341273256407</v>
      </c>
      <c r="Y92" s="403">
        <f t="shared" si="74"/>
        <v>0.67789365093025633</v>
      </c>
      <c r="Z92" s="402">
        <f t="shared" si="58"/>
        <v>3.0076300600039928E-2</v>
      </c>
      <c r="AA92" s="404">
        <v>120</v>
      </c>
      <c r="AB92" s="403">
        <f t="shared" si="75"/>
        <v>1.6947341273256407</v>
      </c>
      <c r="AC92" s="403">
        <f t="shared" si="76"/>
        <v>0.84736706366282033</v>
      </c>
      <c r="AD92" s="402">
        <f t="shared" si="59"/>
        <v>3.8055451243466029E-2</v>
      </c>
      <c r="AE92" s="404">
        <v>120</v>
      </c>
      <c r="AF92" s="403">
        <f t="shared" si="77"/>
        <v>1.6947341273256407</v>
      </c>
      <c r="AG92" s="403">
        <f t="shared" si="78"/>
        <v>1.0168404763953844</v>
      </c>
      <c r="AH92" s="402">
        <f t="shared" si="60"/>
        <v>4.6232311971040968E-2</v>
      </c>
      <c r="AI92" s="404">
        <v>120</v>
      </c>
      <c r="AJ92" s="403">
        <f t="shared" si="79"/>
        <v>1.6947341273256407</v>
      </c>
      <c r="AK92" s="403">
        <f t="shared" si="80"/>
        <v>1.1863138891279483</v>
      </c>
      <c r="AL92" s="402">
        <f t="shared" si="61"/>
        <v>5.461432335593959E-2</v>
      </c>
      <c r="AM92" s="404">
        <v>120</v>
      </c>
      <c r="AN92" s="403">
        <f t="shared" si="81"/>
        <v>1.6947341273256407</v>
      </c>
      <c r="AO92" s="403">
        <f t="shared" si="82"/>
        <v>1.3557873018605127</v>
      </c>
      <c r="AP92" s="402">
        <f t="shared" si="62"/>
        <v>6.3209304070054401E-2</v>
      </c>
      <c r="AQ92" s="404">
        <v>120</v>
      </c>
      <c r="AR92" s="403">
        <f t="shared" si="83"/>
        <v>1.6947341273256407</v>
      </c>
      <c r="AS92" s="403">
        <f t="shared" si="84"/>
        <v>1.5252607145930765</v>
      </c>
      <c r="AT92" s="402">
        <f t="shared" si="63"/>
        <v>7.2025475209767487E-2</v>
      </c>
      <c r="AW92" s="386">
        <v>108</v>
      </c>
      <c r="AX92" s="386">
        <f>VLOOKUP(AW92,THERMO_WATER_SAT!$A$3:$D$103,4,FALSE)</f>
        <v>5.5523099263832386E-2</v>
      </c>
      <c r="AY92" s="386">
        <f t="shared" si="87"/>
        <v>108</v>
      </c>
      <c r="AZ92" s="386">
        <f t="shared" si="64"/>
        <v>113</v>
      </c>
      <c r="BA92" s="386">
        <f t="shared" si="86"/>
        <v>5.4244798382079677E-2</v>
      </c>
      <c r="BB92" s="386">
        <f t="shared" si="88"/>
        <v>-2.556601763505417E-4</v>
      </c>
      <c r="BC92" s="386">
        <v>120</v>
      </c>
      <c r="BD92" s="386">
        <f t="shared" si="89"/>
        <v>5.2455177147625882E-2</v>
      </c>
      <c r="BJ92" s="386">
        <f t="shared" si="65"/>
        <v>5.5523099263832386E-2</v>
      </c>
      <c r="BK92" s="386">
        <f t="shared" si="66"/>
        <v>87.492451974825457</v>
      </c>
      <c r="BL92" s="386">
        <f t="shared" si="85"/>
        <v>108</v>
      </c>
    </row>
    <row r="93" spans="3:64" x14ac:dyDescent="0.3">
      <c r="C93" s="401">
        <v>120</v>
      </c>
      <c r="D93" s="402">
        <f>D92</f>
        <v>8.7999999999999971E-3</v>
      </c>
      <c r="E93" s="406"/>
      <c r="F93" s="406"/>
      <c r="G93" s="406"/>
      <c r="H93" s="406"/>
      <c r="K93" s="409"/>
      <c r="AW93" s="386">
        <v>109</v>
      </c>
      <c r="AX93" s="386">
        <f>VLOOKUP(AW93,THERMO_WATER_SAT!$A$3:$D$103,4,FALSE)</f>
        <v>5.7312906028974576E-2</v>
      </c>
      <c r="AY93" s="386">
        <f t="shared" si="87"/>
        <v>109</v>
      </c>
      <c r="AZ93" s="386">
        <f t="shared" si="64"/>
        <v>114</v>
      </c>
      <c r="BA93" s="386">
        <f t="shared" si="86"/>
        <v>5.603007776091732E-2</v>
      </c>
      <c r="BB93" s="386">
        <f t="shared" si="88"/>
        <v>-2.5656565361145136E-4</v>
      </c>
      <c r="BC93" s="386">
        <v>120</v>
      </c>
      <c r="BD93" s="386">
        <f t="shared" si="89"/>
        <v>5.4490683839248613E-2</v>
      </c>
      <c r="BJ93" s="386">
        <f t="shared" si="65"/>
        <v>5.7312906028974576E-2</v>
      </c>
      <c r="BK93" s="386">
        <f t="shared" si="66"/>
        <v>89.742708696920275</v>
      </c>
      <c r="BL93" s="386">
        <f t="shared" si="85"/>
        <v>109</v>
      </c>
    </row>
    <row r="94" spans="3:64" x14ac:dyDescent="0.3">
      <c r="C94" s="396">
        <f>IF(DewPointA32(P_TOTAL,D94)&lt;32,32,DewPointA32(P_TOTAL,D94))</f>
        <v>54.483217692558156</v>
      </c>
      <c r="D94" s="397">
        <f>D93+0.0002</f>
        <v>8.9999999999999976E-3</v>
      </c>
      <c r="E94" s="406"/>
      <c r="F94" s="406"/>
      <c r="G94" s="406"/>
      <c r="H94" s="406"/>
      <c r="AW94" s="386">
        <v>110</v>
      </c>
      <c r="AX94" s="386">
        <f>VLOOKUP(AW94,THERMO_WATER_SAT!$A$3:$D$103,4,FALSE)</f>
        <v>5.9157901084424029E-2</v>
      </c>
      <c r="AY94" s="386">
        <f t="shared" si="87"/>
        <v>110</v>
      </c>
      <c r="AZ94" s="386">
        <f t="shared" si="64"/>
        <v>115</v>
      </c>
      <c r="BA94" s="386">
        <f t="shared" si="86"/>
        <v>5.7870422078943273E-2</v>
      </c>
      <c r="BB94" s="386">
        <f t="shared" si="88"/>
        <v>-2.5749580109615117E-4</v>
      </c>
      <c r="BC94" s="386">
        <v>120</v>
      </c>
      <c r="BD94" s="386">
        <f t="shared" si="89"/>
        <v>5.6582943073462517E-2</v>
      </c>
      <c r="BJ94" s="386">
        <f t="shared" si="65"/>
        <v>5.9157901084424029E-2</v>
      </c>
      <c r="BK94" s="386">
        <f t="shared" si="66"/>
        <v>92.055804939537154</v>
      </c>
      <c r="BL94" s="386">
        <f t="shared" si="85"/>
        <v>110</v>
      </c>
    </row>
    <row r="95" spans="3:64" x14ac:dyDescent="0.3">
      <c r="C95" s="401">
        <v>120</v>
      </c>
      <c r="D95" s="402">
        <f>D94</f>
        <v>8.9999999999999976E-3</v>
      </c>
      <c r="E95" s="406"/>
      <c r="F95" s="406"/>
      <c r="G95" s="406"/>
      <c r="H95" s="406"/>
      <c r="K95" s="409"/>
      <c r="AW95" s="386">
        <v>111</v>
      </c>
      <c r="AX95" s="386">
        <f>VLOOKUP(AW95,THERMO_WATER_SAT!$A$3:$D$103,4,FALSE)</f>
        <v>6.1059863177093908E-2</v>
      </c>
      <c r="AY95" s="386">
        <f t="shared" si="87"/>
        <v>111</v>
      </c>
      <c r="AZ95" s="386">
        <f t="shared" si="64"/>
        <v>116</v>
      </c>
      <c r="BA95" s="386">
        <f t="shared" si="86"/>
        <v>5.9767606063185173E-2</v>
      </c>
      <c r="BB95" s="386">
        <f t="shared" si="88"/>
        <v>-2.5845142278174693E-4</v>
      </c>
      <c r="BC95" s="386">
        <v>120</v>
      </c>
      <c r="BD95" s="386">
        <f t="shared" si="89"/>
        <v>5.8733800372058186E-2</v>
      </c>
      <c r="BJ95" s="386">
        <f t="shared" si="65"/>
        <v>6.1059863177093908E-2</v>
      </c>
      <c r="BK95" s="386">
        <f t="shared" si="66"/>
        <v>94.433789127716537</v>
      </c>
      <c r="BL95" s="386">
        <f t="shared" si="85"/>
        <v>111</v>
      </c>
    </row>
    <row r="96" spans="3:64" x14ac:dyDescent="0.3">
      <c r="C96" s="396">
        <f>IF(DewPointA32(P_TOTAL,D96)&lt;32,32,DewPointA32(P_TOTAL,D96))</f>
        <v>55.0768814397128</v>
      </c>
      <c r="D96" s="397">
        <f>D95+0.0002</f>
        <v>9.1999999999999981E-3</v>
      </c>
      <c r="E96" s="406"/>
      <c r="F96" s="406"/>
      <c r="G96" s="406"/>
      <c r="H96" s="406"/>
      <c r="K96" s="409"/>
      <c r="AW96" s="386">
        <v>112</v>
      </c>
      <c r="AX96" s="386">
        <f>VLOOKUP(AW96,THERMO_WATER_SAT!$A$3:$D$103,4,FALSE)</f>
        <v>6.3020639800680595E-2</v>
      </c>
      <c r="AY96" s="386">
        <f t="shared" si="87"/>
        <v>112</v>
      </c>
      <c r="AZ96" s="386">
        <f t="shared" si="64"/>
        <v>117</v>
      </c>
      <c r="BA96" s="386">
        <f t="shared" si="86"/>
        <v>6.17234730310489E-2</v>
      </c>
      <c r="BB96" s="386">
        <f t="shared" si="88"/>
        <v>-2.5943335392633881E-4</v>
      </c>
      <c r="BC96" s="386">
        <v>120</v>
      </c>
      <c r="BD96" s="386">
        <f t="shared" si="89"/>
        <v>6.0945172969269885E-2</v>
      </c>
      <c r="BJ96" s="386">
        <f t="shared" si="65"/>
        <v>6.3020639800680595E-2</v>
      </c>
      <c r="BK96" s="386">
        <f t="shared" si="66"/>
        <v>96.878789204530349</v>
      </c>
      <c r="BL96" s="386">
        <f t="shared" si="85"/>
        <v>112</v>
      </c>
    </row>
    <row r="97" spans="3:64" x14ac:dyDescent="0.3">
      <c r="C97" s="401">
        <v>120</v>
      </c>
      <c r="D97" s="402">
        <f>D96</f>
        <v>9.1999999999999981E-3</v>
      </c>
      <c r="E97" s="406"/>
      <c r="F97" s="406"/>
      <c r="G97" s="406"/>
      <c r="H97" s="406"/>
      <c r="AW97" s="386">
        <v>113</v>
      </c>
      <c r="AX97" s="386">
        <f>VLOOKUP(AW97,THERMO_WATER_SAT!$A$3:$D$103,4,FALSE)</f>
        <v>6.5042150625902115E-2</v>
      </c>
      <c r="AY97" s="386">
        <f t="shared" si="87"/>
        <v>113</v>
      </c>
      <c r="AZ97" s="386">
        <f t="shared" si="64"/>
        <v>118</v>
      </c>
      <c r="BA97" s="386">
        <f t="shared" si="86"/>
        <v>6.3739938312759911E-2</v>
      </c>
      <c r="BB97" s="386">
        <f t="shared" si="88"/>
        <v>-2.6044246262844071E-4</v>
      </c>
      <c r="BC97" s="386">
        <v>120</v>
      </c>
      <c r="BD97" s="386">
        <f t="shared" si="89"/>
        <v>6.3219053387503027E-2</v>
      </c>
      <c r="BJ97" s="386">
        <f t="shared" si="65"/>
        <v>6.5042150625902115E-2</v>
      </c>
      <c r="BK97" s="386">
        <f t="shared" si="66"/>
        <v>99.393016595284905</v>
      </c>
      <c r="BL97" s="386">
        <f t="shared" si="85"/>
        <v>113</v>
      </c>
    </row>
    <row r="98" spans="3:64" x14ac:dyDescent="0.3">
      <c r="C98" s="396">
        <f>IF(DewPointA32(P_TOTAL,D98)&lt;32,32,DewPointA32(P_TOTAL,D98))</f>
        <v>55.658998022045871</v>
      </c>
      <c r="D98" s="397">
        <f>D97+0.0002</f>
        <v>9.3999999999999986E-3</v>
      </c>
      <c r="E98" s="406"/>
      <c r="F98" s="406"/>
      <c r="G98" s="406"/>
      <c r="H98" s="406"/>
      <c r="K98" s="409"/>
      <c r="AW98" s="386">
        <v>114</v>
      </c>
      <c r="AX98" s="386">
        <f>VLOOKUP(AW98,THERMO_WATER_SAT!$A$3:$D$103,4,FALSE)</f>
        <v>6.7126391142225253E-2</v>
      </c>
      <c r="AY98" s="386">
        <f t="shared" si="87"/>
        <v>114</v>
      </c>
      <c r="AZ98" s="386">
        <f t="shared" si="64"/>
        <v>119</v>
      </c>
      <c r="BA98" s="386">
        <f t="shared" si="86"/>
        <v>6.5818992884812494E-2</v>
      </c>
      <c r="BB98" s="386">
        <f t="shared" si="88"/>
        <v>-2.6147965148255183E-4</v>
      </c>
      <c r="BC98" s="386">
        <v>120</v>
      </c>
      <c r="BD98" s="386">
        <f t="shared" si="89"/>
        <v>6.5557513233329937E-2</v>
      </c>
      <c r="BJ98" s="386">
        <f t="shared" si="65"/>
        <v>6.7126391142225253E-2</v>
      </c>
      <c r="BK98" s="386">
        <f t="shared" si="66"/>
        <v>101.97877041595586</v>
      </c>
      <c r="BL98" s="386">
        <f t="shared" si="85"/>
        <v>114</v>
      </c>
    </row>
    <row r="99" spans="3:64" x14ac:dyDescent="0.3">
      <c r="C99" s="401">
        <v>120</v>
      </c>
      <c r="D99" s="402">
        <f>D98</f>
        <v>9.3999999999999986E-3</v>
      </c>
      <c r="E99" s="406"/>
      <c r="F99" s="406"/>
      <c r="G99" s="406"/>
      <c r="H99" s="406"/>
      <c r="K99" s="409"/>
      <c r="AW99" s="386">
        <v>115</v>
      </c>
      <c r="AX99" s="386">
        <f>VLOOKUP(AW99,THERMO_WATER_SAT!$A$3:$D$103,4,FALSE)</f>
        <v>6.9275436526392786E-2</v>
      </c>
      <c r="AY99" s="386">
        <f t="shared" si="87"/>
        <v>115</v>
      </c>
      <c r="AZ99" s="386">
        <f t="shared" si="64"/>
        <v>120</v>
      </c>
      <c r="BA99" s="386">
        <f t="shared" si="86"/>
        <v>6.79627072297046E-2</v>
      </c>
      <c r="BB99" s="386">
        <f t="shared" si="88"/>
        <v>-2.6254585933763728E-4</v>
      </c>
      <c r="BC99" s="386">
        <v>120</v>
      </c>
      <c r="BD99" s="386">
        <f t="shared" si="89"/>
        <v>6.79627072297046E-2</v>
      </c>
      <c r="BJ99" s="386">
        <f t="shared" si="65"/>
        <v>6.9275436526392786E-2</v>
      </c>
      <c r="BK99" s="386">
        <f t="shared" si="66"/>
        <v>104.63844194354036</v>
      </c>
      <c r="BL99" s="386">
        <f t="shared" si="85"/>
        <v>115</v>
      </c>
    </row>
    <row r="100" spans="3:64" x14ac:dyDescent="0.3">
      <c r="C100" s="396">
        <f>IF(DewPointA32(P_TOTAL,D100)&lt;32,32,DewPointA32(P_TOTAL,D100))</f>
        <v>56.230032752427043</v>
      </c>
      <c r="D100" s="397">
        <f>D99+0.0002</f>
        <v>9.5999999999999992E-3</v>
      </c>
      <c r="E100" s="406"/>
      <c r="F100" s="406"/>
      <c r="G100" s="406"/>
      <c r="H100" s="406"/>
      <c r="K100" s="409"/>
      <c r="AW100" s="386">
        <v>116</v>
      </c>
      <c r="AX100" s="386">
        <f>VLOOKUP(AW100,THERMO_WATER_SAT!$A$3:$D$103,4,FALSE)</f>
        <v>7.1491445754293892E-2</v>
      </c>
      <c r="AY100" s="386">
        <f t="shared" si="87"/>
        <v>116</v>
      </c>
      <c r="AZ100" s="386">
        <f t="shared" si="64"/>
        <v>121</v>
      </c>
      <c r="BA100" s="386">
        <f t="shared" si="86"/>
        <v>7.0173235438462947E-2</v>
      </c>
      <c r="BB100" s="386">
        <f t="shared" si="88"/>
        <v>-2.6364206316618899E-4</v>
      </c>
      <c r="BC100" s="386">
        <v>120</v>
      </c>
      <c r="BD100" s="386">
        <f t="shared" si="89"/>
        <v>7.0436877501629136E-2</v>
      </c>
      <c r="BJ100" s="386">
        <f t="shared" si="65"/>
        <v>7.1491445754293892E-2</v>
      </c>
      <c r="BK100" s="386">
        <f t="shared" si="66"/>
        <v>107.37451936743497</v>
      </c>
      <c r="BL100" s="386">
        <f t="shared" si="85"/>
        <v>116</v>
      </c>
    </row>
    <row r="101" spans="3:64" x14ac:dyDescent="0.3">
      <c r="C101" s="401">
        <v>120</v>
      </c>
      <c r="D101" s="402">
        <f>D100</f>
        <v>9.5999999999999992E-3</v>
      </c>
      <c r="E101" s="406"/>
      <c r="F101" s="406"/>
      <c r="G101" s="406"/>
      <c r="H101" s="406"/>
      <c r="AW101" s="386">
        <v>117</v>
      </c>
      <c r="AX101" s="386">
        <f>VLOOKUP(AW101,THERMO_WATER_SAT!$A$3:$D$103,4,FALSE)</f>
        <v>7.3776665974170846E-2</v>
      </c>
      <c r="AY101" s="386">
        <f t="shared" si="87"/>
        <v>117</v>
      </c>
      <c r="AZ101" s="386">
        <f t="shared" si="64"/>
        <v>122</v>
      </c>
      <c r="BA101" s="386">
        <f t="shared" si="86"/>
        <v>7.245281957391124E-2</v>
      </c>
      <c r="BB101" s="386">
        <f t="shared" si="88"/>
        <v>-2.6476928005192136E-4</v>
      </c>
      <c r="BC101" s="386">
        <v>120</v>
      </c>
      <c r="BD101" s="386">
        <f t="shared" si="89"/>
        <v>7.2982358134015088E-2</v>
      </c>
      <c r="BJ101" s="386">
        <f t="shared" si="65"/>
        <v>7.3776665974170846E-2</v>
      </c>
      <c r="BK101" s="386">
        <f t="shared" si="66"/>
        <v>110.18959284262149</v>
      </c>
      <c r="BL101" s="386">
        <f t="shared" si="85"/>
        <v>117</v>
      </c>
    </row>
    <row r="102" spans="3:64" x14ac:dyDescent="0.3">
      <c r="C102" s="396">
        <f>IF(DewPointA32(P_TOTAL,D102)&lt;32,32,DewPointA32(P_TOTAL,D102))</f>
        <v>56.790422800383666</v>
      </c>
      <c r="D102" s="397">
        <f>D101+0.0002</f>
        <v>9.7999999999999997E-3</v>
      </c>
      <c r="E102" s="406"/>
      <c r="F102" s="406"/>
      <c r="G102" s="406"/>
      <c r="H102" s="406"/>
      <c r="K102" s="409"/>
      <c r="AW102" s="386">
        <v>118</v>
      </c>
      <c r="AX102" s="386">
        <f>VLOOKUP(AW102,THERMO_WATER_SAT!$A$3:$D$103,4,FALSE)</f>
        <v>7.6133437160619349E-2</v>
      </c>
      <c r="AY102" s="386">
        <f t="shared" si="87"/>
        <v>118</v>
      </c>
      <c r="AZ102" s="386">
        <f t="shared" si="64"/>
        <v>123</v>
      </c>
      <c r="BA102" s="386">
        <f t="shared" si="86"/>
        <v>7.4803794314094077E-2</v>
      </c>
      <c r="BB102" s="386">
        <f t="shared" si="88"/>
        <v>-2.6592856930505451E-4</v>
      </c>
      <c r="BC102" s="386">
        <v>120</v>
      </c>
      <c r="BD102" s="386">
        <f t="shared" si="89"/>
        <v>7.5601580022009243E-2</v>
      </c>
      <c r="BJ102" s="386">
        <f t="shared" si="65"/>
        <v>7.6133437160619349E-2</v>
      </c>
      <c r="BK102" s="386">
        <f t="shared" si="66"/>
        <v>113.08635986713631</v>
      </c>
      <c r="BL102" s="386">
        <f t="shared" si="85"/>
        <v>118</v>
      </c>
    </row>
    <row r="103" spans="3:64" x14ac:dyDescent="0.3">
      <c r="C103" s="401">
        <v>120</v>
      </c>
      <c r="D103" s="402">
        <f>D102</f>
        <v>9.7999999999999997E-3</v>
      </c>
      <c r="E103" s="406"/>
      <c r="F103" s="406"/>
      <c r="G103" s="406"/>
      <c r="H103" s="406"/>
      <c r="K103" s="409"/>
      <c r="AW103" s="386">
        <v>119</v>
      </c>
      <c r="AX103" s="386">
        <f>VLOOKUP(AW103,THERMO_WATER_SAT!$A$3:$D$103,4,FALSE)</f>
        <v>7.8564197070571662E-2</v>
      </c>
      <c r="AY103" s="386">
        <f t="shared" si="87"/>
        <v>119</v>
      </c>
      <c r="AZ103" s="386">
        <f t="shared" si="64"/>
        <v>124</v>
      </c>
      <c r="BA103" s="386">
        <f t="shared" si="86"/>
        <v>7.7228591896998336E-2</v>
      </c>
      <c r="BB103" s="386">
        <f t="shared" si="88"/>
        <v>-2.6712103471466522E-4</v>
      </c>
      <c r="BC103" s="386">
        <v>120</v>
      </c>
      <c r="BD103" s="386">
        <f t="shared" si="89"/>
        <v>7.8297076035856991E-2</v>
      </c>
      <c r="BJ103" s="386">
        <f t="shared" si="65"/>
        <v>7.8564197070571662E-2</v>
      </c>
      <c r="BK103" s="386">
        <f t="shared" si="66"/>
        <v>116.06763100829725</v>
      </c>
      <c r="BL103" s="386">
        <f t="shared" si="85"/>
        <v>119</v>
      </c>
    </row>
    <row r="104" spans="3:64" x14ac:dyDescent="0.3">
      <c r="C104" s="396">
        <f>IF(DewPointA32(P_TOTAL,D104)&lt;32,32,DewPointA32(P_TOTAL,D104))</f>
        <v>57.340579436377475</v>
      </c>
      <c r="D104" s="397">
        <f>D103+0.0002</f>
        <v>0.01</v>
      </c>
      <c r="E104" s="406"/>
      <c r="F104" s="406"/>
      <c r="G104" s="406"/>
      <c r="H104" s="406"/>
      <c r="AW104" s="386">
        <v>120</v>
      </c>
      <c r="AX104" s="386">
        <f>VLOOKUP(AW104,THERMO_WATER_SAT!$A$3:$D$103,4,FALSE)</f>
        <v>8.1071486524262604E-2</v>
      </c>
      <c r="AY104" s="386">
        <f t="shared" si="87"/>
        <v>120</v>
      </c>
      <c r="AZ104" s="386">
        <f t="shared" si="64"/>
        <v>125</v>
      </c>
      <c r="BA104" s="386">
        <f t="shared" si="86"/>
        <v>7.9729747389518921E-2</v>
      </c>
      <c r="BB104" s="386">
        <f t="shared" si="88"/>
        <v>-2.6834782694873659E-4</v>
      </c>
      <c r="BC104" s="386">
        <v>121</v>
      </c>
      <c r="BD104" s="386">
        <f t="shared" si="89"/>
        <v>8.080313869731387E-2</v>
      </c>
      <c r="BJ104" s="386">
        <f t="shared" si="65"/>
        <v>8.1071486524262604E-2</v>
      </c>
      <c r="BK104" s="386">
        <f t="shared" si="66"/>
        <v>119.13633600425533</v>
      </c>
      <c r="BL104" s="386">
        <f t="shared" si="85"/>
        <v>120</v>
      </c>
    </row>
    <row r="105" spans="3:64" x14ac:dyDescent="0.3">
      <c r="C105" s="401">
        <v>120</v>
      </c>
      <c r="D105" s="402">
        <f>D104</f>
        <v>0.01</v>
      </c>
      <c r="E105" s="406"/>
      <c r="F105" s="406"/>
      <c r="G105" s="406"/>
      <c r="H105" s="406"/>
      <c r="K105" s="409"/>
    </row>
    <row r="106" spans="3:64" x14ac:dyDescent="0.3">
      <c r="C106" s="396">
        <f>IF(DewPointA32(P_TOTAL,D106)&lt;32,32,DewPointA32(P_TOTAL,D106))</f>
        <v>57.880890055736209</v>
      </c>
      <c r="D106" s="397">
        <f>D105+0.0002</f>
        <v>1.0200000000000001E-2</v>
      </c>
      <c r="E106" s="406"/>
      <c r="F106" s="406"/>
      <c r="G106" s="406"/>
      <c r="H106" s="406"/>
      <c r="K106" s="409"/>
    </row>
    <row r="107" spans="3:64" x14ac:dyDescent="0.3">
      <c r="C107" s="401">
        <v>120</v>
      </c>
      <c r="D107" s="402">
        <f>D106</f>
        <v>1.0200000000000001E-2</v>
      </c>
      <c r="E107" s="406"/>
      <c r="F107" s="406"/>
      <c r="G107" s="406"/>
      <c r="H107" s="406"/>
    </row>
    <row r="108" spans="3:64" x14ac:dyDescent="0.3">
      <c r="C108" s="396">
        <f>IF(DewPointA32(P_TOTAL,D108)&lt;32,32,DewPointA32(P_TOTAL,D108))</f>
        <v>58.411720007769759</v>
      </c>
      <c r="D108" s="397">
        <f>D107+0.0002</f>
        <v>1.0400000000000001E-2</v>
      </c>
      <c r="E108" s="406"/>
      <c r="F108" s="406"/>
      <c r="G108" s="406"/>
      <c r="H108" s="406"/>
      <c r="K108" s="409"/>
    </row>
    <row r="109" spans="3:64" x14ac:dyDescent="0.3">
      <c r="C109" s="401">
        <v>120</v>
      </c>
      <c r="D109" s="402">
        <f>D108</f>
        <v>1.0400000000000001E-2</v>
      </c>
      <c r="E109" s="406"/>
      <c r="F109" s="406"/>
      <c r="G109" s="406"/>
      <c r="H109" s="406"/>
      <c r="K109" s="409"/>
    </row>
    <row r="110" spans="3:64" x14ac:dyDescent="0.3">
      <c r="C110" s="396">
        <f>IF(DewPointA32(P_TOTAL,D110)&lt;32,32,DewPointA32(P_TOTAL,D110))</f>
        <v>58.933414252209204</v>
      </c>
      <c r="D110" s="397">
        <f>D109+0.0002</f>
        <v>1.0600000000000002E-2</v>
      </c>
      <c r="E110" s="406"/>
      <c r="F110" s="406"/>
      <c r="G110" s="406"/>
      <c r="H110" s="406"/>
    </row>
    <row r="111" spans="3:64" x14ac:dyDescent="0.3">
      <c r="C111" s="401">
        <v>120</v>
      </c>
      <c r="D111" s="402">
        <f>D110</f>
        <v>1.0600000000000002E-2</v>
      </c>
      <c r="E111" s="406"/>
      <c r="F111" s="406"/>
      <c r="G111" s="406"/>
      <c r="H111" s="406"/>
      <c r="K111" s="409"/>
    </row>
    <row r="112" spans="3:64" x14ac:dyDescent="0.3">
      <c r="C112" s="396">
        <f>IF(DewPointA32(P_TOTAL,D112)&lt;32,32,DewPointA32(P_TOTAL,D112))</f>
        <v>59.446298862221425</v>
      </c>
      <c r="D112" s="397">
        <f>D111+0.0002</f>
        <v>1.0800000000000002E-2</v>
      </c>
      <c r="E112" s="406"/>
      <c r="F112" s="406"/>
      <c r="G112" s="406"/>
      <c r="H112" s="406"/>
      <c r="K112" s="409"/>
    </row>
    <row r="113" spans="3:11" x14ac:dyDescent="0.3">
      <c r="C113" s="401">
        <v>120</v>
      </c>
      <c r="D113" s="402">
        <f>D112</f>
        <v>1.0800000000000002E-2</v>
      </c>
      <c r="E113" s="406"/>
      <c r="F113" s="406"/>
      <c r="G113" s="406"/>
      <c r="H113" s="406"/>
    </row>
    <row r="114" spans="3:11" x14ac:dyDescent="0.3">
      <c r="C114" s="396">
        <f>IF(DewPointA32(P_TOTAL,D114)&lt;32,32,DewPointA32(P_TOTAL,D114))</f>
        <v>59.950682390788884</v>
      </c>
      <c r="D114" s="397">
        <f>D113+0.0002</f>
        <v>1.1000000000000003E-2</v>
      </c>
      <c r="E114" s="406"/>
      <c r="F114" s="406"/>
      <c r="G114" s="406"/>
      <c r="H114" s="406"/>
      <c r="K114" s="409"/>
    </row>
    <row r="115" spans="3:11" x14ac:dyDescent="0.3">
      <c r="C115" s="401">
        <v>120</v>
      </c>
      <c r="D115" s="402">
        <f>D114</f>
        <v>1.1000000000000003E-2</v>
      </c>
      <c r="E115" s="406"/>
      <c r="F115" s="406"/>
      <c r="G115" s="406"/>
      <c r="H115" s="406"/>
      <c r="K115" s="409"/>
    </row>
    <row r="116" spans="3:11" x14ac:dyDescent="0.3">
      <c r="C116" s="396">
        <f>IF(DewPointA32(P_TOTAL,D116)&lt;32,32,DewPointA32(P_TOTAL,D116))</f>
        <v>60.446857115135252</v>
      </c>
      <c r="D116" s="397">
        <f>D115+0.0002</f>
        <v>1.1200000000000003E-2</v>
      </c>
      <c r="E116" s="406"/>
      <c r="F116" s="406"/>
      <c r="G116" s="406"/>
      <c r="H116" s="406"/>
    </row>
    <row r="117" spans="3:11" x14ac:dyDescent="0.3">
      <c r="C117" s="401">
        <v>120</v>
      </c>
      <c r="D117" s="402">
        <f>D116</f>
        <v>1.1200000000000003E-2</v>
      </c>
      <c r="E117" s="406"/>
      <c r="F117" s="406"/>
      <c r="G117" s="406"/>
      <c r="H117" s="406"/>
      <c r="K117" s="409"/>
    </row>
    <row r="118" spans="3:11" x14ac:dyDescent="0.3">
      <c r="C118" s="396">
        <f>IF(DewPointA32(P_TOTAL,D118)&lt;32,32,DewPointA32(P_TOTAL,D118))</f>
        <v>60.935100172066427</v>
      </c>
      <c r="D118" s="397">
        <f>D117+0.0002</f>
        <v>1.1400000000000004E-2</v>
      </c>
      <c r="E118" s="406"/>
      <c r="F118" s="406"/>
      <c r="G118" s="406"/>
      <c r="H118" s="406"/>
      <c r="K118" s="409"/>
    </row>
    <row r="119" spans="3:11" x14ac:dyDescent="0.3">
      <c r="C119" s="401">
        <v>120</v>
      </c>
      <c r="D119" s="402">
        <f>D118</f>
        <v>1.1400000000000004E-2</v>
      </c>
      <c r="E119" s="406"/>
      <c r="F119" s="406"/>
      <c r="G119" s="406"/>
      <c r="H119" s="406"/>
      <c r="K119" s="409"/>
    </row>
    <row r="120" spans="3:11" x14ac:dyDescent="0.3">
      <c r="C120" s="396">
        <f>IF(DewPointA32(P_TOTAL,D120)&lt;32,32,DewPointA32(P_TOTAL,D120))</f>
        <v>61.415674595536352</v>
      </c>
      <c r="D120" s="397">
        <f>D119+0.0002</f>
        <v>1.1600000000000004E-2</v>
      </c>
      <c r="E120" s="406"/>
      <c r="F120" s="406"/>
      <c r="G120" s="406"/>
      <c r="H120" s="406"/>
    </row>
    <row r="121" spans="3:11" x14ac:dyDescent="0.3">
      <c r="C121" s="401">
        <v>120</v>
      </c>
      <c r="D121" s="402">
        <f>D120</f>
        <v>1.1600000000000004E-2</v>
      </c>
      <c r="E121" s="406"/>
      <c r="F121" s="406"/>
      <c r="G121" s="406"/>
      <c r="H121" s="406"/>
      <c r="K121" s="409"/>
    </row>
    <row r="122" spans="3:11" x14ac:dyDescent="0.3">
      <c r="C122" s="396">
        <f>IF(DewPointA32(P_TOTAL,D122)&lt;32,32,DewPointA32(P_TOTAL,D122))</f>
        <v>61.888830266400099</v>
      </c>
      <c r="D122" s="397">
        <f>D121+0.0002</f>
        <v>1.1800000000000005E-2</v>
      </c>
      <c r="E122" s="406"/>
      <c r="F122" s="406"/>
      <c r="G122" s="406"/>
      <c r="H122" s="406"/>
      <c r="K122" s="409"/>
    </row>
    <row r="123" spans="3:11" x14ac:dyDescent="0.3">
      <c r="C123" s="401">
        <v>120</v>
      </c>
      <c r="D123" s="402">
        <f>D122</f>
        <v>1.1800000000000005E-2</v>
      </c>
      <c r="E123" s="406"/>
      <c r="F123" s="406"/>
      <c r="G123" s="406"/>
      <c r="H123" s="406"/>
    </row>
    <row r="124" spans="3:11" x14ac:dyDescent="0.3">
      <c r="C124" s="396">
        <f>IF(DewPointA32(P_TOTAL,D124)&lt;32,32,DewPointA32(P_TOTAL,D124))</f>
        <v>62.354804783149682</v>
      </c>
      <c r="D124" s="397">
        <f>D123+0.0002</f>
        <v>1.2000000000000005E-2</v>
      </c>
      <c r="E124" s="406"/>
      <c r="F124" s="406"/>
      <c r="G124" s="406"/>
      <c r="H124" s="406"/>
      <c r="K124" s="409"/>
    </row>
    <row r="125" spans="3:11" x14ac:dyDescent="0.3">
      <c r="C125" s="401">
        <v>120</v>
      </c>
      <c r="D125" s="402">
        <f>D124</f>
        <v>1.2000000000000005E-2</v>
      </c>
      <c r="E125" s="406"/>
      <c r="F125" s="406"/>
      <c r="G125" s="406"/>
      <c r="H125" s="406"/>
      <c r="K125" s="409"/>
    </row>
    <row r="126" spans="3:11" x14ac:dyDescent="0.3">
      <c r="C126" s="396">
        <f>IF(DewPointA32(P_TOTAL,D126)&lt;32,32,DewPointA32(P_TOTAL,D126))</f>
        <v>62.81382426141564</v>
      </c>
      <c r="D126" s="397">
        <f>D125+0.0002</f>
        <v>1.2200000000000006E-2</v>
      </c>
      <c r="E126" s="406"/>
      <c r="F126" s="406"/>
      <c r="G126" s="406"/>
      <c r="H126" s="406"/>
    </row>
    <row r="127" spans="3:11" x14ac:dyDescent="0.3">
      <c r="C127" s="401">
        <v>120</v>
      </c>
      <c r="D127" s="402">
        <f>D126</f>
        <v>1.2200000000000006E-2</v>
      </c>
      <c r="E127" s="406"/>
      <c r="F127" s="406"/>
      <c r="G127" s="406"/>
      <c r="H127" s="406"/>
      <c r="K127" s="409"/>
    </row>
    <row r="128" spans="3:11" x14ac:dyDescent="0.3">
      <c r="C128" s="396">
        <f>IF(DewPointA32(P_TOTAL,D128)&lt;32,32,DewPointA32(P_TOTAL,D128))</f>
        <v>63.26610406913521</v>
      </c>
      <c r="D128" s="397">
        <f>D127+0.0002</f>
        <v>1.2400000000000007E-2</v>
      </c>
      <c r="E128" s="406"/>
      <c r="F128" s="406"/>
      <c r="G128" s="406"/>
      <c r="H128" s="406"/>
      <c r="K128" s="409"/>
    </row>
    <row r="129" spans="3:11" x14ac:dyDescent="0.3">
      <c r="C129" s="401">
        <v>120</v>
      </c>
      <c r="D129" s="402">
        <f>D128</f>
        <v>1.2400000000000007E-2</v>
      </c>
      <c r="E129" s="406"/>
      <c r="F129" s="406"/>
      <c r="G129" s="406"/>
      <c r="H129" s="406"/>
    </row>
    <row r="130" spans="3:11" x14ac:dyDescent="0.3">
      <c r="C130" s="396">
        <f>IF(DewPointA32(P_TOTAL,D130)&lt;32,32,DewPointA32(P_TOTAL,D130))</f>
        <v>63.71184950351951</v>
      </c>
      <c r="D130" s="397">
        <f>D129+0.0002</f>
        <v>1.2600000000000007E-2</v>
      </c>
      <c r="E130" s="406"/>
      <c r="F130" s="406"/>
      <c r="G130" s="406"/>
      <c r="H130" s="406"/>
      <c r="K130" s="409"/>
    </row>
    <row r="131" spans="3:11" x14ac:dyDescent="0.3">
      <c r="C131" s="401">
        <v>120</v>
      </c>
      <c r="D131" s="402">
        <f>D130</f>
        <v>1.2600000000000007E-2</v>
      </c>
      <c r="E131" s="406"/>
      <c r="F131" s="406"/>
      <c r="G131" s="406"/>
      <c r="H131" s="406"/>
      <c r="K131" s="409"/>
    </row>
    <row r="132" spans="3:11" x14ac:dyDescent="0.3">
      <c r="C132" s="396">
        <f>IF(DewPointA32(P_TOTAL,D132)&lt;32,32,DewPointA32(P_TOTAL,D132))</f>
        <v>64.151256415278993</v>
      </c>
      <c r="D132" s="397">
        <f>D131+0.0002</f>
        <v>1.2800000000000008E-2</v>
      </c>
      <c r="E132" s="406"/>
      <c r="F132" s="406"/>
      <c r="G132" s="406"/>
      <c r="H132" s="406"/>
    </row>
    <row r="133" spans="3:11" x14ac:dyDescent="0.3">
      <c r="C133" s="401">
        <v>120</v>
      </c>
      <c r="D133" s="402">
        <f>D132</f>
        <v>1.2800000000000008E-2</v>
      </c>
      <c r="E133" s="406"/>
      <c r="F133" s="406"/>
      <c r="G133" s="406"/>
      <c r="H133" s="406"/>
      <c r="K133" s="409"/>
    </row>
    <row r="134" spans="3:11" x14ac:dyDescent="0.3">
      <c r="C134" s="396">
        <f>IF(DewPointA32(P_TOTAL,D134)&lt;32,32,DewPointA32(P_TOTAL,D134))</f>
        <v>64.584511784977323</v>
      </c>
      <c r="D134" s="397">
        <f>D133+0.0002</f>
        <v>1.3000000000000008E-2</v>
      </c>
      <c r="E134" s="406"/>
      <c r="F134" s="406"/>
      <c r="G134" s="406"/>
      <c r="H134" s="406"/>
      <c r="K134" s="409"/>
    </row>
    <row r="135" spans="3:11" x14ac:dyDescent="0.3">
      <c r="C135" s="401">
        <v>120</v>
      </c>
      <c r="D135" s="402">
        <f>D134</f>
        <v>1.3000000000000008E-2</v>
      </c>
      <c r="E135" s="406"/>
      <c r="F135" s="406"/>
      <c r="G135" s="406"/>
      <c r="H135" s="406"/>
    </row>
    <row r="136" spans="3:11" x14ac:dyDescent="0.3">
      <c r="C136" s="396">
        <f>IF(DewPointA32(P_TOTAL,D136)&lt;32,32,DewPointA32(P_TOTAL,D136))</f>
        <v>65.011794255866192</v>
      </c>
      <c r="D136" s="397">
        <f>D135+0.0002</f>
        <v>1.3200000000000009E-2</v>
      </c>
      <c r="E136" s="406"/>
      <c r="F136" s="406"/>
      <c r="G136" s="406"/>
      <c r="H136" s="406"/>
      <c r="K136" s="409"/>
    </row>
    <row r="137" spans="3:11" x14ac:dyDescent="0.3">
      <c r="C137" s="401">
        <v>120</v>
      </c>
      <c r="D137" s="402">
        <f>D136</f>
        <v>1.3200000000000009E-2</v>
      </c>
      <c r="E137" s="406"/>
      <c r="F137" s="406"/>
      <c r="G137" s="406"/>
      <c r="H137" s="406"/>
      <c r="K137" s="409"/>
    </row>
    <row r="138" spans="3:11" x14ac:dyDescent="0.3">
      <c r="C138" s="396">
        <f>IF(DewPointA32(P_TOTAL,D138)&lt;32,32,DewPointA32(P_TOTAL,D138))</f>
        <v>65.433274627097262</v>
      </c>
      <c r="D138" s="397">
        <f>D137+0.0002</f>
        <v>1.3400000000000009E-2</v>
      </c>
      <c r="E138" s="406"/>
      <c r="F138" s="406"/>
      <c r="G138" s="406"/>
      <c r="H138" s="406"/>
      <c r="K138" s="409"/>
    </row>
    <row r="139" spans="3:11" x14ac:dyDescent="0.3">
      <c r="C139" s="401">
        <v>120</v>
      </c>
      <c r="D139" s="402">
        <f>D138</f>
        <v>1.3400000000000009E-2</v>
      </c>
      <c r="E139" s="406"/>
      <c r="F139" s="406"/>
      <c r="G139" s="406"/>
      <c r="H139" s="406"/>
    </row>
    <row r="140" spans="3:11" x14ac:dyDescent="0.3">
      <c r="C140" s="396">
        <f>IF(DewPointA32(P_TOTAL,D140)&lt;32,32,DewPointA32(P_TOTAL,D140))</f>
        <v>65.849116310806664</v>
      </c>
      <c r="D140" s="397">
        <f>D139+0.0002</f>
        <v>1.360000000000001E-2</v>
      </c>
      <c r="E140" s="406"/>
      <c r="F140" s="406"/>
      <c r="G140" s="406"/>
      <c r="H140" s="406"/>
      <c r="K140" s="409"/>
    </row>
    <row r="141" spans="3:11" x14ac:dyDescent="0.3">
      <c r="C141" s="401">
        <v>120</v>
      </c>
      <c r="D141" s="402">
        <f>D140</f>
        <v>1.360000000000001E-2</v>
      </c>
      <c r="E141" s="406"/>
      <c r="F141" s="406"/>
      <c r="G141" s="406"/>
      <c r="H141" s="406"/>
      <c r="K141" s="409"/>
    </row>
    <row r="142" spans="3:11" x14ac:dyDescent="0.3">
      <c r="C142" s="396">
        <f>IF(DewPointA32(P_TOTAL,D142)&lt;32,32,DewPointA32(P_TOTAL,D142))</f>
        <v>66.259475756211202</v>
      </c>
      <c r="D142" s="397">
        <f>D141+0.0002</f>
        <v>1.380000000000001E-2</v>
      </c>
      <c r="E142" s="406"/>
      <c r="F142" s="406"/>
      <c r="G142" s="406"/>
      <c r="H142" s="406"/>
    </row>
    <row r="143" spans="3:11" x14ac:dyDescent="0.3">
      <c r="C143" s="401">
        <v>120</v>
      </c>
      <c r="D143" s="402">
        <f>D142</f>
        <v>1.380000000000001E-2</v>
      </c>
      <c r="E143" s="406"/>
      <c r="F143" s="406"/>
      <c r="G143" s="406"/>
      <c r="H143" s="406"/>
      <c r="K143" s="409"/>
    </row>
    <row r="144" spans="3:11" x14ac:dyDescent="0.3">
      <c r="C144" s="396">
        <f>IF(DewPointA32(P_TOTAL,D144)&lt;32,32,DewPointA32(P_TOTAL,D144))</f>
        <v>66.664502843541598</v>
      </c>
      <c r="D144" s="397">
        <f>D143+0.0002</f>
        <v>1.4000000000000011E-2</v>
      </c>
      <c r="E144" s="406"/>
      <c r="F144" s="406"/>
      <c r="G144" s="406"/>
      <c r="H144" s="406"/>
      <c r="K144" s="409"/>
    </row>
    <row r="145" spans="3:11" x14ac:dyDescent="0.3">
      <c r="C145" s="401">
        <v>120</v>
      </c>
      <c r="D145" s="402">
        <f>D144</f>
        <v>1.4000000000000011E-2</v>
      </c>
      <c r="E145" s="406"/>
      <c r="F145" s="406"/>
      <c r="G145" s="406"/>
      <c r="H145" s="406"/>
    </row>
    <row r="146" spans="3:11" x14ac:dyDescent="0.3">
      <c r="C146" s="396">
        <f>IF(DewPointA32(P_TOTAL,D146)&lt;32,32,DewPointA32(P_TOTAL,D146))</f>
        <v>67.06434125035932</v>
      </c>
      <c r="D146" s="397">
        <f>D145+0.0002</f>
        <v>1.4200000000000011E-2</v>
      </c>
      <c r="E146" s="406"/>
      <c r="F146" s="406"/>
      <c r="G146" s="406"/>
      <c r="H146" s="406"/>
      <c r="K146" s="409"/>
    </row>
    <row r="147" spans="3:11" x14ac:dyDescent="0.3">
      <c r="C147" s="401">
        <v>120</v>
      </c>
      <c r="D147" s="402">
        <f>D146</f>
        <v>1.4200000000000011E-2</v>
      </c>
      <c r="E147" s="406"/>
      <c r="F147" s="406"/>
      <c r="G147" s="406"/>
      <c r="H147" s="406"/>
      <c r="K147" s="409"/>
    </row>
    <row r="148" spans="3:11" x14ac:dyDescent="0.3">
      <c r="C148" s="396">
        <f>IF(DewPointA32(P_TOTAL,D148)&lt;32,32,DewPointA32(P_TOTAL,D148))</f>
        <v>67.459128792555219</v>
      </c>
      <c r="D148" s="397">
        <f>D147+0.0002</f>
        <v>1.4400000000000012E-2</v>
      </c>
      <c r="E148" s="406"/>
      <c r="F148" s="406"/>
      <c r="G148" s="406"/>
      <c r="H148" s="406"/>
    </row>
    <row r="149" spans="3:11" x14ac:dyDescent="0.3">
      <c r="C149" s="401">
        <v>120</v>
      </c>
      <c r="D149" s="402">
        <f>D148</f>
        <v>1.4400000000000012E-2</v>
      </c>
      <c r="E149" s="406"/>
      <c r="F149" s="406"/>
      <c r="G149" s="406"/>
      <c r="H149" s="406"/>
      <c r="K149" s="409"/>
    </row>
    <row r="150" spans="3:11" x14ac:dyDescent="0.3">
      <c r="C150" s="396">
        <f>IF(DewPointA32(P_TOTAL,D150)&lt;32,32,DewPointA32(P_TOTAL,D150))</f>
        <v>67.848997742108011</v>
      </c>
      <c r="D150" s="397">
        <f>D149+0.0002</f>
        <v>1.4600000000000012E-2</v>
      </c>
      <c r="E150" s="406"/>
      <c r="F150" s="406"/>
      <c r="G150" s="406"/>
      <c r="H150" s="406"/>
      <c r="K150" s="409"/>
    </row>
    <row r="151" spans="3:11" x14ac:dyDescent="0.3">
      <c r="C151" s="401">
        <v>120</v>
      </c>
      <c r="D151" s="402">
        <f>D150</f>
        <v>1.4600000000000012E-2</v>
      </c>
      <c r="E151" s="406"/>
      <c r="F151" s="406"/>
      <c r="G151" s="406"/>
      <c r="H151" s="406"/>
    </row>
    <row r="152" spans="3:11" x14ac:dyDescent="0.3">
      <c r="C152" s="396">
        <f>IF(DewPointA32(P_TOTAL,D152)&lt;32,32,DewPointA32(P_TOTAL,D152))</f>
        <v>68.234075123483976</v>
      </c>
      <c r="D152" s="397">
        <f>D151+0.0002</f>
        <v>1.4800000000000013E-2</v>
      </c>
      <c r="E152" s="406"/>
      <c r="F152" s="406"/>
      <c r="G152" s="406"/>
      <c r="H152" s="406"/>
      <c r="K152" s="409"/>
    </row>
    <row r="153" spans="3:11" x14ac:dyDescent="0.3">
      <c r="C153" s="401">
        <v>120</v>
      </c>
      <c r="D153" s="402">
        <f>D152</f>
        <v>1.4800000000000013E-2</v>
      </c>
      <c r="E153" s="406"/>
      <c r="F153" s="406"/>
      <c r="G153" s="406"/>
      <c r="H153" s="406"/>
      <c r="K153" s="409"/>
    </row>
    <row r="154" spans="3:11" x14ac:dyDescent="0.3">
      <c r="C154" s="396">
        <f>IF(DewPointA32(P_TOTAL,D154)&lt;32,32,DewPointA32(P_TOTAL,D154))</f>
        <v>68.614482990383024</v>
      </c>
      <c r="D154" s="397">
        <f>D153+0.0002</f>
        <v>1.5000000000000013E-2</v>
      </c>
      <c r="E154" s="406"/>
      <c r="F154" s="406"/>
      <c r="G154" s="406"/>
      <c r="H154" s="406"/>
    </row>
    <row r="155" spans="3:11" x14ac:dyDescent="0.3">
      <c r="C155" s="401">
        <v>120</v>
      </c>
      <c r="D155" s="402">
        <f>D154</f>
        <v>1.5000000000000013E-2</v>
      </c>
      <c r="E155" s="406"/>
      <c r="F155" s="406"/>
      <c r="G155" s="406"/>
      <c r="H155" s="406"/>
      <c r="K155" s="409"/>
    </row>
    <row r="156" spans="3:11" x14ac:dyDescent="0.3">
      <c r="C156" s="396">
        <f>IF(DewPointA32(P_TOTAL,D156)&lt;32,32,DewPointA32(P_TOTAL,D156))</f>
        <v>68.990338684379935</v>
      </c>
      <c r="D156" s="397">
        <f>D155+0.0002</f>
        <v>1.5200000000000014E-2</v>
      </c>
      <c r="E156" s="406"/>
      <c r="F156" s="406"/>
      <c r="G156" s="406"/>
      <c r="H156" s="406"/>
      <c r="K156" s="409"/>
    </row>
    <row r="157" spans="3:11" x14ac:dyDescent="0.3">
      <c r="C157" s="401">
        <v>120</v>
      </c>
      <c r="D157" s="402">
        <f>D156</f>
        <v>1.5200000000000014E-2</v>
      </c>
      <c r="E157" s="406"/>
      <c r="F157" s="406"/>
      <c r="G157" s="406"/>
      <c r="H157" s="406"/>
      <c r="K157" s="409"/>
    </row>
    <row r="158" spans="3:11" x14ac:dyDescent="0.3">
      <c r="C158" s="396">
        <f>IF(DewPointA32(P_TOTAL,D158)&lt;32,32,DewPointA32(P_TOTAL,D158))</f>
        <v>69.361755076868192</v>
      </c>
      <c r="D158" s="397">
        <f>D157+0.0002</f>
        <v>1.5400000000000014E-2</v>
      </c>
      <c r="E158" s="406"/>
      <c r="F158" s="406"/>
      <c r="G158" s="406"/>
      <c r="H158" s="406"/>
    </row>
    <row r="159" spans="3:11" x14ac:dyDescent="0.3">
      <c r="C159" s="401">
        <v>120</v>
      </c>
      <c r="D159" s="402">
        <f>D158</f>
        <v>1.5400000000000014E-2</v>
      </c>
      <c r="E159" s="406"/>
      <c r="F159" s="406"/>
      <c r="G159" s="406"/>
      <c r="H159" s="406"/>
      <c r="K159" s="409"/>
    </row>
    <row r="160" spans="3:11" x14ac:dyDescent="0.3">
      <c r="C160" s="396">
        <f>IF(DewPointA32(P_TOTAL,D160)&lt;32,32,DewPointA32(P_TOTAL,D160))</f>
        <v>69.728840795587828</v>
      </c>
      <c r="D160" s="397">
        <f>D159+0.0002</f>
        <v>1.5600000000000015E-2</v>
      </c>
      <c r="E160" s="406"/>
      <c r="F160" s="406"/>
      <c r="G160" s="406"/>
      <c r="H160" s="406"/>
      <c r="K160" s="409"/>
    </row>
    <row r="161" spans="3:11" x14ac:dyDescent="0.3">
      <c r="C161" s="401">
        <v>120</v>
      </c>
      <c r="D161" s="402">
        <f>D160</f>
        <v>1.5600000000000015E-2</v>
      </c>
      <c r="E161" s="406"/>
      <c r="F161" s="406"/>
      <c r="G161" s="406"/>
      <c r="H161" s="406"/>
    </row>
    <row r="162" spans="3:11" x14ac:dyDescent="0.3">
      <c r="C162" s="396">
        <f>IF(DewPointA32(P_TOTAL,D162)&lt;32,32,DewPointA32(P_TOTAL,D162))</f>
        <v>70.091700436904873</v>
      </c>
      <c r="D162" s="397">
        <f>D161+0.0002</f>
        <v>1.5800000000000015E-2</v>
      </c>
      <c r="E162" s="406"/>
      <c r="F162" s="406"/>
      <c r="G162" s="406"/>
      <c r="H162" s="406"/>
      <c r="K162" s="409"/>
    </row>
    <row r="163" spans="3:11" x14ac:dyDescent="0.3">
      <c r="C163" s="401">
        <v>120</v>
      </c>
      <c r="D163" s="402">
        <f>D162</f>
        <v>1.5800000000000015E-2</v>
      </c>
      <c r="E163" s="406"/>
      <c r="F163" s="406"/>
      <c r="G163" s="406"/>
      <c r="H163" s="406"/>
      <c r="K163" s="409"/>
    </row>
    <row r="164" spans="3:11" x14ac:dyDescent="0.3">
      <c r="C164" s="396">
        <f>IF(DewPointA32(P_TOTAL,D164)&lt;32,32,DewPointA32(P_TOTAL,D164))</f>
        <v>70.450434764908351</v>
      </c>
      <c r="D164" s="397">
        <f>D163+0.0002</f>
        <v>1.6000000000000014E-2</v>
      </c>
      <c r="E164" s="406"/>
      <c r="F164" s="406"/>
      <c r="G164" s="406"/>
      <c r="H164" s="406"/>
    </row>
    <row r="165" spans="3:11" x14ac:dyDescent="0.3">
      <c r="C165" s="401">
        <v>120</v>
      </c>
      <c r="D165" s="402">
        <f>D164</f>
        <v>1.6000000000000014E-2</v>
      </c>
      <c r="E165" s="406"/>
      <c r="F165" s="406"/>
      <c r="G165" s="406"/>
      <c r="H165" s="406"/>
      <c r="K165" s="409"/>
    </row>
    <row r="166" spans="3:11" x14ac:dyDescent="0.3">
      <c r="C166" s="396">
        <f>IF(DewPointA32(P_TOTAL,D166)&lt;32,32,DewPointA32(P_TOTAL,D166))</f>
        <v>70.805140898298035</v>
      </c>
      <c r="D166" s="397">
        <f>D165+0.0002</f>
        <v>1.6200000000000013E-2</v>
      </c>
      <c r="E166" s="406"/>
      <c r="F166" s="406"/>
      <c r="G166" s="406"/>
      <c r="H166" s="406"/>
      <c r="K166" s="409"/>
    </row>
    <row r="167" spans="3:11" x14ac:dyDescent="0.3">
      <c r="C167" s="401">
        <v>120</v>
      </c>
      <c r="D167" s="402">
        <f>D166</f>
        <v>1.6200000000000013E-2</v>
      </c>
      <c r="E167" s="406"/>
      <c r="F167" s="406"/>
      <c r="G167" s="406"/>
      <c r="H167" s="406"/>
    </row>
    <row r="168" spans="3:11" x14ac:dyDescent="0.3">
      <c r="C168" s="396">
        <f>IF(DewPointA32(P_TOTAL,D168)&lt;32,32,DewPointA32(P_TOTAL,D168))</f>
        <v>71.15591248595409</v>
      </c>
      <c r="D168" s="397">
        <f>D167+0.0002</f>
        <v>1.6400000000000012E-2</v>
      </c>
      <c r="E168" s="406"/>
      <c r="F168" s="406"/>
      <c r="G168" s="406"/>
      <c r="H168" s="406"/>
      <c r="K168" s="409"/>
    </row>
    <row r="169" spans="3:11" x14ac:dyDescent="0.3">
      <c r="C169" s="401">
        <v>120</v>
      </c>
      <c r="D169" s="402">
        <f>D168</f>
        <v>1.6400000000000012E-2</v>
      </c>
      <c r="E169" s="406"/>
      <c r="F169" s="406"/>
      <c r="G169" s="406"/>
      <c r="H169" s="406"/>
      <c r="K169" s="409"/>
    </row>
    <row r="170" spans="3:11" x14ac:dyDescent="0.3">
      <c r="C170" s="396">
        <f>IF(DewPointA32(P_TOTAL,D170)&lt;32,32,DewPointA32(P_TOTAL,D170))</f>
        <v>71.502839872003563</v>
      </c>
      <c r="D170" s="397">
        <f>D169+0.0002</f>
        <v>1.6600000000000011E-2</v>
      </c>
      <c r="E170" s="406"/>
      <c r="F170" s="406"/>
      <c r="G170" s="406"/>
      <c r="H170" s="406"/>
    </row>
    <row r="171" spans="3:11" x14ac:dyDescent="0.3">
      <c r="C171" s="401">
        <v>120</v>
      </c>
      <c r="D171" s="402">
        <f>D170</f>
        <v>1.6600000000000011E-2</v>
      </c>
      <c r="E171" s="406"/>
      <c r="F171" s="406"/>
      <c r="G171" s="406"/>
      <c r="H171" s="406"/>
      <c r="K171" s="409"/>
    </row>
    <row r="172" spans="3:11" x14ac:dyDescent="0.3">
      <c r="C172" s="396">
        <f>IF(DewPointA32(P_TOTAL,D172)&lt;32,32,DewPointA32(P_TOTAL,D172))</f>
        <v>71.846010251131418</v>
      </c>
      <c r="D172" s="397">
        <f>D171+0.0002</f>
        <v>1.6800000000000009E-2</v>
      </c>
      <c r="E172" s="406"/>
      <c r="F172" s="406"/>
      <c r="G172" s="406"/>
      <c r="H172" s="406"/>
      <c r="K172" s="409"/>
    </row>
    <row r="173" spans="3:11" x14ac:dyDescent="0.3">
      <c r="C173" s="401">
        <v>120</v>
      </c>
      <c r="D173" s="402">
        <f>D172</f>
        <v>1.6800000000000009E-2</v>
      </c>
      <c r="E173" s="406"/>
      <c r="F173" s="406"/>
      <c r="G173" s="406"/>
      <c r="H173" s="406"/>
    </row>
    <row r="174" spans="3:11" x14ac:dyDescent="0.3">
      <c r="C174" s="396">
        <f>IF(DewPointA32(P_TOTAL,D174)&lt;32,32,DewPointA32(P_TOTAL,D174))</f>
        <v>72.185507814822671</v>
      </c>
      <c r="D174" s="397">
        <f>D173+0.0002</f>
        <v>1.7000000000000008E-2</v>
      </c>
      <c r="E174" s="406"/>
      <c r="F174" s="406"/>
      <c r="G174" s="406"/>
      <c r="H174" s="406"/>
      <c r="K174" s="409"/>
    </row>
    <row r="175" spans="3:11" x14ac:dyDescent="0.3">
      <c r="C175" s="401">
        <v>120</v>
      </c>
      <c r="D175" s="402">
        <f>D174</f>
        <v>1.7000000000000008E-2</v>
      </c>
      <c r="E175" s="406"/>
      <c r="F175" s="406"/>
      <c r="G175" s="406"/>
      <c r="H175" s="406"/>
      <c r="K175" s="409"/>
    </row>
    <row r="176" spans="3:11" x14ac:dyDescent="0.3">
      <c r="C176" s="396">
        <f>IF(DewPointA32(P_TOTAL,D176)&lt;32,32,DewPointA32(P_TOTAL,D176))</f>
        <v>72.52141388916543</v>
      </c>
      <c r="D176" s="397">
        <f>D175+0.0002</f>
        <v>1.7200000000000007E-2</v>
      </c>
      <c r="E176" s="406"/>
      <c r="F176" s="406"/>
      <c r="G176" s="406"/>
      <c r="H176" s="406"/>
    </row>
    <row r="177" spans="3:8" x14ac:dyDescent="0.3">
      <c r="C177" s="401">
        <v>120</v>
      </c>
      <c r="D177" s="402">
        <f>D176</f>
        <v>1.7200000000000007E-2</v>
      </c>
      <c r="E177" s="406"/>
      <c r="F177" s="406"/>
      <c r="G177" s="406"/>
      <c r="H177" s="406"/>
    </row>
    <row r="178" spans="3:8" x14ac:dyDescent="0.3">
      <c r="C178" s="396">
        <f>IF(DewPointA32(P_TOTAL,D178)&lt;32,32,DewPointA32(P_TOTAL,D178))</f>
        <v>72.853807064794836</v>
      </c>
      <c r="D178" s="397">
        <f>D177+0.0002</f>
        <v>1.7400000000000006E-2</v>
      </c>
      <c r="E178" s="406"/>
      <c r="F178" s="406"/>
      <c r="G178" s="406"/>
      <c r="H178" s="406"/>
    </row>
    <row r="179" spans="3:8" x14ac:dyDescent="0.3">
      <c r="C179" s="401">
        <v>120</v>
      </c>
      <c r="D179" s="402">
        <f>D178</f>
        <v>1.7400000000000006E-2</v>
      </c>
      <c r="E179" s="406"/>
      <c r="F179" s="406"/>
      <c r="G179" s="406"/>
      <c r="H179" s="406"/>
    </row>
    <row r="180" spans="3:8" x14ac:dyDescent="0.3">
      <c r="C180" s="396">
        <f>IF(DewPointA32(P_TOTAL,D180)&lt;32,32,DewPointA32(P_TOTAL,D180))</f>
        <v>73.182763319511622</v>
      </c>
      <c r="D180" s="397">
        <f>D179+0.0002</f>
        <v>1.7600000000000005E-2</v>
      </c>
      <c r="E180" s="406"/>
      <c r="F180" s="406"/>
      <c r="G180" s="406"/>
      <c r="H180" s="406"/>
    </row>
    <row r="181" spans="3:8" x14ac:dyDescent="0.3">
      <c r="C181" s="401">
        <v>120</v>
      </c>
      <c r="D181" s="402">
        <f>D180</f>
        <v>1.7600000000000005E-2</v>
      </c>
      <c r="E181" s="406"/>
      <c r="F181" s="406"/>
      <c r="G181" s="406"/>
      <c r="H181" s="406"/>
    </row>
    <row r="182" spans="3:8" x14ac:dyDescent="0.3">
      <c r="C182" s="396">
        <f>IF(DewPointA32(P_TOTAL,D182)&lt;32,32,DewPointA32(P_TOTAL,D182))</f>
        <v>73.50835613406673</v>
      </c>
      <c r="D182" s="397">
        <f>D181+0.0002</f>
        <v>1.7800000000000003E-2</v>
      </c>
      <c r="E182" s="406"/>
      <c r="F182" s="406"/>
      <c r="G182" s="406"/>
      <c r="H182" s="406"/>
    </row>
    <row r="183" spans="3:8" x14ac:dyDescent="0.3">
      <c r="C183" s="401">
        <v>120</v>
      </c>
      <c r="D183" s="402">
        <f>D182</f>
        <v>1.7800000000000003E-2</v>
      </c>
      <c r="E183" s="406"/>
      <c r="F183" s="406"/>
      <c r="G183" s="406"/>
      <c r="H183" s="406"/>
    </row>
    <row r="184" spans="3:8" x14ac:dyDescent="0.3">
      <c r="C184" s="396">
        <f>IF(DewPointA32(P_TOTAL,D184)&lt;32,32,DewPointA32(P_TOTAL,D184))</f>
        <v>73.830656601565948</v>
      </c>
      <c r="D184" s="397">
        <f>D183+0.0002</f>
        <v>1.8000000000000002E-2</v>
      </c>
      <c r="E184" s="406"/>
      <c r="F184" s="406"/>
      <c r="G184" s="406"/>
      <c r="H184" s="406"/>
    </row>
    <row r="185" spans="3:8" x14ac:dyDescent="0.3">
      <c r="C185" s="401">
        <v>120</v>
      </c>
      <c r="D185" s="402">
        <f>D184</f>
        <v>1.8000000000000002E-2</v>
      </c>
      <c r="E185" s="406"/>
      <c r="F185" s="406"/>
      <c r="G185" s="406"/>
      <c r="H185" s="406"/>
    </row>
    <row r="186" spans="3:8" x14ac:dyDescent="0.3">
      <c r="C186" s="396">
        <f>IF(DewPointA32(P_TOTAL,D186)&lt;32,32,DewPointA32(P_TOTAL,D186))</f>
        <v>74.149733530913082</v>
      </c>
      <c r="D186" s="397">
        <f>D185+0.0002</f>
        <v>1.8200000000000001E-2</v>
      </c>
      <c r="E186" s="406"/>
      <c r="F186" s="406"/>
      <c r="G186" s="406"/>
      <c r="H186" s="406"/>
    </row>
    <row r="187" spans="3:8" x14ac:dyDescent="0.3">
      <c r="C187" s="401">
        <v>120</v>
      </c>
      <c r="D187" s="402">
        <f>D186</f>
        <v>1.8200000000000001E-2</v>
      </c>
      <c r="E187" s="406"/>
      <c r="F187" s="406"/>
      <c r="G187" s="406"/>
      <c r="H187" s="406"/>
    </row>
    <row r="188" spans="3:8" x14ac:dyDescent="0.3">
      <c r="C188" s="396">
        <f>IF(DewPointA32(P_TOTAL,D188)&lt;32,32,DewPointA32(P_TOTAL,D188))</f>
        <v>74.465653544678702</v>
      </c>
      <c r="D188" s="397">
        <f>D187+0.0002</f>
        <v>1.84E-2</v>
      </c>
      <c r="E188" s="406"/>
      <c r="F188" s="406"/>
      <c r="G188" s="406"/>
      <c r="H188" s="406"/>
    </row>
    <row r="189" spans="3:8" x14ac:dyDescent="0.3">
      <c r="C189" s="401">
        <v>120</v>
      </c>
      <c r="D189" s="402">
        <f>D188</f>
        <v>1.84E-2</v>
      </c>
      <c r="E189" s="406"/>
      <c r="F189" s="406"/>
      <c r="G189" s="406"/>
      <c r="H189" s="406"/>
    </row>
    <row r="190" spans="3:8" x14ac:dyDescent="0.3">
      <c r="C190" s="396">
        <f>IF(DewPointA32(P_TOTAL,D190)&lt;32,32,DewPointA32(P_TOTAL,D190))</f>
        <v>74.778481171752532</v>
      </c>
      <c r="D190" s="397">
        <f>D189+0.0002</f>
        <v>1.8599999999999998E-2</v>
      </c>
      <c r="E190" s="406"/>
      <c r="F190" s="406"/>
      <c r="G190" s="406"/>
      <c r="H190" s="406"/>
    </row>
    <row r="191" spans="3:8" x14ac:dyDescent="0.3">
      <c r="C191" s="401">
        <v>120</v>
      </c>
      <c r="D191" s="402">
        <f>D190</f>
        <v>1.8599999999999998E-2</v>
      </c>
      <c r="E191" s="406"/>
      <c r="F191" s="406"/>
      <c r="G191" s="406"/>
      <c r="H191" s="406"/>
    </row>
    <row r="192" spans="3:8" x14ac:dyDescent="0.3">
      <c r="C192" s="396">
        <f>IF(DewPointA32(P_TOTAL,D192)&lt;32,32,DewPointA32(P_TOTAL,D192))</f>
        <v>75.088278935110424</v>
      </c>
      <c r="D192" s="397">
        <f>D191+0.0002</f>
        <v>1.8799999999999997E-2</v>
      </c>
      <c r="E192" s="406"/>
      <c r="F192" s="406"/>
      <c r="G192" s="406"/>
      <c r="H192" s="406"/>
    </row>
    <row r="193" spans="3:8" x14ac:dyDescent="0.3">
      <c r="C193" s="401">
        <v>120</v>
      </c>
      <c r="D193" s="402">
        <f>D192</f>
        <v>1.8799999999999997E-2</v>
      </c>
      <c r="E193" s="406"/>
      <c r="F193" s="406"/>
      <c r="G193" s="406"/>
      <c r="H193" s="406"/>
    </row>
    <row r="194" spans="3:8" x14ac:dyDescent="0.3">
      <c r="C194" s="396">
        <f>IF(DewPointA32(P_TOTAL,D194)&lt;32,32,DewPointA32(P_TOTAL,D194))</f>
        <v>75.395107435003254</v>
      </c>
      <c r="D194" s="397">
        <f>D193+0.0002</f>
        <v>1.8999999999999996E-2</v>
      </c>
      <c r="E194" s="406"/>
      <c r="F194" s="406"/>
      <c r="G194" s="406"/>
      <c r="H194" s="406"/>
    </row>
    <row r="195" spans="3:8" x14ac:dyDescent="0.3">
      <c r="C195" s="401">
        <v>120</v>
      </c>
      <c r="D195" s="402">
        <f>D194</f>
        <v>1.8999999999999996E-2</v>
      </c>
      <c r="E195" s="406"/>
      <c r="F195" s="406"/>
      <c r="G195" s="406"/>
      <c r="H195" s="406"/>
    </row>
    <row r="196" spans="3:8" x14ac:dyDescent="0.3">
      <c r="C196" s="396">
        <f>IF(DewPointA32(P_TOTAL,D196)&lt;32,32,DewPointA32(P_TOTAL,D196))</f>
        <v>75.699025427852348</v>
      </c>
      <c r="D196" s="397">
        <f>D195+0.0002</f>
        <v>1.9199999999999995E-2</v>
      </c>
      <c r="E196" s="406"/>
      <c r="F196" s="406"/>
      <c r="G196" s="406"/>
      <c r="H196" s="406"/>
    </row>
    <row r="197" spans="3:8" x14ac:dyDescent="0.3">
      <c r="C197" s="401">
        <v>120</v>
      </c>
      <c r="D197" s="402">
        <f>D196</f>
        <v>1.9199999999999995E-2</v>
      </c>
      <c r="E197" s="406"/>
      <c r="F197" s="406"/>
      <c r="G197" s="406"/>
      <c r="H197" s="406"/>
    </row>
    <row r="198" spans="3:8" x14ac:dyDescent="0.3">
      <c r="C198" s="396">
        <f>IF(DewPointA32(P_TOTAL,D198)&lt;32,32,DewPointA32(P_TOTAL,D198))</f>
        <v>76.000089901115189</v>
      </c>
      <c r="D198" s="397">
        <f>D197+0.0002</f>
        <v>1.9399999999999994E-2</v>
      </c>
      <c r="E198" s="406"/>
      <c r="F198" s="406"/>
      <c r="G198" s="406"/>
      <c r="H198" s="406"/>
    </row>
    <row r="199" spans="3:8" x14ac:dyDescent="0.3">
      <c r="C199" s="401">
        <v>120</v>
      </c>
      <c r="D199" s="402">
        <f>D198</f>
        <v>1.9399999999999994E-2</v>
      </c>
      <c r="E199" s="406"/>
      <c r="F199" s="406"/>
      <c r="G199" s="406"/>
      <c r="H199" s="406"/>
    </row>
    <row r="200" spans="3:8" x14ac:dyDescent="0.3">
      <c r="C200" s="396">
        <f>IF(DewPointA32(P_TOTAL,D200)&lt;32,32,DewPointA32(P_TOTAL,D200))</f>
        <v>76.298356144367361</v>
      </c>
      <c r="D200" s="397">
        <f>D199+0.0002</f>
        <v>1.9599999999999992E-2</v>
      </c>
      <c r="E200" s="406"/>
      <c r="F200" s="406"/>
      <c r="G200" s="406"/>
      <c r="H200" s="406"/>
    </row>
    <row r="201" spans="3:8" x14ac:dyDescent="0.3">
      <c r="C201" s="401">
        <v>120</v>
      </c>
      <c r="D201" s="402">
        <f>D200</f>
        <v>1.9599999999999992E-2</v>
      </c>
      <c r="E201" s="406"/>
      <c r="F201" s="406"/>
      <c r="G201" s="406"/>
      <c r="H201" s="406"/>
    </row>
    <row r="202" spans="3:8" x14ac:dyDescent="0.3">
      <c r="C202" s="396">
        <f>IF(DewPointA32(P_TOTAL,D202)&lt;32,32,DewPointA32(P_TOTAL,D202))</f>
        <v>76.593877816828467</v>
      </c>
      <c r="D202" s="397">
        <f>D201+0.0002</f>
        <v>1.9799999999999991E-2</v>
      </c>
      <c r="E202" s="406"/>
      <c r="F202" s="406"/>
      <c r="G202" s="406"/>
      <c r="H202" s="406"/>
    </row>
    <row r="203" spans="3:8" x14ac:dyDescent="0.3">
      <c r="C203" s="401">
        <v>120</v>
      </c>
      <c r="D203" s="402">
        <f>D202</f>
        <v>1.9799999999999991E-2</v>
      </c>
      <c r="E203" s="406"/>
      <c r="F203" s="406"/>
      <c r="G203" s="406"/>
      <c r="H203" s="406"/>
    </row>
    <row r="204" spans="3:8" x14ac:dyDescent="0.3">
      <c r="C204" s="396">
        <f>IF(DewPointA32(P_TOTAL,D204)&lt;32,32,DewPointA32(P_TOTAL,D204))</f>
        <v>76.886707011543919</v>
      </c>
      <c r="D204" s="397">
        <f>D203+0.0002</f>
        <v>1.999999999999999E-2</v>
      </c>
      <c r="E204" s="406"/>
      <c r="F204" s="406"/>
      <c r="G204" s="406"/>
      <c r="H204" s="406"/>
    </row>
    <row r="205" spans="3:8" x14ac:dyDescent="0.3">
      <c r="C205" s="401">
        <v>120</v>
      </c>
      <c r="D205" s="402">
        <f>D204</f>
        <v>1.999999999999999E-2</v>
      </c>
      <c r="E205" s="406"/>
      <c r="F205" s="406"/>
      <c r="G205" s="406"/>
      <c r="H205" s="406"/>
    </row>
    <row r="206" spans="3:8" x14ac:dyDescent="0.3">
      <c r="C206" s="396">
        <f>IF(DewPointA32(P_TOTAL,D206)&lt;32,32,DewPointA32(P_TOTAL,D206))</f>
        <v>77.176894316420672</v>
      </c>
      <c r="D206" s="397">
        <f>D205+0.0002</f>
        <v>2.0199999999999989E-2</v>
      </c>
      <c r="E206" s="406"/>
      <c r="F206" s="406"/>
      <c r="G206" s="406"/>
      <c r="H206" s="406"/>
    </row>
    <row r="207" spans="3:8" x14ac:dyDescent="0.3">
      <c r="C207" s="401">
        <v>120</v>
      </c>
      <c r="D207" s="402">
        <f>D206</f>
        <v>2.0199999999999989E-2</v>
      </c>
      <c r="E207" s="406"/>
      <c r="F207" s="406"/>
      <c r="G207" s="406"/>
      <c r="H207" s="406"/>
    </row>
    <row r="208" spans="3:8" x14ac:dyDescent="0.3">
      <c r="C208" s="396">
        <f>IF(DewPointA32(P_TOTAL,D208)&lt;32,32,DewPointA32(P_TOTAL,D208))</f>
        <v>77.464488872300194</v>
      </c>
      <c r="D208" s="397">
        <f>D207+0.0002</f>
        <v>2.0399999999999988E-2</v>
      </c>
      <c r="E208" s="406"/>
      <c r="F208" s="406"/>
      <c r="G208" s="406"/>
      <c r="H208" s="406"/>
    </row>
    <row r="209" spans="3:8" x14ac:dyDescent="0.3">
      <c r="C209" s="401">
        <v>120</v>
      </c>
      <c r="D209" s="402">
        <f>D208</f>
        <v>2.0399999999999988E-2</v>
      </c>
      <c r="E209" s="406"/>
      <c r="F209" s="406"/>
      <c r="G209" s="406"/>
      <c r="H209" s="406"/>
    </row>
    <row r="210" spans="3:8" x14ac:dyDescent="0.3">
      <c r="C210" s="396">
        <f>IF(DewPointA32(P_TOTAL,D210)&lt;32,32,DewPointA32(P_TOTAL,D210))</f>
        <v>77.749538428240967</v>
      </c>
      <c r="D210" s="397">
        <f>D209+0.0002</f>
        <v>2.0599999999999986E-2</v>
      </c>
      <c r="E210" s="406"/>
      <c r="F210" s="406"/>
      <c r="G210" s="406"/>
      <c r="H210" s="406"/>
    </row>
    <row r="211" spans="3:8" x14ac:dyDescent="0.3">
      <c r="C211" s="401">
        <v>120</v>
      </c>
      <c r="D211" s="402">
        <f>D210</f>
        <v>2.0599999999999986E-2</v>
      </c>
      <c r="E211" s="406"/>
      <c r="F211" s="406"/>
      <c r="G211" s="406"/>
      <c r="H211" s="406"/>
    </row>
    <row r="212" spans="3:8" x14ac:dyDescent="0.3">
      <c r="C212" s="396">
        <f>IF(DewPointA32(P_TOTAL,D212)&lt;32,32,DewPointA32(P_TOTAL,D212))</f>
        <v>78.03208939416966</v>
      </c>
      <c r="D212" s="397">
        <f>D211+0.0002</f>
        <v>2.0799999999999985E-2</v>
      </c>
      <c r="E212" s="406"/>
      <c r="F212" s="406"/>
      <c r="G212" s="406"/>
      <c r="H212" s="406"/>
    </row>
    <row r="213" spans="3:8" x14ac:dyDescent="0.3">
      <c r="C213" s="401">
        <v>120</v>
      </c>
      <c r="D213" s="402">
        <f>D212</f>
        <v>2.0799999999999985E-2</v>
      </c>
      <c r="E213" s="406"/>
      <c r="F213" s="406"/>
      <c r="G213" s="406"/>
      <c r="H213" s="406"/>
    </row>
    <row r="214" spans="3:8" x14ac:dyDescent="0.3">
      <c r="C214" s="396">
        <f>IF(DewPointA32(P_TOTAL,D214)&lt;32,32,DewPointA32(P_TOTAL,D214))</f>
        <v>78.312186891051113</v>
      </c>
      <c r="D214" s="397">
        <f>D213+0.0002</f>
        <v>2.0999999999999984E-2</v>
      </c>
      <c r="E214" s="406"/>
      <c r="F214" s="406"/>
      <c r="G214" s="406"/>
      <c r="H214" s="406"/>
    </row>
    <row r="215" spans="3:8" x14ac:dyDescent="0.3">
      <c r="C215" s="401">
        <v>120</v>
      </c>
      <c r="D215" s="402">
        <f>D214</f>
        <v>2.0999999999999984E-2</v>
      </c>
      <c r="E215" s="406"/>
      <c r="F215" s="406"/>
      <c r="G215" s="406"/>
      <c r="H215" s="406"/>
    </row>
    <row r="216" spans="3:8" x14ac:dyDescent="0.3">
      <c r="C216" s="396">
        <f>IF(DewPointA32(P_TOTAL,D216)&lt;32,32,DewPointA32(P_TOTAL,D216))</f>
        <v>78.589874798716266</v>
      </c>
      <c r="D216" s="397">
        <f>D215+0.0002</f>
        <v>2.1199999999999983E-2</v>
      </c>
      <c r="E216" s="406"/>
      <c r="F216" s="406"/>
      <c r="G216" s="406"/>
      <c r="H216" s="406"/>
    </row>
    <row r="217" spans="3:8" x14ac:dyDescent="0.3">
      <c r="C217" s="401">
        <v>120</v>
      </c>
      <c r="D217" s="402">
        <f>D216</f>
        <v>2.1199999999999983E-2</v>
      </c>
      <c r="E217" s="406"/>
      <c r="F217" s="406"/>
      <c r="G217" s="406"/>
      <c r="H217" s="406"/>
    </row>
    <row r="218" spans="3:8" x14ac:dyDescent="0.3">
      <c r="C218" s="396">
        <f>IF(DewPointA32(P_TOTAL,D218)&lt;32,32,DewPointA32(P_TOTAL,D218))</f>
        <v>78.86519580147862</v>
      </c>
      <c r="D218" s="397">
        <f>D217+0.0002</f>
        <v>2.1399999999999982E-2</v>
      </c>
      <c r="E218" s="406"/>
      <c r="F218" s="406"/>
      <c r="G218" s="406"/>
      <c r="H218" s="406"/>
    </row>
    <row r="219" spans="3:8" x14ac:dyDescent="0.3">
      <c r="C219" s="401">
        <v>120</v>
      </c>
      <c r="D219" s="402">
        <f>D218</f>
        <v>2.1399999999999982E-2</v>
      </c>
      <c r="E219" s="406"/>
      <c r="F219" s="406"/>
      <c r="G219" s="406"/>
      <c r="H219" s="406"/>
    </row>
    <row r="220" spans="3:8" x14ac:dyDescent="0.3">
      <c r="C220" s="396">
        <f>IF(DewPointA32(P_TOTAL,D220)&lt;32,32,DewPointA32(P_TOTAL,D220))</f>
        <v>79.138191431661213</v>
      </c>
      <c r="D220" s="397">
        <f>D219+0.0002</f>
        <v>2.159999999999998E-2</v>
      </c>
      <c r="E220" s="406"/>
      <c r="F220" s="406"/>
      <c r="G220" s="406"/>
      <c r="H220" s="406"/>
    </row>
    <row r="221" spans="3:8" x14ac:dyDescent="0.3">
      <c r="C221" s="401">
        <v>120</v>
      </c>
      <c r="D221" s="402">
        <f>D220</f>
        <v>2.159999999999998E-2</v>
      </c>
      <c r="E221" s="406"/>
      <c r="F221" s="406"/>
      <c r="G221" s="406"/>
      <c r="H221" s="406"/>
    </row>
    <row r="222" spans="3:8" x14ac:dyDescent="0.3">
      <c r="C222" s="396">
        <f>IF(DewPointA32(P_TOTAL,D222)&lt;32,32,DewPointA32(P_TOTAL,D222))</f>
        <v>79.408902111148564</v>
      </c>
      <c r="D222" s="397">
        <f>D221+0.0002</f>
        <v>2.1799999999999979E-2</v>
      </c>
      <c r="E222" s="406"/>
      <c r="F222" s="406"/>
      <c r="G222" s="406"/>
      <c r="H222" s="406"/>
    </row>
    <row r="223" spans="3:8" x14ac:dyDescent="0.3">
      <c r="C223" s="401">
        <v>120</v>
      </c>
      <c r="D223" s="402">
        <f>D222</f>
        <v>2.1799999999999979E-2</v>
      </c>
      <c r="E223" s="406"/>
      <c r="F223" s="406"/>
      <c r="G223" s="406"/>
      <c r="H223" s="406"/>
    </row>
    <row r="224" spans="3:8" x14ac:dyDescent="0.3">
      <c r="C224" s="396">
        <f>IF(DewPointA32(P_TOTAL,D224)&lt;32,32,DewPointA32(P_TOTAL,D224))</f>
        <v>79.67736719107009</v>
      </c>
      <c r="D224" s="397">
        <f>D223+0.0002</f>
        <v>2.1999999999999978E-2</v>
      </c>
      <c r="E224" s="406"/>
      <c r="F224" s="406"/>
      <c r="G224" s="406"/>
      <c r="H224" s="406"/>
    </row>
    <row r="225" spans="3:8" x14ac:dyDescent="0.3">
      <c r="C225" s="401">
        <v>120</v>
      </c>
      <c r="D225" s="402">
        <f>D224</f>
        <v>2.1999999999999978E-2</v>
      </c>
      <c r="E225" s="406"/>
      <c r="F225" s="406"/>
      <c r="G225" s="406"/>
      <c r="H225" s="406"/>
    </row>
    <row r="226" spans="3:8" x14ac:dyDescent="0.3">
      <c r="C226" s="396">
        <f>IF(DewPointA32(P_TOTAL,D226)&lt;32,32,DewPointA32(P_TOTAL,D226))</f>
        <v>79.943624989715985</v>
      </c>
      <c r="D226" s="397">
        <f>D225+0.0002</f>
        <v>2.2199999999999977E-2</v>
      </c>
      <c r="E226" s="406"/>
      <c r="F226" s="406"/>
      <c r="G226" s="406"/>
      <c r="H226" s="406"/>
    </row>
    <row r="227" spans="3:8" x14ac:dyDescent="0.3">
      <c r="C227" s="401">
        <v>120</v>
      </c>
      <c r="D227" s="402">
        <f>D226</f>
        <v>2.2199999999999977E-2</v>
      </c>
      <c r="E227" s="406"/>
      <c r="F227" s="406"/>
      <c r="G227" s="406"/>
      <c r="H227" s="406"/>
    </row>
    <row r="228" spans="3:8" x14ac:dyDescent="0.3">
      <c r="C228" s="396">
        <f>IF(DewPointA32(P_TOTAL,D228)&lt;32,32,DewPointA32(P_TOTAL,D228))</f>
        <v>80.20771282877898</v>
      </c>
      <c r="D228" s="397">
        <f>D227+0.0002</f>
        <v>2.2399999999999975E-2</v>
      </c>
      <c r="E228" s="406"/>
      <c r="F228" s="406"/>
      <c r="G228" s="406"/>
      <c r="H228" s="406"/>
    </row>
    <row r="229" spans="3:8" x14ac:dyDescent="0.3">
      <c r="C229" s="401">
        <v>120</v>
      </c>
      <c r="D229" s="402">
        <f>D228</f>
        <v>2.2399999999999975E-2</v>
      </c>
      <c r="E229" s="406"/>
      <c r="F229" s="406"/>
      <c r="G229" s="406"/>
      <c r="H229" s="406"/>
    </row>
    <row r="230" spans="3:8" x14ac:dyDescent="0.3">
      <c r="C230" s="396">
        <f>IF(DewPointA32(P_TOTAL,D230)&lt;32,32,DewPointA32(P_TOTAL,D230))</f>
        <v>80.469667068010381</v>
      </c>
      <c r="D230" s="397">
        <f>D229+0.0002</f>
        <v>2.2599999999999974E-2</v>
      </c>
      <c r="E230" s="406"/>
      <c r="F230" s="406"/>
      <c r="G230" s="406"/>
      <c r="H230" s="406"/>
    </row>
    <row r="231" spans="3:8" x14ac:dyDescent="0.3">
      <c r="C231" s="401">
        <v>120</v>
      </c>
      <c r="D231" s="402">
        <f>D230</f>
        <v>2.2599999999999974E-2</v>
      </c>
      <c r="E231" s="406"/>
      <c r="F231" s="406"/>
      <c r="G231" s="406"/>
      <c r="H231" s="406"/>
    </row>
    <row r="232" spans="3:8" x14ac:dyDescent="0.3">
      <c r="C232" s="396">
        <f>IF(DewPointA32(P_TOTAL,D232)&lt;32,32,DewPointA32(P_TOTAL,D232))</f>
        <v>80.729523138373523</v>
      </c>
      <c r="D232" s="397">
        <f>D231+0.0002</f>
        <v>2.2799999999999973E-2</v>
      </c>
      <c r="E232" s="406"/>
      <c r="F232" s="406"/>
      <c r="G232" s="406"/>
      <c r="H232" s="406"/>
    </row>
    <row r="233" spans="3:8" x14ac:dyDescent="0.3">
      <c r="C233" s="401">
        <v>120</v>
      </c>
      <c r="D233" s="402">
        <f>D232</f>
        <v>2.2799999999999973E-2</v>
      </c>
      <c r="E233" s="406"/>
      <c r="F233" s="406"/>
      <c r="G233" s="406"/>
      <c r="H233" s="406"/>
    </row>
    <row r="234" spans="3:8" x14ac:dyDescent="0.3">
      <c r="C234" s="396">
        <f>IF(DewPointA32(P_TOTAL,D234)&lt;32,32,DewPointA32(P_TOTAL,D234))</f>
        <v>80.987315573772094</v>
      </c>
      <c r="D234" s="397">
        <f>D233+0.0002</f>
        <v>2.2999999999999972E-2</v>
      </c>
      <c r="E234" s="406"/>
      <c r="F234" s="406"/>
      <c r="G234" s="406"/>
      <c r="H234" s="406"/>
    </row>
    <row r="235" spans="3:8" x14ac:dyDescent="0.3">
      <c r="C235" s="401">
        <v>120</v>
      </c>
      <c r="D235" s="402">
        <f>D234</f>
        <v>2.2999999999999972E-2</v>
      </c>
      <c r="E235" s="406"/>
      <c r="F235" s="406"/>
      <c r="G235" s="406"/>
      <c r="H235" s="406"/>
    </row>
    <row r="236" spans="3:8" x14ac:dyDescent="0.3">
      <c r="C236" s="396">
        <f>IF(DewPointA32(P_TOTAL,D236)&lt;32,32,DewPointA32(P_TOTAL,D236))</f>
        <v>81.243078041426713</v>
      </c>
      <c r="D236" s="397">
        <f>D235+0.0002</f>
        <v>2.3199999999999971E-2</v>
      </c>
      <c r="E236" s="406"/>
      <c r="F236" s="406"/>
      <c r="G236" s="406"/>
      <c r="H236" s="406"/>
    </row>
    <row r="237" spans="3:8" x14ac:dyDescent="0.3">
      <c r="C237" s="401">
        <v>120</v>
      </c>
      <c r="D237" s="402">
        <f>D236</f>
        <v>2.3199999999999971E-2</v>
      </c>
      <c r="E237" s="406"/>
      <c r="F237" s="406"/>
      <c r="G237" s="406"/>
      <c r="H237" s="406"/>
    </row>
    <row r="238" spans="3:8" x14ac:dyDescent="0.3">
      <c r="C238" s="396">
        <f>IF(DewPointA32(P_TOTAL,D238)&lt;32,32,DewPointA32(P_TOTAL,D238))</f>
        <v>81.496843370968392</v>
      </c>
      <c r="D238" s="397">
        <f>D237+0.0002</f>
        <v>2.3399999999999969E-2</v>
      </c>
      <c r="E238" s="406"/>
      <c r="F238" s="406"/>
      <c r="G238" s="406"/>
      <c r="H238" s="406"/>
    </row>
    <row r="239" spans="3:8" x14ac:dyDescent="0.3">
      <c r="C239" s="401">
        <v>120</v>
      </c>
      <c r="D239" s="402">
        <f>D238</f>
        <v>2.3399999999999969E-2</v>
      </c>
      <c r="E239" s="406"/>
      <c r="F239" s="406"/>
      <c r="G239" s="406"/>
      <c r="H239" s="406"/>
    </row>
    <row r="240" spans="3:8" x14ac:dyDescent="0.3">
      <c r="C240" s="396">
        <f>IF(DewPointA32(P_TOTAL,D240)&lt;32,32,DewPointA32(P_TOTAL,D240))</f>
        <v>81.74864358231379</v>
      </c>
      <c r="D240" s="397">
        <f>D239+0.0002</f>
        <v>2.3599999999999968E-2</v>
      </c>
      <c r="E240" s="406"/>
      <c r="F240" s="406"/>
      <c r="G240" s="406"/>
      <c r="H240" s="406"/>
    </row>
    <row r="241" spans="3:8" x14ac:dyDescent="0.3">
      <c r="C241" s="401">
        <v>120</v>
      </c>
      <c r="D241" s="402">
        <f>D240</f>
        <v>2.3599999999999968E-2</v>
      </c>
      <c r="E241" s="406"/>
      <c r="F241" s="406"/>
      <c r="G241" s="406"/>
      <c r="H241" s="406"/>
    </row>
    <row r="242" spans="3:8" x14ac:dyDescent="0.3">
      <c r="C242" s="396">
        <f>IF(DewPointA32(P_TOTAL,D242)&lt;32,32,DewPointA32(P_TOTAL,D242))</f>
        <v>81.998509912383057</v>
      </c>
      <c r="D242" s="397">
        <f>D241+0.0002</f>
        <v>2.3799999999999967E-2</v>
      </c>
      <c r="E242" s="406"/>
      <c r="F242" s="406"/>
      <c r="G242" s="406"/>
      <c r="H242" s="406"/>
    </row>
    <row r="243" spans="3:8" x14ac:dyDescent="0.3">
      <c r="C243" s="401">
        <v>120</v>
      </c>
      <c r="D243" s="402">
        <f>D242</f>
        <v>2.3799999999999967E-2</v>
      </c>
      <c r="E243" s="406"/>
      <c r="F243" s="406"/>
      <c r="G243" s="406"/>
      <c r="H243" s="406"/>
    </row>
    <row r="244" spans="3:8" x14ac:dyDescent="0.3">
      <c r="C244" s="396">
        <f>IF(DewPointA32(P_TOTAL,D244)&lt;32,32,DewPointA32(P_TOTAL,D244))</f>
        <v>82.2464728407179</v>
      </c>
      <c r="D244" s="397">
        <f>D243+0.0002</f>
        <v>2.3999999999999966E-2</v>
      </c>
      <c r="E244" s="406"/>
      <c r="F244" s="406"/>
      <c r="G244" s="406"/>
      <c r="H244" s="406"/>
    </row>
    <row r="245" spans="3:8" x14ac:dyDescent="0.3">
      <c r="C245" s="401">
        <v>120</v>
      </c>
      <c r="D245" s="402">
        <f>D244</f>
        <v>2.3999999999999966E-2</v>
      </c>
      <c r="E245" s="406"/>
      <c r="F245" s="406"/>
      <c r="G245" s="406"/>
      <c r="H245" s="406"/>
    </row>
    <row r="246" spans="3:8" x14ac:dyDescent="0.3">
      <c r="C246" s="396">
        <f>IF(DewPointA32(P_TOTAL,D246)&lt;32,32,DewPointA32(P_TOTAL,D246))</f>
        <v>82.492562114053541</v>
      </c>
      <c r="D246" s="397">
        <f>D245+0.0002</f>
        <v>2.4199999999999965E-2</v>
      </c>
      <c r="E246" s="406"/>
      <c r="F246" s="406"/>
      <c r="G246" s="406"/>
      <c r="H246" s="406"/>
    </row>
    <row r="247" spans="3:8" x14ac:dyDescent="0.3">
      <c r="C247" s="401">
        <v>120</v>
      </c>
      <c r="D247" s="402">
        <f>D246</f>
        <v>2.4199999999999965E-2</v>
      </c>
      <c r="E247" s="406"/>
      <c r="F247" s="406"/>
      <c r="G247" s="406"/>
      <c r="H247" s="406"/>
    </row>
    <row r="248" spans="3:8" x14ac:dyDescent="0.3">
      <c r="C248" s="396">
        <f>IF(DewPointA32(P_TOTAL,D248)&lt;32,32,DewPointA32(P_TOTAL,D248))</f>
        <v>82.736806769896091</v>
      </c>
      <c r="D248" s="397">
        <f>D247+0.0002</f>
        <v>2.4399999999999963E-2</v>
      </c>
      <c r="E248" s="406"/>
      <c r="F248" s="406"/>
      <c r="G248" s="406"/>
      <c r="H248" s="406"/>
    </row>
    <row r="249" spans="3:8" x14ac:dyDescent="0.3">
      <c r="C249" s="401">
        <v>120</v>
      </c>
      <c r="D249" s="402">
        <f>D248</f>
        <v>2.4399999999999963E-2</v>
      </c>
      <c r="E249" s="406"/>
      <c r="F249" s="406"/>
      <c r="G249" s="406"/>
      <c r="H249" s="406"/>
    </row>
    <row r="250" spans="3:8" x14ac:dyDescent="0.3">
      <c r="C250" s="396">
        <f>IF(DewPointA32(P_TOTAL,D250)&lt;32,32,DewPointA32(P_TOTAL,D250))</f>
        <v>82.979235159153248</v>
      </c>
      <c r="D250" s="397">
        <f>D249+0.0002</f>
        <v>2.4599999999999962E-2</v>
      </c>
      <c r="E250" s="406"/>
      <c r="F250" s="406"/>
      <c r="G250" s="406"/>
      <c r="H250" s="406"/>
    </row>
    <row r="251" spans="3:8" x14ac:dyDescent="0.3">
      <c r="C251" s="401">
        <v>120</v>
      </c>
      <c r="D251" s="402">
        <f>D250</f>
        <v>2.4599999999999962E-2</v>
      </c>
      <c r="E251" s="406"/>
      <c r="F251" s="406"/>
      <c r="G251" s="406"/>
      <c r="H251" s="406"/>
    </row>
    <row r="252" spans="3:8" x14ac:dyDescent="0.3">
      <c r="C252" s="396">
        <f>IF(DewPointA32(P_TOTAL,D252)&lt;32,32,DewPointA32(P_TOTAL,D252))</f>
        <v>83.21987496786366</v>
      </c>
      <c r="D252" s="397">
        <f>D251+0.0002</f>
        <v>2.4799999999999961E-2</v>
      </c>
      <c r="E252" s="406"/>
      <c r="F252" s="406"/>
      <c r="G252" s="406"/>
      <c r="H252" s="406"/>
    </row>
    <row r="253" spans="3:8" x14ac:dyDescent="0.3">
      <c r="C253" s="401">
        <v>120</v>
      </c>
      <c r="D253" s="402">
        <f>D252</f>
        <v>2.4799999999999961E-2</v>
      </c>
      <c r="E253" s="406"/>
      <c r="F253" s="406"/>
      <c r="G253" s="406"/>
      <c r="H253" s="406"/>
    </row>
    <row r="254" spans="3:8" x14ac:dyDescent="0.3">
      <c r="C254" s="396">
        <f>IF(DewPointA32(P_TOTAL,D254)&lt;32,32,DewPointA32(P_TOTAL,D254))</f>
        <v>83.458753238067885</v>
      </c>
      <c r="D254" s="397">
        <f>D253+0.0002</f>
        <v>2.499999999999996E-2</v>
      </c>
      <c r="E254" s="406"/>
      <c r="F254" s="406"/>
      <c r="G254" s="406"/>
      <c r="H254" s="406"/>
    </row>
    <row r="255" spans="3:8" x14ac:dyDescent="0.3">
      <c r="C255" s="401">
        <v>120</v>
      </c>
      <c r="D255" s="402">
        <f>D254</f>
        <v>2.499999999999996E-2</v>
      </c>
      <c r="E255" s="406"/>
      <c r="F255" s="406"/>
      <c r="G255" s="406"/>
      <c r="H255" s="406"/>
    </row>
    <row r="256" spans="3:8" x14ac:dyDescent="0.3">
      <c r="C256" s="396">
        <f>IF(DewPointA32(P_TOTAL,D256)&lt;32,32,DewPointA32(P_TOTAL,D256))</f>
        <v>83.695896387861694</v>
      </c>
      <c r="D256" s="397">
        <f>D255+0.0002</f>
        <v>2.5199999999999959E-2</v>
      </c>
      <c r="E256" s="406"/>
      <c r="F256" s="406"/>
      <c r="G256" s="406"/>
      <c r="H256" s="406"/>
    </row>
    <row r="257" spans="3:8" x14ac:dyDescent="0.3">
      <c r="C257" s="401">
        <v>120</v>
      </c>
      <c r="D257" s="402">
        <f>D256</f>
        <v>2.5199999999999959E-2</v>
      </c>
      <c r="E257" s="406"/>
      <c r="F257" s="406"/>
      <c r="G257" s="406"/>
      <c r="H257" s="406"/>
    </row>
    <row r="258" spans="3:8" x14ac:dyDescent="0.3">
      <c r="C258" s="396">
        <f>IF(DewPointA32(P_TOTAL,D258)&lt;32,32,DewPointA32(P_TOTAL,D258))</f>
        <v>83.931330230669801</v>
      </c>
      <c r="D258" s="397">
        <f>D257+0.0002</f>
        <v>2.5399999999999957E-2</v>
      </c>
      <c r="E258" s="406"/>
      <c r="F258" s="406"/>
      <c r="G258" s="406"/>
      <c r="H258" s="406"/>
    </row>
    <row r="259" spans="3:8" x14ac:dyDescent="0.3">
      <c r="C259" s="401">
        <v>120</v>
      </c>
      <c r="D259" s="402">
        <f>D258</f>
        <v>2.5399999999999957E-2</v>
      </c>
      <c r="E259" s="406"/>
      <c r="F259" s="406"/>
      <c r="G259" s="406"/>
      <c r="H259" s="406"/>
    </row>
    <row r="260" spans="3:8" x14ac:dyDescent="0.3">
      <c r="C260" s="396">
        <f>IF(DewPointA32(P_TOTAL,D260)&lt;32,32,DewPointA32(P_TOTAL,D260))</f>
        <v>84.165079993776189</v>
      </c>
      <c r="D260" s="397">
        <f>D259+0.0002</f>
        <v>2.5599999999999956E-2</v>
      </c>
      <c r="E260" s="406"/>
      <c r="F260" s="406"/>
      <c r="G260" s="406"/>
      <c r="H260" s="406"/>
    </row>
    <row r="261" spans="3:8" x14ac:dyDescent="0.3">
      <c r="C261" s="401">
        <v>120</v>
      </c>
      <c r="D261" s="402">
        <f>D260</f>
        <v>2.5599999999999956E-2</v>
      </c>
      <c r="E261" s="406"/>
      <c r="F261" s="406"/>
      <c r="G261" s="406"/>
      <c r="H261" s="406"/>
    </row>
    <row r="262" spans="3:8" x14ac:dyDescent="0.3">
      <c r="C262" s="396">
        <f>IF(DewPointA32(P_TOTAL,D262)&lt;32,32,DewPointA32(P_TOTAL,D262))</f>
        <v>84.397170336145621</v>
      </c>
      <c r="D262" s="397">
        <f>D261+0.0002</f>
        <v>2.5799999999999955E-2</v>
      </c>
      <c r="E262" s="406"/>
      <c r="F262" s="406"/>
      <c r="G262" s="406"/>
      <c r="H262" s="406"/>
    </row>
    <row r="263" spans="3:8" x14ac:dyDescent="0.3">
      <c r="C263" s="401">
        <v>120</v>
      </c>
      <c r="D263" s="402">
        <f>D262</f>
        <v>2.5799999999999955E-2</v>
      </c>
      <c r="E263" s="406"/>
      <c r="F263" s="406"/>
      <c r="G263" s="406"/>
      <c r="H263" s="406"/>
    </row>
    <row r="264" spans="3:8" x14ac:dyDescent="0.3">
      <c r="C264" s="396">
        <f>IF(DewPointA32(P_TOTAL,D264)&lt;32,32,DewPointA32(P_TOTAL,D264))</f>
        <v>84.62762536556842</v>
      </c>
      <c r="D264" s="397">
        <f>D263+0.0002</f>
        <v>2.5999999999999954E-2</v>
      </c>
      <c r="E264" s="406"/>
      <c r="F264" s="406"/>
      <c r="G264" s="406"/>
      <c r="H264" s="406"/>
    </row>
    <row r="265" spans="3:8" x14ac:dyDescent="0.3">
      <c r="C265" s="401">
        <v>120</v>
      </c>
      <c r="D265" s="402">
        <f>D264</f>
        <v>2.5999999999999954E-2</v>
      </c>
      <c r="E265" s="406"/>
      <c r="F265" s="406"/>
      <c r="G265" s="406"/>
      <c r="H265" s="406"/>
    </row>
    <row r="266" spans="3:8" x14ac:dyDescent="0.3">
      <c r="C266" s="396">
        <f>IF(DewPointA32(P_TOTAL,D266)&lt;32,32,DewPointA32(P_TOTAL,D266))</f>
        <v>84.856468655159404</v>
      </c>
      <c r="D266" s="397">
        <f>D265+0.0002</f>
        <v>2.6199999999999952E-2</v>
      </c>
      <c r="E266" s="406"/>
      <c r="F266" s="406"/>
      <c r="G266" s="406"/>
      <c r="H266" s="406"/>
    </row>
    <row r="267" spans="3:8" x14ac:dyDescent="0.3">
      <c r="C267" s="401">
        <v>120</v>
      </c>
      <c r="D267" s="402">
        <f>D266</f>
        <v>2.6199999999999952E-2</v>
      </c>
      <c r="E267" s="406"/>
      <c r="F267" s="406"/>
      <c r="G267" s="406"/>
      <c r="H267" s="406"/>
    </row>
    <row r="268" spans="3:8" x14ac:dyDescent="0.3">
      <c r="C268" s="396">
        <f>IF(DewPointA32(P_TOTAL,D268)&lt;32,32,DewPointA32(P_TOTAL,D268))</f>
        <v>85.083723259240173</v>
      </c>
      <c r="D268" s="397">
        <f>D267+0.0002</f>
        <v>2.6399999999999951E-2</v>
      </c>
      <c r="E268" s="406"/>
      <c r="F268" s="406"/>
      <c r="G268" s="406"/>
      <c r="H268" s="406"/>
    </row>
    <row r="269" spans="3:8" x14ac:dyDescent="0.3">
      <c r="C269" s="401">
        <v>120</v>
      </c>
      <c r="D269" s="402">
        <f>D268</f>
        <v>2.6399999999999951E-2</v>
      </c>
      <c r="E269" s="406"/>
      <c r="F269" s="406"/>
      <c r="G269" s="406"/>
      <c r="H269" s="406"/>
    </row>
    <row r="270" spans="3:8" x14ac:dyDescent="0.3">
      <c r="C270" s="396">
        <f>IF(DewPointA32(P_TOTAL,D270)&lt;32,32,DewPointA32(P_TOTAL,D270))</f>
        <v>85.309411728632</v>
      </c>
      <c r="D270" s="397">
        <f>D269+0.0002</f>
        <v>2.659999999999995E-2</v>
      </c>
      <c r="E270" s="406"/>
      <c r="F270" s="406"/>
      <c r="G270" s="406"/>
      <c r="H270" s="406"/>
    </row>
    <row r="271" spans="3:8" x14ac:dyDescent="0.3">
      <c r="C271" s="401">
        <v>120</v>
      </c>
      <c r="D271" s="402">
        <f>D270</f>
        <v>2.659999999999995E-2</v>
      </c>
      <c r="E271" s="406"/>
      <c r="F271" s="406"/>
      <c r="G271" s="406"/>
      <c r="H271" s="406"/>
    </row>
    <row r="272" spans="3:8" x14ac:dyDescent="0.3">
      <c r="C272" s="396">
        <f>IF(DewPointA32(P_TOTAL,D272)&lt;32,32,DewPointA32(P_TOTAL,D272))</f>
        <v>85.533556125385871</v>
      </c>
      <c r="D272" s="397">
        <f>D271+0.0002</f>
        <v>2.6799999999999949E-2</v>
      </c>
      <c r="E272" s="406"/>
      <c r="F272" s="406"/>
      <c r="G272" s="406"/>
      <c r="H272" s="406"/>
    </row>
    <row r="273" spans="3:8" x14ac:dyDescent="0.3">
      <c r="C273" s="401">
        <v>120</v>
      </c>
      <c r="D273" s="402">
        <f>D272</f>
        <v>2.6799999999999949E-2</v>
      </c>
      <c r="E273" s="406"/>
      <c r="F273" s="406"/>
      <c r="G273" s="406"/>
      <c r="H273" s="406"/>
    </row>
    <row r="274" spans="3:8" x14ac:dyDescent="0.3">
      <c r="C274" s="396">
        <f>IF(DewPointA32(P_TOTAL,D274)&lt;32,32,DewPointA32(P_TOTAL,D274))</f>
        <v>85.756178036974077</v>
      </c>
      <c r="D274" s="397">
        <f>D273+0.0002</f>
        <v>2.6999999999999948E-2</v>
      </c>
      <c r="E274" s="406"/>
      <c r="F274" s="406"/>
      <c r="G274" s="406"/>
      <c r="H274" s="406"/>
    </row>
    <row r="275" spans="3:8" x14ac:dyDescent="0.3">
      <c r="C275" s="401">
        <v>120</v>
      </c>
      <c r="D275" s="402">
        <f>D274</f>
        <v>2.6999999999999948E-2</v>
      </c>
      <c r="E275" s="406"/>
      <c r="F275" s="406"/>
      <c r="G275" s="406"/>
      <c r="H275" s="406"/>
    </row>
    <row r="276" spans="3:8" x14ac:dyDescent="0.3">
      <c r="C276" s="396">
        <f>IF(DewPointA32(P_TOTAL,D276)&lt;32,32,DewPointA32(P_TOTAL,D276))</f>
        <v>85.977298589967248</v>
      </c>
      <c r="D276" s="397">
        <f>D275+0.0002</f>
        <v>2.7199999999999946E-2</v>
      </c>
      <c r="E276" s="406"/>
      <c r="F276" s="406"/>
      <c r="G276" s="406"/>
      <c r="H276" s="406"/>
    </row>
    <row r="277" spans="3:8" x14ac:dyDescent="0.3">
      <c r="C277" s="401">
        <v>120</v>
      </c>
      <c r="D277" s="402">
        <f>D276</f>
        <v>2.7199999999999946E-2</v>
      </c>
      <c r="E277" s="406"/>
      <c r="F277" s="406"/>
      <c r="G277" s="406"/>
      <c r="H277" s="406"/>
    </row>
    <row r="278" spans="3:8" x14ac:dyDescent="0.3">
      <c r="C278" s="396">
        <f>IF(DewPointA32(P_TOTAL,D278)&lt;32,32,DewPointA32(P_TOTAL,D278))</f>
        <v>86.196938463218871</v>
      </c>
      <c r="D278" s="397">
        <f>D277+0.0002</f>
        <v>2.7399999999999945E-2</v>
      </c>
      <c r="E278" s="406"/>
      <c r="F278" s="406"/>
      <c r="G278" s="406"/>
      <c r="H278" s="406"/>
    </row>
    <row r="279" spans="3:8" x14ac:dyDescent="0.3">
      <c r="C279" s="401">
        <v>120</v>
      </c>
      <c r="D279" s="402">
        <f>D278</f>
        <v>2.7399999999999945E-2</v>
      </c>
      <c r="E279" s="406"/>
      <c r="F279" s="406"/>
      <c r="G279" s="406"/>
      <c r="H279" s="406"/>
    </row>
    <row r="280" spans="3:8" x14ac:dyDescent="0.3">
      <c r="C280" s="396">
        <f>IF(DewPointA32(P_TOTAL,D280)&lt;32,32,DewPointA32(P_TOTAL,D280))</f>
        <v>86.415117900578664</v>
      </c>
      <c r="D280" s="397">
        <f>D279+0.0002</f>
        <v>2.7599999999999944E-2</v>
      </c>
      <c r="E280" s="406"/>
      <c r="F280" s="406"/>
      <c r="G280" s="406"/>
      <c r="H280" s="406"/>
    </row>
    <row r="281" spans="3:8" x14ac:dyDescent="0.3">
      <c r="C281" s="401">
        <v>120</v>
      </c>
      <c r="D281" s="402">
        <f>D280</f>
        <v>2.7599999999999944E-2</v>
      </c>
      <c r="E281" s="406"/>
      <c r="F281" s="406"/>
      <c r="G281" s="406"/>
      <c r="H281" s="406"/>
    </row>
    <row r="282" spans="3:8" x14ac:dyDescent="0.3">
      <c r="C282" s="396">
        <f>IF(DewPointA32(P_TOTAL,D282)&lt;32,32,DewPointA32(P_TOTAL,D282))</f>
        <v>86.631856723154812</v>
      </c>
      <c r="D282" s="397">
        <f>D281+0.0002</f>
        <v>2.7799999999999943E-2</v>
      </c>
      <c r="E282" s="406"/>
      <c r="F282" s="406"/>
      <c r="G282" s="406"/>
      <c r="H282" s="406"/>
    </row>
    <row r="283" spans="3:8" x14ac:dyDescent="0.3">
      <c r="C283" s="401">
        <v>120</v>
      </c>
      <c r="D283" s="402">
        <f>D282</f>
        <v>2.7799999999999943E-2</v>
      </c>
      <c r="E283" s="406"/>
      <c r="F283" s="406"/>
      <c r="G283" s="406"/>
      <c r="H283" s="406"/>
    </row>
    <row r="284" spans="3:8" x14ac:dyDescent="0.3">
      <c r="C284" s="396">
        <f>IF(DewPointA32(P_TOTAL,D284)&lt;32,32,DewPointA32(P_TOTAL,D284))</f>
        <v>86.847174341144537</v>
      </c>
      <c r="D284" s="397">
        <f>D283+0.0002</f>
        <v>2.7999999999999942E-2</v>
      </c>
      <c r="E284" s="406"/>
      <c r="F284" s="406"/>
      <c r="G284" s="406"/>
      <c r="H284" s="406"/>
    </row>
    <row r="285" spans="3:8" x14ac:dyDescent="0.3">
      <c r="C285" s="401">
        <v>120</v>
      </c>
      <c r="D285" s="402">
        <f>D284</f>
        <v>2.7999999999999942E-2</v>
      </c>
      <c r="E285" s="406"/>
      <c r="F285" s="406"/>
      <c r="G285" s="406"/>
      <c r="H285" s="406"/>
    </row>
    <row r="286" spans="3:8" x14ac:dyDescent="0.3">
      <c r="C286" s="396">
        <f>IF(DewPointA32(P_TOTAL,D286)&lt;32,32,DewPointA32(P_TOTAL,D286))</f>
        <v>87.061089765250614</v>
      </c>
      <c r="D286" s="397">
        <f>D285+0.0002</f>
        <v>2.819999999999994E-2</v>
      </c>
      <c r="E286" s="406"/>
      <c r="F286" s="406"/>
      <c r="G286" s="406"/>
      <c r="H286" s="406"/>
    </row>
    <row r="287" spans="3:8" x14ac:dyDescent="0.3">
      <c r="C287" s="401">
        <v>120</v>
      </c>
      <c r="D287" s="402">
        <f>D286</f>
        <v>2.819999999999994E-2</v>
      </c>
      <c r="E287" s="406"/>
      <c r="F287" s="406"/>
      <c r="G287" s="406"/>
      <c r="H287" s="406"/>
    </row>
    <row r="288" spans="3:8" x14ac:dyDescent="0.3">
      <c r="C288" s="396">
        <f>IF(DewPointA32(P_TOTAL,D288)&lt;32,32,DewPointA32(P_TOTAL,D288))</f>
        <v>87.273621617701892</v>
      </c>
      <c r="D288" s="397">
        <f>D287+0.0002</f>
        <v>2.8399999999999939E-2</v>
      </c>
      <c r="E288" s="406"/>
      <c r="F288" s="406"/>
      <c r="G288" s="406"/>
      <c r="H288" s="406"/>
    </row>
    <row r="289" spans="3:8" x14ac:dyDescent="0.3">
      <c r="C289" s="401">
        <v>120</v>
      </c>
      <c r="D289" s="402">
        <f>D288</f>
        <v>2.8399999999999939E-2</v>
      </c>
      <c r="E289" s="406"/>
      <c r="F289" s="406"/>
      <c r="G289" s="406"/>
      <c r="H289" s="406"/>
    </row>
    <row r="290" spans="3:8" x14ac:dyDescent="0.3">
      <c r="C290" s="396">
        <f>IF(DewPointA32(P_TOTAL,D290)&lt;32,32,DewPointA32(P_TOTAL,D290))</f>
        <v>87.484788142893578</v>
      </c>
      <c r="D290" s="397">
        <f>D289+0.0002</f>
        <v>2.8599999999999938E-2</v>
      </c>
      <c r="E290" s="406"/>
      <c r="F290" s="406"/>
      <c r="G290" s="406"/>
      <c r="H290" s="406"/>
    </row>
    <row r="291" spans="3:8" x14ac:dyDescent="0.3">
      <c r="C291" s="401">
        <v>120</v>
      </c>
      <c r="D291" s="402">
        <f>D290</f>
        <v>2.8599999999999938E-2</v>
      </c>
      <c r="E291" s="406"/>
      <c r="F291" s="406"/>
      <c r="G291" s="406"/>
      <c r="H291" s="406"/>
    </row>
    <row r="292" spans="3:8" x14ac:dyDescent="0.3">
      <c r="C292" s="396">
        <f>IF(DewPointA32(P_TOTAL,D292)&lt;32,32,DewPointA32(P_TOTAL,D292))</f>
        <v>87.694607217663361</v>
      </c>
      <c r="D292" s="397">
        <f>D291+0.0002</f>
        <v>2.8799999999999937E-2</v>
      </c>
      <c r="E292" s="406"/>
      <c r="F292" s="406"/>
      <c r="G292" s="406"/>
      <c r="H292" s="406"/>
    </row>
    <row r="293" spans="3:8" x14ac:dyDescent="0.3">
      <c r="C293" s="401">
        <v>120</v>
      </c>
      <c r="D293" s="402">
        <f>D292</f>
        <v>2.8799999999999937E-2</v>
      </c>
      <c r="E293" s="406"/>
      <c r="F293" s="406"/>
      <c r="G293" s="406"/>
      <c r="H293" s="406"/>
    </row>
    <row r="294" spans="3:8" x14ac:dyDescent="0.3">
      <c r="C294" s="396">
        <f>IF(DewPointA32(P_TOTAL,D294)&lt;32,32,DewPointA32(P_TOTAL,D294))</f>
        <v>87.903096361218388</v>
      </c>
      <c r="D294" s="397">
        <f>D293+0.0002</f>
        <v>2.8999999999999936E-2</v>
      </c>
      <c r="E294" s="406"/>
      <c r="F294" s="406"/>
      <c r="G294" s="406"/>
      <c r="H294" s="406"/>
    </row>
    <row r="295" spans="3:8" x14ac:dyDescent="0.3">
      <c r="C295" s="401">
        <v>120</v>
      </c>
      <c r="D295" s="402">
        <f>D294</f>
        <v>2.8999999999999936E-2</v>
      </c>
      <c r="E295" s="406"/>
      <c r="F295" s="406"/>
      <c r="G295" s="406"/>
      <c r="H295" s="406"/>
    </row>
    <row r="296" spans="3:8" x14ac:dyDescent="0.3">
      <c r="C296" s="396">
        <f>IF(DewPointA32(P_TOTAL,D296)&lt;32,32,DewPointA32(P_TOTAL,D296))</f>
        <v>88.110272744726899</v>
      </c>
      <c r="D296" s="397">
        <f>D295+0.0002</f>
        <v>2.9199999999999934E-2</v>
      </c>
      <c r="E296" s="406"/>
      <c r="F296" s="406"/>
      <c r="G296" s="406"/>
      <c r="H296" s="406"/>
    </row>
    <row r="297" spans="3:8" x14ac:dyDescent="0.3">
      <c r="C297" s="401">
        <v>120</v>
      </c>
      <c r="D297" s="402">
        <f>D296</f>
        <v>2.9199999999999934E-2</v>
      </c>
      <c r="E297" s="406"/>
      <c r="F297" s="406"/>
      <c r="G297" s="406"/>
      <c r="H297" s="406"/>
    </row>
    <row r="298" spans="3:8" x14ac:dyDescent="0.3">
      <c r="C298" s="396">
        <f>IF(DewPointA32(P_TOTAL,D298)&lt;32,32,DewPointA32(P_TOTAL,D298))</f>
        <v>88.316153200588417</v>
      </c>
      <c r="D298" s="397">
        <f>D297+0.0002</f>
        <v>2.9399999999999933E-2</v>
      </c>
      <c r="E298" s="406"/>
      <c r="F298" s="406"/>
      <c r="G298" s="406"/>
      <c r="H298" s="406"/>
    </row>
    <row r="299" spans="3:8" x14ac:dyDescent="0.3">
      <c r="C299" s="401">
        <v>120</v>
      </c>
      <c r="D299" s="402">
        <f>D298</f>
        <v>2.9399999999999933E-2</v>
      </c>
      <c r="E299" s="406"/>
      <c r="F299" s="406"/>
      <c r="G299" s="406"/>
      <c r="H299" s="406"/>
    </row>
    <row r="300" spans="3:8" x14ac:dyDescent="0.3">
      <c r="C300" s="396">
        <f>IF(DewPointA32(P_TOTAL,D300)&lt;32,32,DewPointA32(P_TOTAL,D300))</f>
        <v>88.520754231395145</v>
      </c>
      <c r="D300" s="397">
        <f>D299+0.0002</f>
        <v>2.9599999999999932E-2</v>
      </c>
      <c r="E300" s="406"/>
      <c r="F300" s="406"/>
      <c r="G300" s="406"/>
      <c r="H300" s="406"/>
    </row>
    <row r="301" spans="3:8" x14ac:dyDescent="0.3">
      <c r="C301" s="401">
        <v>120</v>
      </c>
      <c r="D301" s="402">
        <f>D300</f>
        <v>2.9599999999999932E-2</v>
      </c>
      <c r="E301" s="406"/>
      <c r="F301" s="406"/>
      <c r="G301" s="406"/>
      <c r="H301" s="406"/>
    </row>
    <row r="302" spans="3:8" x14ac:dyDescent="0.3">
      <c r="C302" s="396">
        <f>IF(DewPointA32(P_TOTAL,D302)&lt;32,32,DewPointA32(P_TOTAL,D302))</f>
        <v>88.724092018597247</v>
      </c>
      <c r="D302" s="397">
        <f>D301+0.0002</f>
        <v>2.9799999999999931E-2</v>
      </c>
      <c r="E302" s="406"/>
      <c r="F302" s="406"/>
      <c r="G302" s="406"/>
      <c r="H302" s="406"/>
    </row>
    <row r="303" spans="3:8" x14ac:dyDescent="0.3">
      <c r="C303" s="401">
        <v>120</v>
      </c>
      <c r="D303" s="402">
        <f>D302</f>
        <v>2.9799999999999931E-2</v>
      </c>
      <c r="E303" s="406"/>
      <c r="F303" s="406"/>
      <c r="G303" s="406"/>
      <c r="H303" s="406"/>
    </row>
    <row r="304" spans="3:8" x14ac:dyDescent="0.3">
      <c r="C304" s="396">
        <f>IF(DewPointA32(P_TOTAL,D304)&lt;32,32,DewPointA32(P_TOTAL,D304))</f>
        <v>88.92618243088323</v>
      </c>
      <c r="D304" s="397">
        <f>D303+0.0002</f>
        <v>2.999999999999993E-2</v>
      </c>
      <c r="E304" s="406"/>
      <c r="F304" s="406"/>
      <c r="G304" s="406"/>
      <c r="H304" s="406"/>
    </row>
    <row r="305" spans="3:8" x14ac:dyDescent="0.3">
      <c r="C305" s="401">
        <v>120</v>
      </c>
      <c r="D305" s="402">
        <f>D304</f>
        <v>2.999999999999993E-2</v>
      </c>
      <c r="E305" s="406"/>
      <c r="F305" s="406"/>
      <c r="G305" s="406"/>
      <c r="H305" s="406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6"/>
  <dimension ref="B11:J44"/>
  <sheetViews>
    <sheetView workbookViewId="0">
      <selection activeCell="J17" sqref="J17"/>
    </sheetView>
  </sheetViews>
  <sheetFormatPr defaultColWidth="11" defaultRowHeight="13.8" x14ac:dyDescent="0.3"/>
  <cols>
    <col min="3" max="4" width="12.375" bestFit="1" customWidth="1"/>
    <col min="6" max="6" width="24.625" customWidth="1"/>
  </cols>
  <sheetData>
    <row r="11" spans="2:10" x14ac:dyDescent="0.3">
      <c r="C11" t="s">
        <v>233</v>
      </c>
      <c r="D11" s="254">
        <f>BS</f>
        <v>-10</v>
      </c>
      <c r="H11" t="s">
        <v>146</v>
      </c>
      <c r="I11" t="s">
        <v>239</v>
      </c>
      <c r="J11" t="s">
        <v>48</v>
      </c>
    </row>
    <row r="12" spans="2:10" x14ac:dyDescent="0.3">
      <c r="C12" t="s">
        <v>234</v>
      </c>
      <c r="D12" s="253">
        <f>E44</f>
        <v>-13.768349567178861</v>
      </c>
      <c r="H12" t="s">
        <v>235</v>
      </c>
      <c r="I12" t="s">
        <v>240</v>
      </c>
      <c r="J12" t="s">
        <v>12</v>
      </c>
    </row>
    <row r="13" spans="2:10" x14ac:dyDescent="0.3">
      <c r="C13" t="s">
        <v>235</v>
      </c>
      <c r="D13" s="251">
        <v>0</v>
      </c>
      <c r="H13" t="s">
        <v>236</v>
      </c>
      <c r="I13" t="s">
        <v>241</v>
      </c>
      <c r="J13" t="s">
        <v>245</v>
      </c>
    </row>
    <row r="14" spans="2:10" x14ac:dyDescent="0.3">
      <c r="H14" t="s">
        <v>199</v>
      </c>
      <c r="I14" t="s">
        <v>242</v>
      </c>
      <c r="J14" t="s">
        <v>246</v>
      </c>
    </row>
    <row r="15" spans="2:10" x14ac:dyDescent="0.3">
      <c r="D15">
        <v>1.0000000000000001E-5</v>
      </c>
      <c r="H15" t="s">
        <v>237</v>
      </c>
      <c r="I15" t="s">
        <v>243</v>
      </c>
      <c r="J15" t="s">
        <v>247</v>
      </c>
    </row>
    <row r="16" spans="2:10" x14ac:dyDescent="0.3">
      <c r="B16" t="s">
        <v>146</v>
      </c>
      <c r="C16">
        <f>D11/2</f>
        <v>-5</v>
      </c>
      <c r="D16">
        <f t="shared" ref="D16:D44" si="0">C16-((((A_0+(A_1*C16)+(A_2*C16^2)+(A_3*C16^3)+(A_4*C16)+(A_5*C16^5)-(PSICRO*PRES*(BS-C16)))/(A_0+(A_1*BS)+(A_2*BS^2)+(A_3*BS^3)+(A_4*BS)+(A_5*BS^5)))-$D$13)/((A_1+(2*A_2*C16)+(3*A_3*C16^2)+(4*A_4*C16^3)+(5*A_5*C16^4)+(PSICRO*PRES))/(A_0+(A_1*BS)+(A_2*BS^2)+(A_3*BS^3)+(A_4*BS)+(A_5*BS^5))))</f>
        <v>-13.030250946359292</v>
      </c>
      <c r="E16">
        <f>IF(ABS(C16-D16)&lt;=$D$15,D16,0)</f>
        <v>0</v>
      </c>
      <c r="F16" s="252"/>
      <c r="H16" t="s">
        <v>238</v>
      </c>
      <c r="I16" t="s">
        <v>244</v>
      </c>
      <c r="J16" t="s">
        <v>48</v>
      </c>
    </row>
    <row r="17" spans="3:5" x14ac:dyDescent="0.3">
      <c r="C17">
        <f>D16</f>
        <v>-13.030250946359292</v>
      </c>
      <c r="D17">
        <f t="shared" si="0"/>
        <v>-13.789630488598402</v>
      </c>
      <c r="E17">
        <f t="shared" ref="E17:E44" si="1">IF(ABS(C17-D17)&lt;=$D$15,D17,0)</f>
        <v>0</v>
      </c>
    </row>
    <row r="18" spans="3:5" x14ac:dyDescent="0.3">
      <c r="C18">
        <f t="shared" ref="C18:C27" si="2">D17</f>
        <v>-13.789630488598402</v>
      </c>
      <c r="D18">
        <f t="shared" si="0"/>
        <v>-13.767487494158264</v>
      </c>
      <c r="E18">
        <f t="shared" si="1"/>
        <v>0</v>
      </c>
    </row>
    <row r="19" spans="3:5" x14ac:dyDescent="0.3">
      <c r="C19">
        <f t="shared" si="2"/>
        <v>-13.767487494158264</v>
      </c>
      <c r="D19">
        <f t="shared" si="0"/>
        <v>-13.768384192768574</v>
      </c>
      <c r="E19">
        <f t="shared" si="1"/>
        <v>0</v>
      </c>
    </row>
    <row r="20" spans="3:5" x14ac:dyDescent="0.3">
      <c r="C20">
        <f t="shared" si="2"/>
        <v>-13.768384192768574</v>
      </c>
      <c r="D20">
        <f t="shared" si="0"/>
        <v>-13.768348175943105</v>
      </c>
      <c r="E20">
        <f t="shared" si="1"/>
        <v>0</v>
      </c>
    </row>
    <row r="21" spans="3:5" x14ac:dyDescent="0.3">
      <c r="C21">
        <f t="shared" si="2"/>
        <v>-13.768348175943105</v>
      </c>
      <c r="D21">
        <f t="shared" si="0"/>
        <v>-13.768349623077116</v>
      </c>
      <c r="E21">
        <f t="shared" si="1"/>
        <v>-13.768349623077116</v>
      </c>
    </row>
    <row r="22" spans="3:5" x14ac:dyDescent="0.3">
      <c r="C22">
        <f t="shared" si="2"/>
        <v>-13.768349623077116</v>
      </c>
      <c r="D22">
        <f t="shared" si="0"/>
        <v>-13.768349564932933</v>
      </c>
      <c r="E22">
        <f t="shared" si="1"/>
        <v>-13.768349564932933</v>
      </c>
    </row>
    <row r="23" spans="3:5" x14ac:dyDescent="0.3">
      <c r="C23">
        <f t="shared" si="2"/>
        <v>-13.768349564932933</v>
      </c>
      <c r="D23">
        <f t="shared" si="0"/>
        <v>-13.768349567269102</v>
      </c>
      <c r="E23">
        <f t="shared" si="1"/>
        <v>-13.768349567269102</v>
      </c>
    </row>
    <row r="24" spans="3:5" x14ac:dyDescent="0.3">
      <c r="C24">
        <f t="shared" si="2"/>
        <v>-13.768349567269102</v>
      </c>
      <c r="D24">
        <f t="shared" si="0"/>
        <v>-13.768349567175235</v>
      </c>
      <c r="E24">
        <f t="shared" si="1"/>
        <v>-13.768349567175235</v>
      </c>
    </row>
    <row r="25" spans="3:5" x14ac:dyDescent="0.3">
      <c r="C25">
        <f t="shared" si="2"/>
        <v>-13.768349567175235</v>
      </c>
      <c r="D25">
        <f t="shared" si="0"/>
        <v>-13.768349567179008</v>
      </c>
      <c r="E25">
        <f t="shared" si="1"/>
        <v>-13.768349567179008</v>
      </c>
    </row>
    <row r="26" spans="3:5" x14ac:dyDescent="0.3">
      <c r="C26">
        <f t="shared" si="2"/>
        <v>-13.768349567179008</v>
      </c>
      <c r="D26">
        <f t="shared" si="0"/>
        <v>-13.768349567178856</v>
      </c>
      <c r="E26">
        <f t="shared" si="1"/>
        <v>-13.768349567178856</v>
      </c>
    </row>
    <row r="27" spans="3:5" x14ac:dyDescent="0.3">
      <c r="C27">
        <f t="shared" si="2"/>
        <v>-13.768349567178856</v>
      </c>
      <c r="D27">
        <f t="shared" si="0"/>
        <v>-13.768349567178863</v>
      </c>
      <c r="E27">
        <f t="shared" si="1"/>
        <v>-13.768349567178863</v>
      </c>
    </row>
    <row r="28" spans="3:5" x14ac:dyDescent="0.3">
      <c r="C28">
        <f t="shared" ref="C28:C36" si="3">D27</f>
        <v>-13.768349567178863</v>
      </c>
      <c r="D28">
        <f t="shared" si="0"/>
        <v>-13.768349567178861</v>
      </c>
      <c r="E28">
        <f t="shared" si="1"/>
        <v>-13.768349567178861</v>
      </c>
    </row>
    <row r="29" spans="3:5" x14ac:dyDescent="0.3">
      <c r="C29">
        <f t="shared" si="3"/>
        <v>-13.768349567178861</v>
      </c>
      <c r="D29">
        <f t="shared" si="0"/>
        <v>-13.768349567178863</v>
      </c>
      <c r="E29">
        <f t="shared" si="1"/>
        <v>-13.768349567178863</v>
      </c>
    </row>
    <row r="30" spans="3:5" x14ac:dyDescent="0.3">
      <c r="C30">
        <f t="shared" si="3"/>
        <v>-13.768349567178863</v>
      </c>
      <c r="D30">
        <f t="shared" si="0"/>
        <v>-13.768349567178861</v>
      </c>
      <c r="E30">
        <f t="shared" si="1"/>
        <v>-13.768349567178861</v>
      </c>
    </row>
    <row r="31" spans="3:5" x14ac:dyDescent="0.3">
      <c r="C31">
        <f t="shared" si="3"/>
        <v>-13.768349567178861</v>
      </c>
      <c r="D31">
        <f t="shared" si="0"/>
        <v>-13.768349567178863</v>
      </c>
      <c r="E31">
        <f t="shared" si="1"/>
        <v>-13.768349567178863</v>
      </c>
    </row>
    <row r="32" spans="3:5" x14ac:dyDescent="0.3">
      <c r="C32">
        <f t="shared" si="3"/>
        <v>-13.768349567178863</v>
      </c>
      <c r="D32">
        <f t="shared" si="0"/>
        <v>-13.768349567178861</v>
      </c>
      <c r="E32">
        <f t="shared" si="1"/>
        <v>-13.768349567178861</v>
      </c>
    </row>
    <row r="33" spans="3:5" x14ac:dyDescent="0.3">
      <c r="C33">
        <f t="shared" si="3"/>
        <v>-13.768349567178861</v>
      </c>
      <c r="D33">
        <f t="shared" si="0"/>
        <v>-13.768349567178863</v>
      </c>
      <c r="E33">
        <f t="shared" si="1"/>
        <v>-13.768349567178863</v>
      </c>
    </row>
    <row r="34" spans="3:5" x14ac:dyDescent="0.3">
      <c r="C34">
        <f t="shared" si="3"/>
        <v>-13.768349567178863</v>
      </c>
      <c r="D34">
        <f t="shared" si="0"/>
        <v>-13.768349567178861</v>
      </c>
      <c r="E34">
        <f t="shared" si="1"/>
        <v>-13.768349567178861</v>
      </c>
    </row>
    <row r="35" spans="3:5" x14ac:dyDescent="0.3">
      <c r="C35">
        <f t="shared" si="3"/>
        <v>-13.768349567178861</v>
      </c>
      <c r="D35">
        <f t="shared" si="0"/>
        <v>-13.768349567178863</v>
      </c>
      <c r="E35">
        <f t="shared" si="1"/>
        <v>-13.768349567178863</v>
      </c>
    </row>
    <row r="36" spans="3:5" x14ac:dyDescent="0.3">
      <c r="C36">
        <f t="shared" si="3"/>
        <v>-13.768349567178863</v>
      </c>
      <c r="D36">
        <f t="shared" si="0"/>
        <v>-13.768349567178861</v>
      </c>
      <c r="E36">
        <f t="shared" si="1"/>
        <v>-13.768349567178861</v>
      </c>
    </row>
    <row r="37" spans="3:5" x14ac:dyDescent="0.3">
      <c r="C37">
        <f t="shared" ref="C37:C44" si="4">D36</f>
        <v>-13.768349567178861</v>
      </c>
      <c r="D37">
        <f t="shared" si="0"/>
        <v>-13.768349567178863</v>
      </c>
      <c r="E37">
        <f t="shared" si="1"/>
        <v>-13.768349567178863</v>
      </c>
    </row>
    <row r="38" spans="3:5" x14ac:dyDescent="0.3">
      <c r="C38">
        <f t="shared" si="4"/>
        <v>-13.768349567178863</v>
      </c>
      <c r="D38">
        <f t="shared" si="0"/>
        <v>-13.768349567178861</v>
      </c>
      <c r="E38">
        <f t="shared" si="1"/>
        <v>-13.768349567178861</v>
      </c>
    </row>
    <row r="39" spans="3:5" x14ac:dyDescent="0.3">
      <c r="C39">
        <f t="shared" si="4"/>
        <v>-13.768349567178861</v>
      </c>
      <c r="D39">
        <f t="shared" si="0"/>
        <v>-13.768349567178863</v>
      </c>
      <c r="E39">
        <f t="shared" si="1"/>
        <v>-13.768349567178863</v>
      </c>
    </row>
    <row r="40" spans="3:5" x14ac:dyDescent="0.3">
      <c r="C40">
        <f t="shared" si="4"/>
        <v>-13.768349567178863</v>
      </c>
      <c r="D40">
        <f t="shared" si="0"/>
        <v>-13.768349567178861</v>
      </c>
      <c r="E40">
        <f t="shared" si="1"/>
        <v>-13.768349567178861</v>
      </c>
    </row>
    <row r="41" spans="3:5" x14ac:dyDescent="0.3">
      <c r="C41">
        <f t="shared" si="4"/>
        <v>-13.768349567178861</v>
      </c>
      <c r="D41">
        <f t="shared" si="0"/>
        <v>-13.768349567178863</v>
      </c>
      <c r="E41">
        <f t="shared" si="1"/>
        <v>-13.768349567178863</v>
      </c>
    </row>
    <row r="42" spans="3:5" x14ac:dyDescent="0.3">
      <c r="C42">
        <f t="shared" si="4"/>
        <v>-13.768349567178863</v>
      </c>
      <c r="D42">
        <f t="shared" si="0"/>
        <v>-13.768349567178861</v>
      </c>
      <c r="E42">
        <f t="shared" si="1"/>
        <v>-13.768349567178861</v>
      </c>
    </row>
    <row r="43" spans="3:5" x14ac:dyDescent="0.3">
      <c r="C43">
        <f t="shared" si="4"/>
        <v>-13.768349567178861</v>
      </c>
      <c r="D43">
        <f t="shared" si="0"/>
        <v>-13.768349567178863</v>
      </c>
      <c r="E43">
        <f t="shared" si="1"/>
        <v>-13.768349567178863</v>
      </c>
    </row>
    <row r="44" spans="3:5" x14ac:dyDescent="0.3">
      <c r="C44">
        <f t="shared" si="4"/>
        <v>-13.768349567178863</v>
      </c>
      <c r="D44">
        <f t="shared" si="0"/>
        <v>-13.768349567178861</v>
      </c>
      <c r="E44">
        <f t="shared" si="1"/>
        <v>-13.768349567178861</v>
      </c>
    </row>
  </sheetData>
  <dataValidations count="1">
    <dataValidation type="decimal" allowBlank="1" showInputMessage="1" showErrorMessage="1" sqref="D13" xr:uid="{00000000-0002-0000-1200-000000000000}">
      <formula1>0</formula1>
      <formula2>1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74" baseType="lpstr">
      <vt:lpstr>GEO_MEXICO</vt:lpstr>
      <vt:lpstr>Datos</vt:lpstr>
      <vt:lpstr>Cuartos</vt:lpstr>
      <vt:lpstr>Puertas</vt:lpstr>
      <vt:lpstr>HOJA DE BALANCE</vt:lpstr>
      <vt:lpstr>DatosDMFA</vt:lpstr>
      <vt:lpstr>Inyección</vt:lpstr>
      <vt:lpstr>COMPOSITION</vt:lpstr>
      <vt:lpstr>CONSTANTS</vt:lpstr>
      <vt:lpstr>VARIABLES</vt:lpstr>
      <vt:lpstr>INY_RESUMEN</vt:lpstr>
      <vt:lpstr>Retorno</vt:lpstr>
      <vt:lpstr>Extracción</vt:lpstr>
      <vt:lpstr>Colección</vt:lpstr>
      <vt:lpstr>Psicrometría</vt:lpstr>
      <vt:lpstr>ATMOSPHERIC_VARIABLES</vt:lpstr>
      <vt:lpstr>CHART_VALUES</vt:lpstr>
      <vt:lpstr>THERMO_WATER_SAT</vt:lpstr>
      <vt:lpstr>PSY_CHART_LINES</vt:lpstr>
      <vt:lpstr>Psicrométrico</vt:lpstr>
      <vt:lpstr>PSYCHROMETRIC CHART</vt:lpstr>
      <vt:lpstr>A_0</vt:lpstr>
      <vt:lpstr>A_1</vt:lpstr>
      <vt:lpstr>A_2</vt:lpstr>
      <vt:lpstr>A_3</vt:lpstr>
      <vt:lpstr>A_4</vt:lpstr>
      <vt:lpstr>A_5</vt:lpstr>
      <vt:lpstr>AE</vt:lpstr>
      <vt:lpstr>AETOT</vt:lpstr>
      <vt:lpstr>AOT</vt:lpstr>
      <vt:lpstr>AR</vt:lpstr>
      <vt:lpstr>AS</vt:lpstr>
      <vt:lpstr>ASP_01</vt:lpstr>
      <vt:lpstr>ASP_02</vt:lpstr>
      <vt:lpstr>ASPCuarto_01</vt:lpstr>
      <vt:lpstr>ASPCuarto_02</vt:lpstr>
      <vt:lpstr>ASPN</vt:lpstr>
      <vt:lpstr>ASPP</vt:lpstr>
      <vt:lpstr>ASTOT</vt:lpstr>
      <vt:lpstr>BH</vt:lpstr>
      <vt:lpstr>BS</vt:lpstr>
      <vt:lpstr>C_01</vt:lpstr>
      <vt:lpstr>C_02</vt:lpstr>
      <vt:lpstr>C_03</vt:lpstr>
      <vt:lpstr>C_04</vt:lpstr>
      <vt:lpstr>C_05</vt:lpstr>
      <vt:lpstr>C_06</vt:lpstr>
      <vt:lpstr>C_07</vt:lpstr>
      <vt:lpstr>C_08</vt:lpstr>
      <vt:lpstr>C_09</vt:lpstr>
      <vt:lpstr>C_10</vt:lpstr>
      <vt:lpstr>C_11</vt:lpstr>
      <vt:lpstr>C_12</vt:lpstr>
      <vt:lpstr>C_13</vt:lpstr>
      <vt:lpstr>CP</vt:lpstr>
      <vt:lpstr>CUARTO</vt:lpstr>
      <vt:lpstr>INY_RESUMEN!DISP_INY</vt:lpstr>
      <vt:lpstr>DMFA</vt:lpstr>
      <vt:lpstr>Geographic_Locations</vt:lpstr>
      <vt:lpstr>INYECCION</vt:lpstr>
      <vt:lpstr>MW_MDA_RATIO</vt:lpstr>
      <vt:lpstr>P_TOTAL</vt:lpstr>
      <vt:lpstr>PRES</vt:lpstr>
      <vt:lpstr>PRESIONES</vt:lpstr>
      <vt:lpstr>Colección!Print_Area</vt:lpstr>
      <vt:lpstr>Cuartos!Print_Area</vt:lpstr>
      <vt:lpstr>Extracción!Print_Area</vt:lpstr>
      <vt:lpstr>'HOJA DE BALANCE'!Print_Area</vt:lpstr>
      <vt:lpstr>INY_RESUMEN!Print_Area</vt:lpstr>
      <vt:lpstr>Puertas!Print_Area</vt:lpstr>
      <vt:lpstr>Retorno!Print_Area</vt:lpstr>
      <vt:lpstr>PSICRO</vt:lpstr>
      <vt:lpstr>UBICACION</vt:lpstr>
      <vt:lpstr>z_ALTITUDE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</dc:creator>
  <cp:lastModifiedBy>Rodrigo Martínez</cp:lastModifiedBy>
  <cp:lastPrinted>2017-10-04T03:47:20Z</cp:lastPrinted>
  <dcterms:created xsi:type="dcterms:W3CDTF">2008-05-15T19:09:52Z</dcterms:created>
  <dcterms:modified xsi:type="dcterms:W3CDTF">2018-01-29T16:01:18Z</dcterms:modified>
</cp:coreProperties>
</file>