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github\hslu-ige-laes\lora-devices-ttn\docs\"/>
    </mc:Choice>
  </mc:AlternateContent>
  <xr:revisionPtr revIDLastSave="0" documentId="13_ncr:1_{B37EB6F3-1F3F-4601-A144-27208F80B84E}" xr6:coauthVersionLast="47" xr6:coauthVersionMax="47" xr10:uidLastSave="{00000000-0000-0000-0000-000000000000}"/>
  <bookViews>
    <workbookView xWindow="-105" yWindow="0" windowWidth="26010" windowHeight="20985" activeTab="1" xr2:uid="{5E3F2E18-7DEC-441E-A9D7-951EC58CBC1B}"/>
  </bookViews>
  <sheets>
    <sheet name="table" sheetId="2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" l="1"/>
  <c r="Q38" i="3"/>
  <c r="S38" i="3"/>
  <c r="M31" i="3"/>
  <c r="M29" i="3"/>
  <c r="M27" i="3"/>
  <c r="U38" i="3"/>
  <c r="W38" i="3"/>
  <c r="J13" i="2"/>
  <c r="J14" i="2"/>
  <c r="J15" i="2"/>
  <c r="J16" i="2"/>
  <c r="J17" i="2"/>
  <c r="J12" i="2"/>
  <c r="I13" i="2"/>
  <c r="I14" i="2"/>
  <c r="I15" i="2"/>
  <c r="I16" i="2"/>
  <c r="I17" i="2"/>
  <c r="F13" i="2"/>
  <c r="F14" i="2"/>
  <c r="F15" i="2"/>
  <c r="F16" i="2"/>
  <c r="F17" i="2"/>
  <c r="H13" i="2"/>
  <c r="H14" i="2"/>
  <c r="H15" i="2"/>
  <c r="H16" i="2"/>
  <c r="H17" i="2"/>
  <c r="H12" i="2"/>
  <c r="Q13" i="2"/>
  <c r="Q14" i="2"/>
  <c r="Q15" i="2"/>
  <c r="Q16" i="2"/>
  <c r="Q17" i="2"/>
  <c r="Q6" i="2"/>
  <c r="Q7" i="2"/>
  <c r="Q8" i="2"/>
  <c r="Q9" i="2"/>
  <c r="Q10" i="2"/>
  <c r="P13" i="2"/>
  <c r="P14" i="2"/>
  <c r="P15" i="2"/>
  <c r="P16" i="2"/>
  <c r="P17" i="2"/>
  <c r="P12" i="2"/>
  <c r="O13" i="2"/>
  <c r="O14" i="2"/>
  <c r="O15" i="2"/>
  <c r="O16" i="2"/>
  <c r="O17" i="2"/>
  <c r="O12" i="2"/>
  <c r="P6" i="2"/>
  <c r="P7" i="2"/>
  <c r="P8" i="2"/>
  <c r="P9" i="2"/>
  <c r="P10" i="2"/>
  <c r="P5" i="2"/>
  <c r="O6" i="2"/>
  <c r="O7" i="2"/>
  <c r="O8" i="2"/>
  <c r="O9" i="2"/>
  <c r="O10" i="2"/>
  <c r="J6" i="2"/>
  <c r="J7" i="2"/>
  <c r="J8" i="2"/>
  <c r="J9" i="2"/>
  <c r="J10" i="2"/>
  <c r="J5" i="2"/>
  <c r="O5" i="2" s="1"/>
  <c r="I6" i="2"/>
  <c r="I7" i="2"/>
  <c r="I8" i="2"/>
  <c r="I9" i="2"/>
  <c r="I10" i="2"/>
  <c r="H6" i="2"/>
  <c r="H7" i="2"/>
  <c r="H8" i="2"/>
  <c r="H9" i="2"/>
  <c r="H10" i="2"/>
  <c r="H5" i="2"/>
  <c r="F6" i="2"/>
  <c r="F7" i="2"/>
  <c r="F8" i="2"/>
  <c r="F9" i="2"/>
  <c r="F10" i="2"/>
  <c r="F12" i="2"/>
  <c r="F5" i="2"/>
  <c r="C34" i="3"/>
  <c r="C33" i="3"/>
  <c r="C32" i="3"/>
  <c r="C31" i="3"/>
  <c r="C30" i="3"/>
  <c r="C40" i="3"/>
  <c r="C41" i="3"/>
  <c r="C42" i="3"/>
  <c r="C43" i="3"/>
  <c r="C44" i="3"/>
  <c r="B34" i="3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I12" i="2" s="1"/>
  <c r="F9" i="3"/>
  <c r="G9" i="3" s="1"/>
  <c r="H9" i="3" s="1"/>
  <c r="F4" i="3"/>
  <c r="G4" i="3" s="1"/>
  <c r="H4" i="3" s="1"/>
  <c r="I5" i="2" l="1"/>
  <c r="Q12" i="2"/>
  <c r="Q5" i="2"/>
</calcChain>
</file>

<file path=xl/sharedStrings.xml><?xml version="1.0" encoding="utf-8"?>
<sst xmlns="http://schemas.openxmlformats.org/spreadsheetml/2006/main" count="104" uniqueCount="72">
  <si>
    <t>DR</t>
  </si>
  <si>
    <t>SF</t>
  </si>
  <si>
    <t>TX Power</t>
  </si>
  <si>
    <t>Payload</t>
  </si>
  <si>
    <t>bytes</t>
  </si>
  <si>
    <t>Duty Cycle</t>
  </si>
  <si>
    <t>%</t>
  </si>
  <si>
    <t>Max Airtime</t>
  </si>
  <si>
    <t>s/day</t>
  </si>
  <si>
    <t>Header</t>
  </si>
  <si>
    <t>Airtime</t>
  </si>
  <si>
    <t>[ms/telegram]</t>
  </si>
  <si>
    <t xml:space="preserve">Bitrate </t>
  </si>
  <si>
    <t>[bps]</t>
  </si>
  <si>
    <t>Min. Sampling Rate</t>
  </si>
  <si>
    <t>[h:min]</t>
  </si>
  <si>
    <t>Location</t>
  </si>
  <si>
    <t>RSSI</t>
  </si>
  <si>
    <t>SNR</t>
  </si>
  <si>
    <t>Gateway Count</t>
  </si>
  <si>
    <t>Office</t>
  </si>
  <si>
    <t>[dBm]</t>
  </si>
  <si>
    <t>[dB]</t>
  </si>
  <si>
    <t>[-]</t>
  </si>
  <si>
    <t>dBm</t>
  </si>
  <si>
    <t>Settings</t>
  </si>
  <si>
    <t>Results from Field Tester</t>
  </si>
  <si>
    <t>Minimum SNR [dB]</t>
  </si>
  <si>
    <t>min SNR for SF</t>
  </si>
  <si>
    <t>[decimal hours]</t>
  </si>
  <si>
    <t>[db]</t>
  </si>
  <si>
    <t>Limit</t>
  </si>
  <si>
    <t>Bad</t>
  </si>
  <si>
    <t>Good</t>
  </si>
  <si>
    <t>Excellent</t>
  </si>
  <si>
    <t>Limits</t>
  </si>
  <si>
    <t>Fair</t>
  </si>
  <si>
    <t>RSSI Thresholds</t>
  </si>
  <si>
    <t>SNR Thresholds</t>
  </si>
  <si>
    <t>range</t>
  </si>
  <si>
    <t>label</t>
  </si>
  <si>
    <t>Analysis Results</t>
  </si>
  <si>
    <t>Very clean signal</t>
  </si>
  <si>
    <t>clean signal</t>
  </si>
  <si>
    <t>Acceptable, SF7 could have problems, less SF12</t>
  </si>
  <si>
    <t>Try with a lower SF, if required sampling rate does not allow it then add an additional Gateway</t>
  </si>
  <si>
    <t>Add an additional Gateways</t>
  </si>
  <si>
    <t>Very noisy, SNR below limits for LoRa</t>
  </si>
  <si>
    <t>Very strong signal</t>
  </si>
  <si>
    <t>Strong signal</t>
  </si>
  <si>
    <t>Fair signal, maybe unreliable</t>
  </si>
  <si>
    <t>Weak signal, only works at high SF</t>
  </si>
  <si>
    <t>Unusable</t>
  </si>
  <si>
    <t>Possibly unreliable, may need higher SF or TX power</t>
  </si>
  <si>
    <t>unreliable, needs higher SF or TX power or additional gateway</t>
  </si>
  <si>
    <t>Add an addintional Gateway</t>
  </si>
  <si>
    <t>Notes</t>
  </si>
  <si>
    <t>Obstacles, machinery, power lines etc.</t>
  </si>
  <si>
    <t>Recommendations (not yet finished work in progress)</t>
  </si>
  <si>
    <t>added new Gateway gtw-02</t>
  </si>
  <si>
    <t>GOOD</t>
  </si>
  <si>
    <t>EXCELLENT</t>
  </si>
  <si>
    <t>-----&gt;  RSSI [dBm]</t>
  </si>
  <si>
    <t>FAIR</t>
  </si>
  <si>
    <t>BAD</t>
  </si>
  <si>
    <t>LIMIT</t>
  </si>
  <si>
    <t>-------&gt;   SNR [dB]</t>
  </si>
  <si>
    <t>Floor</t>
  </si>
  <si>
    <t>Room</t>
  </si>
  <si>
    <t>Building</t>
  </si>
  <si>
    <t>Noisy, SNR below limits for LoRa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</si>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</sst>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8" xfId="0" applyFont="1" applyBorder="1"/>
    <xf numFmtId="0" fontId="0" fillId="0" borderId="20" xfId="0" applyBorder="1" applyAlignment="1">
      <alignment vertical="top"/>
    </xf>
    <xf numFmtId="0" fontId="0" fillId="2" borderId="17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9" xfId="0" applyBorder="1"/>
    <xf numFmtId="0" fontId="0" fillId="0" borderId="0" xfId="0" quotePrefix="1" applyAlignment="1">
      <alignment horizontal="center" textRotation="90"/>
    </xf>
    <xf numFmtId="0" fontId="0" fillId="0" borderId="30" xfId="0" applyBorder="1" applyAlignment="1">
      <alignment horizontal="right" vertical="center"/>
    </xf>
    <xf numFmtId="0" fontId="0" fillId="0" borderId="25" xfId="0" quotePrefix="1" applyBorder="1" applyAlignment="1">
      <alignment horizontal="center" textRotation="90"/>
    </xf>
    <xf numFmtId="0" fontId="0" fillId="0" borderId="28" xfId="0" applyBorder="1"/>
    <xf numFmtId="0" fontId="0" fillId="0" borderId="24" xfId="0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2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0" fillId="2" borderId="16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horizontal="center" textRotation="90"/>
    </xf>
    <xf numFmtId="0" fontId="0" fillId="0" borderId="0" xfId="0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17"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17</xdr:row>
      <xdr:rowOff>228600</xdr:rowOff>
    </xdr:from>
    <xdr:to>
      <xdr:col>1</xdr:col>
      <xdr:colOff>1352732</xdr:colOff>
      <xdr:row>21</xdr:row>
      <xdr:rowOff>111253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E6D3B0-DA4D-8249-5BD0-B15DE1942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000625"/>
          <a:ext cx="1305107" cy="911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758825</xdr:colOff>
      <xdr:row>46</xdr:row>
      <xdr:rowOff>15875</xdr:rowOff>
    </xdr:from>
    <xdr:to>
      <xdr:col>7</xdr:col>
      <xdr:colOff>1209675</xdr:colOff>
      <xdr:row>70</xdr:row>
      <xdr:rowOff>47053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35765ED-F946-47B7-83DB-AC013FE4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825" y="8169275"/>
          <a:ext cx="7343775" cy="4185872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21</xdr:row>
      <xdr:rowOff>51288</xdr:rowOff>
    </xdr:from>
    <xdr:to>
      <xdr:col>20</xdr:col>
      <xdr:colOff>47626</xdr:colOff>
      <xdr:row>29</xdr:row>
      <xdr:rowOff>149225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783ADB17-017A-DE1F-28B3-A130D4C1AE9A}"/>
            </a:ext>
          </a:extLst>
        </xdr:cNvPr>
        <xdr:cNvSpPr/>
      </xdr:nvSpPr>
      <xdr:spPr>
        <a:xfrm>
          <a:off x="11318631" y="3897923"/>
          <a:ext cx="1199418" cy="1563321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63499</xdr:colOff>
      <xdr:row>30</xdr:row>
      <xdr:rowOff>38099</xdr:rowOff>
    </xdr:from>
    <xdr:to>
      <xdr:col>19</xdr:col>
      <xdr:colOff>107673</xdr:colOff>
      <xdr:row>34</xdr:row>
      <xdr:rowOff>152400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B61FAB3-366E-4FDE-BE28-86888B615475}"/>
            </a:ext>
          </a:extLst>
        </xdr:cNvPr>
        <xdr:cNvSpPr/>
      </xdr:nvSpPr>
      <xdr:spPr>
        <a:xfrm>
          <a:off x="11319564" y="5504621"/>
          <a:ext cx="1004957" cy="84317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182217</xdr:colOff>
      <xdr:row>31</xdr:row>
      <xdr:rowOff>38100</xdr:rowOff>
    </xdr:from>
    <xdr:to>
      <xdr:col>26</xdr:col>
      <xdr:colOff>177800</xdr:colOff>
      <xdr:row>34</xdr:row>
      <xdr:rowOff>158750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11F0D77-485D-424F-912F-B3A506DA1041}"/>
            </a:ext>
          </a:extLst>
        </xdr:cNvPr>
        <xdr:cNvSpPr/>
      </xdr:nvSpPr>
      <xdr:spPr>
        <a:xfrm>
          <a:off x="12399065" y="5686839"/>
          <a:ext cx="1676952" cy="667302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486738</xdr:colOff>
      <xdr:row>13</xdr:row>
      <xdr:rowOff>29308</xdr:rowOff>
    </xdr:from>
    <xdr:to>
      <xdr:col>26</xdr:col>
      <xdr:colOff>190499</xdr:colOff>
      <xdr:row>19</xdr:row>
      <xdr:rowOff>26133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5CA0A7-435F-5287-0AB7-E9575D48A67A}"/>
            </a:ext>
          </a:extLst>
        </xdr:cNvPr>
        <xdr:cNvSpPr txBox="1"/>
      </xdr:nvSpPr>
      <xdr:spPr>
        <a:xfrm>
          <a:off x="10304815" y="2410558"/>
          <a:ext cx="3806838" cy="109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Far</a:t>
          </a:r>
          <a:r>
            <a:rPr lang="de-CH" sz="1100" b="1" baseline="0"/>
            <a:t> away environment or lot of obstacles, little noise:</a:t>
          </a:r>
          <a:br>
            <a:rPr lang="de-CH" sz="1100" baseline="0"/>
          </a:br>
          <a:r>
            <a:rPr lang="de-CH" sz="1100" baseline="0"/>
            <a:t>-&gt; Try to put node device higher</a:t>
          </a:r>
          <a:br>
            <a:rPr lang="de-CH" sz="1100" baseline="0"/>
          </a:br>
          <a:r>
            <a:rPr lang="de-CH" sz="1100" baseline="0"/>
            <a:t>-&gt; make shure antennas of node-device and gateway aren't</a:t>
          </a:r>
          <a:br>
            <a:rPr lang="de-CH" sz="1100" baseline="0"/>
          </a:br>
          <a:r>
            <a:rPr lang="de-CH" sz="1100" baseline="0"/>
            <a:t>     close to walls or metal structures or devices</a:t>
          </a:r>
          <a:br>
            <a:rPr lang="de-CH" sz="1100" baseline="0"/>
          </a:br>
          <a:r>
            <a:rPr lang="de-CH" sz="1100" baseline="0"/>
            <a:t>-&gt; Try to achieve line-of-sight if possible</a:t>
          </a:r>
          <a:br>
            <a:rPr lang="de-CH" sz="1100" baseline="0"/>
          </a:br>
          <a:r>
            <a:rPr lang="de-CH" sz="1100" baseline="0"/>
            <a:t>-&gt; Add gateway which is closer</a:t>
          </a:r>
          <a:endParaRPr lang="de-CH" sz="1100"/>
        </a:p>
      </xdr:txBody>
    </xdr:sp>
    <xdr:clientData/>
  </xdr:twoCellAnchor>
  <xdr:twoCellAnchor>
    <xdr:from>
      <xdr:col>17</xdr:col>
      <xdr:colOff>171695</xdr:colOff>
      <xdr:row>19</xdr:row>
      <xdr:rowOff>26133</xdr:rowOff>
    </xdr:from>
    <xdr:to>
      <xdr:col>18</xdr:col>
      <xdr:colOff>221388</xdr:colOff>
      <xdr:row>21</xdr:row>
      <xdr:rowOff>48113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2A7F27C1-4A7A-F13B-8553-D222CCF827F1}"/>
            </a:ext>
          </a:extLst>
        </xdr:cNvPr>
        <xdr:cNvCxnSpPr>
          <a:stCxn id="6" idx="2"/>
          <a:endCxn id="3" idx="0"/>
        </xdr:cNvCxnSpPr>
      </xdr:nvCxnSpPr>
      <xdr:spPr>
        <a:xfrm flipH="1">
          <a:off x="11916753" y="3506421"/>
          <a:ext cx="291481" cy="38832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199090</xdr:colOff>
      <xdr:row>38</xdr:row>
      <xdr:rowOff>36316</xdr:rowOff>
    </xdr:from>
    <xdr:to>
      <xdr:col>18</xdr:col>
      <xdr:colOff>125534</xdr:colOff>
      <xdr:row>42</xdr:row>
      <xdr:rowOff>117231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24F918A-4E72-4EF7-A8AC-B905D923B048}"/>
            </a:ext>
          </a:extLst>
        </xdr:cNvPr>
        <xdr:cNvSpPr txBox="1"/>
      </xdr:nvSpPr>
      <xdr:spPr>
        <a:xfrm>
          <a:off x="10017167" y="6806393"/>
          <a:ext cx="2095213" cy="813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No or insufficient reception:</a:t>
          </a:r>
          <a:br>
            <a:rPr lang="de-CH" sz="1100" baseline="0"/>
          </a:br>
          <a:r>
            <a:rPr lang="de-CH" sz="1100" baseline="0"/>
            <a:t>-&gt; Try to put gateway higher</a:t>
          </a:r>
          <a:br>
            <a:rPr lang="de-CH" sz="1100" baseline="0"/>
          </a:br>
          <a:r>
            <a:rPr lang="de-CH" sz="1100" baseline="0"/>
            <a:t>-&gt; Try higher SF's</a:t>
          </a:r>
          <a:br>
            <a:rPr lang="de-CH" sz="1100" baseline="0"/>
          </a:br>
          <a:r>
            <a:rPr lang="de-CH" sz="1100" baseline="0"/>
            <a:t>-&gt; Add gateway</a:t>
          </a:r>
          <a:endParaRPr lang="de-CH" sz="1100"/>
        </a:p>
      </xdr:txBody>
    </xdr:sp>
    <xdr:clientData/>
  </xdr:twoCellAnchor>
  <xdr:twoCellAnchor>
    <xdr:from>
      <xdr:col>12</xdr:col>
      <xdr:colOff>286870</xdr:colOff>
      <xdr:row>34</xdr:row>
      <xdr:rowOff>28361</xdr:rowOff>
    </xdr:from>
    <xdr:to>
      <xdr:col>15</xdr:col>
      <xdr:colOff>213850</xdr:colOff>
      <xdr:row>38</xdr:row>
      <xdr:rowOff>36316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9A66068D-F681-4C56-8872-21C195A87B2B}"/>
            </a:ext>
          </a:extLst>
        </xdr:cNvPr>
        <xdr:cNvCxnSpPr>
          <a:stCxn id="4" idx="3"/>
          <a:endCxn id="9" idx="0"/>
        </xdr:cNvCxnSpPr>
      </xdr:nvCxnSpPr>
      <xdr:spPr>
        <a:xfrm flipH="1">
          <a:off x="11064774" y="6256246"/>
          <a:ext cx="410557" cy="5501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143650</xdr:colOff>
      <xdr:row>38</xdr:row>
      <xdr:rowOff>36316</xdr:rowOff>
    </xdr:from>
    <xdr:to>
      <xdr:col>29</xdr:col>
      <xdr:colOff>8304</xdr:colOff>
      <xdr:row>44</xdr:row>
      <xdr:rowOff>73270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879B069B-036F-164D-E9BA-589770B88344}"/>
            </a:ext>
          </a:extLst>
        </xdr:cNvPr>
        <xdr:cNvSpPr txBox="1"/>
      </xdr:nvSpPr>
      <xdr:spPr>
        <a:xfrm>
          <a:off x="12372285" y="6806393"/>
          <a:ext cx="2934634" cy="113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b="1"/>
            <a:t>Strong signal, but lots of interference or noise</a:t>
          </a:r>
          <a:r>
            <a:rPr lang="de-CH" sz="1100" b="1"/>
            <a:t>:</a:t>
          </a:r>
          <a:br>
            <a:rPr lang="de-CH" sz="1100" baseline="0"/>
          </a:br>
          <a:r>
            <a:rPr lang="de-CH" sz="1100" baseline="0"/>
            <a:t>-&gt; Try to put node-device away from potential</a:t>
          </a:r>
          <a:br>
            <a:rPr lang="de-CH" sz="1100" baseline="0"/>
          </a:br>
          <a:r>
            <a:rPr lang="de-CH" sz="1100" baseline="0"/>
            <a:t>     sources of interference (e.g., WiFi-Routers, </a:t>
          </a:r>
          <a:br>
            <a:rPr lang="de-CH" sz="1100" baseline="0"/>
          </a:br>
          <a:r>
            <a:rPr lang="de-CH" sz="1100" baseline="0"/>
            <a:t>     power supplies, machinery etc.)</a:t>
          </a:r>
          <a:br>
            <a:rPr lang="de-CH" sz="1100" baseline="0"/>
          </a:br>
          <a:r>
            <a:rPr lang="de-CH" sz="1100" baseline="0"/>
            <a:t>-&gt; </a:t>
          </a:r>
          <a:r>
            <a:rPr lang="de-CH"/>
            <a:t>Ensure devices and antennas are not close to </a:t>
          </a:r>
          <a:br>
            <a:rPr lang="de-CH"/>
          </a:br>
          <a:r>
            <a:rPr lang="de-CH"/>
            <a:t>     metallic surfaces </a:t>
          </a:r>
          <a:r>
            <a:rPr lang="de-CH" baseline="0"/>
            <a:t> or walls</a:t>
          </a:r>
          <a:endParaRPr lang="de-CH" sz="1100"/>
        </a:p>
      </xdr:txBody>
    </xdr:sp>
    <xdr:clientData/>
  </xdr:twoCellAnchor>
  <xdr:twoCellAnchor>
    <xdr:from>
      <xdr:col>23</xdr:col>
      <xdr:colOff>59115</xdr:colOff>
      <xdr:row>34</xdr:row>
      <xdr:rowOff>161925</xdr:rowOff>
    </xdr:from>
    <xdr:to>
      <xdr:col>25</xdr:col>
      <xdr:colOff>160237</xdr:colOff>
      <xdr:row>38</xdr:row>
      <xdr:rowOff>36316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DB594DB6-665F-4490-A08C-EC2E58771A0E}"/>
            </a:ext>
          </a:extLst>
        </xdr:cNvPr>
        <xdr:cNvCxnSpPr>
          <a:stCxn id="5" idx="4"/>
          <a:endCxn id="17" idx="0"/>
        </xdr:cNvCxnSpPr>
      </xdr:nvCxnSpPr>
      <xdr:spPr>
        <a:xfrm>
          <a:off x="13254903" y="6389810"/>
          <a:ext cx="584699" cy="41658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1FF-9388-4747-98B0-3AAB2640A2B7}">
  <dimension ref="B2:Q17"/>
  <sheetViews>
    <sheetView showGridLines="0" workbookViewId="0">
      <selection activeCell="C29" sqref="C29"/>
    </sheetView>
  </sheetViews>
  <sheetFormatPr baseColWidth="10" defaultRowHeight="20.5" customHeight="1" x14ac:dyDescent="0.35"/>
  <cols>
    <col min="1" max="1" width="3.08984375" style="5" customWidth="1"/>
    <col min="2" max="3" width="24.54296875" style="5" customWidth="1"/>
    <col min="4" max="4" width="16.36328125" style="5" customWidth="1"/>
    <col min="5" max="6" width="3.81640625" style="5" customWidth="1"/>
    <col min="7" max="7" width="8.7265625" style="5" bestFit="1" customWidth="1"/>
    <col min="8" max="8" width="5.81640625" style="5" bestFit="1" customWidth="1"/>
    <col min="9" max="9" width="17.453125" style="5" bestFit="1" customWidth="1"/>
    <col min="10" max="10" width="15.26953125" style="5" customWidth="1"/>
    <col min="11" max="12" width="10.90625" style="5"/>
    <col min="13" max="13" width="15.1796875" style="5" customWidth="1"/>
    <col min="14" max="14" width="34.6328125" style="5" bestFit="1" customWidth="1"/>
    <col min="15" max="15" width="22.81640625" style="5" customWidth="1"/>
    <col min="16" max="16" width="27.81640625" style="5" customWidth="1"/>
    <col min="17" max="17" width="47.81640625" style="5" bestFit="1" customWidth="1"/>
    <col min="18" max="16384" width="10.90625" style="5"/>
  </cols>
  <sheetData>
    <row r="2" spans="2:17" s="6" customFormat="1" ht="20.5" customHeight="1" x14ac:dyDescent="0.35">
      <c r="B2" s="62" t="s">
        <v>16</v>
      </c>
      <c r="C2" s="63"/>
      <c r="D2" s="64"/>
      <c r="E2" s="78" t="s">
        <v>25</v>
      </c>
      <c r="F2" s="79"/>
      <c r="G2" s="79"/>
      <c r="H2" s="85"/>
      <c r="I2" s="78" t="s">
        <v>35</v>
      </c>
      <c r="J2" s="85"/>
      <c r="K2" s="84" t="s">
        <v>26</v>
      </c>
      <c r="L2" s="84"/>
      <c r="M2" s="84"/>
      <c r="N2" s="32" t="s">
        <v>56</v>
      </c>
      <c r="O2" s="78" t="s">
        <v>41</v>
      </c>
      <c r="P2" s="79"/>
      <c r="Q2" s="80"/>
    </row>
    <row r="3" spans="2:17" customFormat="1" ht="15.5" customHeight="1" x14ac:dyDescent="0.35">
      <c r="B3" s="58" t="s">
        <v>68</v>
      </c>
      <c r="C3" s="65" t="s">
        <v>67</v>
      </c>
      <c r="D3" s="60" t="s">
        <v>69</v>
      </c>
      <c r="E3" s="8" t="s">
        <v>0</v>
      </c>
      <c r="F3" s="8" t="s">
        <v>1</v>
      </c>
      <c r="G3" s="86" t="s">
        <v>2</v>
      </c>
      <c r="H3" s="87"/>
      <c r="I3" s="8" t="s">
        <v>14</v>
      </c>
      <c r="J3" s="8" t="s">
        <v>28</v>
      </c>
      <c r="K3" s="8" t="s">
        <v>17</v>
      </c>
      <c r="L3" s="8" t="s">
        <v>18</v>
      </c>
      <c r="M3" s="8" t="s">
        <v>19</v>
      </c>
      <c r="N3" s="33" t="s">
        <v>57</v>
      </c>
      <c r="O3" s="8" t="s">
        <v>18</v>
      </c>
      <c r="P3" s="8" t="s">
        <v>19</v>
      </c>
      <c r="Q3" s="36" t="s">
        <v>58</v>
      </c>
    </row>
    <row r="4" spans="2:17" s="1" customFormat="1" ht="15.5" customHeight="1" x14ac:dyDescent="0.35">
      <c r="B4" s="59"/>
      <c r="C4" s="66"/>
      <c r="D4" s="61"/>
      <c r="E4" s="9" t="s">
        <v>23</v>
      </c>
      <c r="F4" s="9" t="s">
        <v>23</v>
      </c>
      <c r="G4" s="9" t="s">
        <v>23</v>
      </c>
      <c r="H4" s="9" t="s">
        <v>21</v>
      </c>
      <c r="I4" s="9" t="s">
        <v>15</v>
      </c>
      <c r="J4" s="9" t="s">
        <v>22</v>
      </c>
      <c r="K4" s="9" t="s">
        <v>21</v>
      </c>
      <c r="L4" s="9" t="s">
        <v>22</v>
      </c>
      <c r="M4" s="9" t="s">
        <v>23</v>
      </c>
      <c r="N4" s="9"/>
      <c r="O4" s="9"/>
      <c r="P4" s="9"/>
      <c r="Q4" s="37"/>
    </row>
    <row r="5" spans="2:17" ht="20.5" customHeight="1" x14ac:dyDescent="0.35">
      <c r="B5" s="38" t="s">
        <v>20</v>
      </c>
      <c r="C5" s="56"/>
      <c r="D5" s="56"/>
      <c r="E5" s="10">
        <v>1</v>
      </c>
      <c r="F5" s="7">
        <f>IF(E5="","",VLOOKUP(E5,metadata!$B$4:$D$9,2,))</f>
        <v>11</v>
      </c>
      <c r="G5" s="10">
        <v>0</v>
      </c>
      <c r="H5" s="7">
        <f>IF(G5="","",VLOOKUP(G5,metadata!$B$13:$C$20,2,))</f>
        <v>14</v>
      </c>
      <c r="I5" s="7" t="str">
        <f>IF(E5="","",VLOOKUP(E5,metadata!$B$4:$H$9,7,))</f>
        <v>1h 16min</v>
      </c>
      <c r="J5" s="7">
        <f>IF(E5="","",VLOOKUP(E5,metadata!$B$4:$D$9,3,))</f>
        <v>-17.5</v>
      </c>
      <c r="K5" s="34">
        <v>-118</v>
      </c>
      <c r="L5" s="7">
        <v>2</v>
      </c>
      <c r="M5" s="35">
        <v>1</v>
      </c>
      <c r="N5" s="30"/>
      <c r="O5" s="31" t="str">
        <f>IF(L5="","",IF(L5&lt;=J5,"Very Noisy, SNR below limits for LoRa",""))</f>
        <v/>
      </c>
      <c r="P5" s="31" t="str">
        <f>IF(M5="","",IF(M5=0,"Add Gateway(s), no reception.",IF(M5&lt;2,"Add Gateway to be safe.","")))</f>
        <v>Add Gateway to be safe.</v>
      </c>
      <c r="Q5" s="39" t="str">
        <f>IF(L5="","",IF(F5=7,"Keep SF/DR, already on best",IF(L5&gt;J5+3,"Try DR"&amp;E5+1&amp;"/ SF"&amp;F5-1,IF(L5&lt;J5,"Increase SF","Keep SF/DF"))))</f>
        <v>Try DR2/ SF10</v>
      </c>
    </row>
    <row r="6" spans="2:17" ht="20.5" customHeight="1" x14ac:dyDescent="0.35">
      <c r="B6" s="38"/>
      <c r="C6" s="56"/>
      <c r="D6" s="56"/>
      <c r="E6" s="10"/>
      <c r="F6" s="7" t="str">
        <f>IF(E6="","",VLOOKUP(E6,metadata!$B$4:$D$9,2,))</f>
        <v/>
      </c>
      <c r="G6" s="10"/>
      <c r="H6" s="7" t="str">
        <f>IF(G6="","",VLOOKUP(G6,metadata!$B$13:$C$20,2,))</f>
        <v/>
      </c>
      <c r="I6" s="7" t="str">
        <f>IF(E6="","",VLOOKUP(E6,metadata!$B$4:$H$9,7,))</f>
        <v/>
      </c>
      <c r="J6" s="7" t="str">
        <f>IF(E6="","",VLOOKUP(E6,metadata!$B$4:$D$9,3,))</f>
        <v/>
      </c>
      <c r="K6" s="34"/>
      <c r="L6" s="7"/>
      <c r="M6" s="35"/>
      <c r="N6" s="30"/>
      <c r="O6" s="31" t="str">
        <f t="shared" ref="O6:O10" si="0">IF(L6="","",IF(L6&lt;=J6,"Very Noisy, SNR below limits for LoRa",""))</f>
        <v/>
      </c>
      <c r="P6" s="31" t="str">
        <f t="shared" ref="P6:P10" si="1">IF(M6="","",IF(M6=0,"Add Gateway(s), no reception.",IF(M6&lt;2,"Add Gateway to be safe.","")))</f>
        <v/>
      </c>
      <c r="Q6" s="39" t="str">
        <f t="shared" ref="Q6:Q10" si="2">IF(L6="","",IF(F6=7,"Keep SF/DR, already on best",IF(L6&gt;J6+3,"Try DR"&amp;E6+1&amp;"/ SF"&amp;F6-1,IF(L6&lt;J6,"Increase SF","Keep SF/DF"))))</f>
        <v/>
      </c>
    </row>
    <row r="7" spans="2:17" ht="20.5" customHeight="1" x14ac:dyDescent="0.35">
      <c r="B7" s="38"/>
      <c r="C7" s="56"/>
      <c r="D7" s="56"/>
      <c r="E7" s="10"/>
      <c r="F7" s="7" t="str">
        <f>IF(E7="","",VLOOKUP(E7,metadata!$B$4:$D$9,2,))</f>
        <v/>
      </c>
      <c r="G7" s="10"/>
      <c r="H7" s="7" t="str">
        <f>IF(G7="","",VLOOKUP(G7,metadata!$B$13:$C$20,2,))</f>
        <v/>
      </c>
      <c r="I7" s="7" t="str">
        <f>IF(E7="","",VLOOKUP(E7,metadata!$B$4:$H$9,7,))</f>
        <v/>
      </c>
      <c r="J7" s="7" t="str">
        <f>IF(E7="","",VLOOKUP(E7,metadata!$B$4:$D$9,3,))</f>
        <v/>
      </c>
      <c r="K7" s="34"/>
      <c r="L7" s="7"/>
      <c r="M7" s="35"/>
      <c r="N7" s="30"/>
      <c r="O7" s="31" t="str">
        <f t="shared" si="0"/>
        <v/>
      </c>
      <c r="P7" s="31" t="str">
        <f t="shared" si="1"/>
        <v/>
      </c>
      <c r="Q7" s="39" t="str">
        <f t="shared" si="2"/>
        <v/>
      </c>
    </row>
    <row r="8" spans="2:17" ht="20.5" customHeight="1" x14ac:dyDescent="0.35">
      <c r="B8" s="38"/>
      <c r="C8" s="56"/>
      <c r="D8" s="56"/>
      <c r="E8" s="10"/>
      <c r="F8" s="7" t="str">
        <f>IF(E8="","",VLOOKUP(E8,metadata!$B$4:$D$9,2,))</f>
        <v/>
      </c>
      <c r="G8" s="10"/>
      <c r="H8" s="7" t="str">
        <f>IF(G8="","",VLOOKUP(G8,metadata!$B$13:$C$20,2,))</f>
        <v/>
      </c>
      <c r="I8" s="7" t="str">
        <f>IF(E8="","",VLOOKUP(E8,metadata!$B$4:$H$9,7,))</f>
        <v/>
      </c>
      <c r="J8" s="7" t="str">
        <f>IF(E8="","",VLOOKUP(E8,metadata!$B$4:$D$9,3,))</f>
        <v/>
      </c>
      <c r="K8" s="34"/>
      <c r="L8" s="7"/>
      <c r="M8" s="35"/>
      <c r="N8" s="30"/>
      <c r="O8" s="31" t="str">
        <f t="shared" si="0"/>
        <v/>
      </c>
      <c r="P8" s="31" t="str">
        <f t="shared" si="1"/>
        <v/>
      </c>
      <c r="Q8" s="39" t="str">
        <f t="shared" si="2"/>
        <v/>
      </c>
    </row>
    <row r="9" spans="2:17" ht="20.5" customHeight="1" x14ac:dyDescent="0.35">
      <c r="B9" s="38"/>
      <c r="C9" s="56"/>
      <c r="D9" s="56"/>
      <c r="E9" s="10"/>
      <c r="F9" s="7" t="str">
        <f>IF(E9="","",VLOOKUP(E9,metadata!$B$4:$D$9,2,))</f>
        <v/>
      </c>
      <c r="G9" s="10"/>
      <c r="H9" s="7" t="str">
        <f>IF(G9="","",VLOOKUP(G9,metadata!$B$13:$C$20,2,))</f>
        <v/>
      </c>
      <c r="I9" s="7" t="str">
        <f>IF(E9="","",VLOOKUP(E9,metadata!$B$4:$H$9,7,))</f>
        <v/>
      </c>
      <c r="J9" s="7" t="str">
        <f>IF(E9="","",VLOOKUP(E9,metadata!$B$4:$D$9,3,))</f>
        <v/>
      </c>
      <c r="K9" s="34"/>
      <c r="L9" s="7"/>
      <c r="M9" s="35"/>
      <c r="N9" s="30"/>
      <c r="O9" s="31" t="str">
        <f t="shared" si="0"/>
        <v/>
      </c>
      <c r="P9" s="31" t="str">
        <f t="shared" si="1"/>
        <v/>
      </c>
      <c r="Q9" s="39" t="str">
        <f t="shared" si="2"/>
        <v/>
      </c>
    </row>
    <row r="10" spans="2:17" ht="20.5" customHeight="1" x14ac:dyDescent="0.35">
      <c r="B10" s="40"/>
      <c r="C10" s="57"/>
      <c r="D10" s="57"/>
      <c r="E10" s="41"/>
      <c r="F10" s="7" t="str">
        <f>IF(E10="","",VLOOKUP(E10,metadata!$B$4:$D$9,2,))</f>
        <v/>
      </c>
      <c r="G10" s="41"/>
      <c r="H10" s="7" t="str">
        <f>IF(G10="","",VLOOKUP(G10,metadata!$B$13:$C$20,2,))</f>
        <v/>
      </c>
      <c r="I10" s="7" t="str">
        <f>IF(E10="","",VLOOKUP(E10,metadata!$B$4:$H$9,7,))</f>
        <v/>
      </c>
      <c r="J10" s="7" t="str">
        <f>IF(E10="","",VLOOKUP(E10,metadata!$B$4:$D$9,3,))</f>
        <v/>
      </c>
      <c r="K10" s="42"/>
      <c r="L10" s="43"/>
      <c r="M10" s="44"/>
      <c r="N10" s="45"/>
      <c r="O10" s="31" t="str">
        <f t="shared" si="0"/>
        <v/>
      </c>
      <c r="P10" s="31" t="str">
        <f t="shared" si="1"/>
        <v/>
      </c>
      <c r="Q10" s="39" t="str">
        <f t="shared" si="2"/>
        <v/>
      </c>
    </row>
    <row r="11" spans="2:17" ht="20.5" customHeight="1" x14ac:dyDescent="0.35">
      <c r="B11" s="81" t="s">
        <v>59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3"/>
    </row>
    <row r="12" spans="2:17" ht="20.5" customHeight="1" x14ac:dyDescent="0.35">
      <c r="B12" s="67" t="s">
        <v>20</v>
      </c>
      <c r="C12" s="68"/>
      <c r="D12" s="68"/>
      <c r="E12" s="71">
        <v>1</v>
      </c>
      <c r="F12" s="72">
        <f>IF(E12="","",VLOOKUP(E12,metadata!$B$4:$D$9,2,))</f>
        <v>11</v>
      </c>
      <c r="G12" s="71">
        <v>0</v>
      </c>
      <c r="H12" s="72">
        <f>IF(G12="","",VLOOKUP(G12,metadata!$B$13:$C$20,2,))</f>
        <v>14</v>
      </c>
      <c r="I12" s="72" t="str">
        <f>IF(E12="","",VLOOKUP(E12,metadata!$B$4:$H$9,7,))</f>
        <v>1h 16min</v>
      </c>
      <c r="J12" s="72">
        <f>IF(E12="","",VLOOKUP(E12,metadata!$B$4:$D$9,3,))</f>
        <v>-17.5</v>
      </c>
      <c r="K12" s="73">
        <v>-88</v>
      </c>
      <c r="L12" s="72">
        <v>2</v>
      </c>
      <c r="M12" s="74">
        <v>2</v>
      </c>
      <c r="N12" s="75"/>
      <c r="O12" s="76" t="str">
        <f t="shared" ref="O12:O17" si="3">IF(M12="","",IF(M12=0,"Add Gateway(s), no reception.",IF(M12&lt;2,"Add Gateway to be safe.","")))</f>
        <v/>
      </c>
      <c r="P12" s="76" t="str">
        <f>IF(M12="","",IF(M12=0,"Add Gateway(s), no reception.",IF(M12&lt;2,"Add Gateway to be safe.","")))</f>
        <v/>
      </c>
      <c r="Q12" s="77" t="str">
        <f>IF(L12="","",IF(F12=7,"Keep SF/DR, already on best",IF(L12&gt;J12+3,"Try DR"&amp;E12+1&amp;"/ SF"&amp;F12-1,IF(L12&lt;J12,"Increase SF","Keep SF/DF"))))</f>
        <v>Try DR2/ SF10</v>
      </c>
    </row>
    <row r="13" spans="2:17" ht="20.5" customHeight="1" x14ac:dyDescent="0.35">
      <c r="B13" s="38"/>
      <c r="C13" s="56"/>
      <c r="D13" s="56"/>
      <c r="E13" s="10"/>
      <c r="F13" s="7" t="str">
        <f>IF(E13="","",VLOOKUP(E13,metadata!$B$4:$D$9,2,))</f>
        <v/>
      </c>
      <c r="G13" s="10"/>
      <c r="H13" s="7" t="str">
        <f>IF(G13="","",VLOOKUP(G13,metadata!$B$13:$C$20,2,))</f>
        <v/>
      </c>
      <c r="I13" s="7" t="str">
        <f>IF(E13="","",VLOOKUP(E13,metadata!$B$4:$H$9,7,))</f>
        <v/>
      </c>
      <c r="J13" s="7" t="str">
        <f>IF(E13="","",VLOOKUP(E13,metadata!$B$4:$D$9,3,))</f>
        <v/>
      </c>
      <c r="K13" s="34"/>
      <c r="L13" s="7"/>
      <c r="M13" s="35"/>
      <c r="N13" s="30"/>
      <c r="O13" s="31" t="str">
        <f t="shared" si="3"/>
        <v/>
      </c>
      <c r="P13" s="31" t="str">
        <f t="shared" ref="P13:P17" si="4">IF(M13="","",IF(M13=0,"Add Gateway(s), no reception.",IF(M13&lt;2,"Add Gateway to be safe.","")))</f>
        <v/>
      </c>
      <c r="Q13" s="39" t="str">
        <f t="shared" ref="Q13:Q17" si="5">IF(L13="","",IF(F13=7,"Keep SF/DR, already on best",IF(L13&gt;J13+3,"Try DR"&amp;E13+1&amp;"/ SF"&amp;F13-1,IF(L13&lt;J13,"Increase SF","Keep SF/DF"))))</f>
        <v/>
      </c>
    </row>
    <row r="14" spans="2:17" ht="20.5" customHeight="1" x14ac:dyDescent="0.35">
      <c r="B14" s="38"/>
      <c r="C14" s="56"/>
      <c r="D14" s="56"/>
      <c r="E14" s="10"/>
      <c r="F14" s="7" t="str">
        <f>IF(E14="","",VLOOKUP(E14,metadata!$B$4:$D$9,2,))</f>
        <v/>
      </c>
      <c r="G14" s="10"/>
      <c r="H14" s="7" t="str">
        <f>IF(G14="","",VLOOKUP(G14,metadata!$B$13:$C$20,2,))</f>
        <v/>
      </c>
      <c r="I14" s="7" t="str">
        <f>IF(E14="","",VLOOKUP(E14,metadata!$B$4:$H$9,7,))</f>
        <v/>
      </c>
      <c r="J14" s="7" t="str">
        <f>IF(E14="","",VLOOKUP(E14,metadata!$B$4:$D$9,3,))</f>
        <v/>
      </c>
      <c r="K14" s="34"/>
      <c r="L14" s="7"/>
      <c r="M14" s="35"/>
      <c r="N14" s="30"/>
      <c r="O14" s="31" t="str">
        <f t="shared" si="3"/>
        <v/>
      </c>
      <c r="P14" s="31" t="str">
        <f t="shared" si="4"/>
        <v/>
      </c>
      <c r="Q14" s="39" t="str">
        <f t="shared" si="5"/>
        <v/>
      </c>
    </row>
    <row r="15" spans="2:17" ht="20.5" customHeight="1" x14ac:dyDescent="0.35">
      <c r="B15" s="38"/>
      <c r="C15" s="56"/>
      <c r="D15" s="56"/>
      <c r="E15" s="10"/>
      <c r="F15" s="7" t="str">
        <f>IF(E15="","",VLOOKUP(E15,metadata!$B$4:$D$9,2,))</f>
        <v/>
      </c>
      <c r="G15" s="10"/>
      <c r="H15" s="7" t="str">
        <f>IF(G15="","",VLOOKUP(G15,metadata!$B$13:$C$20,2,))</f>
        <v/>
      </c>
      <c r="I15" s="7" t="str">
        <f>IF(E15="","",VLOOKUP(E15,metadata!$B$4:$H$9,7,))</f>
        <v/>
      </c>
      <c r="J15" s="7" t="str">
        <f>IF(E15="","",VLOOKUP(E15,metadata!$B$4:$D$9,3,))</f>
        <v/>
      </c>
      <c r="K15" s="34"/>
      <c r="L15" s="7"/>
      <c r="M15" s="35"/>
      <c r="N15" s="30"/>
      <c r="O15" s="31" t="str">
        <f t="shared" si="3"/>
        <v/>
      </c>
      <c r="P15" s="31" t="str">
        <f t="shared" si="4"/>
        <v/>
      </c>
      <c r="Q15" s="39" t="str">
        <f t="shared" si="5"/>
        <v/>
      </c>
    </row>
    <row r="16" spans="2:17" ht="20.5" customHeight="1" x14ac:dyDescent="0.35">
      <c r="B16" s="38"/>
      <c r="C16" s="56"/>
      <c r="D16" s="56"/>
      <c r="E16" s="10"/>
      <c r="F16" s="7" t="str">
        <f>IF(E16="","",VLOOKUP(E16,metadata!$B$4:$D$9,2,))</f>
        <v/>
      </c>
      <c r="G16" s="10"/>
      <c r="H16" s="7" t="str">
        <f>IF(G16="","",VLOOKUP(G16,metadata!$B$13:$C$20,2,))</f>
        <v/>
      </c>
      <c r="I16" s="7" t="str">
        <f>IF(E16="","",VLOOKUP(E16,metadata!$B$4:$H$9,7,))</f>
        <v/>
      </c>
      <c r="J16" s="7" t="str">
        <f>IF(E16="","",VLOOKUP(E16,metadata!$B$4:$D$9,3,))</f>
        <v/>
      </c>
      <c r="K16" s="34"/>
      <c r="L16" s="7"/>
      <c r="M16" s="35"/>
      <c r="N16" s="30"/>
      <c r="O16" s="31" t="str">
        <f t="shared" si="3"/>
        <v/>
      </c>
      <c r="P16" s="31" t="str">
        <f t="shared" si="4"/>
        <v/>
      </c>
      <c r="Q16" s="39" t="str">
        <f t="shared" si="5"/>
        <v/>
      </c>
    </row>
    <row r="17" spans="2:17" ht="20.5" customHeight="1" x14ac:dyDescent="0.35">
      <c r="B17" s="40"/>
      <c r="C17" s="57"/>
      <c r="D17" s="57"/>
      <c r="E17" s="41"/>
      <c r="F17" s="43" t="str">
        <f>IF(E17="","",VLOOKUP(E17,metadata!$B$4:$D$9,2,))</f>
        <v/>
      </c>
      <c r="G17" s="41"/>
      <c r="H17" s="43" t="str">
        <f>IF(G17="","",VLOOKUP(G17,metadata!$B$13:$C$20,2,))</f>
        <v/>
      </c>
      <c r="I17" s="43" t="str">
        <f>IF(E17="","",VLOOKUP(E17,metadata!$B$4:$H$9,7,))</f>
        <v/>
      </c>
      <c r="J17" s="43" t="str">
        <f>IF(E17="","",VLOOKUP(E17,metadata!$B$4:$D$9,3,))</f>
        <v/>
      </c>
      <c r="K17" s="42"/>
      <c r="L17" s="43"/>
      <c r="M17" s="44"/>
      <c r="N17" s="45"/>
      <c r="O17" s="69" t="str">
        <f t="shared" si="3"/>
        <v/>
      </c>
      <c r="P17" s="69" t="str">
        <f t="shared" si="4"/>
        <v/>
      </c>
      <c r="Q17" s="70" t="str">
        <f t="shared" si="5"/>
        <v/>
      </c>
    </row>
  </sheetData>
  <mergeCells count="6">
    <mergeCell ref="O2:Q2"/>
    <mergeCell ref="B11:Q11"/>
    <mergeCell ref="K2:M2"/>
    <mergeCell ref="E2:H2"/>
    <mergeCell ref="I2:J2"/>
    <mergeCell ref="G3:H3"/>
  </mergeCells>
  <conditionalFormatting sqref="B5:E10 G5:G10 B11:D11 B12:E17 G12:G17">
    <cfRule type="cellIs" dxfId="16" priority="1" operator="notEqual">
      <formula>""</formula>
    </cfRule>
  </conditionalFormatting>
  <conditionalFormatting sqref="K5:M10 K12:M17">
    <cfRule type="cellIs" dxfId="10" priority="2" operator="equal">
      <formula>""</formula>
    </cfRule>
  </conditionalFormatting>
  <conditionalFormatting sqref="L5:L10 L12:L17">
    <cfRule type="expression" dxfId="9" priority="7">
      <formula>$L$5&lt;=$J$5</formula>
    </cfRule>
  </conditionalFormatting>
  <conditionalFormatting sqref="M5:M10 M12:M17">
    <cfRule type="cellIs" dxfId="3" priority="5" operator="lessThanOrEqual">
      <formula>0</formula>
    </cfRule>
    <cfRule type="cellIs" dxfId="2" priority="6" operator="lessThanOrEqual">
      <formula>1</formula>
    </cfRule>
    <cfRule type="cellIs" dxfId="1" priority="13" operator="lessThanOrEqual">
      <formula>2</formula>
    </cfRule>
    <cfRule type="cellIs" dxfId="0" priority="14" operator="greaterThan">
      <formula>2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2CB881D-58F4-4A91-B155-6DBF5070FFCA}">
            <xm:f>metadata!$B$33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14:cfRule type="cellIs" priority="16" operator="lessThan" id="{D7F46B3D-0A8D-41A8-890E-26C16A7A4193}">
            <xm:f>metadata!$B$30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" operator="lessThan" id="{5B7E58D9-86B2-40F1-AAC6-C4CC7ECBFE49}">
            <xm:f>metadata!$B$31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8" operator="lessThan" id="{37446D85-0329-4F76-BDB3-CA686FDB6415}">
            <xm:f>metadata!$B$32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9" operator="lessThan" id="{904689C0-F445-48D1-98A0-4D717704E522}">
            <xm:f>metadata!$B$33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m:sqref>K5:K10 K12:K17</xm:sqref>
        </x14:conditionalFormatting>
        <x14:conditionalFormatting xmlns:xm="http://schemas.microsoft.com/office/excel/2006/main">
          <x14:cfRule type="cellIs" priority="8" operator="lessThan" id="{4F5F10AE-D6A8-4877-ADFE-372F0BA7D26F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9" operator="lessThan" id="{9DBD3FFC-91EA-4FE1-91B0-568DB2C0631B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0" operator="lessThan" id="{4119183B-4F7C-4E95-A2C5-5C94374A1B29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1" operator="lessThan" id="{4575317E-D25D-4D59-8E6D-265A0FECBEEE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15" operator="greaterThanOrEqual" id="{D637231B-DA67-4B5D-8816-BC1D11BAA3FA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L5:L10 L12:L17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7F5F62-4AF0-4F10-85B5-03B9A49A6EA1}">
          <x14:formula1>
            <xm:f>metadata!$B$4:$B$9</xm:f>
          </x14:formula1>
          <xm:sqref>E5 E12:E17</xm:sqref>
        </x14:dataValidation>
        <x14:dataValidation type="list" allowBlank="1" showInputMessage="1" showErrorMessage="1" xr:uid="{71FF1A0F-39C6-4406-8BB2-4E5C78D18ED3}">
          <x14:formula1>
            <xm:f>metadata!$B$13:$B$20</xm:f>
          </x14:formula1>
          <xm:sqref>G5 G12:G17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C02-D26E-4E50-92D5-1B313BC98CB6}">
  <dimension ref="B2:AB63"/>
  <sheetViews>
    <sheetView showGridLines="0" tabSelected="1" topLeftCell="E4" zoomScale="130" zoomScaleNormal="130" workbookViewId="0">
      <selection activeCell="H19" sqref="H19"/>
    </sheetView>
  </sheetViews>
  <sheetFormatPr baseColWidth="10" defaultRowHeight="14.5" x14ac:dyDescent="0.35"/>
  <cols>
    <col min="3" max="3" width="17.54296875" customWidth="1"/>
    <col min="4" max="4" width="18.54296875" customWidth="1"/>
    <col min="6" max="6" width="12.6328125" bestFit="1" customWidth="1"/>
    <col min="7" max="7" width="17.1796875" bestFit="1" customWidth="1"/>
    <col min="8" max="8" width="19.90625" customWidth="1"/>
    <col min="11" max="11" width="12" customWidth="1"/>
    <col min="12" max="12" width="2.90625" customWidth="1"/>
    <col min="13" max="13" width="4.453125" customWidth="1"/>
    <col min="14" max="14" width="1" customWidth="1"/>
    <col min="15" max="15" width="1.453125" customWidth="1"/>
    <col min="16" max="27" width="3.36328125" customWidth="1"/>
    <col min="28" max="28" width="5.26953125" customWidth="1"/>
  </cols>
  <sheetData>
    <row r="2" spans="2:11" x14ac:dyDescent="0.35">
      <c r="B2" s="18" t="s">
        <v>0</v>
      </c>
      <c r="C2" s="11" t="s">
        <v>1</v>
      </c>
      <c r="D2" s="11" t="s">
        <v>27</v>
      </c>
      <c r="E2" s="19" t="s">
        <v>12</v>
      </c>
      <c r="F2" s="19" t="s">
        <v>10</v>
      </c>
      <c r="G2" s="19" t="s">
        <v>14</v>
      </c>
      <c r="H2" s="19" t="s">
        <v>14</v>
      </c>
      <c r="I2" s="14"/>
      <c r="J2" s="14"/>
      <c r="K2" s="14"/>
    </row>
    <row r="3" spans="2:11" x14ac:dyDescent="0.35">
      <c r="B3" s="18"/>
      <c r="C3" s="11"/>
      <c r="D3" s="12" t="s">
        <v>30</v>
      </c>
      <c r="E3" s="13" t="s">
        <v>13</v>
      </c>
      <c r="F3" s="13" t="s">
        <v>11</v>
      </c>
      <c r="G3" s="13" t="s">
        <v>29</v>
      </c>
      <c r="H3" s="13" t="s">
        <v>15</v>
      </c>
      <c r="I3" s="14"/>
      <c r="J3" s="14"/>
      <c r="K3" s="14"/>
    </row>
    <row r="4" spans="2:11" x14ac:dyDescent="0.35">
      <c r="B4" s="17">
        <v>5</v>
      </c>
      <c r="C4" s="15">
        <v>7</v>
      </c>
      <c r="D4" s="15">
        <v>-7.5</v>
      </c>
      <c r="E4" s="13">
        <v>5470</v>
      </c>
      <c r="F4" s="16">
        <f t="shared" ref="F4:F9" si="0">($C$23+$C$24)*8/E4*1000</f>
        <v>127.23948811700184</v>
      </c>
      <c r="G4" s="20">
        <f>24*60/($C$26/F4*1000)/60</f>
        <v>0.10179159049360148</v>
      </c>
      <c r="H4" s="13" t="str">
        <f>IF(INT(G4)&gt;0, INT(G4)&amp;"h ","") &amp; ROUND((G4-INT(G4))*60,0) &amp; "min"</f>
        <v>6min</v>
      </c>
      <c r="I4" s="14"/>
      <c r="J4" s="14"/>
      <c r="K4" s="14"/>
    </row>
    <row r="5" spans="2:11" x14ac:dyDescent="0.35">
      <c r="B5" s="17">
        <v>4</v>
      </c>
      <c r="C5" s="15">
        <v>8</v>
      </c>
      <c r="D5" s="15">
        <v>-10</v>
      </c>
      <c r="E5" s="13">
        <v>3125</v>
      </c>
      <c r="F5" s="16">
        <f t="shared" si="0"/>
        <v>222.72</v>
      </c>
      <c r="G5" s="20">
        <f t="shared" ref="G5:G9" si="1">24*60/($C$26/F5*1000)/60</f>
        <v>0.17817599999999997</v>
      </c>
      <c r="H5" s="13" t="str">
        <f t="shared" ref="H5:H9" si="2">IF(INT(G5)&gt;0, INT(G5)&amp;"h ","") &amp; ROUND((G5-INT(G5))*60,0) &amp; "min"</f>
        <v>11min</v>
      </c>
      <c r="I5" s="14"/>
      <c r="J5" s="14"/>
      <c r="K5" s="14"/>
    </row>
    <row r="6" spans="2:11" x14ac:dyDescent="0.35">
      <c r="B6" s="17">
        <v>3</v>
      </c>
      <c r="C6" s="15">
        <v>9</v>
      </c>
      <c r="D6" s="15">
        <v>-12.5</v>
      </c>
      <c r="E6" s="13">
        <v>1760</v>
      </c>
      <c r="F6" s="16">
        <f t="shared" si="0"/>
        <v>395.45454545454544</v>
      </c>
      <c r="G6" s="20">
        <f t="shared" si="1"/>
        <v>0.3163636363636364</v>
      </c>
      <c r="H6" s="13" t="str">
        <f t="shared" si="2"/>
        <v>19min</v>
      </c>
      <c r="I6" s="14"/>
      <c r="J6" s="14"/>
      <c r="K6" s="14"/>
    </row>
    <row r="7" spans="2:11" x14ac:dyDescent="0.35">
      <c r="B7" s="17">
        <v>2</v>
      </c>
      <c r="C7" s="15">
        <v>10</v>
      </c>
      <c r="D7" s="15">
        <v>-15</v>
      </c>
      <c r="E7" s="13">
        <v>980</v>
      </c>
      <c r="F7" s="16">
        <f t="shared" si="0"/>
        <v>710.20408163265301</v>
      </c>
      <c r="G7" s="20">
        <f t="shared" si="1"/>
        <v>0.56816326530612249</v>
      </c>
      <c r="H7" s="13" t="str">
        <f t="shared" si="2"/>
        <v>34min</v>
      </c>
      <c r="I7" s="14"/>
      <c r="J7" s="14"/>
      <c r="K7" s="14"/>
    </row>
    <row r="8" spans="2:11" x14ac:dyDescent="0.35">
      <c r="B8" s="17">
        <v>1</v>
      </c>
      <c r="C8" s="15">
        <v>11</v>
      </c>
      <c r="D8" s="15">
        <v>-17.5</v>
      </c>
      <c r="E8" s="13">
        <v>440</v>
      </c>
      <c r="F8" s="16">
        <f t="shared" si="0"/>
        <v>1581.8181818181818</v>
      </c>
      <c r="G8" s="20">
        <f t="shared" si="1"/>
        <v>1.2654545454545456</v>
      </c>
      <c r="H8" s="13" t="str">
        <f t="shared" si="2"/>
        <v>1h 16min</v>
      </c>
      <c r="I8" s="14"/>
      <c r="J8" s="14"/>
      <c r="K8" s="14"/>
    </row>
    <row r="9" spans="2:11" x14ac:dyDescent="0.35">
      <c r="B9" s="17">
        <v>0</v>
      </c>
      <c r="C9" s="15">
        <v>12</v>
      </c>
      <c r="D9" s="15">
        <v>-20</v>
      </c>
      <c r="E9" s="13">
        <v>250</v>
      </c>
      <c r="F9" s="16">
        <f t="shared" si="0"/>
        <v>2784</v>
      </c>
      <c r="G9" s="20">
        <f t="shared" si="1"/>
        <v>2.2272000000000003</v>
      </c>
      <c r="H9" s="13" t="str">
        <f t="shared" si="2"/>
        <v>2h 14min</v>
      </c>
      <c r="I9" s="14"/>
      <c r="J9" s="14"/>
      <c r="K9" s="14"/>
    </row>
    <row r="10" spans="2:11" x14ac:dyDescent="0.35">
      <c r="E10" s="2"/>
      <c r="F10" s="3"/>
      <c r="G10" s="2"/>
      <c r="H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35">
      <c r="B12" s="19" t="s">
        <v>2</v>
      </c>
      <c r="C12" s="19" t="s">
        <v>24</v>
      </c>
      <c r="H12" s="2"/>
    </row>
    <row r="13" spans="2:11" x14ac:dyDescent="0.35">
      <c r="B13" s="13">
        <v>7</v>
      </c>
      <c r="C13" s="13">
        <v>7</v>
      </c>
      <c r="H13" s="2"/>
    </row>
    <row r="14" spans="2:11" x14ac:dyDescent="0.35">
      <c r="B14" s="13">
        <v>6</v>
      </c>
      <c r="C14" s="13">
        <v>8</v>
      </c>
      <c r="H14" s="2"/>
    </row>
    <row r="15" spans="2:11" x14ac:dyDescent="0.35">
      <c r="B15" s="13">
        <v>5</v>
      </c>
      <c r="C15" s="13">
        <v>9</v>
      </c>
      <c r="H15" s="2"/>
    </row>
    <row r="16" spans="2:11" x14ac:dyDescent="0.35">
      <c r="B16" s="13">
        <v>4</v>
      </c>
      <c r="C16" s="13">
        <v>10</v>
      </c>
      <c r="H16" s="2"/>
    </row>
    <row r="17" spans="2:27" x14ac:dyDescent="0.35">
      <c r="B17" s="13">
        <v>3</v>
      </c>
      <c r="C17" s="13">
        <v>11</v>
      </c>
      <c r="H17" s="2"/>
    </row>
    <row r="18" spans="2:27" x14ac:dyDescent="0.35">
      <c r="B18" s="13">
        <v>2</v>
      </c>
      <c r="C18" s="13">
        <v>12</v>
      </c>
    </row>
    <row r="19" spans="2:27" x14ac:dyDescent="0.35">
      <c r="B19" s="13">
        <v>1</v>
      </c>
      <c r="C19" s="13">
        <v>13</v>
      </c>
    </row>
    <row r="20" spans="2:27" x14ac:dyDescent="0.35">
      <c r="B20" s="13">
        <v>0</v>
      </c>
      <c r="C20" s="13">
        <v>14</v>
      </c>
      <c r="M20" s="100" t="s">
        <v>66</v>
      </c>
      <c r="N20" s="49"/>
      <c r="O20" s="49"/>
    </row>
    <row r="21" spans="2:27" ht="14.5" customHeight="1" x14ac:dyDescent="0.35">
      <c r="M21" s="100"/>
      <c r="N21" s="49"/>
      <c r="O21" s="51"/>
    </row>
    <row r="22" spans="2:27" x14ac:dyDescent="0.35">
      <c r="M22" s="100"/>
      <c r="N22" s="49"/>
      <c r="O22" s="51"/>
      <c r="P22" s="119"/>
      <c r="Q22" s="120"/>
      <c r="R22" s="110"/>
      <c r="S22" s="111"/>
      <c r="T22" s="102"/>
      <c r="U22" s="103"/>
      <c r="V22" s="140"/>
      <c r="W22" s="141"/>
      <c r="X22" s="131" t="s">
        <v>61</v>
      </c>
      <c r="Y22" s="132"/>
      <c r="Z22" s="132"/>
      <c r="AA22" s="133"/>
    </row>
    <row r="23" spans="2:27" x14ac:dyDescent="0.35">
      <c r="B23" s="18" t="s">
        <v>3</v>
      </c>
      <c r="C23" s="24">
        <v>51</v>
      </c>
      <c r="D23" s="17" t="s">
        <v>4</v>
      </c>
      <c r="M23" s="100"/>
      <c r="N23" s="49"/>
      <c r="O23" s="51"/>
      <c r="P23" s="121"/>
      <c r="Q23" s="122"/>
      <c r="R23" s="112"/>
      <c r="S23" s="113"/>
      <c r="T23" s="104"/>
      <c r="U23" s="105"/>
      <c r="V23" s="142"/>
      <c r="W23" s="143"/>
      <c r="X23" s="134"/>
      <c r="Y23" s="135"/>
      <c r="Z23" s="135"/>
      <c r="AA23" s="136"/>
    </row>
    <row r="24" spans="2:27" x14ac:dyDescent="0.35">
      <c r="B24" s="18" t="s">
        <v>9</v>
      </c>
      <c r="C24" s="24">
        <v>36</v>
      </c>
      <c r="D24" s="17" t="s">
        <v>4</v>
      </c>
      <c r="M24" s="100"/>
      <c r="N24" s="49"/>
      <c r="O24" s="51"/>
      <c r="P24" s="121"/>
      <c r="Q24" s="122"/>
      <c r="R24" s="112"/>
      <c r="S24" s="113"/>
      <c r="T24" s="104"/>
      <c r="U24" s="105"/>
      <c r="V24" s="142"/>
      <c r="W24" s="143"/>
      <c r="X24" s="134"/>
      <c r="Y24" s="135"/>
      <c r="Z24" s="135"/>
      <c r="AA24" s="136"/>
    </row>
    <row r="25" spans="2:27" x14ac:dyDescent="0.35">
      <c r="B25" s="18" t="s">
        <v>5</v>
      </c>
      <c r="C25" s="17">
        <v>0.1</v>
      </c>
      <c r="D25" s="17" t="s">
        <v>6</v>
      </c>
      <c r="M25" s="100"/>
      <c r="N25" s="49"/>
      <c r="O25" s="51"/>
      <c r="P25" s="121"/>
      <c r="Q25" s="122"/>
      <c r="R25" s="112"/>
      <c r="S25" s="113"/>
      <c r="T25" s="104"/>
      <c r="U25" s="105"/>
      <c r="V25" s="142"/>
      <c r="W25" s="143"/>
      <c r="X25" s="134"/>
      <c r="Y25" s="135"/>
      <c r="Z25" s="135"/>
      <c r="AA25" s="136"/>
    </row>
    <row r="26" spans="2:27" x14ac:dyDescent="0.35">
      <c r="B26" s="18" t="s">
        <v>7</v>
      </c>
      <c r="C26" s="17">
        <v>30</v>
      </c>
      <c r="D26" s="17" t="s">
        <v>8</v>
      </c>
      <c r="M26" s="100"/>
      <c r="N26" s="49"/>
      <c r="O26" s="51"/>
      <c r="P26" s="121"/>
      <c r="Q26" s="122"/>
      <c r="R26" s="112"/>
      <c r="S26" s="113"/>
      <c r="T26" s="104"/>
      <c r="U26" s="105"/>
      <c r="V26" s="142"/>
      <c r="W26" s="143"/>
      <c r="X26" s="134"/>
      <c r="Y26" s="135"/>
      <c r="Z26" s="135"/>
      <c r="AA26" s="136"/>
    </row>
    <row r="27" spans="2:27" x14ac:dyDescent="0.35">
      <c r="M27" s="98">
        <f>B43</f>
        <v>5</v>
      </c>
      <c r="N27" s="50"/>
      <c r="O27" s="53"/>
      <c r="P27" s="121"/>
      <c r="Q27" s="122"/>
      <c r="R27" s="112"/>
      <c r="S27" s="113"/>
      <c r="T27" s="104"/>
      <c r="U27" s="105"/>
      <c r="V27" s="142"/>
      <c r="W27" s="143"/>
      <c r="X27" s="137"/>
      <c r="Y27" s="138"/>
      <c r="Z27" s="138"/>
      <c r="AA27" s="139"/>
    </row>
    <row r="28" spans="2:27" x14ac:dyDescent="0.35">
      <c r="B28" s="130" t="s">
        <v>37</v>
      </c>
      <c r="C28" s="130"/>
      <c r="D28" s="130"/>
      <c r="M28" s="98"/>
      <c r="N28" s="96"/>
      <c r="O28" s="95"/>
      <c r="P28" s="121"/>
      <c r="Q28" s="122"/>
      <c r="R28" s="112"/>
      <c r="S28" s="113"/>
      <c r="T28" s="104"/>
      <c r="U28" s="105"/>
      <c r="V28" s="142" t="s">
        <v>60</v>
      </c>
      <c r="W28" s="147"/>
      <c r="X28" s="144"/>
      <c r="Y28" s="144"/>
      <c r="Z28" s="144"/>
      <c r="AA28" s="141"/>
    </row>
    <row r="29" spans="2:27" x14ac:dyDescent="0.35">
      <c r="B29" s="19" t="s">
        <v>21</v>
      </c>
      <c r="C29" s="14"/>
      <c r="D29" s="21" t="s">
        <v>23</v>
      </c>
      <c r="G29" t="s">
        <v>71</v>
      </c>
      <c r="M29" s="98">
        <f>B42</f>
        <v>0</v>
      </c>
      <c r="N29" s="96"/>
      <c r="O29" s="95"/>
      <c r="P29" s="121"/>
      <c r="Q29" s="122"/>
      <c r="R29" s="112"/>
      <c r="S29" s="113"/>
      <c r="T29" s="104"/>
      <c r="U29" s="105"/>
      <c r="V29" s="148"/>
      <c r="W29" s="145"/>
      <c r="X29" s="145"/>
      <c r="Y29" s="145"/>
      <c r="Z29" s="145"/>
      <c r="AA29" s="146"/>
    </row>
    <row r="30" spans="2:27" x14ac:dyDescent="0.35">
      <c r="B30" s="23">
        <v>-125</v>
      </c>
      <c r="C30" s="22" t="str">
        <f>"&lt; "&amp;B30</f>
        <v>&lt; -125</v>
      </c>
      <c r="D30" s="29" t="s">
        <v>31</v>
      </c>
      <c r="E30" t="s">
        <v>52</v>
      </c>
      <c r="F30" t="s">
        <v>55</v>
      </c>
      <c r="G30" t="s">
        <v>71</v>
      </c>
      <c r="M30" s="98"/>
      <c r="N30" s="96"/>
      <c r="O30" s="95"/>
      <c r="P30" s="121"/>
      <c r="Q30" s="122"/>
      <c r="R30" s="112"/>
      <c r="S30" s="113"/>
      <c r="T30" s="106" t="s">
        <v>63</v>
      </c>
      <c r="U30" s="107"/>
      <c r="V30" s="108"/>
      <c r="W30" s="108"/>
      <c r="X30" s="108"/>
      <c r="Y30" s="108"/>
      <c r="Z30" s="108"/>
      <c r="AA30" s="103"/>
    </row>
    <row r="31" spans="2:27" x14ac:dyDescent="0.35">
      <c r="B31" s="23">
        <v>-115</v>
      </c>
      <c r="C31" s="22" t="str">
        <f>"range "&amp;B31&amp; " … "&amp;B30</f>
        <v>range -115 … -125</v>
      </c>
      <c r="D31" s="28" t="s">
        <v>32</v>
      </c>
      <c r="E31" t="s">
        <v>51</v>
      </c>
      <c r="F31" t="s">
        <v>54</v>
      </c>
      <c r="G31" t="s">
        <v>71</v>
      </c>
      <c r="M31" s="98">
        <f>B41</f>
        <v>-7</v>
      </c>
      <c r="N31" s="96"/>
      <c r="O31" s="95"/>
      <c r="P31" s="121"/>
      <c r="Q31" s="122"/>
      <c r="R31" s="112"/>
      <c r="S31" s="113"/>
      <c r="T31" s="106"/>
      <c r="U31" s="107"/>
      <c r="V31" s="109"/>
      <c r="W31" s="109"/>
      <c r="X31" s="109"/>
      <c r="Y31" s="109"/>
      <c r="Z31" s="109"/>
      <c r="AA31" s="105"/>
    </row>
    <row r="32" spans="2:27" x14ac:dyDescent="0.35">
      <c r="B32" s="23">
        <v>-100</v>
      </c>
      <c r="C32" s="22" t="str">
        <f>"range "&amp;B32&amp; " … "&amp;B31</f>
        <v>range -100 … -115</v>
      </c>
      <c r="D32" s="27" t="s">
        <v>36</v>
      </c>
      <c r="E32" t="s">
        <v>50</v>
      </c>
      <c r="F32" t="s">
        <v>53</v>
      </c>
      <c r="G32" t="s">
        <v>71</v>
      </c>
      <c r="M32" s="98"/>
      <c r="N32" s="96"/>
      <c r="O32" s="95"/>
      <c r="P32" s="121"/>
      <c r="Q32" s="122"/>
      <c r="R32" s="114" t="s">
        <v>64</v>
      </c>
      <c r="S32" s="115"/>
      <c r="T32" s="116"/>
      <c r="U32" s="116"/>
      <c r="V32" s="116"/>
      <c r="W32" s="116"/>
      <c r="X32" s="116"/>
      <c r="Y32" s="116"/>
      <c r="Z32" s="116"/>
      <c r="AA32" s="117"/>
    </row>
    <row r="33" spans="2:28" x14ac:dyDescent="0.35">
      <c r="B33" s="23">
        <v>-90</v>
      </c>
      <c r="C33" s="22" t="str">
        <f>"range "&amp;B33&amp; " … "&amp;B32</f>
        <v>range -90 … -100</v>
      </c>
      <c r="D33" s="26" t="s">
        <v>33</v>
      </c>
      <c r="E33" t="s">
        <v>49</v>
      </c>
      <c r="G33" t="s">
        <v>71</v>
      </c>
      <c r="K33" s="98" t="str">
        <f>D4&amp;"(SF7) to "&amp;D9&amp;" (SF12)"</f>
        <v>-7.5(SF7) to -20 (SF12)</v>
      </c>
      <c r="L33" s="98"/>
      <c r="M33" s="98"/>
      <c r="N33" s="96"/>
      <c r="O33" s="95"/>
      <c r="P33" s="121"/>
      <c r="Q33" s="122"/>
      <c r="R33" s="114"/>
      <c r="S33" s="115"/>
      <c r="T33" s="115"/>
      <c r="U33" s="115"/>
      <c r="V33" s="115"/>
      <c r="W33" s="115"/>
      <c r="X33" s="115"/>
      <c r="Y33" s="115"/>
      <c r="Z33" s="115"/>
      <c r="AA33" s="118"/>
    </row>
    <row r="34" spans="2:28" x14ac:dyDescent="0.35">
      <c r="B34" s="22" t="str">
        <f>"&gt; "&amp;B33</f>
        <v>&gt; -90</v>
      </c>
      <c r="C34" s="22" t="str">
        <f>"&gt; "&amp;B33</f>
        <v>&gt; -90</v>
      </c>
      <c r="D34" s="25" t="s">
        <v>34</v>
      </c>
      <c r="E34" t="s">
        <v>48</v>
      </c>
      <c r="G34" t="s">
        <v>71</v>
      </c>
      <c r="K34" s="98"/>
      <c r="L34" s="98"/>
      <c r="M34" s="98"/>
      <c r="N34" s="96"/>
      <c r="O34" s="95"/>
      <c r="P34" s="123" t="s">
        <v>65</v>
      </c>
      <c r="Q34" s="124"/>
      <c r="R34" s="127"/>
      <c r="S34" s="127"/>
      <c r="T34" s="127"/>
      <c r="U34" s="127"/>
      <c r="V34" s="127"/>
      <c r="W34" s="127"/>
      <c r="X34" s="127"/>
      <c r="Y34" s="127"/>
      <c r="Z34" s="127"/>
      <c r="AA34" s="120"/>
    </row>
    <row r="35" spans="2:28" x14ac:dyDescent="0.35">
      <c r="B35" s="46"/>
      <c r="C35" s="46"/>
      <c r="D35" s="55"/>
      <c r="K35" s="99"/>
      <c r="L35" s="99"/>
      <c r="M35" s="99"/>
      <c r="N35" s="97"/>
      <c r="O35" s="95"/>
      <c r="P35" s="125"/>
      <c r="Q35" s="126"/>
      <c r="R35" s="128"/>
      <c r="S35" s="128"/>
      <c r="T35" s="128"/>
      <c r="U35" s="128"/>
      <c r="V35" s="128"/>
      <c r="W35" s="128"/>
      <c r="X35" s="128"/>
      <c r="Y35" s="128"/>
      <c r="Z35" s="128"/>
      <c r="AA35" s="129"/>
    </row>
    <row r="36" spans="2:28" ht="7" customHeight="1" x14ac:dyDescent="0.35">
      <c r="B36" s="46"/>
      <c r="C36" s="46"/>
      <c r="D36" s="55"/>
      <c r="N36" s="52"/>
      <c r="O36" s="92"/>
      <c r="P36" s="93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48"/>
    </row>
    <row r="37" spans="2:28" ht="7" customHeight="1" x14ac:dyDescent="0.35">
      <c r="O37" s="88"/>
      <c r="P37" s="88"/>
      <c r="Q37" s="89"/>
      <c r="R37" s="90"/>
      <c r="S37" s="90"/>
      <c r="T37" s="90"/>
      <c r="U37" s="90"/>
      <c r="V37" s="90"/>
      <c r="W37" s="90"/>
      <c r="X37" s="90"/>
      <c r="Y37" s="90"/>
      <c r="Z37" s="90"/>
      <c r="AA37" s="91"/>
      <c r="AB37" s="54"/>
    </row>
    <row r="38" spans="2:28" x14ac:dyDescent="0.35">
      <c r="B38" s="130" t="s">
        <v>38</v>
      </c>
      <c r="C38" s="130"/>
      <c r="D38" s="130"/>
      <c r="Q38" s="101">
        <f>B30</f>
        <v>-125</v>
      </c>
      <c r="R38" s="101"/>
      <c r="S38" s="101">
        <f>B31</f>
        <v>-115</v>
      </c>
      <c r="T38" s="101"/>
      <c r="U38" s="101">
        <f>B32</f>
        <v>-100</v>
      </c>
      <c r="V38" s="101"/>
      <c r="W38" s="101">
        <f>B33</f>
        <v>-90</v>
      </c>
      <c r="X38" s="101"/>
      <c r="Y38" s="47" t="s">
        <v>62</v>
      </c>
    </row>
    <row r="39" spans="2:28" x14ac:dyDescent="0.35">
      <c r="B39" s="19" t="s">
        <v>21</v>
      </c>
      <c r="C39" s="4" t="s">
        <v>39</v>
      </c>
      <c r="D39" s="21" t="s">
        <v>40</v>
      </c>
    </row>
    <row r="40" spans="2:28" x14ac:dyDescent="0.35">
      <c r="B40" s="23">
        <v>-15</v>
      </c>
      <c r="C40" s="22" t="str">
        <f>"&lt; "&amp;B40</f>
        <v>&lt; -15</v>
      </c>
      <c r="D40" s="29" t="s">
        <v>31</v>
      </c>
      <c r="E40" t="s">
        <v>47</v>
      </c>
      <c r="F40" t="s">
        <v>46</v>
      </c>
      <c r="G40" t="s">
        <v>71</v>
      </c>
      <c r="AB40" s="47"/>
    </row>
    <row r="41" spans="2:28" x14ac:dyDescent="0.35">
      <c r="B41" s="23">
        <v>-7</v>
      </c>
      <c r="C41" s="22" t="str">
        <f>"range "&amp;B41&amp; " … "&amp;B40</f>
        <v>range -7 … -15</v>
      </c>
      <c r="D41" s="28" t="s">
        <v>32</v>
      </c>
      <c r="E41" t="s">
        <v>70</v>
      </c>
      <c r="F41" t="s">
        <v>46</v>
      </c>
      <c r="G41" t="s">
        <v>71</v>
      </c>
    </row>
    <row r="42" spans="2:28" x14ac:dyDescent="0.35">
      <c r="B42" s="23">
        <v>0</v>
      </c>
      <c r="C42" s="22" t="str">
        <f>"range "&amp;B42&amp; " … "&amp;B41</f>
        <v>range 0 … -7</v>
      </c>
      <c r="D42" s="27" t="s">
        <v>36</v>
      </c>
      <c r="E42" t="s">
        <v>44</v>
      </c>
      <c r="F42" t="s">
        <v>45</v>
      </c>
      <c r="G42" t="s">
        <v>71</v>
      </c>
    </row>
    <row r="43" spans="2:28" x14ac:dyDescent="0.35">
      <c r="B43" s="23">
        <v>5</v>
      </c>
      <c r="C43" s="22" t="str">
        <f>"range "&amp;B43&amp; " … "&amp;B42</f>
        <v>range 5 … 0</v>
      </c>
      <c r="D43" s="26" t="s">
        <v>33</v>
      </c>
      <c r="E43" t="s">
        <v>43</v>
      </c>
    </row>
    <row r="44" spans="2:28" x14ac:dyDescent="0.35">
      <c r="B44" s="14"/>
      <c r="C44" s="22" t="str">
        <f>"&gt; "&amp;B43</f>
        <v>&gt; 5</v>
      </c>
      <c r="D44" s="25" t="s">
        <v>34</v>
      </c>
      <c r="E44" t="s">
        <v>42</v>
      </c>
    </row>
    <row r="62" ht="6.5" customHeight="1" x14ac:dyDescent="0.35"/>
    <row r="63" ht="6.5" customHeight="1" x14ac:dyDescent="0.35"/>
  </sheetData>
  <mergeCells count="43">
    <mergeCell ref="B28:D28"/>
    <mergeCell ref="B38:D38"/>
    <mergeCell ref="X22:AA27"/>
    <mergeCell ref="W38:X38"/>
    <mergeCell ref="U38:V38"/>
    <mergeCell ref="V22:W27"/>
    <mergeCell ref="X28:AA29"/>
    <mergeCell ref="V28:W29"/>
    <mergeCell ref="M27:M28"/>
    <mergeCell ref="M29:M30"/>
    <mergeCell ref="M31:M32"/>
    <mergeCell ref="S38:T38"/>
    <mergeCell ref="V30:AA31"/>
    <mergeCell ref="R22:S31"/>
    <mergeCell ref="R32:S33"/>
    <mergeCell ref="T32:AA33"/>
    <mergeCell ref="P22:Q33"/>
    <mergeCell ref="K33:M34"/>
    <mergeCell ref="K35:M35"/>
    <mergeCell ref="M20:M26"/>
    <mergeCell ref="Q38:R38"/>
    <mergeCell ref="T22:U29"/>
    <mergeCell ref="T30:U31"/>
    <mergeCell ref="P34:Q35"/>
    <mergeCell ref="R34:AA35"/>
    <mergeCell ref="O28:O29"/>
    <mergeCell ref="O30:O31"/>
    <mergeCell ref="O32:O33"/>
    <mergeCell ref="O34:O35"/>
    <mergeCell ref="N28:N29"/>
    <mergeCell ref="N30:N31"/>
    <mergeCell ref="N32:N33"/>
    <mergeCell ref="N34:N35"/>
    <mergeCell ref="O36:Q36"/>
    <mergeCell ref="R36:S36"/>
    <mergeCell ref="T36:U36"/>
    <mergeCell ref="V36:W36"/>
    <mergeCell ref="X36:AA36"/>
    <mergeCell ref="O37:Q37"/>
    <mergeCell ref="R37:S37"/>
    <mergeCell ref="T37:U37"/>
    <mergeCell ref="V37:W37"/>
    <mergeCell ref="X37:AA3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metadata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Reto HSLU T&amp;A</dc:creator>
  <cp:lastModifiedBy>Marek Reto HSLU T&amp;A</cp:lastModifiedBy>
  <dcterms:created xsi:type="dcterms:W3CDTF">2025-07-28T21:07:49Z</dcterms:created>
  <dcterms:modified xsi:type="dcterms:W3CDTF">2025-07-30T08:44:53Z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2025-07-28T22:07:10Z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3e190247-1fd2-47d3-b144-7d588aa32cc0</vt:lpwstr>
  </property>
  <property fmtid="{D5CDD505-2E9C-101B-9397-08002B2CF9AE}" pid="8" name="MSIP_Label_e8b0afbd-3cf7-4707-aee4-8dc9d855de29_ContentBits">
    <vt:lpwstr>0</vt:lpwstr>
  </property>
  <property fmtid="{D5CDD505-2E9C-101B-9397-08002B2CF9AE}" pid="9" name="MSIP_Label_e8b0afbd-3cf7-4707-aee4-8dc9d855de29_Tag">
    <vt:lpwstr>10, 3, 0, 1</vt:lpwstr>
  </property>
</Properties>
</file>