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tom\Desktop\"/>
    </mc:Choice>
  </mc:AlternateContent>
  <xr:revisionPtr revIDLastSave="0" documentId="13_ncr:1_{BF7F995D-0A61-4AAD-8E7C-A0838B481CF5}" xr6:coauthVersionLast="47" xr6:coauthVersionMax="47" xr10:uidLastSave="{00000000-0000-0000-0000-000000000000}"/>
  <bookViews>
    <workbookView xWindow="25695" yWindow="0" windowWidth="26010" windowHeight="20985" xr2:uid="{5E3F2E18-7DEC-441E-A9D7-951EC58CBC1B}"/>
  </bookViews>
  <sheets>
    <sheet name="table" sheetId="2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D13" i="2"/>
  <c r="D14" i="2"/>
  <c r="D15" i="2"/>
  <c r="D16" i="2"/>
  <c r="D17" i="2"/>
  <c r="D18" i="2"/>
  <c r="D19" i="2"/>
  <c r="F13" i="2"/>
  <c r="F14" i="2"/>
  <c r="F15" i="2"/>
  <c r="F16" i="2"/>
  <c r="F17" i="2"/>
  <c r="F18" i="2"/>
  <c r="F19" i="2"/>
  <c r="F12" i="2"/>
  <c r="O13" i="2"/>
  <c r="O14" i="2"/>
  <c r="O15" i="2"/>
  <c r="O16" i="2"/>
  <c r="O17" i="2"/>
  <c r="O18" i="2"/>
  <c r="O19" i="2"/>
  <c r="O12" i="2"/>
  <c r="O6" i="2"/>
  <c r="O7" i="2"/>
  <c r="O8" i="2"/>
  <c r="O9" i="2"/>
  <c r="O10" i="2"/>
  <c r="O5" i="2"/>
  <c r="N13" i="2"/>
  <c r="N14" i="2"/>
  <c r="N15" i="2"/>
  <c r="N16" i="2"/>
  <c r="N17" i="2"/>
  <c r="N18" i="2"/>
  <c r="N19" i="2"/>
  <c r="N12" i="2"/>
  <c r="M13" i="2"/>
  <c r="M14" i="2"/>
  <c r="M15" i="2"/>
  <c r="M16" i="2"/>
  <c r="M17" i="2"/>
  <c r="M18" i="2"/>
  <c r="M19" i="2"/>
  <c r="M12" i="2"/>
  <c r="N6" i="2"/>
  <c r="N7" i="2"/>
  <c r="N8" i="2"/>
  <c r="N9" i="2"/>
  <c r="N10" i="2"/>
  <c r="N5" i="2"/>
  <c r="M6" i="2"/>
  <c r="M7" i="2"/>
  <c r="M8" i="2"/>
  <c r="M9" i="2"/>
  <c r="M10" i="2"/>
  <c r="M5" i="2"/>
  <c r="H6" i="2"/>
  <c r="H7" i="2"/>
  <c r="H8" i="2"/>
  <c r="H9" i="2"/>
  <c r="H10" i="2"/>
  <c r="H5" i="2"/>
  <c r="G6" i="2"/>
  <c r="G7" i="2"/>
  <c r="G8" i="2"/>
  <c r="G9" i="2"/>
  <c r="G10" i="2"/>
  <c r="G5" i="2"/>
  <c r="F6" i="2"/>
  <c r="F7" i="2"/>
  <c r="F8" i="2"/>
  <c r="F9" i="2"/>
  <c r="F10" i="2"/>
  <c r="F5" i="2"/>
  <c r="D6" i="2"/>
  <c r="D7" i="2"/>
  <c r="D8" i="2"/>
  <c r="D9" i="2"/>
  <c r="D10" i="2"/>
  <c r="D12" i="2"/>
  <c r="D5" i="2"/>
  <c r="C34" i="3"/>
  <c r="C33" i="3"/>
  <c r="C32" i="3"/>
  <c r="C31" i="3"/>
  <c r="C30" i="3"/>
  <c r="C38" i="3"/>
  <c r="C39" i="3"/>
  <c r="C40" i="3"/>
  <c r="C41" i="3"/>
  <c r="C42" i="3"/>
  <c r="B34" i="3"/>
  <c r="F5" i="3"/>
  <c r="G5" i="3" s="1"/>
  <c r="H5" i="3" s="1"/>
  <c r="F6" i="3"/>
  <c r="G6" i="3" s="1"/>
  <c r="H6" i="3" s="1"/>
  <c r="F7" i="3"/>
  <c r="G7" i="3" s="1"/>
  <c r="H7" i="3" s="1"/>
  <c r="F8" i="3"/>
  <c r="G8" i="3" s="1"/>
  <c r="H8" i="3" s="1"/>
  <c r="F9" i="3"/>
  <c r="G9" i="3" s="1"/>
  <c r="H9" i="3" s="1"/>
  <c r="F4" i="3"/>
  <c r="G4" i="3" s="1"/>
  <c r="H4" i="3" s="1"/>
</calcChain>
</file>

<file path=xl/sharedStrings.xml><?xml version="1.0" encoding="utf-8"?>
<sst xmlns="http://schemas.openxmlformats.org/spreadsheetml/2006/main" count="85" uniqueCount="60">
  <si>
    <t>DR</t>
  </si>
  <si>
    <t>SF</t>
  </si>
  <si>
    <t>TX Power</t>
  </si>
  <si>
    <t>Payload</t>
  </si>
  <si>
    <t>bytes</t>
  </si>
  <si>
    <t>Duty Cycle</t>
  </si>
  <si>
    <t>%</t>
  </si>
  <si>
    <t>Max Airtime</t>
  </si>
  <si>
    <t>s/day</t>
  </si>
  <si>
    <t>Header</t>
  </si>
  <si>
    <t>Airtime</t>
  </si>
  <si>
    <t>[ms/telegram]</t>
  </si>
  <si>
    <t xml:space="preserve">Bitrate </t>
  </si>
  <si>
    <t>[bps]</t>
  </si>
  <si>
    <t>Min. Sampling Rate</t>
  </si>
  <si>
    <t>[h:min]</t>
  </si>
  <si>
    <t>Location</t>
  </si>
  <si>
    <t>RSSI</t>
  </si>
  <si>
    <t>SNR</t>
  </si>
  <si>
    <t>Gateway Count</t>
  </si>
  <si>
    <t>Office</t>
  </si>
  <si>
    <t>[dBm]</t>
  </si>
  <si>
    <t>[dB]</t>
  </si>
  <si>
    <t>[-]</t>
  </si>
  <si>
    <t>dBm</t>
  </si>
  <si>
    <t>Settings</t>
  </si>
  <si>
    <t>Results from Field Tester</t>
  </si>
  <si>
    <t>Minimum SNR [dB]</t>
  </si>
  <si>
    <t>min SNR for SF</t>
  </si>
  <si>
    <t>[decimal hours]</t>
  </si>
  <si>
    <t>[db]</t>
  </si>
  <si>
    <t>Limit</t>
  </si>
  <si>
    <t>Bad</t>
  </si>
  <si>
    <t>Good</t>
  </si>
  <si>
    <t>Excellent</t>
  </si>
  <si>
    <t>Limits</t>
  </si>
  <si>
    <t>Fair</t>
  </si>
  <si>
    <t>RSSI Thresholds</t>
  </si>
  <si>
    <t>SNR Thresholds</t>
  </si>
  <si>
    <t>range</t>
  </si>
  <si>
    <t>label</t>
  </si>
  <si>
    <t>Analysis Results</t>
  </si>
  <si>
    <t>Very clean signal</t>
  </si>
  <si>
    <t>clean signal</t>
  </si>
  <si>
    <t>Acceptable, SF7 could have problems, less SF12</t>
  </si>
  <si>
    <t>Try with a lower SF, if required sampling rate does not allow it then add an additional Gateway</t>
  </si>
  <si>
    <t>Add an additional Gateways</t>
  </si>
  <si>
    <t>Very noisy, SNR below limits for LoRa</t>
  </si>
  <si>
    <t>Very strong signal</t>
  </si>
  <si>
    <t>Strong signal</t>
  </si>
  <si>
    <t>Fair signal, maybe unreliable</t>
  </si>
  <si>
    <t>Weak signal, only works at high SF</t>
  </si>
  <si>
    <t>Unusable</t>
  </si>
  <si>
    <t>Possibly unreliable, may need higher SF or TX power</t>
  </si>
  <si>
    <t>unreliable, needs higher SF or TX power or additional gateway</t>
  </si>
  <si>
    <t>Add an addintional Gateway</t>
  </si>
  <si>
    <t>Notes</t>
  </si>
  <si>
    <t>Obstacles, machinery, power lines etc.</t>
  </si>
  <si>
    <t>Recommendations (not yet finished work in progress)</t>
  </si>
  <si>
    <t>added new Gateway gtw-02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</si>
</sst>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vertical="center" wrapText="1"/>
    </xf>
    <xf numFmtId="1" fontId="0" fillId="0" borderId="1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/>
    <xf numFmtId="0" fontId="2" fillId="0" borderId="20" xfId="0" applyFont="1" applyBorder="1" applyAlignment="1">
      <alignment horizontal="left" vertical="top"/>
    </xf>
    <xf numFmtId="0" fontId="0" fillId="0" borderId="21" xfId="0" applyBorder="1" applyAlignment="1">
      <alignment vertical="top"/>
    </xf>
    <xf numFmtId="0" fontId="0" fillId="2" borderId="18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</cellXfs>
  <cellStyles count="1">
    <cellStyle name="Standard" xfId="0" builtinId="0"/>
  </cellStyles>
  <dxfs count="34">
    <dxf>
      <fill>
        <patternFill>
          <bgColor theme="0"/>
        </patternFill>
      </fill>
    </dxf>
    <dxf>
      <fill>
        <patternFill>
          <bgColor rgb="FFFFFF99"/>
        </patternFill>
      </fill>
    </dxf>
    <dxf>
      <font>
        <b/>
        <i val="0"/>
        <color theme="1" tint="0.24994659260841701"/>
      </font>
      <fill>
        <patternFill>
          <bgColor theme="9"/>
        </patternFill>
      </fill>
    </dxf>
    <dxf>
      <font>
        <b/>
        <i val="0"/>
        <color theme="1" tint="0.24994659260841701"/>
      </font>
      <fill>
        <patternFill>
          <bgColor rgb="FF92D050"/>
        </patternFill>
      </fill>
    </dxf>
    <dxf>
      <font>
        <b/>
        <i val="0"/>
        <color theme="1" tint="0.2499465926084170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1" tint="0.24994659260841701"/>
      </font>
      <fill>
        <patternFill>
          <bgColor rgb="FF92D050"/>
        </patternFill>
      </fill>
    </dxf>
    <dxf>
      <font>
        <b/>
        <i val="0"/>
        <color theme="1" tint="0.24994659260841701"/>
      </font>
      <fill>
        <patternFill>
          <bgColor rgb="FFFFFF00"/>
        </patternFill>
      </fill>
    </dxf>
    <dxf>
      <font>
        <b/>
        <i val="0"/>
        <color theme="1" tint="0.2499465926084170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24994659260841701"/>
      </font>
      <fill>
        <patternFill>
          <bgColor rgb="FF92D050"/>
        </patternFill>
      </fill>
    </dxf>
    <dxf>
      <font>
        <b/>
        <i val="0"/>
        <color theme="1" tint="0.24994659260841701"/>
      </font>
      <fill>
        <patternFill>
          <bgColor rgb="FFFFFF00"/>
        </patternFill>
      </fill>
    </dxf>
    <dxf>
      <font>
        <b/>
        <i val="0"/>
        <color theme="1" tint="0.2499465926084170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rgb="FFFFFF99"/>
        </patternFill>
      </fill>
    </dxf>
    <dxf>
      <font>
        <b/>
        <i val="0"/>
        <color theme="1" tint="0.24994659260841701"/>
      </font>
      <fill>
        <patternFill>
          <bgColor theme="9"/>
        </patternFill>
      </fill>
    </dxf>
    <dxf>
      <font>
        <b/>
        <i val="0"/>
        <color theme="1" tint="0.24994659260841701"/>
      </font>
      <fill>
        <patternFill>
          <bgColor rgb="FF92D050"/>
        </patternFill>
      </fill>
    </dxf>
    <dxf>
      <font>
        <b/>
        <i val="0"/>
        <color theme="1" tint="0.2499465926084170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1" tint="0.24994659260841701"/>
      </font>
      <fill>
        <patternFill>
          <bgColor rgb="FF92D050"/>
        </patternFill>
      </fill>
    </dxf>
    <dxf>
      <font>
        <b/>
        <i val="0"/>
        <color theme="1" tint="0.24994659260841701"/>
      </font>
      <fill>
        <patternFill>
          <bgColor rgb="FFFFFF00"/>
        </patternFill>
      </fill>
    </dxf>
    <dxf>
      <font>
        <b/>
        <i val="0"/>
        <color theme="1" tint="0.2499465926084170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 tint="0.24994659260841701"/>
      </font>
      <fill>
        <patternFill>
          <bgColor rgb="FF92D050"/>
        </patternFill>
      </fill>
    </dxf>
    <dxf>
      <font>
        <b/>
        <i val="0"/>
        <color theme="1" tint="0.24994659260841701"/>
      </font>
      <fill>
        <patternFill>
          <bgColor rgb="FFFFFF00"/>
        </patternFill>
      </fill>
    </dxf>
    <dxf>
      <font>
        <b/>
        <i val="0"/>
        <color theme="1" tint="0.2499465926084170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107949</xdr:colOff>
      <xdr:row>19</xdr:row>
      <xdr:rowOff>228599</xdr:rowOff>
    </xdr:from>
    <xdr:to>
      <xdr:col>11</xdr:col>
      <xdr:colOff>1298574</xdr:colOff>
      <xdr:row>36</xdr:row>
      <xdr:rowOff>36146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EACC1DA-5E94-44AA-A9F1-164264CA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224" y="5000624"/>
          <a:ext cx="7343775" cy="4179522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19</xdr:row>
      <xdr:rowOff>228600</xdr:rowOff>
    </xdr:from>
    <xdr:to>
      <xdr:col>1</xdr:col>
      <xdr:colOff>1352732</xdr:colOff>
      <xdr:row>23</xdr:row>
      <xdr:rowOff>111253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2E6D3B0-DA4D-8249-5BD0-B15DE1942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5000625"/>
          <a:ext cx="1305107" cy="911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758825</xdr:colOff>
      <xdr:row>44</xdr:row>
      <xdr:rowOff>15875</xdr:rowOff>
    </xdr:from>
    <xdr:to>
      <xdr:col>7</xdr:col>
      <xdr:colOff>1206500</xdr:colOff>
      <xdr:row>67</xdr:row>
      <xdr:rowOff>39322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35765ED-F946-47B7-83DB-AC013FE4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825" y="8169275"/>
          <a:ext cx="7343775" cy="4185872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31FF-9388-4747-98B0-3AAB2640A2B7}">
  <dimension ref="B2:O19"/>
  <sheetViews>
    <sheetView showGridLines="0" tabSelected="1" workbookViewId="0">
      <selection activeCell="B11" sqref="B11:O11"/>
    </sheetView>
  </sheetViews>
  <sheetFormatPr baseColWidth="10" defaultRowHeight="20.5" customHeight="1" x14ac:dyDescent="0.35"/>
  <cols>
    <col min="1" max="1" width="3.08984375" style="6" customWidth="1"/>
    <col min="2" max="2" width="24.54296875" style="6" customWidth="1"/>
    <col min="3" max="4" width="3.81640625" style="6" customWidth="1"/>
    <col min="5" max="5" width="8.7265625" style="6" bestFit="1" customWidth="1"/>
    <col min="6" max="6" width="5.81640625" style="6" bestFit="1" customWidth="1"/>
    <col min="7" max="7" width="17.453125" style="6" bestFit="1" customWidth="1"/>
    <col min="8" max="8" width="15.26953125" style="6" customWidth="1"/>
    <col min="9" max="10" width="10.90625" style="6"/>
    <col min="11" max="11" width="15.1796875" style="6" customWidth="1"/>
    <col min="12" max="12" width="34.6328125" style="6" bestFit="1" customWidth="1"/>
    <col min="13" max="13" width="22.81640625" style="6" customWidth="1"/>
    <col min="14" max="14" width="27.81640625" style="6" customWidth="1"/>
    <col min="15" max="15" width="47.81640625" style="6" bestFit="1" customWidth="1"/>
    <col min="16" max="16384" width="10.90625" style="6"/>
  </cols>
  <sheetData>
    <row r="2" spans="2:15" s="7" customFormat="1" ht="20.5" customHeight="1" x14ac:dyDescent="0.35">
      <c r="B2" s="51" t="s">
        <v>16</v>
      </c>
      <c r="C2" s="14" t="s">
        <v>25</v>
      </c>
      <c r="D2" s="8"/>
      <c r="E2" s="8"/>
      <c r="F2" s="15"/>
      <c r="G2" s="14" t="s">
        <v>35</v>
      </c>
      <c r="H2" s="15"/>
      <c r="I2" s="9" t="s">
        <v>26</v>
      </c>
      <c r="J2" s="9"/>
      <c r="K2" s="9"/>
      <c r="L2" s="47" t="s">
        <v>56</v>
      </c>
      <c r="M2" s="14" t="s">
        <v>41</v>
      </c>
      <c r="N2" s="8"/>
      <c r="O2" s="52"/>
    </row>
    <row r="3" spans="2:15" s="12" customFormat="1" ht="15.5" customHeight="1" x14ac:dyDescent="0.35">
      <c r="B3" s="53"/>
      <c r="C3" s="11" t="s">
        <v>0</v>
      </c>
      <c r="D3" s="11" t="s">
        <v>1</v>
      </c>
      <c r="E3" s="35" t="s">
        <v>2</v>
      </c>
      <c r="F3" s="36"/>
      <c r="G3" s="11" t="s">
        <v>14</v>
      </c>
      <c r="H3" s="11" t="s">
        <v>28</v>
      </c>
      <c r="I3" s="11" t="s">
        <v>17</v>
      </c>
      <c r="J3" s="11" t="s">
        <v>18</v>
      </c>
      <c r="K3" s="11" t="s">
        <v>19</v>
      </c>
      <c r="L3" s="48" t="s">
        <v>57</v>
      </c>
      <c r="M3" s="11" t="s">
        <v>18</v>
      </c>
      <c r="N3" s="11" t="s">
        <v>19</v>
      </c>
      <c r="O3" s="54" t="s">
        <v>58</v>
      </c>
    </row>
    <row r="4" spans="2:15" s="1" customFormat="1" ht="15.5" customHeight="1" x14ac:dyDescent="0.35">
      <c r="B4" s="55"/>
      <c r="C4" s="13" t="s">
        <v>23</v>
      </c>
      <c r="D4" s="13" t="s">
        <v>23</v>
      </c>
      <c r="E4" s="13" t="s">
        <v>23</v>
      </c>
      <c r="F4" s="13" t="s">
        <v>21</v>
      </c>
      <c r="G4" s="13" t="s">
        <v>15</v>
      </c>
      <c r="H4" s="13" t="s">
        <v>22</v>
      </c>
      <c r="I4" s="13" t="s">
        <v>21</v>
      </c>
      <c r="J4" s="13" t="s">
        <v>22</v>
      </c>
      <c r="K4" s="13" t="s">
        <v>23</v>
      </c>
      <c r="L4" s="13"/>
      <c r="M4" s="13"/>
      <c r="N4" s="13"/>
      <c r="O4" s="56"/>
    </row>
    <row r="5" spans="2:15" ht="20.5" customHeight="1" x14ac:dyDescent="0.35">
      <c r="B5" s="57" t="s">
        <v>20</v>
      </c>
      <c r="C5" s="16">
        <v>1</v>
      </c>
      <c r="D5" s="10">
        <f>IF(C5="","",VLOOKUP(C5,metadata!$B$4:$D$9,2,))</f>
        <v>11</v>
      </c>
      <c r="E5" s="16">
        <v>0</v>
      </c>
      <c r="F5" s="10">
        <f>IF(E5="","",VLOOKUP(E5,metadata!$B$13:$C$20,2,))</f>
        <v>14</v>
      </c>
      <c r="G5" s="10" t="str">
        <f>IF(C5="","",VLOOKUP(C5,metadata!$B$4:$H$9,7,))</f>
        <v>1h 16min</v>
      </c>
      <c r="H5" s="10">
        <f>IF(C5="","",VLOOKUP(C5,metadata!$B$4:$D$9,3,))</f>
        <v>-17.5</v>
      </c>
      <c r="I5" s="49">
        <v>-118</v>
      </c>
      <c r="J5" s="17">
        <v>2</v>
      </c>
      <c r="K5" s="50">
        <v>1</v>
      </c>
      <c r="L5" s="45"/>
      <c r="M5" s="46" t="str">
        <f>IF(J5="","",IF(J5&lt;=H5,"Very Noisy, SNR below limits for LoRa",""))</f>
        <v/>
      </c>
      <c r="N5" s="46" t="str">
        <f>IF(K5="","",IF(K5=0,"Add Gateway(s), no reception.",IF(K5&lt;2,"Add Gateway to be safe.","")))</f>
        <v>Add Gateway to be safe.</v>
      </c>
      <c r="O5" s="58" t="str">
        <f>IF(J5="","",IF(D5=7,"Keep SF/DR, already on best",IF(J5&gt;H5+3,"Try DR"&amp;C5+1&amp;"/ SF"&amp;D5-1,IF(J5&lt;H5,"Increase SF","Keep SF/DF"))))</f>
        <v>Try DR2/ SF10</v>
      </c>
    </row>
    <row r="6" spans="2:15" ht="20.5" customHeight="1" x14ac:dyDescent="0.35">
      <c r="B6" s="57"/>
      <c r="C6" s="16"/>
      <c r="D6" s="10" t="str">
        <f>IF(C6="","",VLOOKUP(C6,metadata!$B$4:$D$9,2,))</f>
        <v/>
      </c>
      <c r="E6" s="16"/>
      <c r="F6" s="10" t="str">
        <f>IF(E6="","",VLOOKUP(E6,metadata!$B$13:$C$20,2,))</f>
        <v/>
      </c>
      <c r="G6" s="10" t="str">
        <f>IF(C6="","",VLOOKUP(C6,metadata!$B$4:$H$9,7,))</f>
        <v/>
      </c>
      <c r="H6" s="10" t="str">
        <f>IF(C6="","",VLOOKUP(C6,metadata!$B$4:$D$9,3,))</f>
        <v/>
      </c>
      <c r="I6" s="49"/>
      <c r="J6" s="17"/>
      <c r="K6" s="50"/>
      <c r="L6" s="45"/>
      <c r="M6" s="46" t="str">
        <f t="shared" ref="M6:M10" si="0">IF(J6="","",IF(J6&lt;=H6,"Very Noisy, SNR below limits for LoRa",""))</f>
        <v/>
      </c>
      <c r="N6" s="46" t="str">
        <f t="shared" ref="N6:N10" si="1">IF(K6="","",IF(K6=0,"Add Gateway(s), no reception.",IF(K6&lt;2,"Add Gateway to be safe.","")))</f>
        <v/>
      </c>
      <c r="O6" s="58" t="str">
        <f t="shared" ref="O6:O10" si="2">IF(J6="","",IF(D6=7,"Keep SF/DR, already on best",IF(J6&gt;H6+3,"Try DR"&amp;C6+1&amp;"/ SF"&amp;D6-1,IF(J6&lt;H6,"Increase SF","Keep SF/DF"))))</f>
        <v/>
      </c>
    </row>
    <row r="7" spans="2:15" ht="20.5" customHeight="1" x14ac:dyDescent="0.35">
      <c r="B7" s="57"/>
      <c r="C7" s="16"/>
      <c r="D7" s="10" t="str">
        <f>IF(C7="","",VLOOKUP(C7,metadata!$B$4:$D$9,2,))</f>
        <v/>
      </c>
      <c r="E7" s="16"/>
      <c r="F7" s="10" t="str">
        <f>IF(E7="","",VLOOKUP(E7,metadata!$B$13:$C$20,2,))</f>
        <v/>
      </c>
      <c r="G7" s="10" t="str">
        <f>IF(C7="","",VLOOKUP(C7,metadata!$B$4:$H$9,7,))</f>
        <v/>
      </c>
      <c r="H7" s="10" t="str">
        <f>IF(C7="","",VLOOKUP(C7,metadata!$B$4:$D$9,3,))</f>
        <v/>
      </c>
      <c r="I7" s="49"/>
      <c r="J7" s="17"/>
      <c r="K7" s="50"/>
      <c r="L7" s="45"/>
      <c r="M7" s="46" t="str">
        <f t="shared" si="0"/>
        <v/>
      </c>
      <c r="N7" s="46" t="str">
        <f t="shared" si="1"/>
        <v/>
      </c>
      <c r="O7" s="58" t="str">
        <f t="shared" si="2"/>
        <v/>
      </c>
    </row>
    <row r="8" spans="2:15" ht="20.5" customHeight="1" x14ac:dyDescent="0.35">
      <c r="B8" s="57"/>
      <c r="C8" s="16"/>
      <c r="D8" s="10" t="str">
        <f>IF(C8="","",VLOOKUP(C8,metadata!$B$4:$D$9,2,))</f>
        <v/>
      </c>
      <c r="E8" s="16"/>
      <c r="F8" s="10" t="str">
        <f>IF(E8="","",VLOOKUP(E8,metadata!$B$13:$C$20,2,))</f>
        <v/>
      </c>
      <c r="G8" s="10" t="str">
        <f>IF(C8="","",VLOOKUP(C8,metadata!$B$4:$H$9,7,))</f>
        <v/>
      </c>
      <c r="H8" s="10" t="str">
        <f>IF(C8="","",VLOOKUP(C8,metadata!$B$4:$D$9,3,))</f>
        <v/>
      </c>
      <c r="I8" s="49"/>
      <c r="J8" s="17"/>
      <c r="K8" s="50"/>
      <c r="L8" s="45"/>
      <c r="M8" s="46" t="str">
        <f t="shared" si="0"/>
        <v/>
      </c>
      <c r="N8" s="46" t="str">
        <f t="shared" si="1"/>
        <v/>
      </c>
      <c r="O8" s="58" t="str">
        <f t="shared" si="2"/>
        <v/>
      </c>
    </row>
    <row r="9" spans="2:15" ht="20.5" customHeight="1" x14ac:dyDescent="0.35">
      <c r="B9" s="57"/>
      <c r="C9" s="16"/>
      <c r="D9" s="10" t="str">
        <f>IF(C9="","",VLOOKUP(C9,metadata!$B$4:$D$9,2,))</f>
        <v/>
      </c>
      <c r="E9" s="16"/>
      <c r="F9" s="10" t="str">
        <f>IF(E9="","",VLOOKUP(E9,metadata!$B$13:$C$20,2,))</f>
        <v/>
      </c>
      <c r="G9" s="10" t="str">
        <f>IF(C9="","",VLOOKUP(C9,metadata!$B$4:$H$9,7,))</f>
        <v/>
      </c>
      <c r="H9" s="10" t="str">
        <f>IF(C9="","",VLOOKUP(C9,metadata!$B$4:$D$9,3,))</f>
        <v/>
      </c>
      <c r="I9" s="49"/>
      <c r="J9" s="17"/>
      <c r="K9" s="50"/>
      <c r="L9" s="45"/>
      <c r="M9" s="46" t="str">
        <f t="shared" si="0"/>
        <v/>
      </c>
      <c r="N9" s="46" t="str">
        <f t="shared" si="1"/>
        <v/>
      </c>
      <c r="O9" s="58" t="str">
        <f t="shared" si="2"/>
        <v/>
      </c>
    </row>
    <row r="10" spans="2:15" ht="20.5" customHeight="1" x14ac:dyDescent="0.35">
      <c r="B10" s="59"/>
      <c r="C10" s="60"/>
      <c r="D10" s="10" t="str">
        <f>IF(C10="","",VLOOKUP(C10,metadata!$B$4:$D$9,2,))</f>
        <v/>
      </c>
      <c r="E10" s="60"/>
      <c r="F10" s="10" t="str">
        <f>IF(E10="","",VLOOKUP(E10,metadata!$B$13:$C$20,2,))</f>
        <v/>
      </c>
      <c r="G10" s="10" t="str">
        <f>IF(C10="","",VLOOKUP(C10,metadata!$B$4:$H$9,7,))</f>
        <v/>
      </c>
      <c r="H10" s="10" t="str">
        <f>IF(C10="","",VLOOKUP(C10,metadata!$B$4:$D$9,3,))</f>
        <v/>
      </c>
      <c r="I10" s="61"/>
      <c r="J10" s="62"/>
      <c r="K10" s="63"/>
      <c r="L10" s="64"/>
      <c r="M10" s="46" t="str">
        <f t="shared" si="0"/>
        <v/>
      </c>
      <c r="N10" s="46" t="str">
        <f t="shared" si="1"/>
        <v/>
      </c>
      <c r="O10" s="58" t="str">
        <f t="shared" si="2"/>
        <v/>
      </c>
    </row>
    <row r="11" spans="2:15" ht="20.5" customHeight="1" x14ac:dyDescent="0.35">
      <c r="B11" s="81" t="s">
        <v>59</v>
      </c>
      <c r="C11" s="82"/>
      <c r="D11" s="83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4"/>
    </row>
    <row r="12" spans="2:15" ht="20.5" customHeight="1" x14ac:dyDescent="0.35">
      <c r="B12" s="74" t="s">
        <v>20</v>
      </c>
      <c r="C12" s="76">
        <v>1</v>
      </c>
      <c r="D12" s="26">
        <f>IF(C12="","",VLOOKUP(C12,metadata!$B$4:$D$9,2,))</f>
        <v>11</v>
      </c>
      <c r="E12" s="76">
        <v>0</v>
      </c>
      <c r="F12" s="26">
        <f>IF(E12="","",VLOOKUP(E12,metadata!$B$13:$C$20,2,))</f>
        <v>14</v>
      </c>
      <c r="G12" s="26" t="str">
        <f>IF(C12="","",VLOOKUP(C12,metadata!$B$4:$H$9,7,))</f>
        <v>1h 16min</v>
      </c>
      <c r="H12" s="26">
        <f>IF(C12="","",VLOOKUP(C12,metadata!$B$4:$D$9,3,))</f>
        <v>-17.5</v>
      </c>
      <c r="I12" s="79">
        <v>-88</v>
      </c>
      <c r="J12" s="17">
        <v>2</v>
      </c>
      <c r="K12" s="50">
        <v>2</v>
      </c>
      <c r="L12" s="66"/>
      <c r="M12" s="68" t="str">
        <f>IF(K12="","",IF(K12=0,"Add Gateway(s), no reception.",IF(K12&lt;2,"Add Gateway to be safe.","")))</f>
        <v/>
      </c>
      <c r="N12" s="68" t="str">
        <f>IF(K12="","",IF(K12=0,"Add Gateway(s), no reception.",IF(K12&lt;2,"Add Gateway to be safe.","")))</f>
        <v/>
      </c>
      <c r="O12" s="71" t="str">
        <f>IF(J12="","",IF(D12=7,"Keep SF/DR, already on best",IF(J12&gt;H12+3,"Try DR"&amp;C12+1&amp;"/ SF"&amp;D12-1,IF(J12&lt;H12,"Increase SF","Keep SF/DF"))))</f>
        <v>Try DR2/ SF10</v>
      </c>
    </row>
    <row r="13" spans="2:15" ht="20.5" customHeight="1" x14ac:dyDescent="0.35">
      <c r="B13" s="74"/>
      <c r="C13" s="77"/>
      <c r="D13" s="65" t="str">
        <f>IF(C13="","",VLOOKUP(C13,metadata!$B$4:$D$9,2,))</f>
        <v/>
      </c>
      <c r="E13" s="77"/>
      <c r="F13" s="65" t="str">
        <f>IF(E13="","",VLOOKUP(E13,metadata!$B$13:$C$20,2,))</f>
        <v/>
      </c>
      <c r="G13" s="65" t="str">
        <f>IF(C13="","",VLOOKUP(C13,metadata!$B$4:$H$9,7,))</f>
        <v/>
      </c>
      <c r="H13" s="65" t="str">
        <f>IF(C13="","",VLOOKUP(C13,metadata!$B$4:$D$9,3,))</f>
        <v/>
      </c>
      <c r="I13" s="79"/>
      <c r="J13" s="17"/>
      <c r="K13" s="50"/>
      <c r="L13" s="66"/>
      <c r="M13" s="69" t="str">
        <f>IF(K13="","",IF(K13=0,"Add Gateway(s), no reception.",IF(K13&lt;2,"Add Gateway to be safe.","")))</f>
        <v/>
      </c>
      <c r="N13" s="69" t="str">
        <f t="shared" ref="N13:N19" si="3">IF(K13="","",IF(K13=0,"Add Gateway(s), no reception.",IF(K13&lt;2,"Add Gateway to be safe.","")))</f>
        <v/>
      </c>
      <c r="O13" s="72" t="str">
        <f t="shared" ref="O13:O19" si="4">IF(J13="","",IF(D13=7,"Keep SF/DR, already on best",IF(J13&gt;H13+3,"Try DR"&amp;C13+1&amp;"/ SF"&amp;D13-1,IF(J13&lt;H13,"Increase SF","Keep SF/DF"))))</f>
        <v/>
      </c>
    </row>
    <row r="14" spans="2:15" ht="20.5" customHeight="1" x14ac:dyDescent="0.35">
      <c r="B14" s="74"/>
      <c r="C14" s="77"/>
      <c r="D14" s="65" t="str">
        <f>IF(C14="","",VLOOKUP(C14,metadata!$B$4:$D$9,2,))</f>
        <v/>
      </c>
      <c r="E14" s="77"/>
      <c r="F14" s="65" t="str">
        <f>IF(E14="","",VLOOKUP(E14,metadata!$B$13:$C$20,2,))</f>
        <v/>
      </c>
      <c r="G14" s="65" t="str">
        <f>IF(C14="","",VLOOKUP(C14,metadata!$B$4:$H$9,7,))</f>
        <v/>
      </c>
      <c r="H14" s="65" t="str">
        <f>IF(C14="","",VLOOKUP(C14,metadata!$B$4:$D$9,3,))</f>
        <v/>
      </c>
      <c r="I14" s="79"/>
      <c r="J14" s="17"/>
      <c r="K14" s="50"/>
      <c r="L14" s="66"/>
      <c r="M14" s="69" t="str">
        <f>IF(K14="","",IF(K14=0,"Add Gateway(s), no reception.",IF(K14&lt;2,"Add Gateway to be safe.","")))</f>
        <v/>
      </c>
      <c r="N14" s="69" t="str">
        <f t="shared" si="3"/>
        <v/>
      </c>
      <c r="O14" s="72" t="str">
        <f t="shared" si="4"/>
        <v/>
      </c>
    </row>
    <row r="15" spans="2:15" ht="20.5" customHeight="1" x14ac:dyDescent="0.35">
      <c r="B15" s="74"/>
      <c r="C15" s="77"/>
      <c r="D15" s="65" t="str">
        <f>IF(C15="","",VLOOKUP(C15,metadata!$B$4:$D$9,2,))</f>
        <v/>
      </c>
      <c r="E15" s="77"/>
      <c r="F15" s="65" t="str">
        <f>IF(E15="","",VLOOKUP(E15,metadata!$B$13:$C$20,2,))</f>
        <v/>
      </c>
      <c r="G15" s="65" t="str">
        <f>IF(C15="","",VLOOKUP(C15,metadata!$B$4:$H$9,7,))</f>
        <v/>
      </c>
      <c r="H15" s="65" t="str">
        <f>IF(C15="","",VLOOKUP(C15,metadata!$B$4:$D$9,3,))</f>
        <v/>
      </c>
      <c r="I15" s="79"/>
      <c r="J15" s="17"/>
      <c r="K15" s="50"/>
      <c r="L15" s="66"/>
      <c r="M15" s="69" t="str">
        <f>IF(K15="","",IF(K15=0,"Add Gateway(s), no reception.",IF(K15&lt;2,"Add Gateway to be safe.","")))</f>
        <v/>
      </c>
      <c r="N15" s="69" t="str">
        <f t="shared" si="3"/>
        <v/>
      </c>
      <c r="O15" s="72" t="str">
        <f t="shared" si="4"/>
        <v/>
      </c>
    </row>
    <row r="16" spans="2:15" ht="20.5" customHeight="1" x14ac:dyDescent="0.35">
      <c r="B16" s="74"/>
      <c r="C16" s="77"/>
      <c r="D16" s="65" t="str">
        <f>IF(C16="","",VLOOKUP(C16,metadata!$B$4:$D$9,2,))</f>
        <v/>
      </c>
      <c r="E16" s="77"/>
      <c r="F16" s="65" t="str">
        <f>IF(E16="","",VLOOKUP(E16,metadata!$B$13:$C$20,2,))</f>
        <v/>
      </c>
      <c r="G16" s="65" t="str">
        <f>IF(C16="","",VLOOKUP(C16,metadata!$B$4:$H$9,7,))</f>
        <v/>
      </c>
      <c r="H16" s="65" t="str">
        <f>IF(C16="","",VLOOKUP(C16,metadata!$B$4:$D$9,3,))</f>
        <v/>
      </c>
      <c r="I16" s="79"/>
      <c r="J16" s="17"/>
      <c r="K16" s="50"/>
      <c r="L16" s="66"/>
      <c r="M16" s="69" t="str">
        <f>IF(K16="","",IF(K16=0,"Add Gateway(s), no reception.",IF(K16&lt;2,"Add Gateway to be safe.","")))</f>
        <v/>
      </c>
      <c r="N16" s="69" t="str">
        <f t="shared" si="3"/>
        <v/>
      </c>
      <c r="O16" s="72" t="str">
        <f t="shared" si="4"/>
        <v/>
      </c>
    </row>
    <row r="17" spans="2:15" ht="20.5" customHeight="1" x14ac:dyDescent="0.35">
      <c r="B17" s="74"/>
      <c r="C17" s="77"/>
      <c r="D17" s="65" t="str">
        <f>IF(C17="","",VLOOKUP(C17,metadata!$B$4:$D$9,2,))</f>
        <v/>
      </c>
      <c r="E17" s="77"/>
      <c r="F17" s="65" t="str">
        <f>IF(E17="","",VLOOKUP(E17,metadata!$B$13:$C$20,2,))</f>
        <v/>
      </c>
      <c r="G17" s="65" t="str">
        <f>IF(C17="","",VLOOKUP(C17,metadata!$B$4:$H$9,7,))</f>
        <v/>
      </c>
      <c r="H17" s="65" t="str">
        <f>IF(C17="","",VLOOKUP(C17,metadata!$B$4:$D$9,3,))</f>
        <v/>
      </c>
      <c r="I17" s="79"/>
      <c r="J17" s="17"/>
      <c r="K17" s="50"/>
      <c r="L17" s="66"/>
      <c r="M17" s="69" t="str">
        <f>IF(K17="","",IF(K17=0,"Add Gateway(s), no reception.",IF(K17&lt;2,"Add Gateway to be safe.","")))</f>
        <v/>
      </c>
      <c r="N17" s="69" t="str">
        <f t="shared" si="3"/>
        <v/>
      </c>
      <c r="O17" s="72" t="str">
        <f t="shared" si="4"/>
        <v/>
      </c>
    </row>
    <row r="18" spans="2:15" ht="20.5" customHeight="1" x14ac:dyDescent="0.35">
      <c r="B18" s="74"/>
      <c r="C18" s="77"/>
      <c r="D18" s="65" t="str">
        <f>IF(C18="","",VLOOKUP(C18,metadata!$B$4:$D$9,2,))</f>
        <v/>
      </c>
      <c r="E18" s="77"/>
      <c r="F18" s="65" t="str">
        <f>IF(E18="","",VLOOKUP(E18,metadata!$B$13:$C$20,2,))</f>
        <v/>
      </c>
      <c r="G18" s="65" t="str">
        <f>IF(C18="","",VLOOKUP(C18,metadata!$B$4:$H$9,7,))</f>
        <v/>
      </c>
      <c r="H18" s="65" t="str">
        <f>IF(C18="","",VLOOKUP(C18,metadata!$B$4:$D$9,3,))</f>
        <v/>
      </c>
      <c r="I18" s="79"/>
      <c r="J18" s="17"/>
      <c r="K18" s="50"/>
      <c r="L18" s="66"/>
      <c r="M18" s="69" t="str">
        <f>IF(K18="","",IF(K18=0,"Add Gateway(s), no reception.",IF(K18&lt;2,"Add Gateway to be safe.","")))</f>
        <v/>
      </c>
      <c r="N18" s="69" t="str">
        <f t="shared" si="3"/>
        <v/>
      </c>
      <c r="O18" s="72" t="str">
        <f t="shared" si="4"/>
        <v/>
      </c>
    </row>
    <row r="19" spans="2:15" ht="20.5" customHeight="1" x14ac:dyDescent="0.35">
      <c r="B19" s="75"/>
      <c r="C19" s="78"/>
      <c r="D19" s="18" t="str">
        <f>IF(C19="","",VLOOKUP(C19,metadata!$B$4:$D$9,2,))</f>
        <v/>
      </c>
      <c r="E19" s="78"/>
      <c r="F19" s="18" t="str">
        <f>IF(E19="","",VLOOKUP(E19,metadata!$B$13:$C$20,2,))</f>
        <v/>
      </c>
      <c r="G19" s="18" t="str">
        <f>IF(C19="","",VLOOKUP(C19,metadata!$B$4:$H$9,7,))</f>
        <v/>
      </c>
      <c r="H19" s="18" t="str">
        <f>IF(C19="","",VLOOKUP(C19,metadata!$B$4:$D$9,3,))</f>
        <v/>
      </c>
      <c r="I19" s="80"/>
      <c r="J19" s="62"/>
      <c r="K19" s="63"/>
      <c r="L19" s="67"/>
      <c r="M19" s="70" t="str">
        <f>IF(K19="","",IF(K19=0,"Add Gateway(s), no reception.",IF(K19&lt;2,"Add Gateway to be safe.","")))</f>
        <v/>
      </c>
      <c r="N19" s="70" t="str">
        <f t="shared" si="3"/>
        <v/>
      </c>
      <c r="O19" s="73" t="str">
        <f t="shared" si="4"/>
        <v/>
      </c>
    </row>
  </sheetData>
  <mergeCells count="7">
    <mergeCell ref="M2:O2"/>
    <mergeCell ref="B11:O11"/>
    <mergeCell ref="I2:K2"/>
    <mergeCell ref="B2:B4"/>
    <mergeCell ref="C2:F2"/>
    <mergeCell ref="G2:H2"/>
    <mergeCell ref="E3:F3"/>
  </mergeCells>
  <conditionalFormatting sqref="J5:J10 J12:J19">
    <cfRule type="expression" dxfId="11" priority="7">
      <formula>$J$5&lt;=$H$5</formula>
    </cfRule>
  </conditionalFormatting>
  <conditionalFormatting sqref="K5:K10 K12:K19">
    <cfRule type="cellIs" dxfId="5" priority="5" operator="lessThanOrEqual">
      <formula>0</formula>
    </cfRule>
    <cfRule type="cellIs" dxfId="4" priority="6" operator="lessThanOrEqual">
      <formula>1</formula>
    </cfRule>
    <cfRule type="cellIs" dxfId="3" priority="13" operator="lessThanOrEqual">
      <formula>2</formula>
    </cfRule>
    <cfRule type="cellIs" dxfId="2" priority="14" operator="greaterThan">
      <formula>2</formula>
    </cfRule>
  </conditionalFormatting>
  <conditionalFormatting sqref="I5:K10 I12:K19">
    <cfRule type="cellIs" dxfId="1" priority="2" operator="equal">
      <formula>""</formula>
    </cfRule>
  </conditionalFormatting>
  <conditionalFormatting sqref="B5:C10 E5:E10 B11 B12:C19 E12:E19">
    <cfRule type="cellIs" dxfId="0" priority="1" operator="notEqual">
      <formula>""</formula>
    </cfRule>
  </conditionalFormatting>
  <pageMargins left="0.7" right="0.7" top="0.78740157499999996" bottom="0.78740157499999996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greaterThanOrEqual" id="{B2CB881D-58F4-4A91-B155-6DBF5070FFCA}">
            <xm:f>metadata!$B$33</xm:f>
            <x14:dxf>
              <font>
                <b/>
                <i val="0"/>
                <color theme="0"/>
              </font>
              <fill>
                <patternFill>
                  <bgColor theme="9"/>
                </patternFill>
              </fill>
            </x14:dxf>
          </x14:cfRule>
          <x14:cfRule type="cellIs" priority="16" operator="lessThan" id="{D7F46B3D-0A8D-41A8-890E-26C16A7A4193}">
            <xm:f>metadata!$B$30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7" operator="lessThan" id="{5B7E58D9-86B2-40F1-AAC6-C4CC7ECBFE49}">
            <xm:f>metadata!$B$31</xm:f>
            <x14:dxf>
              <font>
                <b/>
                <i val="0"/>
                <color theme="1" tint="0.24994659260841701"/>
              </font>
              <fill>
                <patternFill>
                  <bgColor rgb="FFFFC000"/>
                </patternFill>
              </fill>
            </x14:dxf>
          </x14:cfRule>
          <x14:cfRule type="cellIs" priority="18" operator="lessThan" id="{37446D85-0329-4F76-BDB3-CA686FDB6415}">
            <xm:f>metadata!$B$32</xm:f>
            <x14:dxf>
              <font>
                <b/>
                <i val="0"/>
                <color theme="1" tint="0.24994659260841701"/>
              </font>
              <fill>
                <patternFill>
                  <bgColor rgb="FFFFFF00"/>
                </patternFill>
              </fill>
            </x14:dxf>
          </x14:cfRule>
          <x14:cfRule type="cellIs" priority="19" operator="lessThan" id="{904689C0-F445-48D1-98A0-4D717704E522}">
            <xm:f>metadata!$B$33</xm:f>
            <x14:dxf>
              <font>
                <b/>
                <i val="0"/>
                <color theme="1" tint="0.24994659260841701"/>
              </font>
              <fill>
                <patternFill>
                  <bgColor rgb="FF92D050"/>
                </patternFill>
              </fill>
            </x14:dxf>
          </x14:cfRule>
          <xm:sqref>I5:I10 I12:I19</xm:sqref>
        </x14:conditionalFormatting>
        <x14:conditionalFormatting xmlns:xm="http://schemas.microsoft.com/office/excel/2006/main">
          <x14:cfRule type="cellIs" priority="8" operator="lessThan" id="{4F5F10AE-D6A8-4877-ADFE-372F0BA7D26F}">
            <xm:f>metadata!$B$38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9" operator="lessThan" id="{9DBD3FFC-91EA-4FE1-91B0-568DB2C0631B}">
            <xm:f>metadata!$B$39</xm:f>
            <x14:dxf>
              <font>
                <b/>
                <i val="0"/>
                <color theme="1" tint="0.24994659260841701"/>
              </font>
              <fill>
                <patternFill>
                  <bgColor rgb="FFFFC000"/>
                </patternFill>
              </fill>
            </x14:dxf>
          </x14:cfRule>
          <x14:cfRule type="cellIs" priority="10" operator="lessThan" id="{4119183B-4F7C-4E95-A2C5-5C94374A1B29}">
            <xm:f>metadata!$B$40</xm:f>
            <x14:dxf>
              <font>
                <b/>
                <i val="0"/>
                <color theme="1" tint="0.24994659260841701"/>
              </font>
              <fill>
                <patternFill>
                  <bgColor rgb="FFFFFF00"/>
                </patternFill>
              </fill>
            </x14:dxf>
          </x14:cfRule>
          <x14:cfRule type="cellIs" priority="11" operator="lessThan" id="{4575317E-D25D-4D59-8E6D-265A0FECBEEE}">
            <xm:f>metadata!$B$41</xm:f>
            <x14:dxf>
              <font>
                <b/>
                <i val="0"/>
                <color theme="1" tint="0.24994659260841701"/>
              </font>
              <fill>
                <patternFill>
                  <bgColor rgb="FF92D050"/>
                </patternFill>
              </fill>
            </x14:dxf>
          </x14:cfRule>
          <x14:cfRule type="cellIs" priority="15" operator="greaterThanOrEqual" id="{D637231B-DA67-4B5D-8816-BC1D11BAA3FA}">
            <xm:f>metadata!$B$41</xm:f>
            <x14:dxf>
              <font>
                <b/>
                <i val="0"/>
                <color theme="0"/>
              </font>
              <fill>
                <patternFill>
                  <bgColor theme="9"/>
                </patternFill>
              </fill>
            </x14:dxf>
          </x14:cfRule>
          <xm:sqref>J5:J10 J12:J19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7F5F62-4AF0-4F10-85B5-03B9A49A6EA1}">
          <x14:formula1>
            <xm:f>metadata!$B$4:$B$9</xm:f>
          </x14:formula1>
          <xm:sqref>C5 C12:C19</xm:sqref>
        </x14:dataValidation>
        <x14:dataValidation type="list" allowBlank="1" showInputMessage="1" showErrorMessage="1" xr:uid="{71FF1A0F-39C6-4406-8BB2-4E5C78D18ED3}">
          <x14:formula1>
            <xm:f>metadata!$B$13:$B$20</xm:f>
          </x14:formula1>
          <xm:sqref>E5 E12:E19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6C02-D26E-4E50-92D5-1B313BC98CB6}">
  <dimension ref="B2:K42"/>
  <sheetViews>
    <sheetView workbookViewId="0">
      <selection activeCell="E19" sqref="E19"/>
    </sheetView>
  </sheetViews>
  <sheetFormatPr baseColWidth="10" defaultRowHeight="14.5" x14ac:dyDescent="0.35"/>
  <cols>
    <col min="3" max="3" width="17.54296875" customWidth="1"/>
    <col min="4" max="4" width="18.54296875" customWidth="1"/>
    <col min="6" max="6" width="12.6328125" bestFit="1" customWidth="1"/>
    <col min="7" max="7" width="17.1796875" bestFit="1" customWidth="1"/>
    <col min="8" max="8" width="19.90625" customWidth="1"/>
  </cols>
  <sheetData>
    <row r="2" spans="2:11" ht="29" x14ac:dyDescent="0.35">
      <c r="B2" s="28" t="s">
        <v>0</v>
      </c>
      <c r="C2" s="19" t="s">
        <v>1</v>
      </c>
      <c r="D2" s="19" t="s">
        <v>27</v>
      </c>
      <c r="E2" s="29" t="s">
        <v>12</v>
      </c>
      <c r="F2" s="29" t="s">
        <v>10</v>
      </c>
      <c r="G2" s="29" t="s">
        <v>14</v>
      </c>
      <c r="H2" s="29" t="s">
        <v>14</v>
      </c>
      <c r="I2" s="22"/>
      <c r="J2" s="22"/>
      <c r="K2" s="22"/>
    </row>
    <row r="3" spans="2:11" x14ac:dyDescent="0.35">
      <c r="B3" s="28"/>
      <c r="C3" s="19"/>
      <c r="D3" s="20" t="s">
        <v>30</v>
      </c>
      <c r="E3" s="21" t="s">
        <v>13</v>
      </c>
      <c r="F3" s="21" t="s">
        <v>11</v>
      </c>
      <c r="G3" s="21" t="s">
        <v>29</v>
      </c>
      <c r="H3" s="21" t="s">
        <v>15</v>
      </c>
      <c r="I3" s="22"/>
      <c r="J3" s="22"/>
      <c r="K3" s="22"/>
    </row>
    <row r="4" spans="2:11" x14ac:dyDescent="0.35">
      <c r="B4" s="27">
        <v>5</v>
      </c>
      <c r="C4" s="23">
        <v>7</v>
      </c>
      <c r="D4" s="23">
        <v>-7.5</v>
      </c>
      <c r="E4" s="21">
        <v>5470</v>
      </c>
      <c r="F4" s="24">
        <f>($C$23+$C$24)*8/E4*1000</f>
        <v>127.23948811700184</v>
      </c>
      <c r="G4" s="30">
        <f>24*60/($C$26/F4*1000)/60</f>
        <v>0.10179159049360148</v>
      </c>
      <c r="H4" s="25" t="str">
        <f>IF(INT(G4)&gt;0, INT(G4)&amp;"h ","") &amp; ROUND((G4-INT(G4))*60,0) &amp; "min"</f>
        <v>6min</v>
      </c>
      <c r="I4" s="22"/>
      <c r="J4" s="22"/>
      <c r="K4" s="22"/>
    </row>
    <row r="5" spans="2:11" x14ac:dyDescent="0.35">
      <c r="B5" s="27">
        <v>4</v>
      </c>
      <c r="C5" s="23">
        <v>8</v>
      </c>
      <c r="D5" s="23">
        <v>-10</v>
      </c>
      <c r="E5" s="21">
        <v>3125</v>
      </c>
      <c r="F5" s="24">
        <f>($C$23+$C$24)*8/E5*1000</f>
        <v>222.72</v>
      </c>
      <c r="G5" s="30">
        <f t="shared" ref="G5:G9" si="0">24*60/($C$26/F5*1000)/60</f>
        <v>0.17817599999999997</v>
      </c>
      <c r="H5" s="25" t="str">
        <f t="shared" ref="H5:H9" si="1">IF(INT(G5)&gt;0, INT(G5)&amp;"h ","") &amp; ROUND((G5-INT(G5))*60,0) &amp; "min"</f>
        <v>11min</v>
      </c>
      <c r="I5" s="22"/>
      <c r="J5" s="22"/>
      <c r="K5" s="22"/>
    </row>
    <row r="6" spans="2:11" x14ac:dyDescent="0.35">
      <c r="B6" s="27">
        <v>3</v>
      </c>
      <c r="C6" s="23">
        <v>9</v>
      </c>
      <c r="D6" s="23">
        <v>-12.5</v>
      </c>
      <c r="E6" s="21">
        <v>1760</v>
      </c>
      <c r="F6" s="24">
        <f>($C$23+$C$24)*8/E6*1000</f>
        <v>395.45454545454544</v>
      </c>
      <c r="G6" s="30">
        <f t="shared" si="0"/>
        <v>0.3163636363636364</v>
      </c>
      <c r="H6" s="25" t="str">
        <f t="shared" si="1"/>
        <v>19min</v>
      </c>
      <c r="I6" s="22"/>
      <c r="J6" s="22"/>
      <c r="K6" s="22"/>
    </row>
    <row r="7" spans="2:11" x14ac:dyDescent="0.35">
      <c r="B7" s="27">
        <v>2</v>
      </c>
      <c r="C7" s="23">
        <v>10</v>
      </c>
      <c r="D7" s="23">
        <v>-15</v>
      </c>
      <c r="E7" s="21">
        <v>980</v>
      </c>
      <c r="F7" s="24">
        <f>($C$23+$C$24)*8/E7*1000</f>
        <v>710.20408163265301</v>
      </c>
      <c r="G7" s="30">
        <f t="shared" si="0"/>
        <v>0.56816326530612249</v>
      </c>
      <c r="H7" s="25" t="str">
        <f t="shared" si="1"/>
        <v>34min</v>
      </c>
      <c r="I7" s="22"/>
      <c r="J7" s="22"/>
      <c r="K7" s="22"/>
    </row>
    <row r="8" spans="2:11" x14ac:dyDescent="0.35">
      <c r="B8" s="27">
        <v>1</v>
      </c>
      <c r="C8" s="23">
        <v>11</v>
      </c>
      <c r="D8" s="23">
        <v>-17.5</v>
      </c>
      <c r="E8" s="21">
        <v>440</v>
      </c>
      <c r="F8" s="24">
        <f>($C$23+$C$24)*8/E8*1000</f>
        <v>1581.8181818181818</v>
      </c>
      <c r="G8" s="30">
        <f t="shared" si="0"/>
        <v>1.2654545454545456</v>
      </c>
      <c r="H8" s="25" t="str">
        <f t="shared" si="1"/>
        <v>1h 16min</v>
      </c>
      <c r="I8" s="22"/>
      <c r="J8" s="22"/>
      <c r="K8" s="22"/>
    </row>
    <row r="9" spans="2:11" x14ac:dyDescent="0.35">
      <c r="B9" s="27">
        <v>0</v>
      </c>
      <c r="C9" s="23">
        <v>12</v>
      </c>
      <c r="D9" s="23">
        <v>-20</v>
      </c>
      <c r="E9" s="21">
        <v>250</v>
      </c>
      <c r="F9" s="24">
        <f>($C$23+$C$24)*8/E9*1000</f>
        <v>2784</v>
      </c>
      <c r="G9" s="30">
        <f t="shared" si="0"/>
        <v>2.2272000000000003</v>
      </c>
      <c r="H9" s="25" t="str">
        <f t="shared" si="1"/>
        <v>2h 14min</v>
      </c>
      <c r="I9" s="22"/>
      <c r="J9" s="22"/>
      <c r="K9" s="22"/>
    </row>
    <row r="10" spans="2:11" x14ac:dyDescent="0.35">
      <c r="E10" s="2"/>
      <c r="F10" s="3"/>
      <c r="G10" s="4"/>
      <c r="H10" s="4"/>
    </row>
    <row r="11" spans="2:11" x14ac:dyDescent="0.35">
      <c r="B11" s="2"/>
      <c r="C11" s="2"/>
      <c r="D11" s="2"/>
      <c r="E11" s="2"/>
      <c r="F11" s="2"/>
      <c r="G11" s="2"/>
      <c r="H11" s="2"/>
      <c r="I11" s="2"/>
      <c r="J11" s="2"/>
    </row>
    <row r="12" spans="2:11" x14ac:dyDescent="0.35">
      <c r="B12" s="29" t="s">
        <v>2</v>
      </c>
      <c r="C12" s="29" t="s">
        <v>24</v>
      </c>
      <c r="H12" s="2"/>
    </row>
    <row r="13" spans="2:11" x14ac:dyDescent="0.35">
      <c r="B13" s="21">
        <v>7</v>
      </c>
      <c r="C13" s="21">
        <v>7</v>
      </c>
      <c r="H13" s="2"/>
    </row>
    <row r="14" spans="2:11" x14ac:dyDescent="0.35">
      <c r="B14" s="21">
        <v>6</v>
      </c>
      <c r="C14" s="21">
        <v>8</v>
      </c>
      <c r="H14" s="2"/>
    </row>
    <row r="15" spans="2:11" x14ac:dyDescent="0.35">
      <c r="B15" s="21">
        <v>5</v>
      </c>
      <c r="C15" s="21">
        <v>9</v>
      </c>
      <c r="H15" s="2"/>
    </row>
    <row r="16" spans="2:11" x14ac:dyDescent="0.35">
      <c r="B16" s="21">
        <v>4</v>
      </c>
      <c r="C16" s="21">
        <v>10</v>
      </c>
      <c r="H16" s="2"/>
    </row>
    <row r="17" spans="2:8" x14ac:dyDescent="0.35">
      <c r="B17" s="21">
        <v>3</v>
      </c>
      <c r="C17" s="21">
        <v>11</v>
      </c>
      <c r="H17" s="2"/>
    </row>
    <row r="18" spans="2:8" x14ac:dyDescent="0.35">
      <c r="B18" s="21">
        <v>2</v>
      </c>
      <c r="C18" s="21">
        <v>12</v>
      </c>
    </row>
    <row r="19" spans="2:8" x14ac:dyDescent="0.35">
      <c r="B19" s="21">
        <v>1</v>
      </c>
      <c r="C19" s="21">
        <v>13</v>
      </c>
    </row>
    <row r="20" spans="2:8" x14ac:dyDescent="0.35">
      <c r="B20" s="21">
        <v>0</v>
      </c>
      <c r="C20" s="21">
        <v>14</v>
      </c>
    </row>
    <row r="23" spans="2:8" x14ac:dyDescent="0.35">
      <c r="B23" s="28" t="s">
        <v>3</v>
      </c>
      <c r="C23" s="39">
        <v>51</v>
      </c>
      <c r="D23" s="27" t="s">
        <v>4</v>
      </c>
    </row>
    <row r="24" spans="2:8" x14ac:dyDescent="0.35">
      <c r="B24" s="28" t="s">
        <v>9</v>
      </c>
      <c r="C24" s="39">
        <v>36</v>
      </c>
      <c r="D24" s="27" t="s">
        <v>4</v>
      </c>
    </row>
    <row r="25" spans="2:8" x14ac:dyDescent="0.35">
      <c r="B25" s="28" t="s">
        <v>5</v>
      </c>
      <c r="C25" s="31">
        <v>0.1</v>
      </c>
      <c r="D25" s="27" t="s">
        <v>6</v>
      </c>
    </row>
    <row r="26" spans="2:8" x14ac:dyDescent="0.35">
      <c r="B26" s="28" t="s">
        <v>7</v>
      </c>
      <c r="C26" s="31">
        <v>30</v>
      </c>
      <c r="D26" s="27" t="s">
        <v>8</v>
      </c>
    </row>
    <row r="28" spans="2:8" x14ac:dyDescent="0.35">
      <c r="B28" s="37" t="s">
        <v>37</v>
      </c>
      <c r="C28" s="37"/>
      <c r="D28" s="37"/>
    </row>
    <row r="29" spans="2:8" x14ac:dyDescent="0.35">
      <c r="B29" s="32" t="s">
        <v>21</v>
      </c>
      <c r="C29" s="22"/>
      <c r="D29" s="33" t="s">
        <v>23</v>
      </c>
    </row>
    <row r="30" spans="2:8" x14ac:dyDescent="0.35">
      <c r="B30" s="38">
        <v>-125</v>
      </c>
      <c r="C30" s="34" t="str">
        <f>"&lt; "&amp;B30</f>
        <v>&lt; -125</v>
      </c>
      <c r="D30" s="44" t="s">
        <v>31</v>
      </c>
      <c r="E30" t="s">
        <v>52</v>
      </c>
      <c r="F30" t="s">
        <v>55</v>
      </c>
    </row>
    <row r="31" spans="2:8" x14ac:dyDescent="0.35">
      <c r="B31" s="38">
        <v>-115</v>
      </c>
      <c r="C31" s="34" t="str">
        <f>"range "&amp;B31&amp; " … "&amp;B30</f>
        <v>range -115 … -125</v>
      </c>
      <c r="D31" s="43" t="s">
        <v>32</v>
      </c>
      <c r="E31" t="s">
        <v>51</v>
      </c>
      <c r="F31" t="s">
        <v>54</v>
      </c>
    </row>
    <row r="32" spans="2:8" x14ac:dyDescent="0.35">
      <c r="B32" s="38">
        <v>-100</v>
      </c>
      <c r="C32" s="34" t="str">
        <f>"range "&amp;B32&amp; " … "&amp;B31</f>
        <v>range -100 … -115</v>
      </c>
      <c r="D32" s="42" t="s">
        <v>36</v>
      </c>
      <c r="E32" t="s">
        <v>50</v>
      </c>
      <c r="F32" t="s">
        <v>53</v>
      </c>
    </row>
    <row r="33" spans="2:6" x14ac:dyDescent="0.35">
      <c r="B33" s="38">
        <v>-90</v>
      </c>
      <c r="C33" s="34" t="str">
        <f>"range "&amp;B33&amp; " … "&amp;B32</f>
        <v>range -90 … -100</v>
      </c>
      <c r="D33" s="41" t="s">
        <v>33</v>
      </c>
      <c r="E33" t="s">
        <v>49</v>
      </c>
    </row>
    <row r="34" spans="2:6" x14ac:dyDescent="0.35">
      <c r="B34" s="34" t="str">
        <f>"&gt; "&amp;B33</f>
        <v>&gt; -90</v>
      </c>
      <c r="C34" s="34" t="str">
        <f>"&gt; "&amp;B33</f>
        <v>&gt; -90</v>
      </c>
      <c r="D34" s="40" t="s">
        <v>34</v>
      </c>
      <c r="E34" t="s">
        <v>48</v>
      </c>
    </row>
    <row r="36" spans="2:6" x14ac:dyDescent="0.35">
      <c r="B36" s="37" t="s">
        <v>38</v>
      </c>
      <c r="C36" s="37"/>
      <c r="D36" s="37"/>
    </row>
    <row r="37" spans="2:6" x14ac:dyDescent="0.35">
      <c r="B37" s="32" t="s">
        <v>21</v>
      </c>
      <c r="C37" s="5" t="s">
        <v>39</v>
      </c>
      <c r="D37" s="33" t="s">
        <v>40</v>
      </c>
    </row>
    <row r="38" spans="2:6" x14ac:dyDescent="0.35">
      <c r="B38" s="38">
        <v>-15</v>
      </c>
      <c r="C38" s="34" t="str">
        <f>"&lt; "&amp;B38</f>
        <v>&lt; -15</v>
      </c>
      <c r="D38" s="44" t="s">
        <v>31</v>
      </c>
      <c r="E38" t="s">
        <v>47</v>
      </c>
      <c r="F38" t="s">
        <v>46</v>
      </c>
    </row>
    <row r="39" spans="2:6" x14ac:dyDescent="0.35">
      <c r="B39" s="38">
        <v>-7</v>
      </c>
      <c r="C39" s="34" t="str">
        <f>"range "&amp;B39&amp; " … "&amp;B38</f>
        <v>range -7 … -15</v>
      </c>
      <c r="D39" s="43" t="s">
        <v>32</v>
      </c>
      <c r="E39" t="s">
        <v>47</v>
      </c>
      <c r="F39" t="s">
        <v>46</v>
      </c>
    </row>
    <row r="40" spans="2:6" x14ac:dyDescent="0.35">
      <c r="B40" s="38">
        <v>0</v>
      </c>
      <c r="C40" s="34" t="str">
        <f>"range "&amp;B40&amp; " … "&amp;B39</f>
        <v>range 0 … -7</v>
      </c>
      <c r="D40" s="42" t="s">
        <v>36</v>
      </c>
      <c r="E40" t="s">
        <v>44</v>
      </c>
      <c r="F40" t="s">
        <v>45</v>
      </c>
    </row>
    <row r="41" spans="2:6" x14ac:dyDescent="0.35">
      <c r="B41" s="38">
        <v>5</v>
      </c>
      <c r="C41" s="34" t="str">
        <f>"range "&amp;B41&amp; " … "&amp;B40</f>
        <v>range 5 … 0</v>
      </c>
      <c r="D41" s="41" t="s">
        <v>33</v>
      </c>
      <c r="E41" t="s">
        <v>43</v>
      </c>
    </row>
    <row r="42" spans="2:6" x14ac:dyDescent="0.35">
      <c r="B42" s="22"/>
      <c r="C42" s="34" t="str">
        <f>"&gt; "&amp;B41</f>
        <v>&gt; 5</v>
      </c>
      <c r="D42" s="40" t="s">
        <v>34</v>
      </c>
      <c r="E42" t="s">
        <v>42</v>
      </c>
    </row>
  </sheetData>
  <mergeCells count="2">
    <mergeCell ref="B28:D28"/>
    <mergeCell ref="B36:D3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Reto HSLU T&amp;A</dc:creator>
  <cp:lastModifiedBy>Marek Reto HSLU T&amp;A</cp:lastModifiedBy>
  <dcterms:created xsi:type="dcterms:W3CDTF">2025-07-28T21:07:49Z</dcterms:created>
  <dcterms:modified xsi:type="dcterms:W3CDTF">2025-07-30T00:59:22Z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2025-07-28T22:07:10Z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3e190247-1fd2-47d3-b144-7d588aa32cc0</vt:lpwstr>
  </property>
  <property fmtid="{D5CDD505-2E9C-101B-9397-08002B2CF9AE}" pid="8" name="MSIP_Label_e8b0afbd-3cf7-4707-aee4-8dc9d855de29_ContentBits">
    <vt:lpwstr>0</vt:lpwstr>
  </property>
  <property fmtid="{D5CDD505-2E9C-101B-9397-08002B2CF9AE}" pid="9" name="MSIP_Label_e8b0afbd-3cf7-4707-aee4-8dc9d855de29_Tag">
    <vt:lpwstr>10, 3, 0, 1</vt:lpwstr>
  </property>
</Properties>
</file>