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1461CD90-5D5D-4F2D-81EB-F6F043BD5A4A}" xr6:coauthVersionLast="47" xr6:coauthVersionMax="47" xr10:uidLastSave="{00000000-0000-0000-0000-000000000000}"/>
  <bookViews>
    <workbookView xWindow="-103" yWindow="-103" windowWidth="33120" windowHeight="18120" activeTab="2" xr2:uid="{00000000-000D-0000-FFFF-FFFF00000000}"/>
  </bookViews>
  <sheets>
    <sheet name="S2101~S2105" sheetId="4" r:id="rId1"/>
    <sheet name="S2100 Data logger" sheetId="8" r:id="rId2"/>
    <sheet name="S2120" sheetId="5" r:id="rId3"/>
    <sheet name="Batery Datasheet" sheetId="7" r:id="rId4"/>
  </sheets>
  <definedNames>
    <definedName name="不开启电源">#REF!</definedName>
    <definedName name="传感器类型">'S2100 Data logger'!$A$18:$A$20</definedName>
    <definedName name="电源">#REF!</definedName>
    <definedName name="供电电压">#REF!</definedName>
    <definedName name="供电类型">'S2100 Data logger'!$A$23:$A$24</definedName>
    <definedName name="开启3V">#REF!</definedName>
    <definedName name="开启5V">#REF!</definedName>
    <definedName name="开启电源">'S2100 Data logger'!$A$10:$A$11</definedName>
    <definedName name="开启对外供电">'S2100 Data logger'!$A$14:$A$15</definedName>
    <definedName name="频段">'S2100 Data logger'!$A$5:$A$7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H6" i="8" s="1"/>
  <c r="N6" i="8"/>
  <c r="O6" i="8"/>
  <c r="G7" i="8"/>
  <c r="H7" i="8" s="1"/>
  <c r="N7" i="8"/>
  <c r="O7" i="8"/>
  <c r="D18" i="8"/>
  <c r="D19" i="8"/>
  <c r="B23" i="8"/>
  <c r="B24" i="8"/>
  <c r="C36" i="8"/>
  <c r="C37" i="8"/>
  <c r="H39" i="8"/>
  <c r="K40" i="8"/>
  <c r="L40" i="8"/>
  <c r="C41" i="8"/>
  <c r="D41" i="8"/>
  <c r="E41" i="8"/>
  <c r="F41" i="8"/>
  <c r="J41" i="8" s="1"/>
  <c r="K41" i="8"/>
  <c r="L41" i="8"/>
  <c r="B43" i="8"/>
  <c r="D43" i="8"/>
  <c r="B45" i="8"/>
  <c r="B47" i="8"/>
  <c r="E20" i="5"/>
  <c r="E19" i="5"/>
  <c r="E18" i="5"/>
  <c r="E17" i="5"/>
  <c r="E16" i="5"/>
  <c r="E15" i="5"/>
  <c r="G11" i="5"/>
  <c r="F11" i="5"/>
  <c r="E11" i="5"/>
  <c r="H11" i="5" s="1"/>
  <c r="G10" i="5"/>
  <c r="F19" i="5" s="1"/>
  <c r="F10" i="5"/>
  <c r="F18" i="5" s="1"/>
  <c r="E10" i="5"/>
  <c r="H10" i="5" s="1"/>
  <c r="F20" i="5" s="1"/>
  <c r="G9" i="5"/>
  <c r="F9" i="5"/>
  <c r="E9" i="5"/>
  <c r="H9" i="5" s="1"/>
  <c r="G8" i="5"/>
  <c r="F16" i="5" s="1"/>
  <c r="F8" i="5"/>
  <c r="F15" i="5" s="1"/>
  <c r="E8" i="5"/>
  <c r="H8" i="5" s="1"/>
  <c r="F17" i="5" s="1"/>
  <c r="E4" i="5"/>
  <c r="F4" i="5" s="1"/>
  <c r="G4" i="5" s="1"/>
  <c r="C4" i="5"/>
  <c r="B4" i="5"/>
  <c r="E3" i="5"/>
  <c r="F3" i="5" s="1"/>
  <c r="G3" i="5" s="1"/>
  <c r="I7" i="8" l="1"/>
  <c r="M7" i="8" s="1"/>
  <c r="K36" i="8"/>
  <c r="L36" i="8" s="1"/>
  <c r="K37" i="8"/>
  <c r="L37" i="8" s="1"/>
  <c r="I6" i="8"/>
  <c r="M6" i="8" s="1"/>
  <c r="D16" i="5"/>
  <c r="H16" i="5" s="1"/>
  <c r="I16" i="5" s="1"/>
  <c r="D18" i="5"/>
  <c r="H18" i="5" s="1"/>
  <c r="I18" i="5" s="1"/>
  <c r="D15" i="5"/>
  <c r="H15" i="5" s="1"/>
  <c r="I15" i="5" s="1"/>
  <c r="D20" i="5"/>
  <c r="H20" i="5" s="1"/>
  <c r="I20" i="5" s="1"/>
  <c r="D17" i="5"/>
  <c r="H17" i="5" s="1"/>
  <c r="I17" i="5" s="1"/>
  <c r="D19" i="5"/>
  <c r="H19" i="5" s="1"/>
  <c r="I19" i="5" s="1"/>
  <c r="L32" i="4" l="1"/>
  <c r="F9" i="4"/>
  <c r="L23" i="4"/>
  <c r="J29" i="4"/>
  <c r="J3" i="4"/>
  <c r="H29" i="4"/>
  <c r="F15" i="4"/>
  <c r="N12" i="4"/>
  <c r="H15" i="4"/>
  <c r="N3" i="4"/>
  <c r="L26" i="4"/>
  <c r="H32" i="4"/>
  <c r="F6" i="4"/>
  <c r="H12" i="4"/>
  <c r="F23" i="4"/>
  <c r="N15" i="4"/>
  <c r="J6" i="4"/>
  <c r="F3" i="4"/>
  <c r="L9" i="4"/>
  <c r="F12" i="4"/>
  <c r="J26" i="4"/>
  <c r="L6" i="4"/>
  <c r="N9" i="4"/>
  <c r="F29" i="4"/>
  <c r="J32" i="4"/>
  <c r="N35" i="4"/>
  <c r="N6" i="4"/>
  <c r="J12" i="4"/>
  <c r="N26" i="4"/>
  <c r="J15" i="4"/>
  <c r="F32" i="4"/>
  <c r="H6" i="4"/>
  <c r="N29" i="4"/>
  <c r="H23" i="4"/>
  <c r="J23" i="4"/>
  <c r="F26" i="4"/>
  <c r="N23" i="4"/>
  <c r="H9" i="4"/>
  <c r="N32" i="4"/>
  <c r="J9" i="4"/>
  <c r="J35" i="4"/>
  <c r="L12" i="4"/>
  <c r="H3" i="4"/>
  <c r="L35" i="4"/>
  <c r="L3" i="4"/>
  <c r="L29" i="4"/>
  <c r="L15" i="4"/>
  <c r="H26" i="4"/>
  <c r="F35" i="4"/>
  <c r="H35" i="4"/>
</calcChain>
</file>

<file path=xl/sharedStrings.xml><?xml version="1.0" encoding="utf-8"?>
<sst xmlns="http://schemas.openxmlformats.org/spreadsheetml/2006/main" count="211" uniqueCount="141">
  <si>
    <t>S2101(EU868)</t>
    <phoneticPr fontId="1" type="noConversion"/>
  </si>
  <si>
    <t>S2102(EU868)</t>
    <phoneticPr fontId="1" type="noConversion"/>
  </si>
  <si>
    <t>S2103(EU868)</t>
    <phoneticPr fontId="1" type="noConversion"/>
  </si>
  <si>
    <t>S2104(EU868)</t>
    <phoneticPr fontId="1" type="noConversion"/>
  </si>
  <si>
    <t>S2105(EU868)</t>
    <phoneticPr fontId="1" type="noConversion"/>
  </si>
  <si>
    <t>S2101(US915)</t>
    <phoneticPr fontId="1" type="noConversion"/>
  </si>
  <si>
    <t>S2102(US915)</t>
    <phoneticPr fontId="1" type="noConversion"/>
  </si>
  <si>
    <t>S2103(US915)</t>
    <phoneticPr fontId="1" type="noConversion"/>
  </si>
  <si>
    <t>S2104(US915)</t>
    <phoneticPr fontId="1" type="noConversion"/>
  </si>
  <si>
    <t>S2105(US915)</t>
    <phoneticPr fontId="1" type="noConversion"/>
  </si>
  <si>
    <t>No</t>
    <phoneticPr fontId="1" type="noConversion"/>
  </si>
  <si>
    <t>Sensor</t>
    <phoneticPr fontId="1" type="noConversion"/>
  </si>
  <si>
    <t>Average</t>
    <phoneticPr fontId="1" type="noConversion"/>
  </si>
  <si>
    <t>Minimum</t>
    <phoneticPr fontId="1" type="noConversion"/>
  </si>
  <si>
    <t>Maximum</t>
    <phoneticPr fontId="1" type="noConversion"/>
  </si>
  <si>
    <t>Interval: 60 minutes</t>
    <phoneticPr fontId="1" type="noConversion"/>
  </si>
  <si>
    <t>Interval: 30 minutes</t>
    <phoneticPr fontId="1" type="noConversion"/>
  </si>
  <si>
    <t>Interval: 15 minutes</t>
    <phoneticPr fontId="1" type="noConversion"/>
  </si>
  <si>
    <t>Interval: 10 minutes</t>
    <phoneticPr fontId="1" type="noConversion"/>
  </si>
  <si>
    <t>Interval: 5 minutes</t>
    <phoneticPr fontId="1" type="noConversion"/>
  </si>
  <si>
    <t>Battery life (years)</t>
  </si>
  <si>
    <t>Battery life (years)</t>
    <phoneticPr fontId="1" type="noConversion"/>
  </si>
  <si>
    <t>Average battery life (years)</t>
  </si>
  <si>
    <t>Average battery life (years)</t>
    <phoneticPr fontId="1" type="noConversion"/>
  </si>
  <si>
    <t>NOTE</t>
    <phoneticPr fontId="1" type="noConversion"/>
  </si>
  <si>
    <t>Power consumption calculation</t>
    <phoneticPr fontId="1" type="noConversion"/>
  </si>
  <si>
    <t>S2120 8-in-1 Weather Station</t>
    <phoneticPr fontId="1" type="noConversion"/>
  </si>
  <si>
    <t>Region</t>
    <phoneticPr fontId="9" type="noConversion"/>
  </si>
  <si>
    <t>SF</t>
    <phoneticPr fontId="9" type="noConversion"/>
  </si>
  <si>
    <t>1N/mWh</t>
    <phoneticPr fontId="9" type="noConversion"/>
  </si>
  <si>
    <t>1C/mWh</t>
    <phoneticPr fontId="9" type="noConversion"/>
  </si>
  <si>
    <t>(2C+1N)/mWh</t>
    <phoneticPr fontId="9" type="noConversion"/>
  </si>
  <si>
    <t>1N/mAh</t>
    <phoneticPr fontId="9" type="noConversion"/>
  </si>
  <si>
    <t>1C/mAh</t>
    <phoneticPr fontId="9" type="noConversion"/>
  </si>
  <si>
    <t>(2C+1N)/mAh</t>
    <phoneticPr fontId="9" type="noConversion"/>
  </si>
  <si>
    <t>EU868</t>
    <phoneticPr fontId="9" type="noConversion"/>
  </si>
  <si>
    <t>US915</t>
    <phoneticPr fontId="9" type="noConversion"/>
  </si>
  <si>
    <t>EU868(1N)</t>
    <phoneticPr fontId="9" type="noConversion"/>
  </si>
  <si>
    <t>EU868(1C)</t>
    <phoneticPr fontId="9" type="noConversion"/>
  </si>
  <si>
    <t>EU868(2C+1N)</t>
    <phoneticPr fontId="9" type="noConversion"/>
  </si>
  <si>
    <t>US915(1N)</t>
    <phoneticPr fontId="9" type="noConversion"/>
  </si>
  <si>
    <t>US915(1C)</t>
    <phoneticPr fontId="9" type="noConversion"/>
  </si>
  <si>
    <t>US915(2C+1N)</t>
    <phoneticPr fontId="9" type="noConversion"/>
  </si>
  <si>
    <t>Frequency</t>
    <phoneticPr fontId="9" type="noConversion"/>
  </si>
  <si>
    <t>Battery capacity
(mAh)</t>
    <phoneticPr fontId="9" type="noConversion"/>
  </si>
  <si>
    <t>Actual battery Capacity</t>
    <phoneticPr fontId="9" type="noConversion"/>
  </si>
  <si>
    <t>Solar panel working (hour)</t>
    <phoneticPr fontId="9" type="noConversion"/>
  </si>
  <si>
    <t>Supercapacitor maintenance time (hour)</t>
    <phoneticPr fontId="9" type="noConversion"/>
  </si>
  <si>
    <t>mWh/min</t>
    <phoneticPr fontId="9" type="noConversion"/>
  </si>
  <si>
    <t>mAh/min</t>
    <phoneticPr fontId="9" type="noConversion"/>
  </si>
  <si>
    <t>mAh/hour</t>
    <phoneticPr fontId="9" type="noConversion"/>
  </si>
  <si>
    <t>mAh/day</t>
    <phoneticPr fontId="9" type="noConversion"/>
  </si>
  <si>
    <t>Sleep mode power
(mAh/day)</t>
    <phoneticPr fontId="9" type="noConversion"/>
  </si>
  <si>
    <t>Solar panel compensation</t>
    <phoneticPr fontId="9" type="noConversion"/>
  </si>
  <si>
    <t>Power consumption in each package (mAh)</t>
    <phoneticPr fontId="9" type="noConversion"/>
  </si>
  <si>
    <t>Upload Interval
（minute)</t>
    <phoneticPr fontId="9" type="noConversion"/>
  </si>
  <si>
    <t>Battery life 
(day)</t>
    <phoneticPr fontId="9" type="noConversion"/>
  </si>
  <si>
    <t>Note</t>
    <phoneticPr fontId="1" type="noConversion"/>
  </si>
  <si>
    <t>EU868(1N)</t>
  </si>
  <si>
    <t>EU868(1C)</t>
  </si>
  <si>
    <t>EU868(2C+1N)</t>
  </si>
  <si>
    <t>US915(1N)</t>
  </si>
  <si>
    <t>US915(1C)</t>
  </si>
  <si>
    <t>US915(2C+1N)</t>
  </si>
  <si>
    <t>Total power 
(mAh/day)</t>
    <phoneticPr fontId="9" type="noConversion"/>
  </si>
  <si>
    <r>
      <t>1.</t>
    </r>
    <r>
      <rPr>
        <sz val="11"/>
        <color rgb="FFFF0000"/>
        <rFont val="宋体"/>
        <family val="3"/>
        <charset val="134"/>
        <scheme val="minor"/>
      </rPr>
      <t>The power consumption table is for reference only. The battery life depends on various factors, such as frequency band, distance from the gateway, and ambient temperature.</t>
    </r>
    <r>
      <rPr>
        <sz val="11"/>
        <color theme="1"/>
        <rFont val="宋体"/>
        <family val="2"/>
        <scheme val="minor"/>
      </rPr>
      <t xml:space="preserve">
2.The test environment is a laboratory at 25℃.
3.Solar energy works according to 8 hours, if encounter long-term rainy days, the battery life will be greatly reduced.
4.The capacity of 6*AA batteries is 4700mAh, the capacity of 3*AA batteries is 2350mAh.
5.Normal alkaline batteries cannot be used at temperatures below 0℃.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</si>
  <si>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1. The power consumption table is for reference only, it is just a theoretical calculation. The battery life depends on various factors, such as frequency band, distance from the gateway, and ambient temperature.</t>
    </r>
    <r>
      <rPr>
        <sz val="11"/>
        <color theme="1"/>
        <rFont val="宋体"/>
        <family val="2"/>
        <scheme val="minor"/>
      </rPr>
      <t xml:space="preserve">
2. Battery design life test conditions: 25℃, laboratory environment.
3. Low temperatures(-40 ~0 ℃) increase power consumption and reduce battery capacity.For battery features, see the battery datasheet.
4. Calculation of average power consumption: each successful transmission of data (1 packet accounted for 60%, 2 packets accounted for 30%, 3 packets accounted for 10%)
5. Calculation of minimum power consumption: only one packet is sent each time, and the success rate is 100%.
6. Calculation of maximum power consumption: in the worst case, 3 packets are sent each time.</t>
    </r>
    <phoneticPr fontId="1" type="noConversion"/>
  </si>
  <si>
    <t>Current (Sleep)</t>
    <phoneticPr fontId="1" type="noConversion"/>
  </si>
  <si>
    <t>Watchdog power consumption</t>
    <phoneticPr fontId="1" type="noConversion"/>
  </si>
  <si>
    <t>Current(uA)</t>
    <phoneticPr fontId="1" type="noConversion"/>
  </si>
  <si>
    <t>Frequency</t>
    <phoneticPr fontId="1" type="noConversion"/>
  </si>
  <si>
    <t>SF7 （uAh）</t>
    <phoneticPr fontId="1" type="noConversion"/>
  </si>
  <si>
    <t>SF10 | SF12（uAh）</t>
    <phoneticPr fontId="1" type="noConversion"/>
  </si>
  <si>
    <t>Uplink Average</t>
    <phoneticPr fontId="1" type="noConversion"/>
  </si>
  <si>
    <t>Downlink Average</t>
    <phoneticPr fontId="1" type="noConversion"/>
  </si>
  <si>
    <t>1C</t>
    <phoneticPr fontId="1" type="noConversion"/>
  </si>
  <si>
    <t>2C</t>
    <phoneticPr fontId="1" type="noConversion"/>
  </si>
  <si>
    <t>1N</t>
    <phoneticPr fontId="1" type="noConversion"/>
  </si>
  <si>
    <t xml:space="preserve">Avg. Total power consumption 1 packet </t>
    <phoneticPr fontId="1" type="noConversion"/>
  </si>
  <si>
    <t xml:space="preserve">Max. Total power consumption 1 packet </t>
    <phoneticPr fontId="1" type="noConversion"/>
  </si>
  <si>
    <t xml:space="preserve">Min. Total power consumption 1 packet </t>
    <phoneticPr fontId="1" type="noConversion"/>
  </si>
  <si>
    <t>SF</t>
    <phoneticPr fontId="1" type="noConversion"/>
  </si>
  <si>
    <t>Upluink 1 packet</t>
    <phoneticPr fontId="1" type="noConversion"/>
  </si>
  <si>
    <t>Downlink 1 packet</t>
    <phoneticPr fontId="1" type="noConversion"/>
  </si>
  <si>
    <t>Percentage</t>
    <phoneticPr fontId="1" type="noConversion"/>
  </si>
  <si>
    <t>US915</t>
    <phoneticPr fontId="1" type="noConversion"/>
  </si>
  <si>
    <t>SF7</t>
    <phoneticPr fontId="1" type="noConversion"/>
  </si>
  <si>
    <t>SF10</t>
    <phoneticPr fontId="1" type="noConversion"/>
  </si>
  <si>
    <t>EU868</t>
    <phoneticPr fontId="1" type="noConversion"/>
  </si>
  <si>
    <t>SF12</t>
    <phoneticPr fontId="1" type="noConversion"/>
  </si>
  <si>
    <t>Power Voltage</t>
    <phoneticPr fontId="1" type="noConversion"/>
  </si>
  <si>
    <t>Consumption(uAh)</t>
    <phoneticPr fontId="1" type="noConversion"/>
  </si>
  <si>
    <t>Efficiency</t>
    <phoneticPr fontId="1" type="noConversion"/>
  </si>
  <si>
    <t>Voltage（V）</t>
    <phoneticPr fontId="1" type="noConversion"/>
  </si>
  <si>
    <t>5V</t>
    <phoneticPr fontId="1" type="noConversion"/>
  </si>
  <si>
    <t>3V</t>
    <phoneticPr fontId="1" type="noConversion"/>
  </si>
  <si>
    <t>Sensor power</t>
    <phoneticPr fontId="1" type="noConversion"/>
  </si>
  <si>
    <t>Time（S）</t>
    <phoneticPr fontId="1" type="noConversion"/>
  </si>
  <si>
    <t>Sensor type</t>
    <phoneticPr fontId="1" type="noConversion"/>
  </si>
  <si>
    <t>1 Read（uAh）</t>
    <phoneticPr fontId="1" type="noConversion"/>
  </si>
  <si>
    <t>Voltage</t>
    <phoneticPr fontId="1" type="noConversion"/>
  </si>
  <si>
    <t>E5 Operating current(uAh)</t>
    <phoneticPr fontId="1" type="noConversion"/>
  </si>
  <si>
    <t>GPIO</t>
    <phoneticPr fontId="1" type="noConversion"/>
  </si>
  <si>
    <t>Analog</t>
    <phoneticPr fontId="1" type="noConversion"/>
  </si>
  <si>
    <t xml:space="preserve">5V </t>
    <phoneticPr fontId="1" type="noConversion"/>
  </si>
  <si>
    <t>RS485</t>
    <phoneticPr fontId="1" type="noConversion"/>
  </si>
  <si>
    <t>Power type</t>
    <phoneticPr fontId="1" type="noConversion"/>
  </si>
  <si>
    <t>Time(S)</t>
    <phoneticPr fontId="1" type="noConversion"/>
  </si>
  <si>
    <t>Periodic power</t>
    <phoneticPr fontId="1" type="noConversion"/>
  </si>
  <si>
    <t>Always-on</t>
    <phoneticPr fontId="1" type="noConversion"/>
  </si>
  <si>
    <t>Input parameters
(Can be modified)</t>
    <phoneticPr fontId="1" type="noConversion"/>
  </si>
  <si>
    <t>Fixed parameters
(Cannot be modified)</t>
    <phoneticPr fontId="1" type="noConversion"/>
  </si>
  <si>
    <t xml:space="preserve">Results </t>
    <phoneticPr fontId="1" type="noConversion"/>
  </si>
  <si>
    <t xml:space="preserve">Frquency </t>
    <phoneticPr fontId="1" type="noConversion"/>
  </si>
  <si>
    <t>Battery（mAh）</t>
    <phoneticPr fontId="1" type="noConversion"/>
  </si>
  <si>
    <t>Upload interval （min）</t>
    <phoneticPr fontId="1" type="noConversion"/>
  </si>
  <si>
    <t>Sensor warm-up time（S）</t>
    <phoneticPr fontId="1" type="noConversion"/>
  </si>
  <si>
    <t>Sensor output type</t>
    <phoneticPr fontId="1" type="noConversion"/>
  </si>
  <si>
    <t>Sensor power voltage</t>
    <phoneticPr fontId="1" type="noConversion"/>
  </si>
  <si>
    <t>Sensor operating current(mA)</t>
    <phoneticPr fontId="1" type="noConversion"/>
  </si>
  <si>
    <t>1 uplink power consumption(uAh)</t>
    <phoneticPr fontId="1" type="noConversion"/>
  </si>
  <si>
    <t>Battery Life (year)</t>
    <phoneticPr fontId="1" type="noConversion"/>
  </si>
  <si>
    <t>EU868</t>
  </si>
  <si>
    <t>RS485</t>
  </si>
  <si>
    <t>3V</t>
  </si>
  <si>
    <t>Periodic power</t>
  </si>
  <si>
    <t>Sensor reading（uAh）</t>
    <phoneticPr fontId="1" type="noConversion"/>
  </si>
  <si>
    <t>LORA UL/DL（uAh）</t>
    <phoneticPr fontId="1" type="noConversion"/>
  </si>
  <si>
    <t>battery loss(2%/year)</t>
    <phoneticPr fontId="1" type="noConversion"/>
  </si>
  <si>
    <t>Enable power（uAh）</t>
    <phoneticPr fontId="1" type="noConversion"/>
  </si>
  <si>
    <t>Turn on external power supply（uAh）</t>
    <phoneticPr fontId="1" type="noConversion"/>
  </si>
  <si>
    <t>Sensor power consumption（uAh）</t>
    <phoneticPr fontId="1" type="noConversion"/>
  </si>
  <si>
    <t>The capacitor is charged after the sensor work（uAh）</t>
    <phoneticPr fontId="1" type="noConversion"/>
  </si>
  <si>
    <t>The capacitor is charged after Lora finishes sending and receiving（uAh）</t>
    <phoneticPr fontId="1" type="noConversion"/>
  </si>
  <si>
    <t>Main board consumption（uAh）</t>
    <phoneticPr fontId="1" type="noConversion"/>
  </si>
  <si>
    <t>Watchdog（uAh）</t>
    <phoneticPr fontId="1" type="noConversion"/>
  </si>
  <si>
    <t>Sleep（uAh）</t>
    <phoneticPr fontId="1" type="noConversion"/>
  </si>
  <si>
    <t>Notes:</t>
    <phoneticPr fontId="1" type="noConversion"/>
  </si>
  <si>
    <t>1. The power consumption table is for reference only, it is just a theoretical calculation. The battery life depends on various factors, such as frequency band, distance from the gateway, and ambient temperature.
2. Battery design life test conditions: 25℃, laboratory environment.
3. Low temperatures(-40 ~0 ℃) increase power consumption and reduce battery capacity.For battery features, see the battery datasheet.
4. Make sure that the voltage, current, and working time of the sensor are correct; otherwise, the result may be greatly deviated.
5. "always-on" means external 12V DC power supply.</t>
    <phoneticPr fontId="1" type="noConversion"/>
  </si>
  <si>
    <t>Sensors</t>
    <phoneticPr fontId="9" type="noConversion"/>
  </si>
  <si>
    <t>total device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</si>
</sst>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等线"/>
      <family val="2"/>
    </font>
    <font>
      <sz val="9"/>
      <name val="等线"/>
      <family val="3"/>
      <charset val="134"/>
    </font>
    <font>
      <sz val="11"/>
      <color rgb="FFFF0000"/>
      <name val="等线"/>
      <family val="2"/>
    </font>
    <font>
      <b/>
      <sz val="11"/>
      <color rgb="FFFF0000"/>
      <name val="等线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176" fontId="0" fillId="4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76" fontId="0" fillId="0" borderId="0" xfId="0" applyNumberFormat="1"/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11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8" fillId="11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/>
    </xf>
    <xf numFmtId="2" fontId="15" fillId="19" borderId="1" xfId="0" applyNumberFormat="1" applyFont="1" applyFill="1" applyBorder="1" applyAlignment="1">
      <alignment horizontal="center" vertical="center"/>
    </xf>
    <xf numFmtId="2" fontId="15" fillId="20" borderId="1" xfId="0" applyNumberFormat="1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7" fillId="19" borderId="12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3" fillId="19" borderId="11" xfId="0" applyFont="1" applyFill="1" applyBorder="1" applyAlignment="1">
      <alignment horizontal="center" vertical="center"/>
    </xf>
    <xf numFmtId="0" fontId="18" fillId="19" borderId="9" xfId="0" applyFont="1" applyFill="1" applyBorder="1" applyAlignment="1">
      <alignment horizontal="center" vertical="center"/>
    </xf>
    <xf numFmtId="0" fontId="18" fillId="19" borderId="3" xfId="0" applyFont="1" applyFill="1" applyBorder="1" applyAlignment="1">
      <alignment horizontal="center" vertical="center" wrapText="1"/>
    </xf>
    <xf numFmtId="2" fontId="17" fillId="19" borderId="1" xfId="0" applyNumberFormat="1" applyFont="1" applyFill="1" applyBorder="1" applyAlignment="1">
      <alignment horizontal="center" vertical="center"/>
    </xf>
    <xf numFmtId="2" fontId="17" fillId="19" borderId="7" xfId="0" applyNumberFormat="1" applyFont="1" applyFill="1" applyBorder="1" applyAlignment="1">
      <alignment horizontal="center" vertical="center"/>
    </xf>
    <xf numFmtId="2" fontId="17" fillId="19" borderId="2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center" vertical="center"/>
    </xf>
    <xf numFmtId="0" fontId="18" fillId="18" borderId="10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4" borderId="2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0" fillId="5" borderId="4" xfId="0" applyNumberFormat="1" applyFill="1" applyBorder="1" applyAlignment="1">
      <alignment horizontal="center" vertical="center"/>
    </xf>
    <xf numFmtId="176" fontId="0" fillId="5" borderId="3" xfId="0" applyNumberForma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76" fontId="0" fillId="6" borderId="2" xfId="0" applyNumberFormat="1" applyFill="1" applyBorder="1" applyAlignment="1">
      <alignment horizontal="center" vertical="center"/>
    </xf>
    <xf numFmtId="176" fontId="0" fillId="6" borderId="4" xfId="0" applyNumberFormat="1" applyFill="1" applyBorder="1" applyAlignment="1">
      <alignment horizontal="center" vertical="center"/>
    </xf>
    <xf numFmtId="176" fontId="0" fillId="6" borderId="3" xfId="0" applyNumberFormat="1" applyFill="1" applyBorder="1" applyAlignment="1">
      <alignment horizontal="center" vertical="center"/>
    </xf>
    <xf numFmtId="176" fontId="0" fillId="7" borderId="2" xfId="0" applyNumberFormat="1" applyFill="1" applyBorder="1" applyAlignment="1">
      <alignment horizontal="center" vertical="center"/>
    </xf>
    <xf numFmtId="176" fontId="0" fillId="7" borderId="4" xfId="0" applyNumberFormat="1" applyFill="1" applyBorder="1" applyAlignment="1">
      <alignment horizontal="center" vertical="center"/>
    </xf>
    <xf numFmtId="176" fontId="0" fillId="7" borderId="3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 wrapText="1"/>
    </xf>
    <xf numFmtId="0" fontId="12" fillId="21" borderId="0" xfId="0" applyFont="1" applyFill="1" applyAlignment="1">
      <alignment horizontal="center" vertical="center" wrapText="1"/>
    </xf>
    <xf numFmtId="0" fontId="14" fillId="19" borderId="0" xfId="0" applyFont="1" applyFill="1" applyAlignment="1">
      <alignment horizontal="center" vertical="center" wrapText="1"/>
    </xf>
    <xf numFmtId="0" fontId="13" fillId="20" borderId="0" xfId="0" applyFont="1" applyFill="1" applyAlignment="1">
      <alignment horizontal="center" vertical="center"/>
    </xf>
    <xf numFmtId="0" fontId="15" fillId="19" borderId="1" xfId="0" applyFont="1" applyFill="1" applyBorder="1" applyAlignment="1">
      <alignment horizontal="center" vertical="center"/>
    </xf>
    <xf numFmtId="177" fontId="17" fillId="19" borderId="1" xfId="0" applyNumberFormat="1" applyFont="1" applyFill="1" applyBorder="1" applyAlignment="1">
      <alignment horizontal="center" vertical="center"/>
    </xf>
    <xf numFmtId="2" fontId="17" fillId="19" borderId="6" xfId="0" applyNumberFormat="1" applyFont="1" applyFill="1" applyBorder="1" applyAlignment="1">
      <alignment horizontal="center" vertical="center"/>
    </xf>
    <xf numFmtId="2" fontId="17" fillId="19" borderId="5" xfId="0" applyNumberFormat="1" applyFont="1" applyFill="1" applyBorder="1" applyAlignment="1">
      <alignment horizontal="center" vertical="center"/>
    </xf>
    <xf numFmtId="2" fontId="17" fillId="19" borderId="7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17" fillId="19" borderId="1" xfId="0" applyFont="1" applyFill="1" applyBorder="1" applyAlignment="1">
      <alignment horizontal="center" vertical="center"/>
    </xf>
    <xf numFmtId="2" fontId="17" fillId="19" borderId="1" xfId="0" applyNumberFormat="1" applyFont="1" applyFill="1" applyBorder="1" applyAlignment="1">
      <alignment horizontal="center" vertical="center"/>
    </xf>
    <xf numFmtId="0" fontId="18" fillId="19" borderId="13" xfId="0" applyFont="1" applyFill="1" applyBorder="1" applyAlignment="1">
      <alignment horizontal="center" vertical="center"/>
    </xf>
    <xf numFmtId="0" fontId="18" fillId="19" borderId="14" xfId="0" applyFont="1" applyFill="1" applyBorder="1" applyAlignment="1">
      <alignment horizontal="center" vertical="center"/>
    </xf>
    <xf numFmtId="0" fontId="18" fillId="19" borderId="10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15" fillId="19" borderId="2" xfId="0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0" fontId="15" fillId="21" borderId="2" xfId="0" applyFont="1" applyFill="1" applyBorder="1" applyAlignment="1">
      <alignment horizontal="center" vertical="center"/>
    </xf>
    <xf numFmtId="0" fontId="15" fillId="21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19" borderId="8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 wrapText="1"/>
    </xf>
    <xf numFmtId="0" fontId="18" fillId="19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36</xdr:row>
      <xdr:rowOff>136525</xdr:rowOff>
    </xdr:to>
    <xdr:sp macro="" textlink="">
      <xdr:nvSpPr>
        <xdr:cNvPr id="2" name="AutoShape 3" descr="BloomSky Outdoor Weather Station Kit - Sky Camera + 5 Weather Sensor">
          <a:extLst>
            <a:ext uri="{FF2B5EF4-FFF2-40B4-BE49-F238E27FC236}">
              <a16:creationId xmlns:a16="http://schemas.microsoft.com/office/drawing/2014/main" id="{8FEDA173-2DC7-4878-B5F1-B2DC163DAB61}"/>
            </a:ext>
          </a:extLst>
        </xdr:cNvPr>
        <xdr:cNvSpPr>
          <a:spLocks noChangeAspect="1" noChangeArrowheads="1"/>
        </xdr:cNvSpPr>
      </xdr:nvSpPr>
      <xdr:spPr>
        <a:xfrm>
          <a:off x="13955486" y="7309757"/>
          <a:ext cx="304800" cy="303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33</xdr:row>
      <xdr:rowOff>136527</xdr:rowOff>
    </xdr:to>
    <xdr:sp macro="" textlink="">
      <xdr:nvSpPr>
        <xdr:cNvPr id="3" name="AutoShape 4" descr="BloomSky Outdoor Weather Station Kit - Sky Camera + 5 Weather Sensor">
          <a:extLst>
            <a:ext uri="{FF2B5EF4-FFF2-40B4-BE49-F238E27FC236}">
              <a16:creationId xmlns:a16="http://schemas.microsoft.com/office/drawing/2014/main" id="{68CB8568-2F14-4027-B13F-BC2454569E3B}"/>
            </a:ext>
          </a:extLst>
        </xdr:cNvPr>
        <xdr:cNvSpPr>
          <a:spLocks noChangeAspect="1" noChangeArrowheads="1"/>
        </xdr:cNvSpPr>
      </xdr:nvSpPr>
      <xdr:spPr>
        <a:xfrm>
          <a:off x="13955486" y="6770914"/>
          <a:ext cx="304800" cy="303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616381</xdr:colOff>
      <xdr:row>30</xdr:row>
      <xdr:rowOff>125857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283E935-3EA9-D09E-A33C-0F6C5E244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66667" cy="5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27214</xdr:rowOff>
    </xdr:from>
    <xdr:to>
      <xdr:col>16</xdr:col>
      <xdr:colOff>102095</xdr:colOff>
      <xdr:row>54</xdr:row>
      <xdr:rowOff>48467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A61043F-64AA-C7FC-EB60-41063BCF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95257"/>
          <a:ext cx="10552381" cy="4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92528</xdr:rowOff>
    </xdr:from>
    <xdr:to>
      <xdr:col>16</xdr:col>
      <xdr:colOff>225904</xdr:colOff>
      <xdr:row>80</xdr:row>
      <xdr:rowOff>89223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212F2FD-AB79-703C-3A09-70893A221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91699"/>
          <a:ext cx="10676190" cy="4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D503-51D8-4095-B7FE-0853C6644F1F}">
  <dimension ref="B1:N42"/>
  <sheetViews>
    <sheetView zoomScale="85" zoomScaleNormal="85" workbookViewId="0">
      <selection activeCell="L47" sqref="L47"/>
    </sheetView>
  </sheetViews>
  <sheetFormatPr defaultColWidth="9.765625" defaultRowHeight="14.15" x14ac:dyDescent="0.3"/>
  <cols>
    <col min="1" max="1" width="1.765625" customWidth="1"/>
    <col min="2" max="2" width="6.23046875" customWidth="1"/>
    <col min="3" max="3" width="27.3828125" style="16" customWidth="1"/>
    <col min="4" max="4" width="15.15234375" style="17" customWidth="1"/>
    <col min="5" max="6" width="14.15234375" style="18" customWidth="1"/>
    <col min="7" max="8" width="14.84375" customWidth="1"/>
    <col min="9" max="10" width="14" customWidth="1"/>
    <col min="11" max="12" width="15.4609375" customWidth="1"/>
    <col min="13" max="13" width="15.3828125" customWidth="1"/>
    <col min="14" max="14" width="17.69140625" customWidth="1"/>
  </cols>
  <sheetData>
    <row r="1" spans="2:14" s="1" customFormat="1" x14ac:dyDescent="0.3">
      <c r="B1" s="94" t="s">
        <v>10</v>
      </c>
      <c r="C1" s="96" t="s">
        <v>11</v>
      </c>
      <c r="D1" s="98" t="s">
        <v>25</v>
      </c>
      <c r="E1" s="93" t="s">
        <v>15</v>
      </c>
      <c r="F1" s="93"/>
      <c r="G1" s="100" t="s">
        <v>16</v>
      </c>
      <c r="H1" s="100"/>
      <c r="I1" s="101" t="s">
        <v>17</v>
      </c>
      <c r="J1" s="101"/>
      <c r="K1" s="102" t="s">
        <v>18</v>
      </c>
      <c r="L1" s="102"/>
      <c r="M1" s="93" t="s">
        <v>19</v>
      </c>
      <c r="N1" s="93"/>
    </row>
    <row r="2" spans="2:14" s="2" customFormat="1" ht="42.45" x14ac:dyDescent="0.3">
      <c r="B2" s="95"/>
      <c r="C2" s="97"/>
      <c r="D2" s="99"/>
      <c r="E2" s="3" t="s">
        <v>21</v>
      </c>
      <c r="F2" s="3" t="s">
        <v>23</v>
      </c>
      <c r="G2" s="5" t="s">
        <v>20</v>
      </c>
      <c r="H2" s="5" t="s">
        <v>22</v>
      </c>
      <c r="I2" s="6" t="s">
        <v>20</v>
      </c>
      <c r="J2" s="6" t="s">
        <v>22</v>
      </c>
      <c r="K2" s="7" t="s">
        <v>20</v>
      </c>
      <c r="L2" s="7" t="s">
        <v>22</v>
      </c>
      <c r="M2" s="4" t="s">
        <v>20</v>
      </c>
      <c r="N2" s="4" t="s">
        <v>22</v>
      </c>
    </row>
    <row r="3" spans="2:14" s="8" customFormat="1" x14ac:dyDescent="0.3">
      <c r="B3" s="74">
        <v>1</v>
      </c>
      <c r="C3" s="75" t="s">
        <v>0</v>
      </c>
      <c r="D3" s="9" t="s">
        <v>12</v>
      </c>
      <c r="E3" s="10">
        <v>16.543574693190259</v>
      </c>
      <c r="F3" s="76">
        <f>(E3+E4+E5)/3</f>
        <v>15.878568250009417</v>
      </c>
      <c r="G3" s="11">
        <v>11.964647766806333</v>
      </c>
      <c r="H3" s="79">
        <f>(G3+G4+G5)/3</f>
        <v>11.58608048617856</v>
      </c>
      <c r="I3" s="12">
        <v>7.7509580590093492</v>
      </c>
      <c r="J3" s="87">
        <f>(I3+I4+I5)/3</f>
        <v>7.6695726964690225</v>
      </c>
      <c r="K3" s="13">
        <v>5.7440938729329147</v>
      </c>
      <c r="L3" s="90">
        <f>(K3+K4+K5)/3</f>
        <v>5.7735674193729425</v>
      </c>
      <c r="M3" s="10">
        <v>3.2387020459556384</v>
      </c>
      <c r="N3" s="76">
        <f>(M3+M4+M5)/3</f>
        <v>3.3395542854185343</v>
      </c>
    </row>
    <row r="4" spans="2:14" s="8" customFormat="1" x14ac:dyDescent="0.3">
      <c r="B4" s="74"/>
      <c r="C4" s="75"/>
      <c r="D4" s="14" t="s">
        <v>13</v>
      </c>
      <c r="E4" s="10">
        <v>19.708949340021487</v>
      </c>
      <c r="F4" s="77"/>
      <c r="G4" s="11">
        <v>15.545952080899225</v>
      </c>
      <c r="H4" s="80"/>
      <c r="I4" s="12">
        <v>11.049091671030798</v>
      </c>
      <c r="J4" s="88"/>
      <c r="K4" s="13">
        <v>8.609474353381696</v>
      </c>
      <c r="L4" s="91"/>
      <c r="M4" s="10">
        <v>5.205219149793904</v>
      </c>
      <c r="N4" s="77"/>
    </row>
    <row r="5" spans="2:14" s="8" customFormat="1" x14ac:dyDescent="0.3">
      <c r="B5" s="74"/>
      <c r="C5" s="75"/>
      <c r="D5" s="15" t="s">
        <v>14</v>
      </c>
      <c r="E5" s="10">
        <v>11.383180716816511</v>
      </c>
      <c r="F5" s="78"/>
      <c r="G5" s="11">
        <v>7.247641610830124</v>
      </c>
      <c r="H5" s="81"/>
      <c r="I5" s="12">
        <v>4.2086683593669232</v>
      </c>
      <c r="J5" s="89"/>
      <c r="K5" s="13">
        <v>2.9671340318042194</v>
      </c>
      <c r="L5" s="92"/>
      <c r="M5" s="10">
        <v>1.5747416605060605</v>
      </c>
      <c r="N5" s="78"/>
    </row>
    <row r="6" spans="2:14" s="8" customFormat="1" ht="14.15" customHeight="1" x14ac:dyDescent="0.3">
      <c r="B6" s="74">
        <v>2</v>
      </c>
      <c r="C6" s="75" t="s">
        <v>1</v>
      </c>
      <c r="D6" s="9" t="s">
        <v>12</v>
      </c>
      <c r="E6" s="10">
        <v>16.517271509934396</v>
      </c>
      <c r="F6" s="76">
        <f t="shared" ref="F6" si="0">(E6+E7+E8)/3</f>
        <v>15.878043464883312</v>
      </c>
      <c r="G6" s="11">
        <v>11.933714968286623</v>
      </c>
      <c r="H6" s="79">
        <f t="shared" ref="H6" si="1">(G6+G7+G8)/3</f>
        <v>11.565482082835445</v>
      </c>
      <c r="I6" s="12">
        <v>7.7223447081730612</v>
      </c>
      <c r="J6" s="87">
        <f t="shared" ref="J6" si="2">(I6+I7+I8)/3</f>
        <v>7.6321518844210559</v>
      </c>
      <c r="K6" s="13">
        <v>5.7194933653622915</v>
      </c>
      <c r="L6" s="90">
        <f t="shared" ref="L6" si="3">(K6+K7+K8)/3</f>
        <v>5.7326994633371982</v>
      </c>
      <c r="M6" s="10">
        <v>3.2222565282104849</v>
      </c>
      <c r="N6" s="76">
        <f t="shared" ref="N6" si="4">(M6+M7+M8)/3</f>
        <v>3.3037013464819425</v>
      </c>
    </row>
    <row r="7" spans="2:14" s="8" customFormat="1" x14ac:dyDescent="0.3">
      <c r="B7" s="74"/>
      <c r="C7" s="75"/>
      <c r="D7" s="14" t="s">
        <v>13</v>
      </c>
      <c r="E7" s="10">
        <v>19.642481739029201</v>
      </c>
      <c r="F7" s="77"/>
      <c r="G7" s="11">
        <v>15.436490444749445</v>
      </c>
      <c r="H7" s="80"/>
      <c r="I7" s="12">
        <v>10.910060225399032</v>
      </c>
      <c r="J7" s="88"/>
      <c r="K7" s="13">
        <v>8.4694494370812556</v>
      </c>
      <c r="L7" s="91"/>
      <c r="M7" s="10">
        <v>5.0899689129445207</v>
      </c>
      <c r="N7" s="77"/>
    </row>
    <row r="8" spans="2:14" s="8" customFormat="1" x14ac:dyDescent="0.3">
      <c r="B8" s="74"/>
      <c r="C8" s="75"/>
      <c r="D8" s="15" t="s">
        <v>14</v>
      </c>
      <c r="E8" s="10">
        <v>11.474377145686342</v>
      </c>
      <c r="F8" s="78"/>
      <c r="G8" s="11">
        <v>7.3262408354702675</v>
      </c>
      <c r="H8" s="81"/>
      <c r="I8" s="12">
        <v>4.2640507196910757</v>
      </c>
      <c r="J8" s="89"/>
      <c r="K8" s="13">
        <v>3.0091555875680482</v>
      </c>
      <c r="L8" s="92"/>
      <c r="M8" s="10">
        <v>1.5988785982908214</v>
      </c>
      <c r="N8" s="78"/>
    </row>
    <row r="9" spans="2:14" s="8" customFormat="1" ht="14.15" customHeight="1" x14ac:dyDescent="0.3">
      <c r="B9" s="74">
        <v>3</v>
      </c>
      <c r="C9" s="75" t="s">
        <v>2</v>
      </c>
      <c r="D9" s="9" t="s">
        <v>12</v>
      </c>
      <c r="E9" s="10">
        <v>13.47808901266696</v>
      </c>
      <c r="F9" s="76">
        <f t="shared" ref="F9" si="5">(E9+E10+E11)/3</f>
        <v>12.964127819363705</v>
      </c>
      <c r="G9" s="11">
        <v>8.9788439780335718</v>
      </c>
      <c r="H9" s="79">
        <f t="shared" ref="H9" si="6">(G9+G10+G11)/3</f>
        <v>8.6429756864200638</v>
      </c>
      <c r="I9" s="12">
        <v>5.3965564613151482</v>
      </c>
      <c r="J9" s="87">
        <f t="shared" ref="J9" si="7">(I9+I10+I11)/3</f>
        <v>5.2178549916050452</v>
      </c>
      <c r="K9" s="13">
        <v>3.859876442237407</v>
      </c>
      <c r="L9" s="90">
        <f t="shared" ref="L9" si="8">(K9+K10+K11)/3</f>
        <v>3.943731508761894</v>
      </c>
      <c r="M9" s="10">
        <v>2.0825622685139225</v>
      </c>
      <c r="N9" s="76">
        <f t="shared" ref="N9" si="9">(M9+M10+M11)/3</f>
        <v>2.0282367830862529</v>
      </c>
    </row>
    <row r="10" spans="2:14" s="8" customFormat="1" x14ac:dyDescent="0.3">
      <c r="B10" s="74"/>
      <c r="C10" s="75"/>
      <c r="D10" s="14" t="s">
        <v>13</v>
      </c>
      <c r="E10" s="10">
        <v>15.547248240492614</v>
      </c>
      <c r="F10" s="77"/>
      <c r="G10" s="11">
        <v>10.895331082277629</v>
      </c>
      <c r="H10" s="80"/>
      <c r="I10" s="12">
        <v>6.8362694281577774</v>
      </c>
      <c r="J10" s="88"/>
      <c r="K10" s="13">
        <v>4.9851183901114844</v>
      </c>
      <c r="L10" s="91"/>
      <c r="M10" s="10">
        <v>2.7526197669826793</v>
      </c>
      <c r="N10" s="77"/>
    </row>
    <row r="11" spans="2:14" s="8" customFormat="1" x14ac:dyDescent="0.3">
      <c r="B11" s="74"/>
      <c r="C11" s="75"/>
      <c r="D11" s="15" t="s">
        <v>14</v>
      </c>
      <c r="E11" s="10">
        <v>9.8670462049315439</v>
      </c>
      <c r="F11" s="78"/>
      <c r="G11" s="11">
        <v>6.0547519989489853</v>
      </c>
      <c r="H11" s="81"/>
      <c r="I11" s="12">
        <v>3.4207390853422113</v>
      </c>
      <c r="J11" s="89"/>
      <c r="K11" s="13">
        <v>2.9861996939367907</v>
      </c>
      <c r="L11" s="92"/>
      <c r="M11" s="10">
        <v>1.2495283137621576</v>
      </c>
      <c r="N11" s="78"/>
    </row>
    <row r="12" spans="2:14" s="8" customFormat="1" ht="14.15" customHeight="1" x14ac:dyDescent="0.3">
      <c r="B12" s="74">
        <v>4</v>
      </c>
      <c r="C12" s="75" t="s">
        <v>3</v>
      </c>
      <c r="D12" s="9" t="s">
        <v>12</v>
      </c>
      <c r="E12" s="10">
        <v>16.311710650822317</v>
      </c>
      <c r="F12" s="76">
        <f t="shared" ref="F12" si="10">(E12+E13+E14)/3</f>
        <v>15.634913750098525</v>
      </c>
      <c r="G12" s="11">
        <v>11.74064930323571</v>
      </c>
      <c r="H12" s="79">
        <f t="shared" ref="H12" si="11">(G12+G13+G14)/3</f>
        <v>11.310949846692798</v>
      </c>
      <c r="I12" s="12">
        <v>7.5751104707504231</v>
      </c>
      <c r="J12" s="87">
        <f t="shared" ref="J12" si="12">(I12+I13+I14)/3</f>
        <v>7.4081437593032478</v>
      </c>
      <c r="K12" s="13">
        <v>5.6034124599501638</v>
      </c>
      <c r="L12" s="90">
        <f t="shared" ref="L12" si="13">(K12+K13+K14)/3</f>
        <v>5.5407045679516953</v>
      </c>
      <c r="M12" s="10">
        <v>3.1522498388198299</v>
      </c>
      <c r="N12" s="76">
        <f t="shared" ref="N12" si="14">(M12+M13+M14)/3</f>
        <v>3.1731482605669346</v>
      </c>
    </row>
    <row r="13" spans="2:14" s="8" customFormat="1" x14ac:dyDescent="0.3">
      <c r="B13" s="74"/>
      <c r="C13" s="75"/>
      <c r="D13" s="14" t="s">
        <v>13</v>
      </c>
      <c r="E13" s="10">
        <v>19.209717108320113</v>
      </c>
      <c r="F13" s="77"/>
      <c r="G13" s="11">
        <v>14.925411873357465</v>
      </c>
      <c r="H13" s="80"/>
      <c r="I13" s="12">
        <v>10.418681135446368</v>
      </c>
      <c r="J13" s="88"/>
      <c r="K13" s="13">
        <v>8.0325015499681314</v>
      </c>
      <c r="L13" s="91"/>
      <c r="M13" s="10">
        <v>4.780046272229626</v>
      </c>
      <c r="N13" s="77"/>
    </row>
    <row r="14" spans="2:14" s="8" customFormat="1" x14ac:dyDescent="0.3">
      <c r="B14" s="74"/>
      <c r="C14" s="75"/>
      <c r="D14" s="15" t="s">
        <v>14</v>
      </c>
      <c r="E14" s="10">
        <v>11.383313491153148</v>
      </c>
      <c r="F14" s="78"/>
      <c r="G14" s="11">
        <v>7.2667883634852224</v>
      </c>
      <c r="H14" s="81"/>
      <c r="I14" s="12">
        <v>4.2306396717129546</v>
      </c>
      <c r="J14" s="89"/>
      <c r="K14" s="13">
        <v>2.9861996939367907</v>
      </c>
      <c r="L14" s="92"/>
      <c r="M14" s="10">
        <v>1.5871486706513482</v>
      </c>
      <c r="N14" s="78"/>
    </row>
    <row r="15" spans="2:14" s="8" customFormat="1" ht="14.15" customHeight="1" x14ac:dyDescent="0.3">
      <c r="B15" s="74">
        <v>5</v>
      </c>
      <c r="C15" s="75" t="s">
        <v>4</v>
      </c>
      <c r="D15" s="9" t="s">
        <v>12</v>
      </c>
      <c r="E15" s="10">
        <v>18.136068908666555</v>
      </c>
      <c r="F15" s="76">
        <f t="shared" ref="F15" si="15">(E15+E16+E17)/3</f>
        <v>16.238814082999568</v>
      </c>
      <c r="G15" s="11">
        <v>12.643552014932308</v>
      </c>
      <c r="H15" s="79">
        <f t="shared" ref="H15" si="16">(G15+G16+G17)/3</f>
        <v>11.622118936385668</v>
      </c>
      <c r="I15" s="12">
        <v>7.9216088233889552</v>
      </c>
      <c r="J15" s="87">
        <f t="shared" ref="J15" si="17">(I15+I16+I17)/3</f>
        <v>7.5448972213979504</v>
      </c>
      <c r="K15" s="13">
        <v>5.7776788883240009</v>
      </c>
      <c r="L15" s="90">
        <f t="shared" ref="L15" si="18">(K15+K16+K17)/3</f>
        <v>5.6221972991856637</v>
      </c>
      <c r="M15" s="10">
        <v>3.1930854475035342</v>
      </c>
      <c r="N15" s="76">
        <f t="shared" ref="N15" si="19">(M15+M16+M17)/3</f>
        <v>3.2071699194672125</v>
      </c>
    </row>
    <row r="16" spans="2:14" s="8" customFormat="1" x14ac:dyDescent="0.3">
      <c r="B16" s="74"/>
      <c r="C16" s="75"/>
      <c r="D16" s="14" t="s">
        <v>13</v>
      </c>
      <c r="E16" s="10">
        <v>19.261787438902239</v>
      </c>
      <c r="F16" s="77"/>
      <c r="G16" s="11">
        <v>15.005573584502809</v>
      </c>
      <c r="H16" s="80"/>
      <c r="I16" s="12">
        <v>10.514641546788864</v>
      </c>
      <c r="J16" s="88"/>
      <c r="K16" s="13">
        <v>8.1263852871403479</v>
      </c>
      <c r="L16" s="91"/>
      <c r="M16" s="10">
        <v>4.8544151480373445</v>
      </c>
      <c r="N16" s="77"/>
    </row>
    <row r="17" spans="2:14" s="8" customFormat="1" x14ac:dyDescent="0.3">
      <c r="B17" s="74"/>
      <c r="C17" s="75"/>
      <c r="D17" s="15" t="s">
        <v>14</v>
      </c>
      <c r="E17" s="10">
        <v>11.318585901429913</v>
      </c>
      <c r="F17" s="78"/>
      <c r="G17" s="11">
        <v>7.2172312097218896</v>
      </c>
      <c r="H17" s="81"/>
      <c r="I17" s="12">
        <v>4.1984412940160318</v>
      </c>
      <c r="J17" s="89"/>
      <c r="K17" s="13">
        <v>2.9625277220926427</v>
      </c>
      <c r="L17" s="92"/>
      <c r="M17" s="10">
        <v>1.5740091628607602</v>
      </c>
      <c r="N17" s="78"/>
    </row>
    <row r="21" spans="2:14" ht="14.15" customHeight="1" x14ac:dyDescent="0.3">
      <c r="B21" s="94" t="s">
        <v>10</v>
      </c>
      <c r="C21" s="96" t="s">
        <v>11</v>
      </c>
      <c r="D21" s="98" t="s">
        <v>25</v>
      </c>
      <c r="E21" s="93" t="s">
        <v>15</v>
      </c>
      <c r="F21" s="93"/>
      <c r="G21" s="100" t="s">
        <v>16</v>
      </c>
      <c r="H21" s="100"/>
      <c r="I21" s="101" t="s">
        <v>17</v>
      </c>
      <c r="J21" s="101"/>
      <c r="K21" s="102" t="s">
        <v>18</v>
      </c>
      <c r="L21" s="102"/>
      <c r="M21" s="93" t="s">
        <v>19</v>
      </c>
      <c r="N21" s="93"/>
    </row>
    <row r="22" spans="2:14" ht="42.45" x14ac:dyDescent="0.3">
      <c r="B22" s="95"/>
      <c r="C22" s="97"/>
      <c r="D22" s="99"/>
      <c r="E22" s="3" t="s">
        <v>21</v>
      </c>
      <c r="F22" s="3" t="s">
        <v>23</v>
      </c>
      <c r="G22" s="5" t="s">
        <v>20</v>
      </c>
      <c r="H22" s="5" t="s">
        <v>22</v>
      </c>
      <c r="I22" s="6" t="s">
        <v>20</v>
      </c>
      <c r="J22" s="6" t="s">
        <v>22</v>
      </c>
      <c r="K22" s="7" t="s">
        <v>20</v>
      </c>
      <c r="L22" s="7" t="s">
        <v>22</v>
      </c>
      <c r="M22" s="4" t="s">
        <v>20</v>
      </c>
      <c r="N22" s="4" t="s">
        <v>22</v>
      </c>
    </row>
    <row r="23" spans="2:14" x14ac:dyDescent="0.3">
      <c r="B23" s="74">
        <v>1</v>
      </c>
      <c r="C23" s="75" t="s">
        <v>5</v>
      </c>
      <c r="D23" s="9" t="s">
        <v>12</v>
      </c>
      <c r="E23" s="10">
        <v>17.270075079101112</v>
      </c>
      <c r="F23" s="76">
        <f>(E23+E24+E25)/3</f>
        <v>15.286062981813075</v>
      </c>
      <c r="G23" s="11">
        <v>12.636738193959946</v>
      </c>
      <c r="H23" s="79">
        <f>(G23+G24+G25)/3</f>
        <v>11.091710525350761</v>
      </c>
      <c r="I23" s="12">
        <v>8.2483829360368528</v>
      </c>
      <c r="J23" s="87">
        <f>(I23+I24+I25)/3</f>
        <v>7.2984250600325353</v>
      </c>
      <c r="K23" s="13">
        <v>6.1285182152050126</v>
      </c>
      <c r="L23" s="90">
        <f>(K23+K24+K25)/3</f>
        <v>5.4749896219969445</v>
      </c>
      <c r="M23" s="10">
        <v>3.4636462674692243</v>
      </c>
      <c r="N23" s="76">
        <f>(M23+M24+M25)/3</f>
        <v>3.150281533675086</v>
      </c>
    </row>
    <row r="24" spans="2:14" x14ac:dyDescent="0.3">
      <c r="B24" s="74"/>
      <c r="C24" s="75"/>
      <c r="D24" s="14" t="s">
        <v>13</v>
      </c>
      <c r="E24" s="10">
        <v>18.417526521865419</v>
      </c>
      <c r="F24" s="77"/>
      <c r="G24" s="11">
        <v>14.199192962199794</v>
      </c>
      <c r="H24" s="80"/>
      <c r="I24" s="12">
        <v>9.9100876589851694</v>
      </c>
      <c r="J24" s="88"/>
      <c r="K24" s="13">
        <v>7.6608280616914737</v>
      </c>
      <c r="L24" s="91"/>
      <c r="M24" s="10">
        <v>4.5871192001310863</v>
      </c>
      <c r="N24" s="77"/>
    </row>
    <row r="25" spans="2:14" x14ac:dyDescent="0.3">
      <c r="B25" s="74"/>
      <c r="C25" s="75"/>
      <c r="D25" s="15" t="s">
        <v>14</v>
      </c>
      <c r="E25" s="10">
        <v>10.170587344472692</v>
      </c>
      <c r="F25" s="78"/>
      <c r="G25" s="11">
        <v>6.4392004198925417</v>
      </c>
      <c r="H25" s="81"/>
      <c r="I25" s="12">
        <v>3.7368045850755802</v>
      </c>
      <c r="J25" s="89"/>
      <c r="K25" s="13">
        <v>2.6356225890943499</v>
      </c>
      <c r="L25" s="92"/>
      <c r="M25" s="10">
        <v>1.4000791334249476</v>
      </c>
      <c r="N25" s="78"/>
    </row>
    <row r="26" spans="2:14" x14ac:dyDescent="0.3">
      <c r="B26" s="74">
        <v>2</v>
      </c>
      <c r="C26" s="75" t="s">
        <v>6</v>
      </c>
      <c r="D26" s="9" t="s">
        <v>12</v>
      </c>
      <c r="E26" s="10">
        <v>11.117628268458315</v>
      </c>
      <c r="F26" s="76">
        <f t="shared" ref="F26" si="20">(E26+E27+E28)/3</f>
        <v>14.518175219458977</v>
      </c>
      <c r="G26" s="11">
        <v>7.2036007760973462</v>
      </c>
      <c r="H26" s="79">
        <f t="shared" ref="H26" si="21">(G26+G27+G28)/3</f>
        <v>10.399321294876541</v>
      </c>
      <c r="I26" s="12">
        <v>4.2591527409263819</v>
      </c>
      <c r="J26" s="87">
        <f t="shared" ref="J26" si="22">(I26+I27+I28)/3</f>
        <v>6.7956809353499468</v>
      </c>
      <c r="K26" s="13">
        <v>3.0285190216773152</v>
      </c>
      <c r="L26" s="90">
        <f t="shared" ref="L26" si="23">(K26+K27+K28)/3</f>
        <v>5.0885970301378025</v>
      </c>
      <c r="M26" s="10">
        <v>1.6241059754399485</v>
      </c>
      <c r="N26" s="76">
        <f t="shared" ref="N26" si="24">(M26+M27+M28)/3</f>
        <v>2.9247628892725346</v>
      </c>
    </row>
    <row r="27" spans="2:14" x14ac:dyDescent="0.3">
      <c r="B27" s="74"/>
      <c r="C27" s="75"/>
      <c r="D27" s="14" t="s">
        <v>13</v>
      </c>
      <c r="E27" s="10">
        <v>20.361826597571984</v>
      </c>
      <c r="F27" s="77"/>
      <c r="G27" s="11">
        <v>16.22003748034987</v>
      </c>
      <c r="H27" s="80"/>
      <c r="I27" s="12">
        <v>11.580391104911698</v>
      </c>
      <c r="J27" s="88"/>
      <c r="K27" s="13">
        <v>9.0223646992817628</v>
      </c>
      <c r="L27" s="91"/>
      <c r="M27" s="10">
        <v>5.4388543571943639</v>
      </c>
      <c r="N27" s="77"/>
    </row>
    <row r="28" spans="2:14" x14ac:dyDescent="0.3">
      <c r="B28" s="74"/>
      <c r="C28" s="75"/>
      <c r="D28" s="15" t="s">
        <v>14</v>
      </c>
      <c r="E28" s="10">
        <v>12.075070792346629</v>
      </c>
      <c r="F28" s="78"/>
      <c r="G28" s="11">
        <v>7.7743256281824111</v>
      </c>
      <c r="H28" s="81"/>
      <c r="I28" s="12">
        <v>4.5474989602117608</v>
      </c>
      <c r="J28" s="89"/>
      <c r="K28" s="13">
        <v>3.2149073694543313</v>
      </c>
      <c r="L28" s="92"/>
      <c r="M28" s="10">
        <v>1.7113283351832913</v>
      </c>
      <c r="N28" s="78"/>
    </row>
    <row r="29" spans="2:14" ht="14.15" customHeight="1" x14ac:dyDescent="0.3">
      <c r="B29" s="74">
        <v>3</v>
      </c>
      <c r="C29" s="75" t="s">
        <v>7</v>
      </c>
      <c r="D29" s="9" t="s">
        <v>12</v>
      </c>
      <c r="E29" s="10">
        <v>13.51427290436926</v>
      </c>
      <c r="F29" s="76">
        <f t="shared" ref="F29" si="25">(E29+E30+E31)/3</f>
        <v>11.500571156658012</v>
      </c>
      <c r="G29" s="11">
        <v>9.1036466763510635</v>
      </c>
      <c r="H29" s="79">
        <f t="shared" ref="H29" si="26">(G29+G30+G31)/3</f>
        <v>7.5756427236285662</v>
      </c>
      <c r="I29" s="12">
        <v>5.5395995411372017</v>
      </c>
      <c r="J29" s="87">
        <f t="shared" ref="J29" si="27">(I29+I30+I31)/3</f>
        <v>4.545505801850843</v>
      </c>
      <c r="K29" s="13">
        <v>3.9870026560920886</v>
      </c>
      <c r="L29" s="90">
        <f t="shared" ref="L29" si="28">(K29+K30+K31)/3</f>
        <v>3.5082767207088512</v>
      </c>
      <c r="M29" s="10">
        <v>2.1682609789481955</v>
      </c>
      <c r="N29" s="76">
        <f t="shared" ref="N29" si="29">(M29+M30+M31)/3</f>
        <v>1.7604546248095005</v>
      </c>
    </row>
    <row r="30" spans="2:14" x14ac:dyDescent="0.3">
      <c r="B30" s="74"/>
      <c r="C30" s="75"/>
      <c r="D30" s="14" t="s">
        <v>13</v>
      </c>
      <c r="E30" s="10">
        <v>13.206442778977864</v>
      </c>
      <c r="F30" s="77"/>
      <c r="G30" s="11">
        <v>8.9357833107147524</v>
      </c>
      <c r="H30" s="80"/>
      <c r="I30" s="12">
        <v>5.4750319030432752</v>
      </c>
      <c r="J30" s="88"/>
      <c r="K30" s="13">
        <v>3.9556100190101926</v>
      </c>
      <c r="L30" s="91"/>
      <c r="M30" s="10">
        <v>2.1620744426334619</v>
      </c>
      <c r="N30" s="77"/>
    </row>
    <row r="31" spans="2:14" x14ac:dyDescent="0.3">
      <c r="B31" s="74"/>
      <c r="C31" s="75"/>
      <c r="D31" s="15" t="s">
        <v>14</v>
      </c>
      <c r="E31" s="10">
        <v>7.7809977866269087</v>
      </c>
      <c r="F31" s="78"/>
      <c r="G31" s="11">
        <v>4.6874981838198826</v>
      </c>
      <c r="H31" s="81"/>
      <c r="I31" s="12">
        <v>2.6218859613720502</v>
      </c>
      <c r="J31" s="89"/>
      <c r="K31" s="13">
        <v>2.582217487024272</v>
      </c>
      <c r="L31" s="92"/>
      <c r="M31" s="10">
        <v>0.95102845284684445</v>
      </c>
      <c r="N31" s="78"/>
    </row>
    <row r="32" spans="2:14" ht="14.15" customHeight="1" x14ac:dyDescent="0.3">
      <c r="B32" s="74">
        <v>4</v>
      </c>
      <c r="C32" s="75" t="s">
        <v>8</v>
      </c>
      <c r="D32" s="9" t="s">
        <v>12</v>
      </c>
      <c r="E32" s="10">
        <v>12.38071808054338</v>
      </c>
      <c r="F32" s="76">
        <f t="shared" ref="F32" si="30">(E32+E33+E34)/3</f>
        <v>12.589718092306057</v>
      </c>
      <c r="G32" s="11">
        <v>8.2410918049150794</v>
      </c>
      <c r="H32" s="79">
        <f t="shared" ref="H32" si="31">(G32+G33+G34)/3</f>
        <v>8.4291726233695154</v>
      </c>
      <c r="I32" s="12">
        <v>4.9816119462960238</v>
      </c>
      <c r="J32" s="87">
        <f t="shared" ref="J32" si="32">(I32+I33+I34)/3</f>
        <v>5.1117128547122652</v>
      </c>
      <c r="K32" s="13">
        <v>3.5772724496284862</v>
      </c>
      <c r="L32" s="90">
        <f t="shared" ref="L32" si="33">(K32+K33+K34)/3</f>
        <v>3.6744119238038109</v>
      </c>
      <c r="M32" s="10">
        <v>1.9409820862061995</v>
      </c>
      <c r="N32" s="76">
        <f t="shared" ref="N32" si="34">(M32+M33+M34)/3</f>
        <v>1.9955305765306672</v>
      </c>
    </row>
    <row r="33" spans="2:14" x14ac:dyDescent="0.3">
      <c r="B33" s="74"/>
      <c r="C33" s="75"/>
      <c r="D33" s="14" t="s">
        <v>13</v>
      </c>
      <c r="E33" s="10">
        <v>15.413525472741615</v>
      </c>
      <c r="F33" s="77"/>
      <c r="G33" s="11">
        <v>10.736057697518323</v>
      </c>
      <c r="H33" s="80"/>
      <c r="I33" s="12">
        <v>6.6923078741413953</v>
      </c>
      <c r="J33" s="88"/>
      <c r="K33" s="13">
        <v>4.8637458347586744</v>
      </c>
      <c r="L33" s="91"/>
      <c r="M33" s="10">
        <v>2.6739176560968128</v>
      </c>
      <c r="N33" s="77"/>
    </row>
    <row r="34" spans="2:14" x14ac:dyDescent="0.3">
      <c r="B34" s="74"/>
      <c r="C34" s="75"/>
      <c r="D34" s="15" t="s">
        <v>14</v>
      </c>
      <c r="E34" s="10">
        <v>9.9749107236331778</v>
      </c>
      <c r="F34" s="78"/>
      <c r="G34" s="11">
        <v>6.3103683676751405</v>
      </c>
      <c r="H34" s="81"/>
      <c r="I34" s="12">
        <v>3.6612187436993775</v>
      </c>
      <c r="J34" s="89"/>
      <c r="K34" s="13">
        <v>2.582217487024272</v>
      </c>
      <c r="L34" s="92"/>
      <c r="M34" s="10">
        <v>1.3716919872889894</v>
      </c>
      <c r="N34" s="78"/>
    </row>
    <row r="35" spans="2:14" ht="14.15" customHeight="1" x14ac:dyDescent="0.3">
      <c r="B35" s="74">
        <v>5</v>
      </c>
      <c r="C35" s="75" t="s">
        <v>9</v>
      </c>
      <c r="D35" s="9" t="s">
        <v>12</v>
      </c>
      <c r="E35" s="10">
        <v>13.520515610862185</v>
      </c>
      <c r="F35" s="76">
        <f t="shared" ref="F35" si="35">(E35+E36+E37)/3</f>
        <v>12.253930805842479</v>
      </c>
      <c r="G35" s="11">
        <v>8.7548792684134327</v>
      </c>
      <c r="H35" s="79">
        <f t="shared" ref="H35" si="36">(G35+G36+G37)/3</f>
        <v>8.0350339240253543</v>
      </c>
      <c r="I35" s="12">
        <v>5.1717942861993418</v>
      </c>
      <c r="J35" s="87">
        <f t="shared" ref="J35" si="37">(I35+I36+I37)/3</f>
        <v>4.7966840560347359</v>
      </c>
      <c r="K35" s="13">
        <v>3.6758216646919775</v>
      </c>
      <c r="L35" s="90">
        <f t="shared" ref="L35" si="38">(K35+K36+K37)/3</f>
        <v>3.4254352893405127</v>
      </c>
      <c r="M35" s="10">
        <v>1.9701396671466564</v>
      </c>
      <c r="N35" s="76">
        <f t="shared" ref="N35" si="39">(M35+M36+M37)/3</f>
        <v>1.8465010267749324</v>
      </c>
    </row>
    <row r="36" spans="2:14" x14ac:dyDescent="0.3">
      <c r="B36" s="74"/>
      <c r="C36" s="75"/>
      <c r="D36" s="14" t="s">
        <v>13</v>
      </c>
      <c r="E36" s="10">
        <v>14.191655200311233</v>
      </c>
      <c r="F36" s="77"/>
      <c r="G36" s="11">
        <v>9.6942322628443272</v>
      </c>
      <c r="H36" s="80"/>
      <c r="I36" s="12">
        <v>5.9654864232292653</v>
      </c>
      <c r="J36" s="88"/>
      <c r="K36" s="13">
        <v>4.314728965458885</v>
      </c>
      <c r="L36" s="91"/>
      <c r="M36" s="10">
        <v>2.3602190692338749</v>
      </c>
      <c r="N36" s="77"/>
    </row>
    <row r="37" spans="2:14" x14ac:dyDescent="0.3">
      <c r="B37" s="74"/>
      <c r="C37" s="75"/>
      <c r="D37" s="15" t="s">
        <v>14</v>
      </c>
      <c r="E37" s="10">
        <v>9.0496216063540196</v>
      </c>
      <c r="F37" s="78"/>
      <c r="G37" s="11">
        <v>5.655990240818304</v>
      </c>
      <c r="H37" s="81"/>
      <c r="I37" s="12">
        <v>3.2527714586756016</v>
      </c>
      <c r="J37" s="89"/>
      <c r="K37" s="13">
        <v>2.2857552378706769</v>
      </c>
      <c r="L37" s="92"/>
      <c r="M37" s="10">
        <v>1.2091443439442666</v>
      </c>
      <c r="N37" s="78"/>
    </row>
    <row r="38" spans="2:14" x14ac:dyDescent="0.3">
      <c r="B38" s="82" t="s">
        <v>24</v>
      </c>
      <c r="C38" s="84" t="s">
        <v>66</v>
      </c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</row>
    <row r="39" spans="2:14" x14ac:dyDescent="0.3">
      <c r="B39" s="83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</row>
    <row r="40" spans="2:14" x14ac:dyDescent="0.3">
      <c r="B40" s="83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</row>
    <row r="41" spans="2:14" x14ac:dyDescent="0.3">
      <c r="B41" s="83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</row>
    <row r="42" spans="2:14" ht="31.4" customHeight="1" x14ac:dyDescent="0.3">
      <c r="B42" s="83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</row>
  </sheetData>
  <mergeCells count="88">
    <mergeCell ref="K1:L1"/>
    <mergeCell ref="M1:N1"/>
    <mergeCell ref="B3:B5"/>
    <mergeCell ref="C3:C5"/>
    <mergeCell ref="F3:F5"/>
    <mergeCell ref="B1:B2"/>
    <mergeCell ref="C1:C2"/>
    <mergeCell ref="D1:D2"/>
    <mergeCell ref="E1:F1"/>
    <mergeCell ref="N3:N5"/>
    <mergeCell ref="L3:L5"/>
    <mergeCell ref="H3:H5"/>
    <mergeCell ref="J3:J5"/>
    <mergeCell ref="G1:H1"/>
    <mergeCell ref="I1:J1"/>
    <mergeCell ref="L6:L8"/>
    <mergeCell ref="N6:N8"/>
    <mergeCell ref="B9:B11"/>
    <mergeCell ref="C9:C11"/>
    <mergeCell ref="F9:F11"/>
    <mergeCell ref="H9:H11"/>
    <mergeCell ref="J9:J11"/>
    <mergeCell ref="L9:L11"/>
    <mergeCell ref="N9:N11"/>
    <mergeCell ref="B6:B8"/>
    <mergeCell ref="C6:C8"/>
    <mergeCell ref="F6:F8"/>
    <mergeCell ref="H6:H8"/>
    <mergeCell ref="J6:J8"/>
    <mergeCell ref="B12:B14"/>
    <mergeCell ref="C12:C14"/>
    <mergeCell ref="F12:F14"/>
    <mergeCell ref="L15:L17"/>
    <mergeCell ref="N15:N17"/>
    <mergeCell ref="N12:N14"/>
    <mergeCell ref="B15:B17"/>
    <mergeCell ref="C15:C17"/>
    <mergeCell ref="F15:F17"/>
    <mergeCell ref="H15:H17"/>
    <mergeCell ref="J15:J17"/>
    <mergeCell ref="H12:H14"/>
    <mergeCell ref="J12:J14"/>
    <mergeCell ref="L12:L14"/>
    <mergeCell ref="M21:N21"/>
    <mergeCell ref="B23:B25"/>
    <mergeCell ref="C23:C25"/>
    <mergeCell ref="F23:F25"/>
    <mergeCell ref="B21:B22"/>
    <mergeCell ref="C21:C22"/>
    <mergeCell ref="D21:D22"/>
    <mergeCell ref="E21:F21"/>
    <mergeCell ref="N23:N25"/>
    <mergeCell ref="L23:L25"/>
    <mergeCell ref="H23:H25"/>
    <mergeCell ref="J23:J25"/>
    <mergeCell ref="G21:H21"/>
    <mergeCell ref="I21:J21"/>
    <mergeCell ref="K21:L21"/>
    <mergeCell ref="B29:B31"/>
    <mergeCell ref="C29:C31"/>
    <mergeCell ref="F29:F31"/>
    <mergeCell ref="N29:N31"/>
    <mergeCell ref="L29:L31"/>
    <mergeCell ref="B26:B28"/>
    <mergeCell ref="C26:C28"/>
    <mergeCell ref="F26:F28"/>
    <mergeCell ref="H26:H28"/>
    <mergeCell ref="J26:J28"/>
    <mergeCell ref="H29:H31"/>
    <mergeCell ref="J29:J31"/>
    <mergeCell ref="L26:L28"/>
    <mergeCell ref="N26:N28"/>
    <mergeCell ref="L32:L34"/>
    <mergeCell ref="N32:N34"/>
    <mergeCell ref="B32:B34"/>
    <mergeCell ref="C32:C34"/>
    <mergeCell ref="F32:F34"/>
    <mergeCell ref="H32:H34"/>
    <mergeCell ref="B38:B42"/>
    <mergeCell ref="C38:N42"/>
    <mergeCell ref="H35:H37"/>
    <mergeCell ref="J35:J37"/>
    <mergeCell ref="L35:L37"/>
    <mergeCell ref="B35:B37"/>
    <mergeCell ref="C35:C37"/>
    <mergeCell ref="F35:F37"/>
    <mergeCell ref="N35:N37"/>
    <mergeCell ref="J32:J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FF95-9E46-4A19-B622-701794756332}">
  <dimension ref="A1:Q56"/>
  <sheetViews>
    <sheetView topLeftCell="A25" zoomScale="55" zoomScaleNormal="55" workbookViewId="0">
      <selection activeCell="J56" sqref="J56"/>
    </sheetView>
  </sheetViews>
  <sheetFormatPr defaultColWidth="9.69140625" defaultRowHeight="14.15" x14ac:dyDescent="0.3"/>
  <cols>
    <col min="1" max="1" width="18.921875" style="8" customWidth="1"/>
    <col min="2" max="2" width="18.69140625" style="8" bestFit="1" customWidth="1"/>
    <col min="3" max="3" width="47.765625" style="8" bestFit="1" customWidth="1"/>
    <col min="4" max="4" width="39.15234375" style="8" bestFit="1" customWidth="1"/>
    <col min="5" max="5" width="32.69140625" style="8" customWidth="1"/>
    <col min="6" max="6" width="28.15234375" style="8" customWidth="1"/>
    <col min="7" max="7" width="32" style="8" customWidth="1"/>
    <col min="8" max="8" width="21.3046875" style="8" customWidth="1"/>
    <col min="9" max="9" width="42.53515625" style="8" customWidth="1"/>
    <col min="10" max="10" width="45.921875" style="8" bestFit="1" customWidth="1"/>
    <col min="11" max="11" width="36.61328125" style="8" bestFit="1" customWidth="1"/>
    <col min="12" max="12" width="32.53515625" style="8" bestFit="1" customWidth="1"/>
    <col min="13" max="15" width="21.921875" style="8" bestFit="1" customWidth="1"/>
    <col min="16" max="16384" width="9.69140625" style="8"/>
  </cols>
  <sheetData>
    <row r="1" spans="1:17" s="50" customFormat="1" ht="13.85" hidden="1" customHeight="1" x14ac:dyDescent="0.3">
      <c r="A1" s="49"/>
      <c r="B1" s="126" t="s">
        <v>67</v>
      </c>
      <c r="C1" s="126"/>
      <c r="D1" s="49" t="s">
        <v>68</v>
      </c>
    </row>
    <row r="2" spans="1:17" hidden="1" x14ac:dyDescent="0.3">
      <c r="A2" s="48" t="s">
        <v>69</v>
      </c>
      <c r="B2" s="74">
        <v>10</v>
      </c>
      <c r="C2" s="74"/>
      <c r="D2" s="48">
        <v>1.0999999999999999E-2</v>
      </c>
    </row>
    <row r="3" spans="1:17" hidden="1" x14ac:dyDescent="0.3"/>
    <row r="4" spans="1:17" s="50" customFormat="1" hidden="1" x14ac:dyDescent="0.3">
      <c r="A4" s="104" t="s">
        <v>70</v>
      </c>
      <c r="B4" s="104" t="s">
        <v>71</v>
      </c>
      <c r="C4" s="104"/>
      <c r="D4" s="104"/>
      <c r="E4" s="104" t="s">
        <v>72</v>
      </c>
      <c r="F4" s="104"/>
      <c r="G4" s="104"/>
      <c r="H4" s="135" t="s">
        <v>73</v>
      </c>
      <c r="I4" s="135" t="s">
        <v>74</v>
      </c>
      <c r="J4" s="104" t="s">
        <v>75</v>
      </c>
      <c r="K4" s="104" t="s">
        <v>76</v>
      </c>
      <c r="L4" s="104" t="s">
        <v>77</v>
      </c>
      <c r="M4" s="104" t="s">
        <v>78</v>
      </c>
      <c r="N4" s="104" t="s">
        <v>79</v>
      </c>
      <c r="O4" s="104" t="s">
        <v>80</v>
      </c>
      <c r="P4" s="105" t="s">
        <v>81</v>
      </c>
      <c r="Q4" s="106"/>
    </row>
    <row r="5" spans="1:17" s="50" customFormat="1" hidden="1" x14ac:dyDescent="0.3">
      <c r="A5" s="104"/>
      <c r="B5" s="51" t="s">
        <v>82</v>
      </c>
      <c r="C5" s="51" t="s">
        <v>83</v>
      </c>
      <c r="D5" s="51" t="s">
        <v>84</v>
      </c>
      <c r="E5" s="51" t="s">
        <v>82</v>
      </c>
      <c r="F5" s="51" t="s">
        <v>83</v>
      </c>
      <c r="G5" s="51" t="s">
        <v>84</v>
      </c>
      <c r="H5" s="136"/>
      <c r="I5" s="136"/>
      <c r="J5" s="104"/>
      <c r="K5" s="104"/>
      <c r="L5" s="104"/>
      <c r="M5" s="104"/>
      <c r="N5" s="104"/>
      <c r="O5" s="104"/>
      <c r="P5" s="107"/>
      <c r="Q5" s="108"/>
    </row>
    <row r="6" spans="1:17" hidden="1" x14ac:dyDescent="0.3">
      <c r="A6" s="52" t="s">
        <v>85</v>
      </c>
      <c r="B6" s="52">
        <v>9.15</v>
      </c>
      <c r="C6" s="52">
        <v>0.11</v>
      </c>
      <c r="D6" s="52">
        <v>0</v>
      </c>
      <c r="E6" s="52">
        <v>9.8000000000000007</v>
      </c>
      <c r="F6" s="52">
        <v>1.38</v>
      </c>
      <c r="G6" s="52">
        <f>1-D6</f>
        <v>1</v>
      </c>
      <c r="H6" s="52">
        <f>D6*B6+G6*E6</f>
        <v>9.8000000000000007</v>
      </c>
      <c r="I6" s="52">
        <f>D6*C6+G6*F6</f>
        <v>1.38</v>
      </c>
      <c r="J6" s="52">
        <v>1</v>
      </c>
      <c r="K6" s="52">
        <v>0</v>
      </c>
      <c r="L6" s="52">
        <v>0</v>
      </c>
      <c r="M6" s="52">
        <f>SUM(J6:L6)*(H6+I6*2)-I6</f>
        <v>11.18</v>
      </c>
      <c r="N6" s="52">
        <f>E6+F6</f>
        <v>11.18</v>
      </c>
      <c r="O6" s="52">
        <f>B6+C6</f>
        <v>9.26</v>
      </c>
      <c r="P6" s="48" t="s">
        <v>86</v>
      </c>
      <c r="Q6" s="48" t="s">
        <v>87</v>
      </c>
    </row>
    <row r="7" spans="1:17" hidden="1" x14ac:dyDescent="0.3">
      <c r="A7" s="52" t="s">
        <v>88</v>
      </c>
      <c r="B7" s="52">
        <v>2.42</v>
      </c>
      <c r="C7" s="52">
        <v>0.1</v>
      </c>
      <c r="D7" s="52">
        <v>0</v>
      </c>
      <c r="E7" s="52">
        <v>34</v>
      </c>
      <c r="F7" s="52">
        <v>1.851</v>
      </c>
      <c r="G7" s="52">
        <f>1-D7</f>
        <v>1</v>
      </c>
      <c r="H7" s="52">
        <f>D7*B7+G7*E7</f>
        <v>34</v>
      </c>
      <c r="I7" s="52">
        <f>D7*C7+G7*F7</f>
        <v>1.851</v>
      </c>
      <c r="J7" s="52">
        <v>1</v>
      </c>
      <c r="K7" s="52">
        <v>0</v>
      </c>
      <c r="L7" s="52">
        <v>0</v>
      </c>
      <c r="M7" s="52">
        <f>SUM(J7:L7)*(H7+I7*2)-I7</f>
        <v>35.850999999999999</v>
      </c>
      <c r="N7" s="52">
        <f>E7+F7</f>
        <v>35.850999999999999</v>
      </c>
      <c r="O7" s="52">
        <f>B7+C7</f>
        <v>2.52</v>
      </c>
      <c r="P7" s="48" t="s">
        <v>86</v>
      </c>
      <c r="Q7" s="48" t="s">
        <v>89</v>
      </c>
    </row>
    <row r="8" spans="1:17" hidden="1" x14ac:dyDescent="0.3"/>
    <row r="9" spans="1:17" s="50" customFormat="1" hidden="1" x14ac:dyDescent="0.3">
      <c r="A9" s="49" t="s">
        <v>90</v>
      </c>
      <c r="B9" s="49" t="s">
        <v>91</v>
      </c>
      <c r="C9" s="49" t="s">
        <v>92</v>
      </c>
      <c r="D9" s="49" t="s">
        <v>93</v>
      </c>
    </row>
    <row r="10" spans="1:17" hidden="1" x14ac:dyDescent="0.3">
      <c r="A10" s="48" t="s">
        <v>94</v>
      </c>
      <c r="B10" s="48">
        <v>3.6999999999999998E-2</v>
      </c>
      <c r="C10" s="48">
        <v>0.9</v>
      </c>
      <c r="D10" s="48">
        <v>5</v>
      </c>
    </row>
    <row r="11" spans="1:17" hidden="1" x14ac:dyDescent="0.3">
      <c r="A11" s="48" t="s">
        <v>95</v>
      </c>
      <c r="B11" s="48">
        <v>1.9E-2</v>
      </c>
      <c r="C11" s="48">
        <v>0.8</v>
      </c>
      <c r="D11" s="48">
        <v>3</v>
      </c>
    </row>
    <row r="12" spans="1:17" hidden="1" x14ac:dyDescent="0.3"/>
    <row r="13" spans="1:17" s="50" customFormat="1" hidden="1" x14ac:dyDescent="0.3">
      <c r="A13" s="49" t="s">
        <v>96</v>
      </c>
      <c r="B13" s="49" t="s">
        <v>91</v>
      </c>
      <c r="C13" s="49" t="s">
        <v>97</v>
      </c>
    </row>
    <row r="14" spans="1:17" hidden="1" x14ac:dyDescent="0.3">
      <c r="A14" s="48" t="s">
        <v>94</v>
      </c>
      <c r="B14" s="48">
        <v>7.0999999999999994E-2</v>
      </c>
      <c r="C14" s="48"/>
    </row>
    <row r="15" spans="1:17" hidden="1" x14ac:dyDescent="0.3">
      <c r="A15" s="48" t="s">
        <v>95</v>
      </c>
      <c r="B15" s="48">
        <v>5.7999999999999996E-3</v>
      </c>
      <c r="C15" s="48"/>
    </row>
    <row r="16" spans="1:17" hidden="1" x14ac:dyDescent="0.3"/>
    <row r="17" spans="1:5" s="50" customFormat="1" hidden="1" x14ac:dyDescent="0.3">
      <c r="A17" s="51" t="s">
        <v>98</v>
      </c>
      <c r="B17" s="51" t="s">
        <v>99</v>
      </c>
      <c r="C17" s="51" t="s">
        <v>100</v>
      </c>
      <c r="D17" s="49" t="s">
        <v>101</v>
      </c>
    </row>
    <row r="18" spans="1:5" hidden="1" x14ac:dyDescent="0.3">
      <c r="A18" s="52" t="s">
        <v>102</v>
      </c>
      <c r="B18" s="52">
        <v>2.4E-2</v>
      </c>
      <c r="C18" s="52" t="s">
        <v>95</v>
      </c>
      <c r="D18" s="52">
        <f>50+IF(H36&lt;&gt;C18,200,0)</f>
        <v>50</v>
      </c>
    </row>
    <row r="19" spans="1:5" hidden="1" x14ac:dyDescent="0.3">
      <c r="A19" s="52" t="s">
        <v>103</v>
      </c>
      <c r="B19" s="52">
        <v>0.84499999999999997</v>
      </c>
      <c r="C19" s="52" t="s">
        <v>104</v>
      </c>
      <c r="D19" s="52">
        <f>200+IF(H36=C18,50,0)</f>
        <v>250</v>
      </c>
    </row>
    <row r="20" spans="1:5" hidden="1" x14ac:dyDescent="0.3">
      <c r="A20" s="52" t="s">
        <v>105</v>
      </c>
      <c r="B20" s="52">
        <v>0.16400000000000001</v>
      </c>
      <c r="C20" s="52"/>
      <c r="D20" s="52">
        <v>250</v>
      </c>
    </row>
    <row r="21" spans="1:5" hidden="1" x14ac:dyDescent="0.3"/>
    <row r="22" spans="1:5" s="50" customFormat="1" hidden="1" x14ac:dyDescent="0.3">
      <c r="A22" s="49" t="s">
        <v>106</v>
      </c>
      <c r="B22" s="49" t="s">
        <v>107</v>
      </c>
    </row>
    <row r="23" spans="1:5" hidden="1" x14ac:dyDescent="0.3">
      <c r="A23" s="48" t="s">
        <v>108</v>
      </c>
      <c r="B23" s="48">
        <f>F36</f>
        <v>3</v>
      </c>
    </row>
    <row r="24" spans="1:5" hidden="1" x14ac:dyDescent="0.3">
      <c r="A24" s="48" t="s">
        <v>109</v>
      </c>
      <c r="B24" s="48">
        <f>E36*60</f>
        <v>300</v>
      </c>
    </row>
    <row r="28" spans="1:5" ht="14.15" customHeight="1" x14ac:dyDescent="0.3">
      <c r="C28" s="111" t="s">
        <v>110</v>
      </c>
      <c r="D28" s="112" t="s">
        <v>111</v>
      </c>
      <c r="E28" s="113" t="s">
        <v>112</v>
      </c>
    </row>
    <row r="29" spans="1:5" ht="14.15" customHeight="1" x14ac:dyDescent="0.3">
      <c r="C29" s="111"/>
      <c r="D29" s="112"/>
      <c r="E29" s="113"/>
    </row>
    <row r="30" spans="1:5" ht="14.15" customHeight="1" x14ac:dyDescent="0.3">
      <c r="C30" s="111"/>
      <c r="D30" s="112"/>
      <c r="E30" s="113"/>
    </row>
    <row r="31" spans="1:5" ht="14.15" customHeight="1" x14ac:dyDescent="0.3">
      <c r="C31" s="111"/>
      <c r="D31" s="112"/>
      <c r="E31" s="113"/>
    </row>
    <row r="35" spans="2:12" ht="40.299999999999997" x14ac:dyDescent="0.3">
      <c r="B35" s="70" t="s">
        <v>113</v>
      </c>
      <c r="C35" s="71" t="s">
        <v>81</v>
      </c>
      <c r="D35" s="72" t="s">
        <v>114</v>
      </c>
      <c r="E35" s="70" t="s">
        <v>115</v>
      </c>
      <c r="F35" s="70" t="s">
        <v>116</v>
      </c>
      <c r="G35" s="70" t="s">
        <v>117</v>
      </c>
      <c r="H35" s="70" t="s">
        <v>118</v>
      </c>
      <c r="I35" s="70" t="s">
        <v>106</v>
      </c>
      <c r="J35" s="70" t="s">
        <v>119</v>
      </c>
      <c r="K35" s="70" t="s">
        <v>120</v>
      </c>
      <c r="L35" s="70" t="s">
        <v>121</v>
      </c>
    </row>
    <row r="36" spans="2:12" ht="35.6" x14ac:dyDescent="0.3">
      <c r="B36" s="128" t="s">
        <v>122</v>
      </c>
      <c r="C36" s="53" t="str">
        <f>VLOOKUP(B36,A6:Q7,16,0)</f>
        <v>SF7</v>
      </c>
      <c r="D36" s="129">
        <v>14000</v>
      </c>
      <c r="E36" s="131">
        <v>5</v>
      </c>
      <c r="F36" s="131">
        <v>3</v>
      </c>
      <c r="G36" s="131" t="s">
        <v>123</v>
      </c>
      <c r="H36" s="131" t="s">
        <v>124</v>
      </c>
      <c r="I36" s="128" t="s">
        <v>125</v>
      </c>
      <c r="J36" s="114">
        <v>22</v>
      </c>
      <c r="K36" s="54">
        <f>B43+B45+B47+D43+D41+E41+F41+H39+J41+K41+C41</f>
        <v>28.266348452562156</v>
      </c>
      <c r="L36" s="55">
        <f>(INT(D36*1000/K36/(24*60/E36)))/365</f>
        <v>4.7095890410958905</v>
      </c>
    </row>
    <row r="37" spans="2:12" ht="35.6" x14ac:dyDescent="0.3">
      <c r="B37" s="128"/>
      <c r="C37" s="53" t="str">
        <f>VLOOKUP(B36,A6:Q7,17,0)</f>
        <v>SF12</v>
      </c>
      <c r="D37" s="130"/>
      <c r="E37" s="132"/>
      <c r="F37" s="132"/>
      <c r="G37" s="132"/>
      <c r="H37" s="132"/>
      <c r="I37" s="128"/>
      <c r="J37" s="114"/>
      <c r="K37" s="54">
        <f>B43+B45+B47+D43+D41+E41+F41+H39+J41+L41+C41</f>
        <v>61.597348452562152</v>
      </c>
      <c r="L37" s="55">
        <f>(INT(D36*1000/K37/(24*60/E36)))/365</f>
        <v>2.1616438356164385</v>
      </c>
    </row>
    <row r="38" spans="2:12" ht="20.149999999999999" x14ac:dyDescent="0.3">
      <c r="B38" s="56"/>
      <c r="C38" s="57"/>
      <c r="D38" s="58"/>
      <c r="E38" s="58"/>
      <c r="F38" s="58"/>
      <c r="G38" s="58"/>
      <c r="H38" s="109" t="s">
        <v>126</v>
      </c>
      <c r="I38" s="134"/>
      <c r="J38" s="60"/>
      <c r="K38" s="60"/>
      <c r="L38" s="61"/>
    </row>
    <row r="39" spans="2:12" ht="20.149999999999999" x14ac:dyDescent="0.3">
      <c r="B39" s="56"/>
      <c r="C39" s="57"/>
      <c r="D39" s="62"/>
      <c r="E39" s="62"/>
      <c r="F39" s="62"/>
      <c r="G39" s="62"/>
      <c r="H39" s="121">
        <f>VLOOKUP(G36,A18:B20,2,0)</f>
        <v>0.16400000000000001</v>
      </c>
      <c r="I39" s="121"/>
      <c r="J39" s="63"/>
      <c r="K39" s="109" t="s">
        <v>127</v>
      </c>
      <c r="L39" s="109"/>
    </row>
    <row r="40" spans="2:12" s="50" customFormat="1" ht="45.45" customHeight="1" x14ac:dyDescent="0.3">
      <c r="B40" s="64"/>
      <c r="C40" s="59" t="s">
        <v>128</v>
      </c>
      <c r="D40" s="65" t="s">
        <v>129</v>
      </c>
      <c r="E40" s="66" t="s">
        <v>130</v>
      </c>
      <c r="F40" s="137" t="s">
        <v>131</v>
      </c>
      <c r="G40" s="137"/>
      <c r="H40" s="109"/>
      <c r="I40" s="109"/>
      <c r="J40" s="73" t="s">
        <v>132</v>
      </c>
      <c r="K40" s="59" t="str">
        <f>VLOOKUP(B36,A6:Q7,16,0)</f>
        <v>SF7</v>
      </c>
      <c r="L40" s="59" t="str">
        <f>VLOOKUP(B36,A6:Q7,17,0)</f>
        <v>SF12</v>
      </c>
    </row>
    <row r="41" spans="2:12" ht="20.149999999999999" x14ac:dyDescent="0.3">
      <c r="B41" s="56"/>
      <c r="C41" s="67">
        <f>D36*1000*0.02/365/24*E36/60</f>
        <v>2.6636225266362255</v>
      </c>
      <c r="D41" s="68">
        <f>VLOOKUP(H36,A10:C11,2,0)</f>
        <v>1.9E-2</v>
      </c>
      <c r="E41" s="69">
        <f>VLOOKUP(H36,A14:C15,2,0)</f>
        <v>5.7999999999999996E-3</v>
      </c>
      <c r="F41" s="116">
        <f>(VLOOKUP(I36,A23:B24,2,0)+0.2)*VLOOKUP(H36,A10:D11,4,0)*J36*1000/VLOOKUP(H36,A10:D11,3,0)/3.6/3600</f>
        <v>20.370370370370374</v>
      </c>
      <c r="G41" s="117"/>
      <c r="H41" s="117"/>
      <c r="I41" s="118"/>
      <c r="J41" s="69">
        <f>IF(F41*0.03+0.5*H39&gt;3.5,3.5,F41*0.03+0.5*H39)</f>
        <v>0.69311111111111112</v>
      </c>
      <c r="K41" s="69">
        <f>VLOOKUP(B36,A6:Q7,15,0)</f>
        <v>2.52</v>
      </c>
      <c r="L41" s="69">
        <f>VLOOKUP(B36,A6:Q7,14,0)</f>
        <v>35.850999999999999</v>
      </c>
    </row>
    <row r="42" spans="2:12" s="50" customFormat="1" ht="39.9" customHeight="1" x14ac:dyDescent="0.3">
      <c r="B42" s="110" t="s">
        <v>133</v>
      </c>
      <c r="C42" s="110"/>
      <c r="D42" s="127" t="s">
        <v>134</v>
      </c>
      <c r="E42" s="127"/>
      <c r="F42" s="127"/>
      <c r="G42" s="127"/>
      <c r="H42" s="127"/>
      <c r="I42" s="127"/>
      <c r="J42" s="127"/>
      <c r="K42" s="127"/>
      <c r="L42" s="127"/>
    </row>
    <row r="43" spans="2:12" ht="20.149999999999999" x14ac:dyDescent="0.3">
      <c r="B43" s="115">
        <f>B2*0.1*E36/60</f>
        <v>8.3333333333333329E-2</v>
      </c>
      <c r="C43" s="115"/>
      <c r="D43" s="115">
        <f>VLOOKUP(G36,A18:D20,4,0)*(10+F36)/3600</f>
        <v>0.90277777777777779</v>
      </c>
      <c r="E43" s="115"/>
      <c r="F43" s="115"/>
      <c r="G43" s="115"/>
      <c r="H43" s="115"/>
      <c r="I43" s="115"/>
      <c r="J43" s="115"/>
      <c r="K43" s="115"/>
      <c r="L43" s="115"/>
    </row>
    <row r="44" spans="2:12" s="50" customFormat="1" ht="20.149999999999999" x14ac:dyDescent="0.3">
      <c r="B44" s="123" t="s">
        <v>135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5"/>
    </row>
    <row r="45" spans="2:12" ht="20.149999999999999" x14ac:dyDescent="0.3">
      <c r="B45" s="121">
        <f>D2*(E36/5)</f>
        <v>1.0999999999999999E-2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21"/>
    </row>
    <row r="46" spans="2:12" s="50" customFormat="1" ht="20.149999999999999" x14ac:dyDescent="0.3">
      <c r="B46" s="109" t="s">
        <v>136</v>
      </c>
      <c r="C46" s="109"/>
      <c r="D46" s="109"/>
      <c r="E46" s="109"/>
      <c r="F46" s="109"/>
      <c r="G46" s="109"/>
      <c r="H46" s="109"/>
      <c r="I46" s="109"/>
      <c r="J46" s="109"/>
      <c r="K46" s="109"/>
      <c r="L46" s="109"/>
    </row>
    <row r="47" spans="2:12" ht="20.149999999999999" x14ac:dyDescent="0.3">
      <c r="B47" s="122">
        <f>B2*E36/60</f>
        <v>0.83333333333333337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</row>
    <row r="50" spans="1:7" ht="25.3" customHeight="1" x14ac:dyDescent="0.3">
      <c r="A50" s="103"/>
      <c r="B50" s="133" t="s">
        <v>137</v>
      </c>
      <c r="C50" s="119" t="s">
        <v>138</v>
      </c>
      <c r="D50" s="120"/>
      <c r="E50" s="120"/>
      <c r="F50" s="120"/>
      <c r="G50" s="120"/>
    </row>
    <row r="51" spans="1:7" ht="25.3" customHeight="1" x14ac:dyDescent="0.3">
      <c r="A51" s="103"/>
      <c r="B51" s="133"/>
      <c r="C51" s="120"/>
      <c r="D51" s="120"/>
      <c r="E51" s="120"/>
      <c r="F51" s="120"/>
      <c r="G51" s="120"/>
    </row>
    <row r="52" spans="1:7" x14ac:dyDescent="0.3">
      <c r="A52" s="103"/>
      <c r="B52" s="133"/>
      <c r="C52" s="120"/>
      <c r="D52" s="120"/>
      <c r="E52" s="120"/>
      <c r="F52" s="120"/>
      <c r="G52" s="120"/>
    </row>
    <row r="53" spans="1:7" x14ac:dyDescent="0.3">
      <c r="A53" s="103"/>
      <c r="B53" s="133"/>
      <c r="C53" s="120"/>
      <c r="D53" s="120"/>
      <c r="E53" s="120"/>
      <c r="F53" s="120"/>
      <c r="G53" s="120"/>
    </row>
    <row r="54" spans="1:7" x14ac:dyDescent="0.3">
      <c r="A54" s="103"/>
      <c r="B54" s="133"/>
      <c r="C54" s="120"/>
      <c r="D54" s="120"/>
      <c r="E54" s="120"/>
      <c r="F54" s="120"/>
      <c r="G54" s="120"/>
    </row>
    <row r="55" spans="1:7" x14ac:dyDescent="0.3">
      <c r="A55" s="103"/>
      <c r="B55" s="133"/>
      <c r="C55" s="120"/>
      <c r="D55" s="120"/>
      <c r="E55" s="120"/>
      <c r="F55" s="120"/>
      <c r="G55" s="120"/>
    </row>
    <row r="56" spans="1:7" ht="94.3" customHeight="1" x14ac:dyDescent="0.3">
      <c r="A56" s="103"/>
      <c r="B56" s="133"/>
      <c r="C56" s="120"/>
      <c r="D56" s="120"/>
      <c r="E56" s="120"/>
      <c r="F56" s="120"/>
      <c r="G56" s="120"/>
    </row>
  </sheetData>
  <mergeCells count="41">
    <mergeCell ref="A4:A5"/>
    <mergeCell ref="B4:D4"/>
    <mergeCell ref="E4:G4"/>
    <mergeCell ref="H4:H5"/>
    <mergeCell ref="I4:I5"/>
    <mergeCell ref="B1:C1"/>
    <mergeCell ref="B2:C2"/>
    <mergeCell ref="D43:L43"/>
    <mergeCell ref="D42:L42"/>
    <mergeCell ref="B36:B37"/>
    <mergeCell ref="D36:D37"/>
    <mergeCell ref="E36:E37"/>
    <mergeCell ref="F36:F37"/>
    <mergeCell ref="G36:G37"/>
    <mergeCell ref="H36:H37"/>
    <mergeCell ref="H38:I38"/>
    <mergeCell ref="H39:I39"/>
    <mergeCell ref="I36:I37"/>
    <mergeCell ref="F40:I40"/>
    <mergeCell ref="C50:G56"/>
    <mergeCell ref="B45:L45"/>
    <mergeCell ref="B46:L46"/>
    <mergeCell ref="B47:L47"/>
    <mergeCell ref="B44:L44"/>
    <mergeCell ref="B50:B56"/>
    <mergeCell ref="A50:A56"/>
    <mergeCell ref="N4:N5"/>
    <mergeCell ref="O4:O5"/>
    <mergeCell ref="P4:Q5"/>
    <mergeCell ref="K39:L39"/>
    <mergeCell ref="B42:C42"/>
    <mergeCell ref="C28:C31"/>
    <mergeCell ref="D28:D31"/>
    <mergeCell ref="E28:E31"/>
    <mergeCell ref="M4:M5"/>
    <mergeCell ref="K4:K5"/>
    <mergeCell ref="J36:J37"/>
    <mergeCell ref="B43:C43"/>
    <mergeCell ref="L4:L5"/>
    <mergeCell ref="F41:I41"/>
    <mergeCell ref="J4:J5"/>
  </mergeCells>
  <phoneticPr fontId="1" type="noConversion"/>
  <dataValidations count="4">
    <dataValidation type="list" allowBlank="1" showInputMessage="1" showErrorMessage="1" sqref="I36" xr:uid="{9130D9A1-EF92-4549-AFC8-5E9AB309B217}">
      <formula1>供电类型</formula1>
    </dataValidation>
    <dataValidation type="list" allowBlank="1" showInputMessage="1" showErrorMessage="1" sqref="H36" xr:uid="{5F606868-9902-47A2-965B-2FA7CFF7A1E4}">
      <formula1>开启对外供电</formula1>
    </dataValidation>
    <dataValidation type="list" allowBlank="1" showInputMessage="1" showErrorMessage="1" sqref="G36" xr:uid="{AE2514DA-203F-49FE-9C9C-1B4F5C56BB56}">
      <formula1>传感器类型</formula1>
    </dataValidation>
    <dataValidation type="list" allowBlank="1" showInputMessage="1" showErrorMessage="1" sqref="B36" xr:uid="{4F41CC7F-B8F9-444E-A47F-5764FEF2D0DE}">
      <formula1>频段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764B-5F4B-4257-B720-556D4884061A}">
  <dimension ref="A1:R34"/>
  <sheetViews>
    <sheetView tabSelected="1" zoomScale="85" zoomScaleNormal="85" workbookViewId="0">
      <selection activeCell="A5" sqref="A5"/>
    </sheetView>
  </sheetViews>
  <sheetFormatPr defaultRowHeight="14.15" x14ac:dyDescent="0.3"/>
  <cols>
    <col min="1" max="1" width="19.4609375" customWidth="1"/>
    <col min="2" max="2" width="18.15234375" customWidth="1"/>
    <col min="3" max="3" width="26.765625" customWidth="1"/>
    <col min="4" max="4" width="18.23046875" customWidth="1"/>
    <col min="5" max="5" width="19.15234375" customWidth="1"/>
    <col min="6" max="6" width="25.23046875" customWidth="1"/>
    <col min="7" max="7" width="18.23046875" customWidth="1"/>
    <col min="8" max="8" width="15" customWidth="1"/>
    <col min="9" max="9" width="16.23046875" customWidth="1"/>
    <col min="10" max="10" width="14" customWidth="1"/>
    <col min="11" max="11" width="13.23046875" customWidth="1"/>
    <col min="12" max="12" width="16.23046875" customWidth="1"/>
    <col min="13" max="13" width="14.3828125" customWidth="1"/>
    <col min="14" max="14" width="13.84375" customWidth="1"/>
    <col min="15" max="15" width="13.4609375" customWidth="1"/>
    <col min="16" max="16" width="15.4609375" customWidth="1"/>
    <col min="17" max="17" width="16.15234375" customWidth="1"/>
    <col min="18" max="18" width="16.765625" customWidth="1"/>
  </cols>
  <sheetData>
    <row r="1" spans="1:18" x14ac:dyDescent="0.3">
      <c r="A1" s="138" t="s">
        <v>26</v>
      </c>
      <c r="B1" s="138"/>
      <c r="C1" s="138"/>
      <c r="D1" s="138"/>
      <c r="E1" s="138"/>
      <c r="F1" s="138"/>
    </row>
    <row r="2" spans="1:18" ht="28.3" x14ac:dyDescent="0.35">
      <c r="A2" s="19"/>
      <c r="B2" s="20" t="s">
        <v>46</v>
      </c>
      <c r="C2" s="20" t="s">
        <v>47</v>
      </c>
      <c r="D2" s="19" t="s">
        <v>48</v>
      </c>
      <c r="E2" s="19" t="s">
        <v>49</v>
      </c>
      <c r="F2" s="19" t="s">
        <v>50</v>
      </c>
      <c r="G2" s="19" t="s">
        <v>51</v>
      </c>
      <c r="H2" s="21"/>
      <c r="I2" s="22"/>
    </row>
    <row r="3" spans="1:18" ht="14.6" x14ac:dyDescent="0.35">
      <c r="A3" s="23" t="s">
        <v>139</v>
      </c>
      <c r="B3" s="23">
        <v>8</v>
      </c>
      <c r="C3" s="23">
        <v>2</v>
      </c>
      <c r="D3" s="21">
        <v>2.1000000000000001E-2</v>
      </c>
      <c r="E3" s="21">
        <f>ROUND(D3/4.55,4)</f>
        <v>4.5999999999999999E-3</v>
      </c>
      <c r="F3" s="21">
        <f>E3*60</f>
        <v>0.27600000000000002</v>
      </c>
      <c r="G3" s="21">
        <f>F3*24</f>
        <v>6.6240000000000006</v>
      </c>
      <c r="H3" s="21"/>
      <c r="I3" s="22"/>
    </row>
    <row r="4" spans="1:18" ht="14.6" x14ac:dyDescent="0.35">
      <c r="A4" s="21" t="s">
        <v>140</v>
      </c>
      <c r="B4" s="21">
        <f>B3</f>
        <v>8</v>
      </c>
      <c r="C4" s="21">
        <f>C3</f>
        <v>2</v>
      </c>
      <c r="D4" s="21">
        <v>2.5000000000000001E-2</v>
      </c>
      <c r="E4" s="21">
        <f>ROUND(D4/4.55,4)</f>
        <v>5.4999999999999997E-3</v>
      </c>
      <c r="F4" s="21">
        <f>E4*60</f>
        <v>0.32999999999999996</v>
      </c>
      <c r="G4" s="21">
        <f>F4*24</f>
        <v>7.919999999999999</v>
      </c>
      <c r="H4" s="21"/>
      <c r="I4" s="22"/>
    </row>
    <row r="5" spans="1:18" ht="14.6" x14ac:dyDescent="0.35">
      <c r="A5" s="21"/>
      <c r="B5" s="21"/>
      <c r="C5" s="21"/>
      <c r="D5" s="21"/>
      <c r="E5" s="21"/>
      <c r="F5" s="21"/>
      <c r="G5" s="21"/>
      <c r="H5" s="21"/>
      <c r="I5" s="22"/>
    </row>
    <row r="6" spans="1:18" ht="14.6" x14ac:dyDescent="0.35">
      <c r="A6" s="21"/>
      <c r="B6" s="21"/>
      <c r="C6" s="21"/>
      <c r="D6" s="21"/>
      <c r="E6" s="21"/>
      <c r="F6" s="21"/>
      <c r="G6" s="21"/>
      <c r="H6" s="21"/>
      <c r="I6" s="22"/>
    </row>
    <row r="7" spans="1:18" ht="14.6" x14ac:dyDescent="0.35">
      <c r="A7" s="24" t="s">
        <v>27</v>
      </c>
      <c r="B7" s="24" t="s">
        <v>28</v>
      </c>
      <c r="C7" s="24" t="s">
        <v>29</v>
      </c>
      <c r="D7" s="24" t="s">
        <v>30</v>
      </c>
      <c r="E7" s="24" t="s">
        <v>31</v>
      </c>
      <c r="F7" s="24" t="s">
        <v>32</v>
      </c>
      <c r="G7" s="24" t="s">
        <v>33</v>
      </c>
      <c r="H7" s="24" t="s">
        <v>34</v>
      </c>
      <c r="I7" s="22"/>
    </row>
    <row r="8" spans="1:18" ht="14.6" x14ac:dyDescent="0.35">
      <c r="A8" s="139" t="s">
        <v>35</v>
      </c>
      <c r="B8" s="21">
        <v>12</v>
      </c>
      <c r="C8" s="21">
        <v>0.23599999999999999</v>
      </c>
      <c r="D8" s="21">
        <v>0.23799999999999999</v>
      </c>
      <c r="E8" s="23">
        <f>D8*2+C8</f>
        <v>0.71199999999999997</v>
      </c>
      <c r="F8" s="21">
        <f>ROUND(C8/4.55,4)</f>
        <v>5.1900000000000002E-2</v>
      </c>
      <c r="G8" s="21">
        <f>ROUND(D8/4.55,4)</f>
        <v>5.2299999999999999E-2</v>
      </c>
      <c r="H8" s="21">
        <f>ROUND(E8/4.55,4)</f>
        <v>0.1565</v>
      </c>
      <c r="I8" s="22"/>
    </row>
    <row r="9" spans="1:18" ht="14.6" x14ac:dyDescent="0.35">
      <c r="A9" s="139"/>
      <c r="B9" s="21">
        <v>7</v>
      </c>
      <c r="C9" s="21">
        <v>1.2999999999999999E-2</v>
      </c>
      <c r="D9" s="21">
        <v>0.02</v>
      </c>
      <c r="E9" s="23">
        <f t="shared" ref="E9:E11" si="0">D9*2+C9</f>
        <v>5.2999999999999999E-2</v>
      </c>
      <c r="F9" s="21">
        <f t="shared" ref="F9:H11" si="1">ROUND(C9/4.55,4)</f>
        <v>2.8999999999999998E-3</v>
      </c>
      <c r="G9" s="21">
        <f t="shared" si="1"/>
        <v>4.4000000000000003E-3</v>
      </c>
      <c r="H9" s="21">
        <f t="shared" si="1"/>
        <v>1.1599999999999999E-2</v>
      </c>
      <c r="I9" s="22"/>
    </row>
    <row r="10" spans="1:18" ht="14.6" x14ac:dyDescent="0.35">
      <c r="A10" s="139" t="s">
        <v>36</v>
      </c>
      <c r="B10" s="21">
        <v>10</v>
      </c>
      <c r="C10" s="21">
        <v>0.12</v>
      </c>
      <c r="D10" s="21">
        <v>0.12</v>
      </c>
      <c r="E10" s="23">
        <f t="shared" si="0"/>
        <v>0.36</v>
      </c>
      <c r="F10" s="21">
        <f t="shared" si="1"/>
        <v>2.64E-2</v>
      </c>
      <c r="G10" s="21">
        <f t="shared" si="1"/>
        <v>2.64E-2</v>
      </c>
      <c r="H10" s="21">
        <f t="shared" si="1"/>
        <v>7.9100000000000004E-2</v>
      </c>
      <c r="I10" s="22"/>
    </row>
    <row r="11" spans="1:18" ht="14.6" x14ac:dyDescent="0.35">
      <c r="A11" s="139"/>
      <c r="B11" s="21">
        <v>7</v>
      </c>
      <c r="C11" s="21">
        <v>1.2999999999999999E-2</v>
      </c>
      <c r="D11" s="21">
        <v>2.3E-2</v>
      </c>
      <c r="E11" s="23">
        <f t="shared" si="0"/>
        <v>5.8999999999999997E-2</v>
      </c>
      <c r="F11" s="21">
        <f t="shared" si="1"/>
        <v>2.8999999999999998E-3</v>
      </c>
      <c r="G11" s="21">
        <f t="shared" si="1"/>
        <v>5.1000000000000004E-3</v>
      </c>
      <c r="H11" s="21">
        <f t="shared" si="1"/>
        <v>1.2999999999999999E-2</v>
      </c>
      <c r="I11" s="22"/>
    </row>
    <row r="12" spans="1:18" ht="14.6" x14ac:dyDescent="0.35">
      <c r="A12" s="22"/>
      <c r="B12" s="22"/>
      <c r="C12" s="22"/>
      <c r="D12" s="22"/>
      <c r="E12" s="22"/>
      <c r="F12" s="22"/>
      <c r="G12" s="22"/>
      <c r="H12" s="22"/>
      <c r="I12" s="22"/>
    </row>
    <row r="13" spans="1:18" ht="14.6" x14ac:dyDescent="0.35">
      <c r="A13" s="22"/>
      <c r="B13" s="22"/>
      <c r="C13" s="22"/>
      <c r="D13" s="22"/>
      <c r="E13" s="22"/>
      <c r="F13" s="22"/>
      <c r="G13" s="22"/>
      <c r="H13" s="22"/>
      <c r="I13" s="22"/>
    </row>
    <row r="14" spans="1:18" ht="28.3" x14ac:dyDescent="0.3">
      <c r="A14" s="19" t="s">
        <v>43</v>
      </c>
      <c r="B14" s="20" t="s">
        <v>44</v>
      </c>
      <c r="C14" s="20" t="s">
        <v>45</v>
      </c>
      <c r="D14" s="20" t="s">
        <v>52</v>
      </c>
      <c r="E14" s="20" t="s">
        <v>53</v>
      </c>
      <c r="F14" s="20" t="s">
        <v>54</v>
      </c>
      <c r="G14" s="29" t="s">
        <v>55</v>
      </c>
      <c r="H14" s="29" t="s">
        <v>64</v>
      </c>
      <c r="I14" s="29" t="s">
        <v>56</v>
      </c>
      <c r="J14" s="29" t="s">
        <v>55</v>
      </c>
      <c r="K14" s="29" t="s">
        <v>64</v>
      </c>
      <c r="L14" s="29" t="s">
        <v>56</v>
      </c>
      <c r="M14" s="29" t="s">
        <v>55</v>
      </c>
      <c r="N14" s="29" t="s">
        <v>64</v>
      </c>
      <c r="O14" s="29" t="s">
        <v>56</v>
      </c>
      <c r="P14" s="29" t="s">
        <v>55</v>
      </c>
      <c r="Q14" s="29" t="s">
        <v>64</v>
      </c>
      <c r="R14" s="29" t="s">
        <v>56</v>
      </c>
    </row>
    <row r="15" spans="1:18" ht="14.6" x14ac:dyDescent="0.35">
      <c r="A15" s="25" t="s">
        <v>37</v>
      </c>
      <c r="B15" s="21">
        <v>4700</v>
      </c>
      <c r="C15" s="26">
        <v>0.88</v>
      </c>
      <c r="D15" s="21">
        <f>G4</f>
        <v>7.919999999999999</v>
      </c>
      <c r="E15" s="27">
        <f>ROUND((B3+C3)/24,4)</f>
        <v>0.41670000000000001</v>
      </c>
      <c r="F15" s="23">
        <f>F8</f>
        <v>5.1900000000000002E-2</v>
      </c>
      <c r="G15" s="30">
        <v>60</v>
      </c>
      <c r="H15" s="31">
        <f>ROUND((D15+(60/G15)*F15*24)*(1-E15),2)</f>
        <v>5.35</v>
      </c>
      <c r="I15" s="32">
        <f>ROUND(B15*C15/H15,0)</f>
        <v>773</v>
      </c>
      <c r="J15" s="33">
        <v>30</v>
      </c>
      <c r="K15" s="34">
        <v>6.07</v>
      </c>
      <c r="L15" s="35">
        <v>681</v>
      </c>
      <c r="M15" s="36">
        <v>15</v>
      </c>
      <c r="N15" s="37">
        <v>7.53</v>
      </c>
      <c r="O15" s="38">
        <v>549</v>
      </c>
      <c r="P15" s="39">
        <v>5</v>
      </c>
      <c r="Q15" s="40">
        <v>13.34</v>
      </c>
      <c r="R15" s="41">
        <v>310</v>
      </c>
    </row>
    <row r="16" spans="1:18" ht="14.6" x14ac:dyDescent="0.35">
      <c r="A16" s="25" t="s">
        <v>38</v>
      </c>
      <c r="B16" s="21">
        <v>4700</v>
      </c>
      <c r="C16" s="26">
        <v>0.88</v>
      </c>
      <c r="D16" s="21">
        <f>G4</f>
        <v>7.919999999999999</v>
      </c>
      <c r="E16" s="27">
        <f>ROUND((B3+C3)/24,4)</f>
        <v>0.41670000000000001</v>
      </c>
      <c r="F16" s="23">
        <f>G8</f>
        <v>5.2299999999999999E-2</v>
      </c>
      <c r="G16" s="30">
        <v>60</v>
      </c>
      <c r="H16" s="31">
        <f t="shared" ref="H16:H20" si="2">ROUND((D16+(60/G16)*F16*24)*(1-E16),2)</f>
        <v>5.35</v>
      </c>
      <c r="I16" s="32">
        <f t="shared" ref="I16:I20" si="3">ROUND(B16*C16/H16,0)</f>
        <v>773</v>
      </c>
      <c r="J16" s="33">
        <v>30</v>
      </c>
      <c r="K16" s="34">
        <v>6.08</v>
      </c>
      <c r="L16" s="35">
        <v>680</v>
      </c>
      <c r="M16" s="36">
        <v>15</v>
      </c>
      <c r="N16" s="37">
        <v>7.55</v>
      </c>
      <c r="O16" s="38">
        <v>548</v>
      </c>
      <c r="P16" s="39">
        <v>5</v>
      </c>
      <c r="Q16" s="40">
        <v>13.41</v>
      </c>
      <c r="R16" s="41">
        <v>308</v>
      </c>
    </row>
    <row r="17" spans="1:18" ht="14.6" x14ac:dyDescent="0.35">
      <c r="A17" s="25" t="s">
        <v>39</v>
      </c>
      <c r="B17" s="21">
        <v>4700</v>
      </c>
      <c r="C17" s="26">
        <v>0.88</v>
      </c>
      <c r="D17" s="21">
        <f>G4</f>
        <v>7.919999999999999</v>
      </c>
      <c r="E17" s="27">
        <f>ROUND((B3+C3)/24,4)</f>
        <v>0.41670000000000001</v>
      </c>
      <c r="F17" s="23">
        <f>H8</f>
        <v>0.1565</v>
      </c>
      <c r="G17" s="30">
        <v>60</v>
      </c>
      <c r="H17" s="31">
        <f t="shared" si="2"/>
        <v>6.81</v>
      </c>
      <c r="I17" s="32">
        <f t="shared" si="3"/>
        <v>607</v>
      </c>
      <c r="J17" s="33">
        <v>30</v>
      </c>
      <c r="K17" s="34">
        <v>9</v>
      </c>
      <c r="L17" s="35">
        <v>460</v>
      </c>
      <c r="M17" s="36">
        <v>15</v>
      </c>
      <c r="N17" s="37">
        <v>13.38</v>
      </c>
      <c r="O17" s="38">
        <v>309</v>
      </c>
      <c r="P17" s="39">
        <v>5</v>
      </c>
      <c r="Q17" s="40">
        <v>30.91</v>
      </c>
      <c r="R17" s="41">
        <v>134</v>
      </c>
    </row>
    <row r="18" spans="1:18" ht="14.6" x14ac:dyDescent="0.35">
      <c r="A18" s="25" t="s">
        <v>40</v>
      </c>
      <c r="B18" s="21">
        <v>4700</v>
      </c>
      <c r="C18" s="26">
        <v>0.88</v>
      </c>
      <c r="D18" s="21">
        <f>G4</f>
        <v>7.919999999999999</v>
      </c>
      <c r="E18" s="27">
        <f>ROUND((B3+C3)/24,4)</f>
        <v>0.41670000000000001</v>
      </c>
      <c r="F18" s="23">
        <f>F10</f>
        <v>2.64E-2</v>
      </c>
      <c r="G18" s="30">
        <v>60</v>
      </c>
      <c r="H18" s="31">
        <f t="shared" si="2"/>
        <v>4.99</v>
      </c>
      <c r="I18" s="32">
        <f t="shared" si="3"/>
        <v>829</v>
      </c>
      <c r="J18" s="33">
        <v>30</v>
      </c>
      <c r="K18" s="34">
        <v>5.36</v>
      </c>
      <c r="L18" s="35">
        <v>772</v>
      </c>
      <c r="M18" s="36">
        <v>15</v>
      </c>
      <c r="N18" s="37">
        <v>6.1</v>
      </c>
      <c r="O18" s="38">
        <v>678</v>
      </c>
      <c r="P18" s="39">
        <v>5</v>
      </c>
      <c r="Q18" s="40">
        <v>9.0500000000000007</v>
      </c>
      <c r="R18" s="41">
        <v>457</v>
      </c>
    </row>
    <row r="19" spans="1:18" ht="14.6" x14ac:dyDescent="0.35">
      <c r="A19" s="25" t="s">
        <v>41</v>
      </c>
      <c r="B19" s="21">
        <v>4700</v>
      </c>
      <c r="C19" s="26">
        <v>0.88</v>
      </c>
      <c r="D19" s="21">
        <f>G4</f>
        <v>7.919999999999999</v>
      </c>
      <c r="E19" s="27">
        <f>ROUND((B3+C3)/24,4)</f>
        <v>0.41670000000000001</v>
      </c>
      <c r="F19" s="23">
        <f>G10</f>
        <v>2.64E-2</v>
      </c>
      <c r="G19" s="30">
        <v>60</v>
      </c>
      <c r="H19" s="31">
        <f t="shared" si="2"/>
        <v>4.99</v>
      </c>
      <c r="I19" s="32">
        <f t="shared" si="3"/>
        <v>829</v>
      </c>
      <c r="J19" s="33">
        <v>30</v>
      </c>
      <c r="K19" s="34">
        <v>5.36</v>
      </c>
      <c r="L19" s="35">
        <v>772</v>
      </c>
      <c r="M19" s="36">
        <v>15</v>
      </c>
      <c r="N19" s="37">
        <v>6.1</v>
      </c>
      <c r="O19" s="38">
        <v>678</v>
      </c>
      <c r="P19" s="39">
        <v>5</v>
      </c>
      <c r="Q19" s="40">
        <v>9.0500000000000007</v>
      </c>
      <c r="R19" s="41">
        <v>457</v>
      </c>
    </row>
    <row r="20" spans="1:18" ht="14.6" x14ac:dyDescent="0.35">
      <c r="A20" s="25" t="s">
        <v>42</v>
      </c>
      <c r="B20" s="21">
        <v>4700</v>
      </c>
      <c r="C20" s="26">
        <v>0.88</v>
      </c>
      <c r="D20" s="21">
        <f>G4</f>
        <v>7.919999999999999</v>
      </c>
      <c r="E20" s="27">
        <f>ROUND((B3+C3)/24,4)</f>
        <v>0.41670000000000001</v>
      </c>
      <c r="F20" s="23">
        <f>H10</f>
        <v>7.9100000000000004E-2</v>
      </c>
      <c r="G20" s="30">
        <v>60</v>
      </c>
      <c r="H20" s="31">
        <f t="shared" si="2"/>
        <v>5.73</v>
      </c>
      <c r="I20" s="32">
        <f t="shared" si="3"/>
        <v>722</v>
      </c>
      <c r="J20" s="33">
        <v>30</v>
      </c>
      <c r="K20" s="34">
        <v>6.83</v>
      </c>
      <c r="L20" s="35">
        <v>606</v>
      </c>
      <c r="M20" s="36">
        <v>15</v>
      </c>
      <c r="N20" s="37">
        <v>9.0500000000000007</v>
      </c>
      <c r="O20" s="38">
        <v>457</v>
      </c>
      <c r="P20" s="39">
        <v>5</v>
      </c>
      <c r="Q20" s="40">
        <v>17.91</v>
      </c>
      <c r="R20" s="41">
        <v>231</v>
      </c>
    </row>
    <row r="21" spans="1:18" ht="14.6" x14ac:dyDescent="0.35">
      <c r="A21" s="25" t="s">
        <v>58</v>
      </c>
      <c r="B21" s="21">
        <v>2350</v>
      </c>
      <c r="C21" s="26">
        <v>0.88</v>
      </c>
      <c r="D21" s="21">
        <v>7.919999999999999</v>
      </c>
      <c r="E21" s="27">
        <v>0.41670000000000001</v>
      </c>
      <c r="F21" s="23">
        <v>5.1900000000000002E-2</v>
      </c>
      <c r="G21" s="30">
        <v>60</v>
      </c>
      <c r="H21" s="31">
        <v>5.35</v>
      </c>
      <c r="I21" s="32">
        <v>387</v>
      </c>
      <c r="J21" s="42">
        <v>30</v>
      </c>
      <c r="K21" s="42">
        <v>6.07</v>
      </c>
      <c r="L21" s="43">
        <v>341</v>
      </c>
      <c r="M21" s="44">
        <v>15</v>
      </c>
      <c r="N21" s="44">
        <v>7.53</v>
      </c>
      <c r="O21" s="45">
        <v>275</v>
      </c>
      <c r="P21" s="46">
        <v>5</v>
      </c>
      <c r="Q21" s="46">
        <v>13.34</v>
      </c>
      <c r="R21" s="47">
        <v>155</v>
      </c>
    </row>
    <row r="22" spans="1:18" ht="14.6" x14ac:dyDescent="0.35">
      <c r="A22" s="25" t="s">
        <v>59</v>
      </c>
      <c r="B22" s="21">
        <v>2350</v>
      </c>
      <c r="C22" s="26">
        <v>0.88</v>
      </c>
      <c r="D22" s="21">
        <v>7.919999999999999</v>
      </c>
      <c r="E22" s="27">
        <v>0.41670000000000001</v>
      </c>
      <c r="F22" s="23">
        <v>5.2299999999999999E-2</v>
      </c>
      <c r="G22" s="30">
        <v>60</v>
      </c>
      <c r="H22" s="31">
        <v>5.35</v>
      </c>
      <c r="I22" s="32">
        <v>387</v>
      </c>
      <c r="J22" s="42">
        <v>30</v>
      </c>
      <c r="K22" s="42">
        <v>6.08</v>
      </c>
      <c r="L22" s="43">
        <v>340</v>
      </c>
      <c r="M22" s="44">
        <v>15</v>
      </c>
      <c r="N22" s="44">
        <v>7.55</v>
      </c>
      <c r="O22" s="45">
        <v>274</v>
      </c>
      <c r="P22" s="46">
        <v>5</v>
      </c>
      <c r="Q22" s="46">
        <v>13.41</v>
      </c>
      <c r="R22" s="47">
        <v>154</v>
      </c>
    </row>
    <row r="23" spans="1:18" ht="14.6" x14ac:dyDescent="0.35">
      <c r="A23" s="25" t="s">
        <v>60</v>
      </c>
      <c r="B23" s="21">
        <v>2350</v>
      </c>
      <c r="C23" s="26">
        <v>0.88</v>
      </c>
      <c r="D23" s="21">
        <v>7.919999999999999</v>
      </c>
      <c r="E23" s="27">
        <v>0.41670000000000001</v>
      </c>
      <c r="F23" s="23">
        <v>0.1565</v>
      </c>
      <c r="G23" s="30">
        <v>60</v>
      </c>
      <c r="H23" s="31">
        <v>6.81</v>
      </c>
      <c r="I23" s="32">
        <v>304</v>
      </c>
      <c r="J23" s="42">
        <v>30</v>
      </c>
      <c r="K23" s="42">
        <v>9</v>
      </c>
      <c r="L23" s="43">
        <v>230</v>
      </c>
      <c r="M23" s="44">
        <v>15</v>
      </c>
      <c r="N23" s="44">
        <v>13.38</v>
      </c>
      <c r="O23" s="45">
        <v>155</v>
      </c>
      <c r="P23" s="46">
        <v>5</v>
      </c>
      <c r="Q23" s="46">
        <v>30.91</v>
      </c>
      <c r="R23" s="47">
        <v>67</v>
      </c>
    </row>
    <row r="24" spans="1:18" ht="14.6" x14ac:dyDescent="0.35">
      <c r="A24" s="25" t="s">
        <v>61</v>
      </c>
      <c r="B24" s="21">
        <v>2350</v>
      </c>
      <c r="C24" s="26">
        <v>0.88</v>
      </c>
      <c r="D24" s="21">
        <v>7.919999999999999</v>
      </c>
      <c r="E24" s="27">
        <v>0.41670000000000001</v>
      </c>
      <c r="F24" s="23">
        <v>2.64E-2</v>
      </c>
      <c r="G24" s="30">
        <v>60</v>
      </c>
      <c r="H24" s="31">
        <v>4.99</v>
      </c>
      <c r="I24" s="32">
        <v>414</v>
      </c>
      <c r="J24" s="42">
        <v>30</v>
      </c>
      <c r="K24" s="42">
        <v>5.36</v>
      </c>
      <c r="L24" s="43">
        <v>386</v>
      </c>
      <c r="M24" s="44">
        <v>15</v>
      </c>
      <c r="N24" s="44">
        <v>6.1</v>
      </c>
      <c r="O24" s="45">
        <v>339</v>
      </c>
      <c r="P24" s="46">
        <v>5</v>
      </c>
      <c r="Q24" s="46">
        <v>9.0500000000000007</v>
      </c>
      <c r="R24" s="47">
        <v>229</v>
      </c>
    </row>
    <row r="25" spans="1:18" ht="14.6" x14ac:dyDescent="0.35">
      <c r="A25" s="25" t="s">
        <v>62</v>
      </c>
      <c r="B25" s="21">
        <v>2350</v>
      </c>
      <c r="C25" s="26">
        <v>0.88</v>
      </c>
      <c r="D25" s="21">
        <v>7.919999999999999</v>
      </c>
      <c r="E25" s="27">
        <v>0.41670000000000001</v>
      </c>
      <c r="F25" s="23">
        <v>2.64E-2</v>
      </c>
      <c r="G25" s="30">
        <v>60</v>
      </c>
      <c r="H25" s="31">
        <v>4.99</v>
      </c>
      <c r="I25" s="32">
        <v>414</v>
      </c>
      <c r="J25" s="42">
        <v>30</v>
      </c>
      <c r="K25" s="42">
        <v>5.36</v>
      </c>
      <c r="L25" s="43">
        <v>386</v>
      </c>
      <c r="M25" s="44">
        <v>15</v>
      </c>
      <c r="N25" s="44">
        <v>6.1</v>
      </c>
      <c r="O25" s="45">
        <v>339</v>
      </c>
      <c r="P25" s="46">
        <v>5</v>
      </c>
      <c r="Q25" s="46">
        <v>9.0500000000000007</v>
      </c>
      <c r="R25" s="47">
        <v>229</v>
      </c>
    </row>
    <row r="26" spans="1:18" ht="14.6" x14ac:dyDescent="0.35">
      <c r="A26" s="25" t="s">
        <v>63</v>
      </c>
      <c r="B26" s="21">
        <v>2350</v>
      </c>
      <c r="C26" s="26">
        <v>0.88</v>
      </c>
      <c r="D26" s="21">
        <v>7.919999999999999</v>
      </c>
      <c r="E26" s="27">
        <v>0.41670000000000001</v>
      </c>
      <c r="F26" s="23">
        <v>7.9100000000000004E-2</v>
      </c>
      <c r="G26" s="30">
        <v>60</v>
      </c>
      <c r="H26" s="31">
        <v>5.73</v>
      </c>
      <c r="I26" s="32">
        <v>361</v>
      </c>
      <c r="J26" s="42">
        <v>30</v>
      </c>
      <c r="K26" s="42">
        <v>6.83</v>
      </c>
      <c r="L26" s="43">
        <v>303</v>
      </c>
      <c r="M26" s="44">
        <v>15</v>
      </c>
      <c r="N26" s="44">
        <v>9.0500000000000007</v>
      </c>
      <c r="O26" s="45">
        <v>229</v>
      </c>
      <c r="P26" s="46">
        <v>5</v>
      </c>
      <c r="Q26" s="46">
        <v>17.91</v>
      </c>
      <c r="R26" s="47">
        <v>115</v>
      </c>
    </row>
    <row r="28" spans="1:18" ht="14.6" x14ac:dyDescent="0.35">
      <c r="A28" s="28" t="s">
        <v>57</v>
      </c>
    </row>
    <row r="29" spans="1:18" x14ac:dyDescent="0.3">
      <c r="A29" s="86" t="s">
        <v>65</v>
      </c>
      <c r="B29" s="140"/>
      <c r="C29" s="140"/>
      <c r="D29" s="140"/>
      <c r="E29" s="140"/>
      <c r="F29" s="140"/>
      <c r="G29" s="140"/>
      <c r="H29" s="140"/>
      <c r="I29" s="140"/>
    </row>
    <row r="30" spans="1:18" x14ac:dyDescent="0.3">
      <c r="A30" s="140"/>
      <c r="B30" s="140"/>
      <c r="C30" s="140"/>
      <c r="D30" s="140"/>
      <c r="E30" s="140"/>
      <c r="F30" s="140"/>
      <c r="G30" s="140"/>
      <c r="H30" s="140"/>
      <c r="I30" s="140"/>
    </row>
    <row r="31" spans="1:18" x14ac:dyDescent="0.3">
      <c r="A31" s="140"/>
      <c r="B31" s="140"/>
      <c r="C31" s="140"/>
      <c r="D31" s="140"/>
      <c r="E31" s="140"/>
      <c r="F31" s="140"/>
      <c r="G31" s="140"/>
      <c r="H31" s="140"/>
      <c r="I31" s="140"/>
    </row>
    <row r="32" spans="1:18" x14ac:dyDescent="0.3">
      <c r="A32" s="140"/>
      <c r="B32" s="140"/>
      <c r="C32" s="140"/>
      <c r="D32" s="140"/>
      <c r="E32" s="140"/>
      <c r="F32" s="140"/>
      <c r="G32" s="140"/>
      <c r="H32" s="140"/>
      <c r="I32" s="140"/>
    </row>
    <row r="33" spans="1:9" x14ac:dyDescent="0.3">
      <c r="A33" s="140"/>
      <c r="B33" s="140"/>
      <c r="C33" s="140"/>
      <c r="D33" s="140"/>
      <c r="E33" s="140"/>
      <c r="F33" s="140"/>
      <c r="G33" s="140"/>
      <c r="H33" s="140"/>
      <c r="I33" s="140"/>
    </row>
    <row r="34" spans="1:9" x14ac:dyDescent="0.3">
      <c r="A34" s="140"/>
      <c r="B34" s="140"/>
      <c r="C34" s="140"/>
      <c r="D34" s="140"/>
      <c r="E34" s="140"/>
      <c r="F34" s="140"/>
      <c r="G34" s="140"/>
      <c r="H34" s="140"/>
      <c r="I34" s="140"/>
    </row>
  </sheetData>
  <mergeCells count="4">
    <mergeCell ref="A1:F1"/>
    <mergeCell ref="A8:A9"/>
    <mergeCell ref="A10:A11"/>
    <mergeCell ref="A29:I3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0538-A8EF-44B3-8EF3-4B14D5105D22}">
  <dimension ref="A1"/>
  <sheetViews>
    <sheetView topLeftCell="A37" workbookViewId="0">
      <selection activeCell="T67" sqref="T67"/>
    </sheetView>
  </sheetViews>
  <sheetFormatPr defaultRowHeight="14.1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S2101~S2105</vt:lpstr>
      <vt:lpstr>S2100 Data logger</vt:lpstr>
      <vt:lpstr>S2120</vt:lpstr>
      <vt:lpstr>Batery Datasheet</vt:lpstr>
      <vt:lpstr>传感器类型</vt:lpstr>
      <vt:lpstr>供电类型</vt:lpstr>
      <vt:lpstr>开启电源</vt:lpstr>
      <vt:lpstr>开启对外供电</vt:lpstr>
      <vt:lpstr>频段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2023-01-12T01:07:37Z</dcterms:modified>
</cp:coreProperties>
</file>