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혜림\Desktop\"/>
    </mc:Choice>
  </mc:AlternateContent>
  <xr:revisionPtr revIDLastSave="0" documentId="13_ncr:1_{D3574025-C359-4797-953D-09B8045AF9E0}" xr6:coauthVersionLast="47" xr6:coauthVersionMax="47" xr10:uidLastSave="{00000000-0000-0000-0000-000000000000}"/>
  <bookViews>
    <workbookView xWindow="-108" yWindow="-108" windowWidth="23256" windowHeight="12576" tabRatio="815" firstSheet="23" activeTab="23" xr2:uid="{78762053-9E56-4302-820E-C5BAEDF05137}"/>
  </bookViews>
  <sheets>
    <sheet name="Lec2▶" sheetId="3" r:id="rId1"/>
    <sheet name="E-commerce Example" sheetId="1" r:id="rId2"/>
    <sheet name="Churn example" sheetId="2" r:id="rId3"/>
    <sheet name="Lec3▶" sheetId="4" r:id="rId4"/>
    <sheet name="1)CAC" sheetId="10" r:id="rId5"/>
    <sheet name="Simple Calculation" sheetId="5" r:id="rId6"/>
    <sheet name="Overstimating CAC - 12" sheetId="6" r:id="rId7"/>
    <sheet name="Overstimating CAC" sheetId="7" r:id="rId8"/>
    <sheet name="Average Cycle" sheetId="8" r:id="rId9"/>
    <sheet name="Graph" sheetId="9" r:id="rId10"/>
    <sheet name="2)In-class ex" sheetId="11" r:id="rId11"/>
    <sheet name="CAC investor and companies" sheetId="12" r:id="rId12"/>
    <sheet name="AdWords Example" sheetId="13" r:id="rId13"/>
    <sheet name="Industry CAC benchmark" sheetId="14" r:id="rId14"/>
    <sheet name="Docu Sign example" sheetId="15" r:id="rId15"/>
    <sheet name="Channel Segment Example" sheetId="16" r:id="rId16"/>
    <sheet name="Conversion Rate Example" sheetId="17" r:id="rId17"/>
    <sheet name="Lec4▶" sheetId="18" r:id="rId18"/>
    <sheet name="Retention channels" sheetId="19" r:id="rId19"/>
    <sheet name="retention" sheetId="20" r:id="rId20"/>
    <sheet name="Example 1" sheetId="21" r:id="rId21"/>
    <sheet name="In-class cohort" sheetId="22" r:id="rId22"/>
    <sheet name="In-class case" sheetId="23" r:id="rId23"/>
    <sheet name="Lec5▶" sheetId="24" r:id="rId24"/>
    <sheet name="In class latency " sheetId="25" r:id="rId25"/>
    <sheet name="turning latency to profit" sheetId="26" r:id="rId26"/>
    <sheet name="ROI example" sheetId="27" r:id="rId27"/>
    <sheet name="Naive LTV" sheetId="28" r:id="rId28"/>
    <sheet name="RFM" sheetId="29" r:id="rId29"/>
    <sheet name="in-class RFM example" sheetId="30" r:id="rId30"/>
  </sheets>
  <externalReferences>
    <externalReference r:id="rId31"/>
  </externalReferences>
  <definedNames>
    <definedName name="_xlnm._FilterDatabase" localSheetId="18" hidden="1">'Retention channels'!$A$1:$D$1</definedName>
  </definedNames>
  <calcPr calcId="181029"/>
  <pivotCaches>
    <pivotCache cacheId="0" r:id="rId32"/>
    <pivotCache cacheId="1" r:id="rId3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3" i="1"/>
  <c r="C16" i="1"/>
  <c r="C17" i="1"/>
  <c r="C12" i="1"/>
  <c r="E20" i="2"/>
  <c r="D20" i="2"/>
  <c r="Z30" i="30" l="1"/>
  <c r="Y30" i="30"/>
  <c r="X30" i="30"/>
  <c r="Y29" i="30"/>
  <c r="Z29" i="30" s="1"/>
  <c r="X29" i="30"/>
  <c r="Y28" i="30"/>
  <c r="Z28" i="30" s="1"/>
  <c r="X28" i="30"/>
  <c r="Z27" i="30"/>
  <c r="Y27" i="30"/>
  <c r="X27" i="30"/>
  <c r="Y26" i="30"/>
  <c r="Z26" i="30" s="1"/>
  <c r="X26" i="30"/>
  <c r="Y25" i="30"/>
  <c r="Z25" i="30" s="1"/>
  <c r="X25" i="30"/>
  <c r="Z24" i="30"/>
  <c r="Y24" i="30"/>
  <c r="X24" i="30"/>
  <c r="Y23" i="30"/>
  <c r="Z23" i="30" s="1"/>
  <c r="X23" i="30"/>
  <c r="Y22" i="30"/>
  <c r="Z22" i="30" s="1"/>
  <c r="X22" i="30"/>
  <c r="Z21" i="30"/>
  <c r="Y21" i="30"/>
  <c r="X21" i="30"/>
  <c r="Y20" i="30"/>
  <c r="Z20" i="30" s="1"/>
  <c r="X20" i="30"/>
  <c r="Y19" i="30"/>
  <c r="Z19" i="30" s="1"/>
  <c r="X19" i="30"/>
  <c r="Z18" i="30"/>
  <c r="Y18" i="30"/>
  <c r="X18" i="30"/>
  <c r="Y17" i="30"/>
  <c r="Z17" i="30" s="1"/>
  <c r="X17" i="30"/>
  <c r="Y16" i="30"/>
  <c r="Z16" i="30" s="1"/>
  <c r="X16" i="30"/>
  <c r="Z15" i="30"/>
  <c r="Y15" i="30"/>
  <c r="X15" i="30"/>
  <c r="M6" i="30"/>
  <c r="G33" i="30" s="1"/>
  <c r="L6" i="30"/>
  <c r="F38" i="30" s="1"/>
  <c r="K6" i="30"/>
  <c r="E31" i="30" s="1"/>
  <c r="M5" i="30"/>
  <c r="L5" i="30"/>
  <c r="K5" i="30"/>
  <c r="M4" i="30"/>
  <c r="L4" i="30"/>
  <c r="K4" i="30"/>
  <c r="K1" i="30"/>
  <c r="G19" i="28"/>
  <c r="F17" i="28"/>
  <c r="F16" i="28"/>
  <c r="F15" i="28"/>
  <c r="F14" i="28"/>
  <c r="F13" i="28"/>
  <c r="F12" i="28"/>
  <c r="F11" i="28"/>
  <c r="F10" i="28"/>
  <c r="F9" i="28"/>
  <c r="C9" i="28"/>
  <c r="E9" i="28" s="1"/>
  <c r="G9" i="28" s="1"/>
  <c r="G8" i="28"/>
  <c r="F8" i="28"/>
  <c r="E8" i="28"/>
  <c r="D8" i="28"/>
  <c r="E8" i="27"/>
  <c r="D8" i="27"/>
  <c r="C8" i="27"/>
  <c r="E7" i="27"/>
  <c r="E10" i="27" s="1"/>
  <c r="D7" i="27"/>
  <c r="D10" i="27" s="1"/>
  <c r="C7" i="27"/>
  <c r="C10" i="27" s="1"/>
  <c r="E6" i="27"/>
  <c r="D6" i="27"/>
  <c r="C6" i="27"/>
  <c r="G6" i="30" l="1"/>
  <c r="E14" i="30"/>
  <c r="F33" i="30"/>
  <c r="C10" i="28"/>
  <c r="E36" i="30"/>
  <c r="G38" i="30"/>
  <c r="E41" i="30"/>
  <c r="H41" i="30" s="1"/>
  <c r="E44" i="30"/>
  <c r="H44" i="30" s="1"/>
  <c r="E47" i="30"/>
  <c r="H47" i="30" s="1"/>
  <c r="E50" i="30"/>
  <c r="H50" i="30" s="1"/>
  <c r="F41" i="30"/>
  <c r="F44" i="30"/>
  <c r="F47" i="30"/>
  <c r="F50" i="30"/>
  <c r="G12" i="30"/>
  <c r="E34" i="30"/>
  <c r="H34" i="30" s="1"/>
  <c r="G36" i="30"/>
  <c r="G41" i="30"/>
  <c r="G44" i="30"/>
  <c r="G47" i="30"/>
  <c r="G50" i="30"/>
  <c r="G16" i="30"/>
  <c r="G19" i="30"/>
  <c r="G22" i="30"/>
  <c r="F5" i="30"/>
  <c r="G5" i="30"/>
  <c r="E7" i="30"/>
  <c r="E10" i="30"/>
  <c r="E15" i="30"/>
  <c r="E18" i="30"/>
  <c r="E21" i="30"/>
  <c r="E24" i="30"/>
  <c r="E27" i="30"/>
  <c r="H27" i="30" s="1"/>
  <c r="E30" i="30"/>
  <c r="H30" i="30" s="1"/>
  <c r="F34" i="30"/>
  <c r="E39" i="30"/>
  <c r="F9" i="30"/>
  <c r="E12" i="30"/>
  <c r="G14" i="30"/>
  <c r="F16" i="30"/>
  <c r="F19" i="30"/>
  <c r="F22" i="30"/>
  <c r="F25" i="30"/>
  <c r="F28" i="30"/>
  <c r="F31" i="30"/>
  <c r="H31" i="30" s="1"/>
  <c r="E5" i="30"/>
  <c r="H5" i="30" s="1"/>
  <c r="G9" i="30"/>
  <c r="F12" i="30"/>
  <c r="G25" i="30"/>
  <c r="G28" i="30"/>
  <c r="G31" i="30"/>
  <c r="F36" i="30"/>
  <c r="F7" i="30"/>
  <c r="F10" i="30"/>
  <c r="F15" i="30"/>
  <c r="F18" i="30"/>
  <c r="F21" i="30"/>
  <c r="F24" i="30"/>
  <c r="F27" i="30"/>
  <c r="F30" i="30"/>
  <c r="E32" i="30"/>
  <c r="G34" i="30"/>
  <c r="F39" i="30"/>
  <c r="E42" i="30"/>
  <c r="E45" i="30"/>
  <c r="E48" i="30"/>
  <c r="E51" i="30"/>
  <c r="H51" i="30" s="1"/>
  <c r="G7" i="30"/>
  <c r="G10" i="30"/>
  <c r="E13" i="30"/>
  <c r="H13" i="30" s="1"/>
  <c r="G15" i="30"/>
  <c r="G18" i="30"/>
  <c r="G21" i="30"/>
  <c r="G24" i="30"/>
  <c r="G27" i="30"/>
  <c r="G30" i="30"/>
  <c r="F32" i="30"/>
  <c r="E37" i="30"/>
  <c r="G39" i="30"/>
  <c r="F42" i="30"/>
  <c r="F45" i="30"/>
  <c r="F48" i="30"/>
  <c r="F51" i="30"/>
  <c r="F13" i="30"/>
  <c r="G32" i="30"/>
  <c r="F37" i="30"/>
  <c r="G42" i="30"/>
  <c r="G45" i="30"/>
  <c r="G48" i="30"/>
  <c r="G51" i="30"/>
  <c r="E8" i="30"/>
  <c r="E11" i="30"/>
  <c r="H11" i="30" s="1"/>
  <c r="G13" i="30"/>
  <c r="E17" i="30"/>
  <c r="H17" i="30" s="1"/>
  <c r="E20" i="30"/>
  <c r="E23" i="30"/>
  <c r="E26" i="30"/>
  <c r="E29" i="30"/>
  <c r="E35" i="30"/>
  <c r="G37" i="30"/>
  <c r="E4" i="30"/>
  <c r="D9" i="28"/>
  <c r="F4" i="30"/>
  <c r="G4" i="30"/>
  <c r="E6" i="30"/>
  <c r="H6" i="30" s="1"/>
  <c r="F8" i="30"/>
  <c r="F11" i="30"/>
  <c r="F17" i="30"/>
  <c r="F20" i="30"/>
  <c r="F23" i="30"/>
  <c r="F26" i="30"/>
  <c r="F29" i="30"/>
  <c r="F35" i="30"/>
  <c r="E40" i="30"/>
  <c r="E43" i="30"/>
  <c r="E46" i="30"/>
  <c r="H46" i="30" s="1"/>
  <c r="E49" i="30"/>
  <c r="H49" i="30" s="1"/>
  <c r="E52" i="30"/>
  <c r="H52" i="30" s="1"/>
  <c r="F6" i="30"/>
  <c r="G8" i="30"/>
  <c r="G11" i="30"/>
  <c r="G17" i="30"/>
  <c r="G20" i="30"/>
  <c r="G23" i="30"/>
  <c r="G26" i="30"/>
  <c r="G29" i="30"/>
  <c r="E33" i="30"/>
  <c r="H33" i="30" s="1"/>
  <c r="G35" i="30"/>
  <c r="F40" i="30"/>
  <c r="F43" i="30"/>
  <c r="F46" i="30"/>
  <c r="F49" i="30"/>
  <c r="F52" i="30"/>
  <c r="E38" i="30"/>
  <c r="H38" i="30" s="1"/>
  <c r="G40" i="30"/>
  <c r="G43" i="30"/>
  <c r="G46" i="30"/>
  <c r="G49" i="30"/>
  <c r="G52" i="30"/>
  <c r="E9" i="30"/>
  <c r="H9" i="30" s="1"/>
  <c r="F14" i="30"/>
  <c r="E16" i="30"/>
  <c r="H16" i="30" s="1"/>
  <c r="E19" i="30"/>
  <c r="E22" i="30"/>
  <c r="H22" i="30" s="1"/>
  <c r="E25" i="30"/>
  <c r="H25" i="30" s="1"/>
  <c r="E28" i="30"/>
  <c r="H8" i="30" l="1"/>
  <c r="H21" i="30"/>
  <c r="H40" i="30"/>
  <c r="H37" i="30"/>
  <c r="H48" i="30"/>
  <c r="H18" i="30"/>
  <c r="H4" i="30"/>
  <c r="H45" i="30"/>
  <c r="H15" i="30"/>
  <c r="H36" i="30"/>
  <c r="H42" i="30"/>
  <c r="H10" i="30"/>
  <c r="C11" i="28"/>
  <c r="E10" i="28"/>
  <c r="G10" i="28" s="1"/>
  <c r="D10" i="28"/>
  <c r="H43" i="30"/>
  <c r="H35" i="30"/>
  <c r="H7" i="30"/>
  <c r="H28" i="30"/>
  <c r="H29" i="30"/>
  <c r="H12" i="30"/>
  <c r="H14" i="30"/>
  <c r="H24" i="30"/>
  <c r="H32" i="30"/>
  <c r="H23" i="30"/>
  <c r="H39" i="30"/>
  <c r="H26" i="30"/>
  <c r="H19" i="30"/>
  <c r="H20" i="30"/>
  <c r="M35" i="30" l="1"/>
  <c r="M29" i="30"/>
  <c r="M26" i="30"/>
  <c r="M23" i="30"/>
  <c r="M20" i="30"/>
  <c r="M17" i="30"/>
  <c r="M11" i="30"/>
  <c r="M37" i="30"/>
  <c r="M13" i="30"/>
  <c r="M32" i="30"/>
  <c r="M39" i="30"/>
  <c r="M30" i="30"/>
  <c r="M27" i="30"/>
  <c r="M24" i="30"/>
  <c r="M21" i="30"/>
  <c r="M18" i="30"/>
  <c r="M15" i="30"/>
  <c r="M34" i="30"/>
  <c r="M36" i="30"/>
  <c r="M12" i="30"/>
  <c r="M31" i="30"/>
  <c r="M28" i="30"/>
  <c r="M25" i="30"/>
  <c r="M22" i="30"/>
  <c r="M19" i="30"/>
  <c r="M16" i="30"/>
  <c r="M33" i="30"/>
  <c r="M38" i="30"/>
  <c r="M14" i="30"/>
  <c r="E11" i="28"/>
  <c r="G11" i="28" s="1"/>
  <c r="D11" i="28"/>
  <c r="C12" i="28"/>
  <c r="D12" i="28" l="1"/>
  <c r="C13" i="28"/>
  <c r="E12" i="28"/>
  <c r="G12" i="28" s="1"/>
  <c r="C14" i="28" l="1"/>
  <c r="E13" i="28"/>
  <c r="G13" i="28" s="1"/>
  <c r="D13" i="28"/>
  <c r="D14" i="28" l="1"/>
  <c r="E14" i="28"/>
  <c r="G14" i="28" s="1"/>
  <c r="C15" i="28"/>
  <c r="C16" i="28" l="1"/>
  <c r="D15" i="28"/>
  <c r="E15" i="28"/>
  <c r="G15" i="28" s="1"/>
  <c r="E16" i="28" l="1"/>
  <c r="G16" i="28" s="1"/>
  <c r="D16" i="28"/>
  <c r="C17" i="28"/>
  <c r="E17" i="28" l="1"/>
  <c r="G17" i="28" s="1"/>
  <c r="G18" i="28" s="1"/>
  <c r="D17" i="28"/>
  <c r="G25" i="23" l="1"/>
  <c r="C25" i="23"/>
  <c r="H23" i="23"/>
  <c r="H25" i="23" s="1"/>
  <c r="G23" i="23"/>
  <c r="F23" i="23"/>
  <c r="F25" i="23" s="1"/>
  <c r="E23" i="23"/>
  <c r="E25" i="23" s="1"/>
  <c r="D23" i="23"/>
  <c r="D25" i="23" s="1"/>
  <c r="C23" i="23"/>
  <c r="B23" i="23"/>
  <c r="B25" i="23" s="1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C41" i="22"/>
  <c r="C40" i="22"/>
  <c r="D39" i="22"/>
  <c r="C39" i="22"/>
  <c r="C38" i="22"/>
  <c r="G37" i="22"/>
  <c r="F37" i="22"/>
  <c r="E37" i="22"/>
  <c r="D37" i="22"/>
  <c r="C37" i="22"/>
  <c r="H36" i="22"/>
  <c r="H42" i="22" s="1"/>
  <c r="G36" i="22"/>
  <c r="G42" i="22" s="1"/>
  <c r="D36" i="22"/>
  <c r="H21" i="22"/>
  <c r="G21" i="22"/>
  <c r="F21" i="22"/>
  <c r="E21" i="22"/>
  <c r="D21" i="22"/>
  <c r="C21" i="22"/>
  <c r="K19" i="22"/>
  <c r="D40" i="22" s="1"/>
  <c r="L18" i="22"/>
  <c r="E39" i="22" s="1"/>
  <c r="K18" i="22"/>
  <c r="M17" i="22"/>
  <c r="F38" i="22" s="1"/>
  <c r="L17" i="22"/>
  <c r="E38" i="22" s="1"/>
  <c r="K17" i="22"/>
  <c r="D38" i="22" s="1"/>
  <c r="N16" i="22"/>
  <c r="M16" i="22"/>
  <c r="L16" i="22"/>
  <c r="K16" i="22"/>
  <c r="O15" i="22"/>
  <c r="N15" i="22"/>
  <c r="M15" i="22"/>
  <c r="F36" i="22" s="1"/>
  <c r="F42" i="22" s="1"/>
  <c r="L15" i="22"/>
  <c r="E36" i="22" s="1"/>
  <c r="K15" i="22"/>
  <c r="J15" i="22"/>
  <c r="C36" i="22" s="1"/>
  <c r="C42" i="22" s="1"/>
  <c r="H10" i="22"/>
  <c r="G10" i="22"/>
  <c r="F10" i="22"/>
  <c r="E10" i="22"/>
  <c r="D10" i="22"/>
  <c r="C10" i="22"/>
  <c r="F13" i="21"/>
  <c r="E13" i="21"/>
  <c r="D13" i="21"/>
  <c r="C13" i="21"/>
  <c r="F12" i="21"/>
  <c r="E12" i="21"/>
  <c r="D12" i="21"/>
  <c r="C12" i="21"/>
  <c r="F11" i="21"/>
  <c r="F14" i="21" s="1"/>
  <c r="E11" i="21"/>
  <c r="E14" i="21" s="1"/>
  <c r="D11" i="21"/>
  <c r="D14" i="21" s="1"/>
  <c r="C11" i="21"/>
  <c r="C14" i="21" s="1"/>
  <c r="C9" i="21"/>
  <c r="F4" i="21"/>
  <c r="F5" i="21" s="1"/>
  <c r="E4" i="21"/>
  <c r="E5" i="21" s="1"/>
  <c r="D4" i="21"/>
  <c r="D5" i="21" s="1"/>
  <c r="C4" i="21"/>
  <c r="C5" i="21" s="1"/>
  <c r="G20" i="20"/>
  <c r="F20" i="20"/>
  <c r="E20" i="20"/>
  <c r="G19" i="20"/>
  <c r="F19" i="20"/>
  <c r="G16" i="20"/>
  <c r="F16" i="20"/>
  <c r="E16" i="20"/>
  <c r="G8" i="20"/>
  <c r="G9" i="20" s="1"/>
  <c r="F8" i="20"/>
  <c r="F9" i="20" s="1"/>
  <c r="E8" i="20"/>
  <c r="E9" i="20" s="1"/>
  <c r="G5" i="20"/>
  <c r="F5" i="20"/>
  <c r="I25" i="23" l="1"/>
  <c r="D42" i="22"/>
  <c r="E42" i="22"/>
  <c r="Q3" i="23" l="1"/>
  <c r="R3" i="23"/>
  <c r="P3" i="23"/>
  <c r="O3" i="23"/>
  <c r="N3" i="23"/>
  <c r="M3" i="23"/>
  <c r="L3" i="23"/>
  <c r="S3" i="23" l="1"/>
  <c r="L4" i="23" s="1"/>
  <c r="M4" i="23"/>
  <c r="N4" i="23"/>
  <c r="O4" i="23"/>
  <c r="P4" i="23"/>
  <c r="R4" i="23"/>
  <c r="Q4" i="23"/>
  <c r="F12" i="17" l="1"/>
  <c r="F13" i="17" s="1"/>
  <c r="E12" i="17"/>
  <c r="E13" i="17" s="1"/>
  <c r="E14" i="17" s="1"/>
  <c r="D12" i="17"/>
  <c r="D13" i="17" s="1"/>
  <c r="D10" i="17"/>
  <c r="E8" i="17"/>
  <c r="G8" i="17" s="1"/>
  <c r="G7" i="17"/>
  <c r="G6" i="17"/>
  <c r="F4" i="17"/>
  <c r="F10" i="17" s="1"/>
  <c r="E4" i="17"/>
  <c r="E10" i="17" s="1"/>
  <c r="M15" i="16"/>
  <c r="L15" i="16"/>
  <c r="K15" i="16"/>
  <c r="J15" i="16"/>
  <c r="I15" i="16"/>
  <c r="H15" i="16"/>
  <c r="G15" i="16"/>
  <c r="F15" i="16"/>
  <c r="E15" i="16"/>
  <c r="D15" i="16"/>
  <c r="C15" i="16"/>
  <c r="B15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M8" i="16"/>
  <c r="L8" i="16"/>
  <c r="K8" i="16"/>
  <c r="J8" i="16"/>
  <c r="I8" i="16"/>
  <c r="H8" i="16"/>
  <c r="G8" i="16"/>
  <c r="F8" i="16"/>
  <c r="E8" i="16"/>
  <c r="D8" i="16"/>
  <c r="C8" i="16"/>
  <c r="B8" i="16"/>
  <c r="L7" i="16"/>
  <c r="L12" i="16" s="1"/>
  <c r="K7" i="16"/>
  <c r="K12" i="16" s="1"/>
  <c r="M2" i="16"/>
  <c r="M7" i="16" s="1"/>
  <c r="M12" i="16" s="1"/>
  <c r="L2" i="16"/>
  <c r="K2" i="16"/>
  <c r="J2" i="16"/>
  <c r="J7" i="16" s="1"/>
  <c r="J12" i="16" s="1"/>
  <c r="I2" i="16"/>
  <c r="I7" i="16" s="1"/>
  <c r="I12" i="16" s="1"/>
  <c r="H2" i="16"/>
  <c r="H7" i="16" s="1"/>
  <c r="H12" i="16" s="1"/>
  <c r="G2" i="16"/>
  <c r="G7" i="16" s="1"/>
  <c r="G12" i="16" s="1"/>
  <c r="F2" i="16"/>
  <c r="F7" i="16" s="1"/>
  <c r="F12" i="16" s="1"/>
  <c r="E2" i="16"/>
  <c r="E7" i="16" s="1"/>
  <c r="E12" i="16" s="1"/>
  <c r="D2" i="16"/>
  <c r="D7" i="16" s="1"/>
  <c r="D12" i="16" s="1"/>
  <c r="C2" i="16"/>
  <c r="C7" i="16" s="1"/>
  <c r="C12" i="16" s="1"/>
  <c r="B2" i="16"/>
  <c r="B7" i="16" s="1"/>
  <c r="B12" i="16" s="1"/>
  <c r="J24" i="15"/>
  <c r="I24" i="15"/>
  <c r="I23" i="15"/>
  <c r="H23" i="15"/>
  <c r="G23" i="15"/>
  <c r="I22" i="15"/>
  <c r="F22" i="15"/>
  <c r="E22" i="15"/>
  <c r="K16" i="15"/>
  <c r="J16" i="15"/>
  <c r="I16" i="15"/>
  <c r="H16" i="15"/>
  <c r="G16" i="15"/>
  <c r="F16" i="15"/>
  <c r="E16" i="15"/>
  <c r="D16" i="15"/>
  <c r="C16" i="15"/>
  <c r="B16" i="15"/>
  <c r="K15" i="15"/>
  <c r="J15" i="15"/>
  <c r="I15" i="15"/>
  <c r="H15" i="15"/>
  <c r="G15" i="15"/>
  <c r="F15" i="15"/>
  <c r="E15" i="15"/>
  <c r="D15" i="15"/>
  <c r="C15" i="15"/>
  <c r="B15" i="15"/>
  <c r="K14" i="15"/>
  <c r="J14" i="15"/>
  <c r="I14" i="15"/>
  <c r="H14" i="15"/>
  <c r="G14" i="15"/>
  <c r="F14" i="15"/>
  <c r="E14" i="15"/>
  <c r="D14" i="15"/>
  <c r="C14" i="15"/>
  <c r="B14" i="15"/>
  <c r="K13" i="15"/>
  <c r="J13" i="15"/>
  <c r="I13" i="15"/>
  <c r="H13" i="15"/>
  <c r="G13" i="15"/>
  <c r="F13" i="15"/>
  <c r="E13" i="15"/>
  <c r="D13" i="15"/>
  <c r="C13" i="15"/>
  <c r="B13" i="15"/>
  <c r="I12" i="15"/>
  <c r="F12" i="15"/>
  <c r="E12" i="15"/>
  <c r="K7" i="15"/>
  <c r="K21" i="15" s="1"/>
  <c r="J7" i="15"/>
  <c r="J21" i="15" s="1"/>
  <c r="I7" i="15"/>
  <c r="I21" i="15" s="1"/>
  <c r="H7" i="15"/>
  <c r="H24" i="15" s="1"/>
  <c r="G7" i="15"/>
  <c r="G24" i="15" s="1"/>
  <c r="F7" i="15"/>
  <c r="F23" i="15" s="1"/>
  <c r="E7" i="15"/>
  <c r="E23" i="15" s="1"/>
  <c r="D7" i="15"/>
  <c r="D22" i="15" s="1"/>
  <c r="C7" i="15"/>
  <c r="C22" i="15" s="1"/>
  <c r="B7" i="15"/>
  <c r="B21" i="15" s="1"/>
  <c r="K6" i="15"/>
  <c r="K12" i="15" s="1"/>
  <c r="J6" i="15"/>
  <c r="J12" i="15" s="1"/>
  <c r="I6" i="15"/>
  <c r="H6" i="15"/>
  <c r="H12" i="15" s="1"/>
  <c r="G6" i="15"/>
  <c r="F6" i="15"/>
  <c r="E6" i="15"/>
  <c r="D6" i="15"/>
  <c r="D12" i="15" s="1"/>
  <c r="C6" i="15"/>
  <c r="C12" i="15" s="1"/>
  <c r="B6" i="15"/>
  <c r="B12" i="15" s="1"/>
  <c r="A5" i="15"/>
  <c r="C14" i="13"/>
  <c r="C13" i="13"/>
  <c r="C11" i="13"/>
  <c r="C17" i="13" s="1"/>
  <c r="D7" i="13"/>
  <c r="D6" i="13"/>
  <c r="D4" i="13"/>
  <c r="D14" i="13" s="1"/>
  <c r="C8" i="12"/>
  <c r="C7" i="12"/>
  <c r="E5" i="12"/>
  <c r="F5" i="12" s="1"/>
  <c r="G5" i="12" s="1"/>
  <c r="H5" i="12" s="1"/>
  <c r="I5" i="12" s="1"/>
  <c r="D5" i="12"/>
  <c r="D4" i="12"/>
  <c r="D7" i="12" s="1"/>
  <c r="E18" i="17" l="1"/>
  <c r="E17" i="17"/>
  <c r="E16" i="17"/>
  <c r="F17" i="17"/>
  <c r="G17" i="17" s="1"/>
  <c r="F16" i="17"/>
  <c r="G16" i="17" s="1"/>
  <c r="D14" i="17"/>
  <c r="D18" i="17" s="1"/>
  <c r="D17" i="17"/>
  <c r="F14" i="17"/>
  <c r="G14" i="17" s="1"/>
  <c r="G13" i="17"/>
  <c r="D16" i="17"/>
  <c r="D21" i="15"/>
  <c r="G12" i="15"/>
  <c r="E21" i="15"/>
  <c r="G22" i="15"/>
  <c r="K24" i="15"/>
  <c r="C21" i="15"/>
  <c r="D11" i="13"/>
  <c r="F21" i="15"/>
  <c r="H22" i="15"/>
  <c r="J23" i="15"/>
  <c r="G12" i="17"/>
  <c r="G21" i="15"/>
  <c r="K23" i="15"/>
  <c r="D8" i="12"/>
  <c r="D13" i="13"/>
  <c r="H21" i="15"/>
  <c r="J22" i="15"/>
  <c r="B24" i="15"/>
  <c r="K22" i="15"/>
  <c r="C24" i="15"/>
  <c r="B23" i="15"/>
  <c r="D24" i="15"/>
  <c r="C16" i="13"/>
  <c r="C23" i="15"/>
  <c r="E24" i="15"/>
  <c r="B22" i="15"/>
  <c r="D23" i="15"/>
  <c r="F24" i="15"/>
  <c r="E4" i="12"/>
  <c r="D17" i="13" l="1"/>
  <c r="D16" i="13"/>
  <c r="F18" i="17"/>
  <c r="G18" i="17" s="1"/>
  <c r="E7" i="12"/>
  <c r="F4" i="12"/>
  <c r="E8" i="12"/>
  <c r="F8" i="12" l="1"/>
  <c r="F7" i="12"/>
  <c r="G4" i="12"/>
  <c r="G8" i="12" l="1"/>
  <c r="G7" i="12"/>
  <c r="H4" i="12"/>
  <c r="H8" i="12" l="1"/>
  <c r="H7" i="12"/>
  <c r="I4" i="12"/>
  <c r="I8" i="12" l="1"/>
  <c r="I7" i="12"/>
  <c r="K4" i="9" l="1"/>
  <c r="J4" i="9"/>
  <c r="I4" i="9"/>
  <c r="H4" i="9"/>
  <c r="G4" i="9"/>
  <c r="M17" i="8"/>
  <c r="N4" i="9" s="1"/>
  <c r="L17" i="8"/>
  <c r="M4" i="9" s="1"/>
  <c r="K17" i="8"/>
  <c r="L4" i="9" s="1"/>
  <c r="J17" i="8"/>
  <c r="I17" i="8"/>
  <c r="H17" i="8"/>
  <c r="G17" i="8"/>
  <c r="F17" i="8"/>
  <c r="E17" i="8"/>
  <c r="F4" i="9" s="1"/>
  <c r="D17" i="8"/>
  <c r="E4" i="9" s="1"/>
  <c r="M15" i="8"/>
  <c r="L15" i="8"/>
  <c r="K15" i="8"/>
  <c r="J15" i="8"/>
  <c r="I15" i="8"/>
  <c r="H15" i="8"/>
  <c r="G15" i="8"/>
  <c r="F15" i="8"/>
  <c r="E15" i="8"/>
  <c r="D15" i="8"/>
  <c r="C15" i="8"/>
  <c r="B15" i="8"/>
  <c r="M4" i="8"/>
  <c r="M6" i="8" s="1"/>
  <c r="L4" i="8"/>
  <c r="L6" i="8" s="1"/>
  <c r="K4" i="8"/>
  <c r="K6" i="8" s="1"/>
  <c r="J4" i="8"/>
  <c r="J6" i="8" s="1"/>
  <c r="I4" i="8"/>
  <c r="I6" i="8" s="1"/>
  <c r="H4" i="8"/>
  <c r="H6" i="8" s="1"/>
  <c r="G4" i="8"/>
  <c r="G6" i="8" s="1"/>
  <c r="F4" i="8"/>
  <c r="F6" i="8" s="1"/>
  <c r="E4" i="8"/>
  <c r="E6" i="8" s="1"/>
  <c r="D4" i="8"/>
  <c r="D6" i="8" s="1"/>
  <c r="C4" i="8"/>
  <c r="C6" i="8" s="1"/>
  <c r="B4" i="8"/>
  <c r="B6" i="8" s="1"/>
  <c r="M15" i="7"/>
  <c r="L15" i="7"/>
  <c r="K15" i="7"/>
  <c r="M17" i="7" s="1"/>
  <c r="N3" i="9" s="1"/>
  <c r="J15" i="7"/>
  <c r="L17" i="7" s="1"/>
  <c r="M3" i="9" s="1"/>
  <c r="I15" i="7"/>
  <c r="K17" i="7" s="1"/>
  <c r="L3" i="9" s="1"/>
  <c r="H15" i="7"/>
  <c r="J17" i="7" s="1"/>
  <c r="K3" i="9" s="1"/>
  <c r="G15" i="7"/>
  <c r="I17" i="7" s="1"/>
  <c r="J3" i="9" s="1"/>
  <c r="F15" i="7"/>
  <c r="H17" i="7" s="1"/>
  <c r="I3" i="9" s="1"/>
  <c r="E15" i="7"/>
  <c r="G17" i="7" s="1"/>
  <c r="H3" i="9" s="1"/>
  <c r="D15" i="7"/>
  <c r="F17" i="7" s="1"/>
  <c r="G3" i="9" s="1"/>
  <c r="C15" i="7"/>
  <c r="E17" i="7" s="1"/>
  <c r="F3" i="9" s="1"/>
  <c r="B15" i="7"/>
  <c r="D17" i="7" s="1"/>
  <c r="E3" i="9" s="1"/>
  <c r="M6" i="7"/>
  <c r="B6" i="7"/>
  <c r="M4" i="7"/>
  <c r="L4" i="7"/>
  <c r="L6" i="7" s="1"/>
  <c r="K4" i="7"/>
  <c r="K6" i="7" s="1"/>
  <c r="J4" i="7"/>
  <c r="J6" i="7" s="1"/>
  <c r="I4" i="7"/>
  <c r="I6" i="7" s="1"/>
  <c r="H4" i="7"/>
  <c r="H6" i="7" s="1"/>
  <c r="G4" i="7"/>
  <c r="G6" i="7" s="1"/>
  <c r="F4" i="7"/>
  <c r="F6" i="7" s="1"/>
  <c r="E4" i="7"/>
  <c r="E6" i="7" s="1"/>
  <c r="D4" i="7"/>
  <c r="D6" i="7" s="1"/>
  <c r="C4" i="7"/>
  <c r="C6" i="7" s="1"/>
  <c r="B4" i="7"/>
  <c r="L6" i="6"/>
  <c r="B6" i="6"/>
  <c r="M4" i="6"/>
  <c r="M6" i="6" s="1"/>
  <c r="L4" i="6"/>
  <c r="K4" i="6"/>
  <c r="K6" i="6" s="1"/>
  <c r="J4" i="6"/>
  <c r="J6" i="6" s="1"/>
  <c r="I4" i="6"/>
  <c r="I6" i="6" s="1"/>
  <c r="H4" i="6"/>
  <c r="H6" i="6" s="1"/>
  <c r="G4" i="6"/>
  <c r="G6" i="6" s="1"/>
  <c r="F4" i="6"/>
  <c r="F6" i="6" s="1"/>
  <c r="E4" i="6"/>
  <c r="E6" i="6" s="1"/>
  <c r="D4" i="6"/>
  <c r="D6" i="6" s="1"/>
  <c r="C4" i="6"/>
  <c r="C6" i="6" s="1"/>
  <c r="B4" i="6"/>
  <c r="M4" i="5"/>
  <c r="M6" i="5" s="1"/>
  <c r="L4" i="5"/>
  <c r="L6" i="5" s="1"/>
  <c r="K4" i="5"/>
  <c r="K6" i="5" s="1"/>
  <c r="J4" i="5"/>
  <c r="J6" i="5" s="1"/>
  <c r="I4" i="5"/>
  <c r="I6" i="5" s="1"/>
  <c r="H4" i="5"/>
  <c r="H6" i="5" s="1"/>
  <c r="G4" i="5"/>
  <c r="G6" i="5" s="1"/>
  <c r="F4" i="5"/>
  <c r="F6" i="5" s="1"/>
  <c r="E4" i="5"/>
  <c r="E6" i="5" s="1"/>
  <c r="D4" i="5"/>
  <c r="D6" i="5" s="1"/>
  <c r="C4" i="5"/>
  <c r="C6" i="5" s="1"/>
  <c r="B4" i="5"/>
  <c r="B6" i="5" s="1"/>
  <c r="E14" i="2" l="1"/>
  <c r="F27" i="2" s="1"/>
  <c r="F14" i="2"/>
  <c r="G14" i="2"/>
  <c r="G27" i="2" s="1"/>
  <c r="C14" i="2"/>
  <c r="C13" i="2"/>
  <c r="E9" i="2"/>
  <c r="F9" i="2"/>
  <c r="G9" i="2"/>
  <c r="C9" i="2"/>
  <c r="C10" i="2"/>
  <c r="D8" i="2" s="1"/>
  <c r="D23" i="2" s="1"/>
  <c r="G21" i="2"/>
  <c r="F21" i="2"/>
  <c r="D4" i="2"/>
  <c r="D14" i="2" s="1"/>
  <c r="C5" i="2"/>
  <c r="D3" i="2" s="1"/>
  <c r="D5" i="2" s="1"/>
  <c r="E3" i="2" s="1"/>
  <c r="E5" i="2" s="1"/>
  <c r="F3" i="2" s="1"/>
  <c r="F5" i="2" s="1"/>
  <c r="G3" i="2" s="1"/>
  <c r="G5" i="2" s="1"/>
  <c r="F24" i="2" l="1"/>
  <c r="G24" i="2"/>
  <c r="C16" i="2"/>
  <c r="D13" i="2" s="1"/>
  <c r="D18" i="2" s="1"/>
  <c r="D21" i="2"/>
  <c r="E21" i="2"/>
  <c r="D9" i="2"/>
  <c r="D24" i="2" s="1"/>
  <c r="E27" i="2"/>
  <c r="D27" i="2"/>
  <c r="C18" i="2"/>
  <c r="D26" i="2"/>
  <c r="G20" i="2"/>
  <c r="F20" i="2"/>
  <c r="D12" i="1"/>
  <c r="D13" i="1" s="1"/>
  <c r="D14" i="1" s="1"/>
  <c r="D15" i="1" s="1"/>
  <c r="D16" i="1" s="1"/>
  <c r="D17" i="1" s="1"/>
  <c r="D10" i="2" l="1"/>
  <c r="E8" i="2" s="1"/>
  <c r="D16" i="2"/>
  <c r="E13" i="2" s="1"/>
  <c r="E18" i="2" s="1"/>
  <c r="E24" i="2"/>
  <c r="E10" i="2" l="1"/>
  <c r="F8" i="2" s="1"/>
  <c r="E23" i="2"/>
  <c r="E26" i="2"/>
  <c r="E16" i="2"/>
  <c r="F13" i="2" s="1"/>
  <c r="F18" i="2" s="1"/>
  <c r="F26" i="2" l="1"/>
  <c r="F16" i="2"/>
  <c r="G13" i="2" s="1"/>
  <c r="G18" i="2" s="1"/>
  <c r="F10" i="2"/>
  <c r="G8" i="2" s="1"/>
  <c r="F23" i="2"/>
  <c r="G10" i="2" l="1"/>
  <c r="G23" i="2"/>
  <c r="G26" i="2"/>
  <c r="G16" i="2"/>
</calcChain>
</file>

<file path=xl/sharedStrings.xml><?xml version="1.0" encoding="utf-8"?>
<sst xmlns="http://schemas.openxmlformats.org/spreadsheetml/2006/main" count="531" uniqueCount="322">
  <si>
    <t xml:space="preserve">Comparison site </t>
  </si>
  <si>
    <t>Display ad</t>
  </si>
  <si>
    <t xml:space="preserve"># of visits </t>
  </si>
  <si>
    <t xml:space="preserve">Registration Conversion </t>
  </si>
  <si>
    <t xml:space="preserve">% of purchase conversion </t>
  </si>
  <si>
    <t xml:space="preserve">Avg value per order </t>
  </si>
  <si>
    <t>% of registered customers add something to basket</t>
  </si>
  <si>
    <t>Avg order per buyer</t>
  </si>
  <si>
    <t>Which Channel is more valuable?</t>
  </si>
  <si>
    <t>Acqusition Channel</t>
  </si>
  <si>
    <t>Users</t>
  </si>
  <si>
    <t>Starting with</t>
  </si>
  <si>
    <t xml:space="preserve">Newly Acquired </t>
  </si>
  <si>
    <t>Total</t>
  </si>
  <si>
    <t>Active Users</t>
  </si>
  <si>
    <t>Paying users</t>
  </si>
  <si>
    <t>Lost</t>
  </si>
  <si>
    <t>Active Users Growth</t>
  </si>
  <si>
    <t>New users Growth</t>
  </si>
  <si>
    <t>Users growth</t>
  </si>
  <si>
    <t>Active New users growth</t>
  </si>
  <si>
    <t>Paying Users Growth</t>
  </si>
  <si>
    <t>Paying New Users Growth</t>
  </si>
  <si>
    <t xml:space="preserve">Total revenue </t>
  </si>
  <si>
    <t>Total revenue /Visit</t>
  </si>
  <si>
    <t>Paying user Churn Rate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</si>
  <si>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</si>
  <si>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</si>
  <si>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</si>
  <si>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</si>
  <si>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</si>
  <si>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</si>
  <si>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</si>
  <si>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</si>
  <si>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</si>
  <si>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</si>
  <si>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</si>
  <si>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</si>
  <si>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Mktng Expenses</t>
  </si>
  <si>
    <t>Sales Expenses</t>
  </si>
  <si>
    <t>Total Expenses</t>
  </si>
  <si>
    <t>New Customers</t>
  </si>
  <si>
    <t>CAC</t>
  </si>
  <si>
    <r>
      <rPr>
        <b/>
        <sz val="10"/>
        <rFont val="Arial"/>
        <family val="2"/>
      </rPr>
      <t xml:space="preserve">                               Simple CAC Calculation </t>
    </r>
    <r>
      <rPr>
        <sz val="10"/>
        <color rgb="FF000000"/>
        <rFont val="Arial"/>
        <family val="2"/>
      </rPr>
      <t>CAC = (Marketing Exp + Sales Exp)/New Customers</t>
    </r>
  </si>
  <si>
    <t xml:space="preserve">Note:  Spike in marketing costs in month #3.  Under this calculation with a target CAC of $125 we would conclude this month is a failure. </t>
  </si>
  <si>
    <r>
      <rPr>
        <b/>
        <sz val="10"/>
        <rFont val="Arial"/>
        <family val="2"/>
      </rPr>
      <t>Simple CAC Calculation</t>
    </r>
    <r>
      <rPr>
        <sz val="10"/>
        <color rgb="FF000000"/>
        <rFont val="Arial"/>
        <family val="2"/>
      </rPr>
      <t xml:space="preserve">
CAC = (Marketing Exp + Sales Exp)/New Customers</t>
    </r>
  </si>
  <si>
    <t>n/a</t>
  </si>
  <si>
    <r>
      <t xml:space="preserve">Note:  Spike in marketing costs in month #3.  Under this calculation with a target CAC of $125 we </t>
    </r>
    <r>
      <rPr>
        <b/>
        <sz val="10"/>
        <rFont val="Arial"/>
        <family val="2"/>
      </rPr>
      <t>would conclude it was a success.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</si>
  <si>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rFont val="Arial"/>
        <family val="2"/>
      </rPr>
      <t>N-60 CAC Calculation</t>
    </r>
    <r>
      <rPr>
        <sz val="10"/>
        <color rgb="FF000000"/>
        <rFont val="Arial"/>
        <family val="2"/>
      </rPr>
      <t xml:space="preserve">
CAC = (Marketing+Sales Expenses From 60 days ago)
/New Customers</t>
    </r>
  </si>
  <si>
    <t xml:space="preserve">Note:  You can see how changing the cacluation impacts you CAC. </t>
  </si>
  <si>
    <r>
      <rPr>
        <b/>
        <sz val="10"/>
        <rFont val="Arial"/>
        <family val="2"/>
      </rPr>
      <t>CAC Calculation w/ Average Cycle</t>
    </r>
    <r>
      <rPr>
        <sz val="10"/>
        <color rgb="FF000000"/>
        <rFont val="Arial"/>
        <family val="2"/>
      </rPr>
      <t xml:space="preserve">
CAC = Marketing Expenses n-60 + 1/2 Sales n-30 + 1/2 Sales n
-----------------------------------------------------------------
New Customers n</t>
    </r>
  </si>
  <si>
    <t>Scenario 1</t>
  </si>
  <si>
    <t>Scenario 2</t>
  </si>
  <si>
    <t>Scenario 3</t>
  </si>
  <si>
    <t>Q1FY17</t>
  </si>
  <si>
    <t>Q2FY17</t>
  </si>
  <si>
    <t>Q3FY17</t>
  </si>
  <si>
    <t>Q4FY18</t>
  </si>
  <si>
    <t>Q1FY18</t>
  </si>
  <si>
    <t>Q2FY18</t>
  </si>
  <si>
    <t>Q3FY18</t>
  </si>
  <si>
    <t>Revenue Per Customer in 2 quarters</t>
  </si>
  <si>
    <t xml:space="preserve">Total Direct Paid Marketing cost </t>
  </si>
  <si>
    <r>
      <t>Number of</t>
    </r>
    <r>
      <rPr>
        <b/>
        <sz val="11"/>
        <color theme="1"/>
        <rFont val="맑은 고딕"/>
        <family val="2"/>
        <scheme val="minor"/>
      </rPr>
      <t xml:space="preserve"> Paid </t>
    </r>
    <r>
      <rPr>
        <sz val="11"/>
        <color theme="1"/>
        <rFont val="맑은 고딕"/>
        <family val="2"/>
        <scheme val="minor"/>
      </rPr>
      <t xml:space="preserve">New Customers </t>
    </r>
  </si>
  <si>
    <t>Number of non-paid New Customers (other free Channels)</t>
  </si>
  <si>
    <t>Blended CAC</t>
  </si>
  <si>
    <t>Cost of Customer Acquisition Calculation</t>
  </si>
  <si>
    <t>Monthly Numbers</t>
  </si>
  <si>
    <t xml:space="preserve">Total Visitors </t>
  </si>
  <si>
    <t>SEM Cost per click (CPC)</t>
  </si>
  <si>
    <t>Available from AdWords Account</t>
  </si>
  <si>
    <t>Purchase conversion</t>
  </si>
  <si>
    <t>Marketing cost</t>
  </si>
  <si>
    <t>Number of sale and marketing staff</t>
  </si>
  <si>
    <t>Salary of each staff</t>
  </si>
  <si>
    <t>SEM Marketing Spend</t>
  </si>
  <si>
    <t>Customer Base</t>
  </si>
  <si>
    <t>Number of Registration</t>
  </si>
  <si>
    <t>Number of paid customers</t>
  </si>
  <si>
    <t>Customer Acquisition Cost (CAC)</t>
  </si>
  <si>
    <t>With headcount costs</t>
  </si>
  <si>
    <t>Scenario 2 is better when accounting for everything</t>
  </si>
  <si>
    <t>Without headcount costs</t>
  </si>
  <si>
    <t>Scenario 1 is better without Headcounts</t>
  </si>
  <si>
    <t>https://www.propellercrm.com/blog/customer-acquisition-cost</t>
  </si>
  <si>
    <t>Travel: $7</t>
  </si>
  <si>
    <t>Travel</t>
  </si>
  <si>
    <t>Retail: $10</t>
  </si>
  <si>
    <t>Retail</t>
  </si>
  <si>
    <t>Consumer Goods: $22</t>
  </si>
  <si>
    <t>Cusumer goods</t>
  </si>
  <si>
    <t>Manufacturing: $83</t>
  </si>
  <si>
    <t>Manufacturing</t>
  </si>
  <si>
    <t>Transportation: $98</t>
  </si>
  <si>
    <t>Transportation</t>
  </si>
  <si>
    <t>Marketing Agency: $141</t>
  </si>
  <si>
    <t>Marketing Agency</t>
  </si>
  <si>
    <t>Financial: $175</t>
  </si>
  <si>
    <t>Financial</t>
  </si>
  <si>
    <t>Technology (Hardware): $182</t>
  </si>
  <si>
    <t>Technology (hardware)</t>
  </si>
  <si>
    <t>Real Estate: $213</t>
  </si>
  <si>
    <t xml:space="preserve">Real Estate </t>
  </si>
  <si>
    <t>Banking/Insurance: $303</t>
  </si>
  <si>
    <t>Banking/insurance</t>
  </si>
  <si>
    <t>Telecom: $315</t>
  </si>
  <si>
    <t>Telecom</t>
  </si>
  <si>
    <t>Technology (Software): $395</t>
  </si>
  <si>
    <t>Technology (Software)</t>
  </si>
  <si>
    <t>DocuSign Example</t>
  </si>
  <si>
    <t>Mktng Expenses (equally divided into 4 for each customer type)</t>
  </si>
  <si>
    <t>Sales Expenses (only 20% to pro, 80% to enterprise)</t>
  </si>
  <si>
    <t>Total CAC Expenses</t>
  </si>
  <si>
    <t>Total New Customers</t>
  </si>
  <si>
    <t>-- Personal</t>
  </si>
  <si>
    <t>-- Standard</t>
  </si>
  <si>
    <t>-- Business Pro</t>
  </si>
  <si>
    <t>-- Enterprise</t>
  </si>
  <si>
    <t>Average CAC</t>
  </si>
  <si>
    <t>-- Personal CAC</t>
  </si>
  <si>
    <t>-- Standard CAC</t>
  </si>
  <si>
    <t>-- Business Pro CAC</t>
  </si>
  <si>
    <t>-- Enterprise CAC</t>
  </si>
  <si>
    <t>% of Each Customer every month</t>
  </si>
  <si>
    <t>Total Marketing</t>
  </si>
  <si>
    <t>-- Salaries</t>
  </si>
  <si>
    <t>-- Facebook Ads</t>
  </si>
  <si>
    <t>-- Twitter Ads</t>
  </si>
  <si>
    <t>-- Google Ads</t>
  </si>
  <si>
    <t>-- FB Customers</t>
  </si>
  <si>
    <t>-- TW Customers</t>
  </si>
  <si>
    <t>-- GOOG Customers</t>
  </si>
  <si>
    <t>Average blended CAC</t>
  </si>
  <si>
    <t>Facebook CAC</t>
  </si>
  <si>
    <t>Twitter CAC</t>
  </si>
  <si>
    <t>Google CAC</t>
  </si>
  <si>
    <t>Comparing Scenario 3 to 2</t>
  </si>
  <si>
    <t>Growth rate</t>
  </si>
  <si>
    <t>Add to shopping cart</t>
  </si>
  <si>
    <t>Paid search Marketing Spend</t>
  </si>
  <si>
    <t xml:space="preserve">Number of new customers </t>
  </si>
  <si>
    <t>Number of customers with something in shopping cart</t>
  </si>
  <si>
    <t>Number of buyers</t>
  </si>
  <si>
    <t>Customer Acquisition Cost</t>
  </si>
  <si>
    <t>Cost Per acquired registrant</t>
  </si>
  <si>
    <t xml:space="preserve">Reduction in cost </t>
  </si>
  <si>
    <t>Cost Per acquired registrant with something in cart</t>
  </si>
  <si>
    <t>Cost per acquired buyer</t>
  </si>
  <si>
    <t>Online  Channel</t>
  </si>
  <si>
    <t>Acquisition</t>
  </si>
  <si>
    <t>Retention</t>
  </si>
  <si>
    <t>Both Equally</t>
  </si>
  <si>
    <t>Mobile messaging</t>
  </si>
  <si>
    <t>Email</t>
  </si>
  <si>
    <t>Mobile apps</t>
  </si>
  <si>
    <t>Mobile and web push notification</t>
  </si>
  <si>
    <t>Social media marketing</t>
  </si>
  <si>
    <t>Web retargeting</t>
  </si>
  <si>
    <t>Mobile web</t>
  </si>
  <si>
    <t>Website</t>
  </si>
  <si>
    <t>SEO (natural search)</t>
  </si>
  <si>
    <t>Online display advertising</t>
  </si>
  <si>
    <t>Paid search</t>
  </si>
  <si>
    <t>Source: https://www.invespcro.com/blog/customer-acquisition-retention/</t>
  </si>
  <si>
    <r>
      <t xml:space="preserve">Customer Retention Rate (CRR) Formula for </t>
    </r>
    <r>
      <rPr>
        <b/>
        <sz val="16"/>
        <rFont val="Akkurat"/>
      </rPr>
      <t>subscription-based SaaS businesses</t>
    </r>
  </si>
  <si>
    <t xml:space="preserve">Jan </t>
  </si>
  <si>
    <t xml:space="preserve">Number of customer at the beginning </t>
  </si>
  <si>
    <t xml:space="preserve">Number of new Acquired customer </t>
  </si>
  <si>
    <t>Number of customer at the end</t>
  </si>
  <si>
    <t>Number of Retained Customers</t>
  </si>
  <si>
    <t>Overall Retention Rate</t>
  </si>
  <si>
    <r>
      <t xml:space="preserve">Customer Retention Rate (CRR) Formula </t>
    </r>
    <r>
      <rPr>
        <b/>
        <sz val="14"/>
        <rFont val="Akkurat"/>
      </rPr>
      <t>for E-Commerce businesses</t>
    </r>
  </si>
  <si>
    <t xml:space="preserve">Number of buyers </t>
  </si>
  <si>
    <t xml:space="preserve">Number of new buyers </t>
  </si>
  <si>
    <t>Number of repeat buyers</t>
  </si>
  <si>
    <t>Number of buyers coming from prev month</t>
  </si>
  <si>
    <t>% of customers retained from prev month</t>
  </si>
  <si>
    <t>Repeat Rate</t>
  </si>
  <si>
    <t>Q1</t>
  </si>
  <si>
    <t>Q2</t>
  </si>
  <si>
    <t>Q3</t>
  </si>
  <si>
    <t>Q4</t>
  </si>
  <si>
    <t>Number of new Buyers</t>
  </si>
  <si>
    <t>Nunber of repeat buyers</t>
  </si>
  <si>
    <t>% repeat Buyers</t>
  </si>
  <si>
    <t>Buyers</t>
  </si>
  <si>
    <t>Buyer with 1 purchase</t>
  </si>
  <si>
    <t>Buyer with 2-3 purchase</t>
  </si>
  <si>
    <t>Buyer with &gt;3 purchase</t>
  </si>
  <si>
    <t>% buyers with 1 purchase</t>
  </si>
  <si>
    <t>% Buyer with 2-3 purchase</t>
  </si>
  <si>
    <t>% Buyer with &gt;3 purchase</t>
  </si>
  <si>
    <t>Number of Users Retained in Each Month</t>
  </si>
  <si>
    <t>Conversion Month</t>
  </si>
  <si>
    <t>New Users</t>
  </si>
  <si>
    <t>January</t>
  </si>
  <si>
    <t>February</t>
  </si>
  <si>
    <t>March</t>
  </si>
  <si>
    <t>Number of Users Retained 'n' Month After Conversion</t>
  </si>
  <si>
    <t>Percent of Users Retained 'n' Month After Conversion</t>
  </si>
  <si>
    <t>Jan17</t>
  </si>
  <si>
    <t>Feb 17</t>
  </si>
  <si>
    <t>Marrch 17</t>
  </si>
  <si>
    <t>April 17</t>
  </si>
  <si>
    <t>May 17</t>
  </si>
  <si>
    <t>June 17</t>
  </si>
  <si>
    <t>Percent of Users Churned 'n' Month After Conversion</t>
  </si>
  <si>
    <t>Whether they come to the APP or not  (Yes=1, NO=0)</t>
  </si>
  <si>
    <t># of days active</t>
  </si>
  <si>
    <t>User_id</t>
  </si>
  <si>
    <t>day 1</t>
  </si>
  <si>
    <t>day 2</t>
  </si>
  <si>
    <t>day 3</t>
  </si>
  <si>
    <t>day 4</t>
  </si>
  <si>
    <t>day 5</t>
  </si>
  <si>
    <t>day 6</t>
  </si>
  <si>
    <t>day 7</t>
  </si>
  <si>
    <t xml:space="preserve">Sum </t>
  </si>
  <si>
    <t>total</t>
  </si>
  <si>
    <t>N customer</t>
  </si>
  <si>
    <t>%</t>
  </si>
  <si>
    <t>DAU</t>
  </si>
  <si>
    <t>WAU</t>
  </si>
  <si>
    <t>DAU/WAU</t>
  </si>
  <si>
    <t>Median</t>
  </si>
  <si>
    <t xml:space="preserve">between 1th and 2nd </t>
  </si>
  <si>
    <t>between 2nd and 3th</t>
  </si>
  <si>
    <t>between 3th and 4th</t>
  </si>
  <si>
    <t>between 4th and 5th</t>
  </si>
  <si>
    <t>Time betwee events (latency)</t>
  </si>
  <si>
    <t>Time to date</t>
  </si>
  <si>
    <t>2nd</t>
  </si>
  <si>
    <t>Time between 1st and 2nd event</t>
  </si>
  <si>
    <t>90 days</t>
  </si>
  <si>
    <t>3th</t>
  </si>
  <si>
    <t>Time between 2nd and 3rd event</t>
  </si>
  <si>
    <t>60 days</t>
  </si>
  <si>
    <t>4th</t>
  </si>
  <si>
    <t>Time between 3rd and 4th event</t>
  </si>
  <si>
    <t>30 days</t>
  </si>
  <si>
    <t>5th</t>
  </si>
  <si>
    <t>Time between 4th and 5th event</t>
  </si>
  <si>
    <t>6th</t>
  </si>
  <si>
    <t>Time between 5th and 6th event</t>
  </si>
  <si>
    <t>7th</t>
  </si>
  <si>
    <t>Time between 6th and 7th event</t>
  </si>
  <si>
    <t>Parameters</t>
  </si>
  <si>
    <t xml:space="preserve">base model </t>
  </si>
  <si>
    <t>mode 1</t>
  </si>
  <si>
    <t>mode 2</t>
  </si>
  <si>
    <t>1. Number Mailed</t>
  </si>
  <si>
    <t>2. Response Rate</t>
  </si>
  <si>
    <t>3.Responses</t>
  </si>
  <si>
    <t>4. Net Margin @4$</t>
  </si>
  <si>
    <t>5. Mail Cost @0.3$</t>
  </si>
  <si>
    <t>6. ROI</t>
  </si>
  <si>
    <t>Hazard rate (churn)</t>
  </si>
  <si>
    <t>Discount Rate</t>
  </si>
  <si>
    <t>Revenue ($)</t>
  </si>
  <si>
    <t>Cost</t>
  </si>
  <si>
    <t>Year</t>
  </si>
  <si>
    <t>Hazard  Rate</t>
  </si>
  <si>
    <t>Retention Rate</t>
  </si>
  <si>
    <t>Survival Rate</t>
  </si>
  <si>
    <t>Discount Multplier</t>
  </si>
  <si>
    <t>Discounted Expected Profit</t>
  </si>
  <si>
    <t>LTV after 10 yrs</t>
  </si>
  <si>
    <t>LTV over infinite horizon</t>
  </si>
  <si>
    <t>R</t>
  </si>
  <si>
    <t>F</t>
  </si>
  <si>
    <t>N</t>
  </si>
  <si>
    <t xml:space="preserve">Customer </t>
  </si>
  <si>
    <t>Days since the last Activity</t>
  </si>
  <si>
    <t>Total units of activity</t>
  </si>
  <si>
    <t>Worth of transactions ($)</t>
  </si>
  <si>
    <t>R score</t>
  </si>
  <si>
    <t>F score</t>
  </si>
  <si>
    <t>M Score</t>
  </si>
  <si>
    <t>Final RFM</t>
  </si>
  <si>
    <t>M</t>
  </si>
  <si>
    <t>RFM score</t>
  </si>
  <si>
    <t>% of customers</t>
  </si>
  <si>
    <t>% of Revenue</t>
  </si>
  <si>
    <t>444</t>
  </si>
  <si>
    <t>Highest LTV</t>
  </si>
  <si>
    <t>434</t>
  </si>
  <si>
    <t>433</t>
  </si>
  <si>
    <t>Row Labels</t>
  </si>
  <si>
    <t>Count of R score</t>
  </si>
  <si>
    <t>432</t>
  </si>
  <si>
    <t>Recency</t>
  </si>
  <si>
    <t>Frequency</t>
  </si>
  <si>
    <t xml:space="preserve">Numbers </t>
  </si>
  <si>
    <t>423</t>
  </si>
  <si>
    <t>Lowest RF score</t>
  </si>
  <si>
    <t>422</t>
  </si>
  <si>
    <t>421</t>
  </si>
  <si>
    <t>411</t>
  </si>
  <si>
    <t>344</t>
  </si>
  <si>
    <t>333</t>
  </si>
  <si>
    <t>323</t>
  </si>
  <si>
    <t>322</t>
  </si>
  <si>
    <t>321</t>
  </si>
  <si>
    <t>312</t>
  </si>
  <si>
    <t>244</t>
  </si>
  <si>
    <t>242</t>
  </si>
  <si>
    <t>233</t>
  </si>
  <si>
    <t>223</t>
  </si>
  <si>
    <t>222</t>
  </si>
  <si>
    <t>221</t>
  </si>
  <si>
    <t>Highest  RF score</t>
  </si>
  <si>
    <t>212</t>
  </si>
  <si>
    <t>211</t>
  </si>
  <si>
    <t>144</t>
  </si>
  <si>
    <t>143</t>
  </si>
  <si>
    <t>Grand Total</t>
  </si>
  <si>
    <t>134</t>
  </si>
  <si>
    <t>133</t>
  </si>
  <si>
    <t>122</t>
  </si>
  <si>
    <t>112</t>
  </si>
  <si>
    <t>111</t>
  </si>
  <si>
    <t>d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</si>
</sst>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$&quot;#,##0_);[Red]\(&quot;$&quot;#,##0\)"/>
    <numFmt numFmtId="177" formatCode="&quot;$&quot;#,##0.0_);[Red]\(&quot;$&quot;#,##0.0\)"/>
    <numFmt numFmtId="178" formatCode="&quot;$&quot;#,##0"/>
    <numFmt numFmtId="179" formatCode="&quot;$&quot;#,##0.00"/>
    <numFmt numFmtId="180" formatCode="&quot;$&quot;#,##0.00_);[Red]\(&quot;$&quot;#,##0.00\)"/>
    <numFmt numFmtId="181" formatCode="0.0%"/>
    <numFmt numFmtId="182" formatCode="[$-409]mmm\-yy;@"/>
  </numFmts>
  <fonts count="45">
    <font>
      <sz val="11"/>
      <color theme="1"/>
      <name val="맑은 고딕"/>
      <family val="2"/>
      <scheme val="minor"/>
    </font>
    <font>
      <sz val="14"/>
      <name val="Arial"/>
      <family val="2"/>
    </font>
    <font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4"/>
      <color theme="1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6"/>
      <color rgb="FF00B0F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b/>
      <sz val="11"/>
      <color rgb="FF00B0F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rgb="FFFFFFFF"/>
      <name val="Arial"/>
      <family val="2"/>
    </font>
    <font>
      <sz val="11"/>
      <name val="맑은 고딕"/>
      <family val="2"/>
      <scheme val="minor"/>
    </font>
    <font>
      <b/>
      <sz val="11"/>
      <name val="맑은 고딕"/>
      <family val="2"/>
      <scheme val="minor"/>
    </font>
    <font>
      <sz val="11"/>
      <color theme="0" tint="-0.499984740745262"/>
      <name val="맑은 고딕"/>
      <family val="2"/>
      <scheme val="minor"/>
    </font>
    <font>
      <b/>
      <sz val="12"/>
      <color rgb="FF333333"/>
      <name val="Arial"/>
      <family val="2"/>
    </font>
    <font>
      <sz val="12"/>
      <color theme="1"/>
      <name val="맑은 고딕"/>
      <family val="2"/>
      <scheme val="minor"/>
    </font>
    <font>
      <sz val="12"/>
      <color rgb="FF333333"/>
      <name val="Arial"/>
      <family val="2"/>
    </font>
    <font>
      <sz val="14"/>
      <name val="Akkurat"/>
    </font>
    <font>
      <b/>
      <sz val="16"/>
      <name val="Akkurat"/>
    </font>
    <font>
      <sz val="14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b/>
      <sz val="14"/>
      <name val="Akkurat"/>
    </font>
    <font>
      <sz val="12"/>
      <name val="Akkurat"/>
    </font>
    <font>
      <sz val="8"/>
      <color rgb="FF696464"/>
      <name val="Akkurat"/>
    </font>
    <font>
      <sz val="12"/>
      <name val="AvenirNext LT Pro Regular"/>
      <family val="2"/>
    </font>
    <font>
      <b/>
      <sz val="11"/>
      <name val="AvenirNext LT Pro Regular"/>
      <family val="2"/>
    </font>
    <font>
      <sz val="11"/>
      <name val="AvenirNext LT Pro Regular"/>
      <family val="2"/>
    </font>
    <font>
      <b/>
      <sz val="10"/>
      <name val="AvenirNext LT Pro Regular"/>
      <family val="2"/>
    </font>
    <font>
      <sz val="10"/>
      <name val="AvenirNext LT Pro Regular"/>
      <family val="2"/>
    </font>
    <font>
      <b/>
      <sz val="20"/>
      <color theme="1"/>
      <name val="맑은 고딕"/>
      <family val="2"/>
      <scheme val="minor"/>
    </font>
    <font>
      <b/>
      <sz val="11"/>
      <color rgb="FF0070C0"/>
      <name val="맑은 고딕"/>
      <family val="2"/>
      <scheme val="minor"/>
    </font>
    <font>
      <sz val="11"/>
      <color theme="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D4AAD"/>
        <bgColor indexed="64"/>
      </patternFill>
    </fill>
    <fill>
      <patternFill patternType="solid">
        <fgColor rgb="FFCED0E3"/>
        <bgColor indexed="64"/>
      </patternFill>
    </fill>
    <fill>
      <patternFill patternType="solid">
        <fgColor rgb="FFE8E9F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666666"/>
        <bgColor rgb="FF66666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 tint="0.79998168889431442"/>
      </patternFill>
    </fill>
  </fills>
  <borders count="2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1" fillId="0" borderId="0"/>
    <xf numFmtId="0" fontId="19" fillId="0" borderId="0" applyNumberFormat="0" applyFill="0" applyBorder="0" applyAlignment="0" applyProtection="0"/>
  </cellStyleXfs>
  <cellXfs count="269">
    <xf numFmtId="0" fontId="0" fillId="0" borderId="0" xfId="0"/>
    <xf numFmtId="0" fontId="1" fillId="3" borderId="1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3" fontId="1" fillId="4" borderId="2" xfId="0" applyNumberFormat="1" applyFont="1" applyFill="1" applyBorder="1" applyAlignment="1">
      <alignment horizontal="center" vertical="top" wrapText="1"/>
    </xf>
    <xf numFmtId="9" fontId="1" fillId="5" borderId="3" xfId="0" applyNumberFormat="1" applyFont="1" applyFill="1" applyBorder="1" applyAlignment="1">
      <alignment horizontal="center" vertical="top" wrapText="1"/>
    </xf>
    <xf numFmtId="9" fontId="1" fillId="4" borderId="3" xfId="0" applyNumberFormat="1" applyFont="1" applyFill="1" applyBorder="1" applyAlignment="1">
      <alignment horizontal="center" vertical="top" wrapText="1"/>
    </xf>
    <xf numFmtId="176" fontId="1" fillId="4" borderId="3" xfId="0" applyNumberFormat="1" applyFont="1" applyFill="1" applyBorder="1" applyAlignment="1">
      <alignment horizontal="center" vertical="top" wrapText="1"/>
    </xf>
    <xf numFmtId="9" fontId="1" fillId="2" borderId="3" xfId="0" applyNumberFormat="1" applyFont="1" applyFill="1" applyBorder="1" applyAlignment="1">
      <alignment horizontal="center" vertical="top" wrapText="1"/>
    </xf>
    <xf numFmtId="177" fontId="1" fillId="4" borderId="3" xfId="0" applyNumberFormat="1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5" fillId="3" borderId="1" xfId="0" applyFont="1" applyFill="1" applyBorder="1" applyAlignment="1">
      <alignment horizontal="center" vertical="center" wrapText="1" readingOrder="1"/>
    </xf>
    <xf numFmtId="0" fontId="6" fillId="4" borderId="2" xfId="0" applyFont="1" applyFill="1" applyBorder="1" applyAlignment="1">
      <alignment horizontal="left" vertical="center" wrapText="1" readingOrder="1"/>
    </xf>
    <xf numFmtId="0" fontId="6" fillId="5" borderId="3" xfId="0" applyFont="1" applyFill="1" applyBorder="1" applyAlignment="1">
      <alignment horizontal="left" vertical="center" wrapText="1" readingOrder="1"/>
    </xf>
    <xf numFmtId="0" fontId="6" fillId="4" borderId="3" xfId="0" applyFont="1" applyFill="1" applyBorder="1" applyAlignment="1">
      <alignment horizontal="left" vertical="center" wrapText="1" readingOrder="1"/>
    </xf>
    <xf numFmtId="0" fontId="6" fillId="2" borderId="3" xfId="0" applyFont="1" applyFill="1" applyBorder="1" applyAlignment="1">
      <alignment horizontal="left" vertical="center" wrapText="1" readingOrder="1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9" fontId="9" fillId="2" borderId="0" xfId="1" applyFont="1" applyFill="1" applyAlignment="1">
      <alignment horizont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9" fontId="7" fillId="7" borderId="0" xfId="1" applyFont="1" applyFill="1" applyAlignment="1">
      <alignment horizontal="center"/>
    </xf>
    <xf numFmtId="176" fontId="10" fillId="4" borderId="3" xfId="0" applyNumberFormat="1" applyFont="1" applyFill="1" applyBorder="1" applyAlignment="1">
      <alignment horizontal="center" vertical="top" wrapText="1"/>
    </xf>
    <xf numFmtId="177" fontId="10" fillId="4" borderId="3" xfId="0" applyNumberFormat="1" applyFont="1" applyFill="1" applyBorder="1" applyAlignment="1">
      <alignment horizontal="center" vertical="top" wrapText="1"/>
    </xf>
    <xf numFmtId="17" fontId="8" fillId="2" borderId="5" xfId="0" applyNumberFormat="1" applyFont="1" applyFill="1" applyBorder="1" applyAlignment="1">
      <alignment horizontal="center"/>
    </xf>
    <xf numFmtId="0" fontId="11" fillId="0" borderId="0" xfId="2"/>
    <xf numFmtId="0" fontId="12" fillId="0" borderId="0" xfId="2" applyFont="1" applyAlignment="1">
      <alignment horizontal="center"/>
    </xf>
    <xf numFmtId="0" fontId="12" fillId="0" borderId="0" xfId="2" applyFont="1"/>
    <xf numFmtId="178" fontId="13" fillId="0" borderId="0" xfId="2" applyNumberFormat="1" applyFont="1" applyAlignment="1">
      <alignment horizontal="center"/>
    </xf>
    <xf numFmtId="0" fontId="13" fillId="0" borderId="0" xfId="2" applyFont="1" applyAlignment="1">
      <alignment horizontal="center"/>
    </xf>
    <xf numFmtId="0" fontId="12" fillId="8" borderId="0" xfId="2" applyFont="1" applyFill="1"/>
    <xf numFmtId="178" fontId="13" fillId="8" borderId="0" xfId="2" applyNumberFormat="1" applyFont="1" applyFill="1" applyAlignment="1">
      <alignment horizontal="center"/>
    </xf>
    <xf numFmtId="0" fontId="14" fillId="0" borderId="0" xfId="2" applyFont="1"/>
    <xf numFmtId="178" fontId="13" fillId="9" borderId="0" xfId="2" applyNumberFormat="1" applyFont="1" applyFill="1" applyAlignment="1">
      <alignment horizontal="center"/>
    </xf>
    <xf numFmtId="0" fontId="12" fillId="0" borderId="0" xfId="2" applyFont="1" applyAlignment="1">
      <alignment horizontal="center" vertical="center"/>
    </xf>
    <xf numFmtId="178" fontId="13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178" fontId="13" fillId="8" borderId="0" xfId="2" applyNumberFormat="1" applyFont="1" applyFill="1" applyAlignment="1">
      <alignment horizontal="center" vertical="center"/>
    </xf>
    <xf numFmtId="178" fontId="13" fillId="9" borderId="0" xfId="2" applyNumberFormat="1" applyFont="1" applyFill="1" applyAlignment="1">
      <alignment horizontal="center" vertical="center"/>
    </xf>
    <xf numFmtId="0" fontId="11" fillId="0" borderId="0" xfId="2" applyAlignment="1">
      <alignment horizontal="center" vertical="center"/>
    </xf>
    <xf numFmtId="0" fontId="14" fillId="10" borderId="0" xfId="2" applyFont="1" applyFill="1"/>
    <xf numFmtId="0" fontId="14" fillId="10" borderId="0" xfId="2" applyFont="1" applyFill="1" applyAlignment="1">
      <alignment horizontal="center" vertical="center"/>
    </xf>
    <xf numFmtId="0" fontId="14" fillId="0" borderId="13" xfId="2" applyFont="1" applyBorder="1"/>
    <xf numFmtId="0" fontId="12" fillId="0" borderId="13" xfId="2" applyFont="1" applyBorder="1" applyAlignment="1">
      <alignment horizontal="center" vertical="center"/>
    </xf>
    <xf numFmtId="0" fontId="13" fillId="8" borderId="0" xfId="2" applyFont="1" applyFill="1" applyAlignment="1">
      <alignment horizontal="center" vertical="center"/>
    </xf>
    <xf numFmtId="178" fontId="13" fillId="11" borderId="0" xfId="2" applyNumberFormat="1" applyFont="1" applyFill="1" applyAlignment="1">
      <alignment horizontal="center" vertical="center"/>
    </xf>
    <xf numFmtId="0" fontId="11" fillId="0" borderId="0" xfId="2" applyAlignment="1">
      <alignment horizontal="center"/>
    </xf>
    <xf numFmtId="0" fontId="13" fillId="0" borderId="0" xfId="2" applyFont="1" applyAlignment="1">
      <alignment horizontal="center" wrapText="1"/>
    </xf>
    <xf numFmtId="0" fontId="14" fillId="10" borderId="0" xfId="2" applyFont="1" applyFill="1" applyAlignment="1">
      <alignment horizontal="center"/>
    </xf>
    <xf numFmtId="0" fontId="12" fillId="0" borderId="13" xfId="2" applyFont="1" applyBorder="1" applyAlignment="1">
      <alignment horizontal="center"/>
    </xf>
    <xf numFmtId="0" fontId="13" fillId="8" borderId="0" xfId="2" applyFont="1" applyFill="1" applyAlignment="1">
      <alignment horizontal="center"/>
    </xf>
    <xf numFmtId="0" fontId="15" fillId="0" borderId="0" xfId="2" applyFont="1" applyAlignment="1">
      <alignment horizontal="center"/>
    </xf>
    <xf numFmtId="0" fontId="0" fillId="2" borderId="0" xfId="0" applyFill="1"/>
    <xf numFmtId="0" fontId="16" fillId="2" borderId="0" xfId="0" applyFont="1" applyFill="1"/>
    <xf numFmtId="178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79" fontId="0" fillId="2" borderId="0" xfId="0" applyNumberFormat="1" applyFill="1"/>
    <xf numFmtId="0" fontId="0" fillId="12" borderId="0" xfId="0" applyFill="1"/>
    <xf numFmtId="0" fontId="0" fillId="2" borderId="0" xfId="0" applyFill="1" applyAlignment="1">
      <alignment horizontal="center"/>
    </xf>
    <xf numFmtId="0" fontId="16" fillId="2" borderId="14" xfId="0" applyFont="1" applyFill="1" applyBorder="1"/>
    <xf numFmtId="3" fontId="0" fillId="2" borderId="0" xfId="0" applyNumberFormat="1" applyFill="1" applyAlignment="1">
      <alignment horizontal="center"/>
    </xf>
    <xf numFmtId="180" fontId="0" fillId="2" borderId="0" xfId="0" applyNumberFormat="1" applyFill="1" applyAlignment="1">
      <alignment horizontal="center"/>
    </xf>
    <xf numFmtId="0" fontId="17" fillId="2" borderId="0" xfId="0" applyFont="1" applyFill="1"/>
    <xf numFmtId="9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13" borderId="0" xfId="0" applyFill="1"/>
    <xf numFmtId="0" fontId="0" fillId="2" borderId="0" xfId="0" applyFill="1" applyAlignment="1">
      <alignment horizontal="left" indent="1"/>
    </xf>
    <xf numFmtId="176" fontId="0" fillId="2" borderId="0" xfId="0" applyNumberFormat="1" applyFill="1" applyAlignment="1">
      <alignment horizontal="center"/>
    </xf>
    <xf numFmtId="176" fontId="18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9" fillId="0" borderId="0" xfId="3"/>
    <xf numFmtId="178" fontId="0" fillId="2" borderId="0" xfId="0" applyNumberFormat="1" applyFill="1"/>
    <xf numFmtId="0" fontId="12" fillId="0" borderId="0" xfId="0" applyFont="1" applyAlignment="1">
      <alignment horizontal="center"/>
    </xf>
    <xf numFmtId="0" fontId="12" fillId="0" borderId="0" xfId="0" applyFont="1"/>
    <xf numFmtId="178" fontId="13" fillId="0" borderId="0" xfId="0" applyNumberFormat="1" applyFont="1" applyAlignment="1">
      <alignment horizontal="center"/>
    </xf>
    <xf numFmtId="0" fontId="14" fillId="0" borderId="0" xfId="0" applyFont="1"/>
    <xf numFmtId="0" fontId="13" fillId="1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8" borderId="0" xfId="0" applyFont="1" applyFill="1"/>
    <xf numFmtId="178" fontId="13" fillId="8" borderId="0" xfId="0" applyNumberFormat="1" applyFont="1" applyFill="1" applyAlignment="1">
      <alignment horizontal="center"/>
    </xf>
    <xf numFmtId="178" fontId="14" fillId="0" borderId="0" xfId="0" applyNumberFormat="1" applyFont="1" applyAlignment="1">
      <alignment horizontal="center"/>
    </xf>
    <xf numFmtId="9" fontId="13" fillId="0" borderId="0" xfId="1" applyFont="1" applyAlignment="1">
      <alignment horizontal="center"/>
    </xf>
    <xf numFmtId="178" fontId="13" fillId="0" borderId="0" xfId="0" applyNumberFormat="1" applyFont="1"/>
    <xf numFmtId="0" fontId="12" fillId="6" borderId="0" xfId="0" applyFont="1" applyFill="1"/>
    <xf numFmtId="0" fontId="13" fillId="6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1" fillId="2" borderId="14" xfId="0" applyFont="1" applyFill="1" applyBorder="1" applyAlignment="1">
      <alignment horizontal="center"/>
    </xf>
    <xf numFmtId="3" fontId="23" fillId="2" borderId="0" xfId="0" applyNumberFormat="1" applyFont="1" applyFill="1" applyAlignment="1">
      <alignment horizontal="center"/>
    </xf>
    <xf numFmtId="0" fontId="0" fillId="2" borderId="15" xfId="0" applyFill="1" applyBorder="1" applyAlignment="1">
      <alignment horizontal="center"/>
    </xf>
    <xf numFmtId="180" fontId="23" fillId="2" borderId="0" xfId="0" applyNumberFormat="1" applyFont="1" applyFill="1" applyAlignment="1">
      <alignment horizontal="center"/>
    </xf>
    <xf numFmtId="181" fontId="23" fillId="2" borderId="0" xfId="0" applyNumberFormat="1" applyFont="1" applyFill="1" applyAlignment="1">
      <alignment horizontal="center"/>
    </xf>
    <xf numFmtId="181" fontId="23" fillId="2" borderId="0" xfId="1" applyNumberFormat="1" applyFont="1" applyFill="1" applyAlignment="1">
      <alignment horizontal="center"/>
    </xf>
    <xf numFmtId="9" fontId="18" fillId="2" borderId="15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9" fontId="23" fillId="2" borderId="0" xfId="0" applyNumberFormat="1" applyFont="1" applyFill="1" applyAlignment="1">
      <alignment horizontal="center"/>
    </xf>
    <xf numFmtId="9" fontId="23" fillId="2" borderId="0" xfId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176" fontId="23" fillId="2" borderId="0" xfId="0" applyNumberFormat="1" applyFont="1" applyFill="1" applyAlignment="1">
      <alignment horizontal="center"/>
    </xf>
    <xf numFmtId="176" fontId="0" fillId="2" borderId="15" xfId="0" applyNumberFormat="1" applyFill="1" applyBorder="1" applyAlignment="1">
      <alignment horizontal="center"/>
    </xf>
    <xf numFmtId="0" fontId="0" fillId="17" borderId="0" xfId="0" applyFill="1" applyAlignment="1">
      <alignment horizontal="left" indent="1"/>
    </xf>
    <xf numFmtId="176" fontId="23" fillId="17" borderId="0" xfId="0" applyNumberFormat="1" applyFont="1" applyFill="1" applyAlignment="1">
      <alignment horizontal="center"/>
    </xf>
    <xf numFmtId="0" fontId="24" fillId="12" borderId="0" xfId="0" applyFont="1" applyFill="1" applyAlignment="1">
      <alignment horizontal="left" vertical="center" wrapText="1"/>
    </xf>
    <xf numFmtId="0" fontId="24" fillId="12" borderId="0" xfId="0" applyFont="1" applyFill="1" applyAlignment="1">
      <alignment horizontal="center" vertical="center" wrapText="1"/>
    </xf>
    <xf numFmtId="0" fontId="25" fillId="0" borderId="0" xfId="0" applyFont="1"/>
    <xf numFmtId="0" fontId="26" fillId="18" borderId="0" xfId="0" applyFont="1" applyFill="1" applyAlignment="1">
      <alignment horizontal="left" vertical="center" wrapText="1"/>
    </xf>
    <xf numFmtId="9" fontId="26" fillId="18" borderId="0" xfId="0" applyNumberFormat="1" applyFont="1" applyFill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27" fillId="0" borderId="0" xfId="0" applyFont="1"/>
    <xf numFmtId="0" fontId="29" fillId="2" borderId="0" xfId="0" applyFont="1" applyFill="1" applyAlignment="1">
      <alignment horizontal="center"/>
    </xf>
    <xf numFmtId="0" fontId="30" fillId="2" borderId="0" xfId="0" applyFont="1" applyFill="1"/>
    <xf numFmtId="0" fontId="0" fillId="19" borderId="0" xfId="0" applyFill="1" applyAlignment="1">
      <alignment horizontal="center"/>
    </xf>
    <xf numFmtId="0" fontId="31" fillId="2" borderId="0" xfId="0" applyFont="1" applyFill="1"/>
    <xf numFmtId="3" fontId="31" fillId="2" borderId="0" xfId="0" applyNumberFormat="1" applyFont="1" applyFill="1" applyAlignment="1">
      <alignment horizontal="center"/>
    </xf>
    <xf numFmtId="0" fontId="16" fillId="20" borderId="0" xfId="0" applyFont="1" applyFill="1"/>
    <xf numFmtId="9" fontId="0" fillId="20" borderId="0" xfId="1" applyFont="1" applyFill="1" applyAlignment="1">
      <alignment horizontal="center"/>
    </xf>
    <xf numFmtId="0" fontId="33" fillId="0" borderId="0" xfId="0" applyFont="1"/>
    <xf numFmtId="0" fontId="34" fillId="0" borderId="0" xfId="0" applyFont="1"/>
    <xf numFmtId="0" fontId="16" fillId="2" borderId="0" xfId="0" applyFont="1" applyFill="1" applyAlignment="1">
      <alignment horizontal="left" indent="1"/>
    </xf>
    <xf numFmtId="9" fontId="16" fillId="20" borderId="0" xfId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0" fillId="2" borderId="0" xfId="0" applyFill="1" applyAlignment="1">
      <alignment horizontal="left" indent="2"/>
    </xf>
    <xf numFmtId="0" fontId="35" fillId="0" borderId="0" xfId="0" applyFont="1"/>
    <xf numFmtId="0" fontId="36" fillId="2" borderId="0" xfId="0" applyFont="1" applyFill="1" applyAlignment="1">
      <alignment horizontal="center" wrapText="1"/>
    </xf>
    <xf numFmtId="0" fontId="37" fillId="2" borderId="0" xfId="0" applyFont="1" applyFill="1"/>
    <xf numFmtId="0" fontId="36" fillId="2" borderId="0" xfId="0" applyFont="1" applyFill="1" applyAlignment="1">
      <alignment horizontal="center" vertical="center" wrapText="1"/>
    </xf>
    <xf numFmtId="182" fontId="38" fillId="21" borderId="16" xfId="0" applyNumberFormat="1" applyFont="1" applyFill="1" applyBorder="1" applyAlignment="1">
      <alignment horizontal="center" vertical="center"/>
    </xf>
    <xf numFmtId="182" fontId="38" fillId="21" borderId="17" xfId="0" applyNumberFormat="1" applyFont="1" applyFill="1" applyBorder="1" applyAlignment="1">
      <alignment horizontal="center" vertical="center"/>
    </xf>
    <xf numFmtId="182" fontId="38" fillId="21" borderId="18" xfId="0" applyNumberFormat="1" applyFont="1" applyFill="1" applyBorder="1" applyAlignment="1">
      <alignment horizontal="center" vertical="center"/>
    </xf>
    <xf numFmtId="182" fontId="37" fillId="2" borderId="0" xfId="0" applyNumberFormat="1" applyFont="1" applyFill="1" applyAlignment="1">
      <alignment horizontal="center"/>
    </xf>
    <xf numFmtId="3" fontId="39" fillId="2" borderId="0" xfId="0" applyNumberFormat="1" applyFont="1" applyFill="1" applyAlignment="1">
      <alignment horizontal="center"/>
    </xf>
    <xf numFmtId="3" fontId="39" fillId="2" borderId="15" xfId="0" applyNumberFormat="1" applyFont="1" applyFill="1" applyBorder="1" applyAlignment="1">
      <alignment horizontal="center"/>
    </xf>
    <xf numFmtId="3" fontId="39" fillId="2" borderId="19" xfId="0" applyNumberFormat="1" applyFont="1" applyFill="1" applyBorder="1" applyAlignment="1">
      <alignment horizontal="center"/>
    </xf>
    <xf numFmtId="3" fontId="37" fillId="2" borderId="0" xfId="0" applyNumberFormat="1" applyFont="1" applyFill="1"/>
    <xf numFmtId="3" fontId="38" fillId="2" borderId="16" xfId="0" applyNumberFormat="1" applyFont="1" applyFill="1" applyBorder="1" applyAlignment="1">
      <alignment horizontal="center"/>
    </xf>
    <xf numFmtId="3" fontId="38" fillId="2" borderId="17" xfId="0" applyNumberFormat="1" applyFont="1" applyFill="1" applyBorder="1" applyAlignment="1">
      <alignment horizontal="center"/>
    </xf>
    <xf numFmtId="3" fontId="38" fillId="2" borderId="18" xfId="0" applyNumberFormat="1" applyFont="1" applyFill="1" applyBorder="1" applyAlignment="1">
      <alignment horizontal="center"/>
    </xf>
    <xf numFmtId="0" fontId="38" fillId="21" borderId="16" xfId="0" applyFont="1" applyFill="1" applyBorder="1" applyAlignment="1">
      <alignment horizontal="center" vertical="center"/>
    </xf>
    <xf numFmtId="0" fontId="38" fillId="21" borderId="17" xfId="0" applyFont="1" applyFill="1" applyBorder="1" applyAlignment="1">
      <alignment horizontal="center" vertical="center"/>
    </xf>
    <xf numFmtId="0" fontId="38" fillId="21" borderId="18" xfId="0" applyFont="1" applyFill="1" applyBorder="1" applyAlignment="1">
      <alignment horizontal="center" vertical="center"/>
    </xf>
    <xf numFmtId="3" fontId="39" fillId="2" borderId="15" xfId="0" applyNumberFormat="1" applyFont="1" applyFill="1" applyBorder="1" applyAlignment="1">
      <alignment horizontal="center" vertical="center"/>
    </xf>
    <xf numFmtId="3" fontId="39" fillId="2" borderId="0" xfId="0" applyNumberFormat="1" applyFont="1" applyFill="1" applyAlignment="1">
      <alignment horizontal="center" vertical="center"/>
    </xf>
    <xf numFmtId="3" fontId="39" fillId="2" borderId="19" xfId="0" applyNumberFormat="1" applyFont="1" applyFill="1" applyBorder="1" applyAlignment="1">
      <alignment horizontal="center" vertical="center"/>
    </xf>
    <xf numFmtId="3" fontId="35" fillId="0" borderId="0" xfId="0" applyNumberFormat="1" applyFont="1"/>
    <xf numFmtId="3" fontId="38" fillId="2" borderId="16" xfId="0" applyNumberFormat="1" applyFont="1" applyFill="1" applyBorder="1" applyAlignment="1">
      <alignment horizontal="center" vertical="center"/>
    </xf>
    <xf numFmtId="3" fontId="38" fillId="2" borderId="17" xfId="0" applyNumberFormat="1" applyFont="1" applyFill="1" applyBorder="1" applyAlignment="1">
      <alignment horizontal="center" vertical="center"/>
    </xf>
    <xf numFmtId="3" fontId="38" fillId="2" borderId="18" xfId="0" applyNumberFormat="1" applyFont="1" applyFill="1" applyBorder="1" applyAlignment="1">
      <alignment horizontal="center" vertical="center"/>
    </xf>
    <xf numFmtId="49" fontId="37" fillId="2" borderId="0" xfId="0" applyNumberFormat="1" applyFont="1" applyFill="1" applyAlignment="1">
      <alignment horizontal="center"/>
    </xf>
    <xf numFmtId="9" fontId="39" fillId="0" borderId="20" xfId="1" applyFont="1" applyBorder="1" applyAlignment="1">
      <alignment horizontal="center" vertical="center"/>
    </xf>
    <xf numFmtId="9" fontId="39" fillId="0" borderId="21" xfId="1" applyFont="1" applyBorder="1" applyAlignment="1">
      <alignment horizontal="center" vertical="center"/>
    </xf>
    <xf numFmtId="9" fontId="39" fillId="0" borderId="22" xfId="1" applyFont="1" applyBorder="1" applyAlignment="1">
      <alignment horizontal="center" vertical="center"/>
    </xf>
    <xf numFmtId="9" fontId="39" fillId="0" borderId="15" xfId="1" applyFont="1" applyBorder="1" applyAlignment="1">
      <alignment horizontal="center" vertical="center"/>
    </xf>
    <xf numFmtId="9" fontId="39" fillId="0" borderId="0" xfId="1" applyFont="1" applyAlignment="1">
      <alignment horizontal="center" vertical="center"/>
    </xf>
    <xf numFmtId="9" fontId="39" fillId="0" borderId="19" xfId="1" applyFont="1" applyBorder="1" applyAlignment="1">
      <alignment horizontal="center" vertical="center"/>
    </xf>
    <xf numFmtId="9" fontId="39" fillId="0" borderId="23" xfId="1" applyFont="1" applyBorder="1" applyAlignment="1">
      <alignment horizontal="center" vertical="center"/>
    </xf>
    <xf numFmtId="9" fontId="39" fillId="0" borderId="5" xfId="1" applyFont="1" applyBorder="1" applyAlignment="1">
      <alignment horizontal="center" vertical="center"/>
    </xf>
    <xf numFmtId="9" fontId="39" fillId="0" borderId="24" xfId="1" applyFont="1" applyBorder="1" applyAlignment="1">
      <alignment horizontal="center" vertical="center"/>
    </xf>
    <xf numFmtId="9" fontId="38" fillId="0" borderId="23" xfId="1" applyFont="1" applyBorder="1" applyAlignment="1">
      <alignment horizontal="center" vertical="center"/>
    </xf>
    <xf numFmtId="9" fontId="38" fillId="0" borderId="5" xfId="1" applyFont="1" applyBorder="1" applyAlignment="1">
      <alignment horizontal="center" vertical="center"/>
    </xf>
    <xf numFmtId="9" fontId="38" fillId="0" borderId="24" xfId="1" applyFont="1" applyBorder="1" applyAlignment="1">
      <alignment horizontal="center" vertical="center"/>
    </xf>
    <xf numFmtId="0" fontId="38" fillId="21" borderId="20" xfId="0" applyFont="1" applyFill="1" applyBorder="1" applyAlignment="1">
      <alignment horizontal="center" vertical="center"/>
    </xf>
    <xf numFmtId="0" fontId="38" fillId="21" borderId="21" xfId="0" applyFont="1" applyFill="1" applyBorder="1" applyAlignment="1">
      <alignment horizontal="center" vertical="center"/>
    </xf>
    <xf numFmtId="0" fontId="38" fillId="21" borderId="22" xfId="0" applyFont="1" applyFill="1" applyBorder="1" applyAlignment="1">
      <alignment horizontal="center" vertical="center"/>
    </xf>
    <xf numFmtId="9" fontId="38" fillId="0" borderId="16" xfId="1" applyFont="1" applyBorder="1" applyAlignment="1">
      <alignment horizontal="center" vertical="center"/>
    </xf>
    <xf numFmtId="9" fontId="38" fillId="0" borderId="17" xfId="1" applyFont="1" applyBorder="1" applyAlignment="1">
      <alignment horizontal="center" vertical="center"/>
    </xf>
    <xf numFmtId="9" fontId="38" fillId="0" borderId="18" xfId="1" applyFont="1" applyBorder="1" applyAlignment="1">
      <alignment horizontal="center" vertical="center"/>
    </xf>
    <xf numFmtId="0" fontId="16" fillId="2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19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9" fontId="16" fillId="0" borderId="0" xfId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0" fillId="20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9" fontId="31" fillId="2" borderId="0" xfId="0" applyNumberFormat="1" applyFont="1" applyFill="1" applyAlignment="1">
      <alignment horizontal="center"/>
    </xf>
    <xf numFmtId="181" fontId="31" fillId="2" borderId="0" xfId="0" applyNumberFormat="1" applyFont="1" applyFill="1" applyAlignment="1">
      <alignment horizontal="center"/>
    </xf>
    <xf numFmtId="9" fontId="0" fillId="12" borderId="0" xfId="1" applyFont="1" applyFill="1" applyAlignment="1">
      <alignment horizontal="center"/>
    </xf>
    <xf numFmtId="0" fontId="0" fillId="23" borderId="0" xfId="0" applyFill="1" applyAlignment="1">
      <alignment horizontal="left"/>
    </xf>
    <xf numFmtId="9" fontId="0" fillId="23" borderId="0" xfId="0" applyNumberFormat="1" applyFill="1" applyAlignment="1">
      <alignment horizontal="center"/>
    </xf>
    <xf numFmtId="176" fontId="0" fillId="23" borderId="0" xfId="0" applyNumberFormat="1" applyFill="1" applyAlignment="1">
      <alignment horizontal="center"/>
    </xf>
    <xf numFmtId="0" fontId="16" fillId="2" borderId="0" xfId="0" applyFont="1" applyFill="1" applyAlignment="1">
      <alignment horizontal="center" wrapText="1"/>
    </xf>
    <xf numFmtId="0" fontId="16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76" fontId="16" fillId="23" borderId="25" xfId="0" applyNumberFormat="1" applyFont="1" applyFill="1" applyBorder="1" applyAlignment="1">
      <alignment horizontal="center"/>
    </xf>
    <xf numFmtId="176" fontId="16" fillId="23" borderId="0" xfId="0" applyNumberFormat="1" applyFont="1" applyFill="1" applyAlignment="1">
      <alignment horizontal="center"/>
    </xf>
    <xf numFmtId="176" fontId="0" fillId="2" borderId="0" xfId="0" applyNumberFormat="1" applyFill="1"/>
    <xf numFmtId="0" fontId="0" fillId="24" borderId="0" xfId="0" applyFill="1" applyAlignment="1">
      <alignment horizontal="center"/>
    </xf>
    <xf numFmtId="9" fontId="0" fillId="24" borderId="0" xfId="1" applyFont="1" applyFill="1" applyAlignment="1">
      <alignment horizontal="center"/>
    </xf>
    <xf numFmtId="9" fontId="0" fillId="2" borderId="0" xfId="1" applyFont="1" applyFill="1"/>
    <xf numFmtId="0" fontId="40" fillId="2" borderId="0" xfId="0" applyFont="1" applyFill="1" applyAlignment="1">
      <alignment horizontal="center"/>
    </xf>
    <xf numFmtId="178" fontId="40" fillId="2" borderId="0" xfId="0" applyNumberFormat="1" applyFont="1" applyFill="1" applyAlignment="1">
      <alignment horizontal="center"/>
    </xf>
    <xf numFmtId="0" fontId="40" fillId="2" borderId="0" xfId="0" applyFont="1" applyFill="1"/>
    <xf numFmtId="0" fontId="16" fillId="24" borderId="0" xfId="0" applyFont="1" applyFill="1"/>
    <xf numFmtId="0" fontId="0" fillId="24" borderId="0" xfId="0" applyFill="1"/>
    <xf numFmtId="9" fontId="40" fillId="2" borderId="0" xfId="1" applyFont="1" applyFill="1" applyAlignment="1">
      <alignment horizontal="center"/>
    </xf>
    <xf numFmtId="0" fontId="16" fillId="16" borderId="0" xfId="0" applyFont="1" applyFill="1" applyAlignment="1">
      <alignment horizontal="center"/>
    </xf>
    <xf numFmtId="178" fontId="16" fillId="16" borderId="0" xfId="0" applyNumberFormat="1" applyFont="1" applyFill="1" applyAlignment="1">
      <alignment horizontal="center"/>
    </xf>
    <xf numFmtId="0" fontId="0" fillId="25" borderId="0" xfId="0" applyFill="1" applyAlignment="1">
      <alignment horizontal="center"/>
    </xf>
    <xf numFmtId="0" fontId="41" fillId="24" borderId="0" xfId="0" applyFont="1" applyFill="1" applyAlignment="1">
      <alignment horizontal="center"/>
    </xf>
    <xf numFmtId="0" fontId="42" fillId="26" borderId="0" xfId="0" applyFont="1" applyFill="1"/>
    <xf numFmtId="0" fontId="42" fillId="26" borderId="0" xfId="0" applyFont="1" applyFill="1" applyAlignment="1">
      <alignment horizontal="center"/>
    </xf>
    <xf numFmtId="9" fontId="42" fillId="26" borderId="0" xfId="0" applyNumberFormat="1" applyFont="1" applyFill="1" applyAlignment="1">
      <alignment horizontal="center"/>
    </xf>
    <xf numFmtId="9" fontId="43" fillId="27" borderId="26" xfId="0" applyNumberFormat="1" applyFont="1" applyFill="1" applyBorder="1" applyAlignment="1">
      <alignment horizontal="center"/>
    </xf>
    <xf numFmtId="0" fontId="0" fillId="28" borderId="0" xfId="0" applyFill="1" applyAlignment="1">
      <alignment horizontal="center"/>
    </xf>
    <xf numFmtId="9" fontId="0" fillId="28" borderId="0" xfId="0" applyNumberFormat="1" applyFill="1" applyAlignment="1">
      <alignment horizontal="center"/>
    </xf>
    <xf numFmtId="181" fontId="0" fillId="28" borderId="0" xfId="1" applyNumberFormat="1" applyFont="1" applyFill="1" applyAlignment="1">
      <alignment horizontal="center"/>
    </xf>
    <xf numFmtId="0" fontId="0" fillId="28" borderId="0" xfId="0" applyFill="1"/>
    <xf numFmtId="9" fontId="0" fillId="0" borderId="0" xfId="0" applyNumberFormat="1" applyAlignment="1">
      <alignment horizontal="center"/>
    </xf>
    <xf numFmtId="181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9" fontId="0" fillId="24" borderId="0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6" fillId="6" borderId="0" xfId="0" applyFont="1" applyFill="1" applyAlignment="1">
      <alignment horizontal="center"/>
    </xf>
    <xf numFmtId="9" fontId="0" fillId="6" borderId="0" xfId="1" applyFont="1" applyFill="1" applyAlignment="1">
      <alignment horizontal="center"/>
    </xf>
    <xf numFmtId="0" fontId="42" fillId="29" borderId="0" xfId="0" applyFont="1" applyFill="1"/>
    <xf numFmtId="0" fontId="16" fillId="30" borderId="0" xfId="0" applyFont="1" applyFill="1"/>
    <xf numFmtId="0" fontId="0" fillId="0" borderId="0" xfId="0" applyAlignment="1">
      <alignment horizontal="left"/>
    </xf>
    <xf numFmtId="0" fontId="4" fillId="6" borderId="4" xfId="0" applyFont="1" applyFill="1" applyBorder="1" applyAlignment="1">
      <alignment horizontal="center"/>
    </xf>
    <xf numFmtId="0" fontId="14" fillId="6" borderId="6" xfId="2" applyFont="1" applyFill="1" applyBorder="1" applyAlignment="1">
      <alignment vertical="center" wrapText="1"/>
    </xf>
    <xf numFmtId="0" fontId="14" fillId="6" borderId="0" xfId="2" applyFont="1" applyFill="1" applyAlignment="1">
      <alignment vertical="center"/>
    </xf>
    <xf numFmtId="0" fontId="14" fillId="6" borderId="6" xfId="2" applyFont="1" applyFill="1" applyBorder="1" applyAlignment="1">
      <alignment vertical="center"/>
    </xf>
    <xf numFmtId="0" fontId="13" fillId="0" borderId="7" xfId="2" applyFont="1" applyBorder="1" applyAlignment="1">
      <alignment wrapText="1"/>
    </xf>
    <xf numFmtId="0" fontId="14" fillId="0" borderId="8" xfId="2" applyFont="1" applyBorder="1"/>
    <xf numFmtId="0" fontId="14" fillId="0" borderId="9" xfId="2" applyFont="1" applyBorder="1"/>
    <xf numFmtId="0" fontId="14" fillId="0" borderId="10" xfId="2" applyFont="1" applyBorder="1"/>
    <xf numFmtId="0" fontId="14" fillId="0" borderId="11" xfId="2" applyFont="1" applyBorder="1"/>
    <xf numFmtId="0" fontId="14" fillId="0" borderId="12" xfId="2" applyFont="1" applyBorder="1"/>
    <xf numFmtId="0" fontId="14" fillId="0" borderId="7" xfId="2" applyFont="1" applyBorder="1" applyAlignment="1">
      <alignment horizontal="center" vertical="center" wrapText="1"/>
    </xf>
    <xf numFmtId="0" fontId="14" fillId="0" borderId="8" xfId="2" applyFont="1" applyBorder="1" applyAlignment="1">
      <alignment wrapText="1"/>
    </xf>
    <xf numFmtId="0" fontId="14" fillId="0" borderId="9" xfId="2" applyFont="1" applyBorder="1" applyAlignment="1">
      <alignment wrapText="1"/>
    </xf>
    <xf numFmtId="0" fontId="14" fillId="0" borderId="10" xfId="2" applyFont="1" applyBorder="1" applyAlignment="1">
      <alignment wrapText="1"/>
    </xf>
    <xf numFmtId="0" fontId="14" fillId="0" borderId="11" xfId="2" applyFont="1" applyBorder="1" applyAlignment="1">
      <alignment wrapText="1"/>
    </xf>
    <xf numFmtId="0" fontId="14" fillId="0" borderId="12" xfId="2" applyFont="1" applyBorder="1" applyAlignment="1">
      <alignment wrapText="1"/>
    </xf>
    <xf numFmtId="0" fontId="13" fillId="0" borderId="7" xfId="2" applyFont="1" applyBorder="1" applyAlignment="1">
      <alignment horizontal="center" vertical="center" wrapText="1"/>
    </xf>
    <xf numFmtId="0" fontId="14" fillId="0" borderId="8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4" fillId="0" borderId="10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 wrapText="1"/>
    </xf>
    <xf numFmtId="0" fontId="14" fillId="0" borderId="8" xfId="2" applyFont="1" applyBorder="1" applyAlignment="1">
      <alignment horizontal="center" wrapText="1"/>
    </xf>
    <xf numFmtId="0" fontId="14" fillId="0" borderId="9" xfId="2" applyFont="1" applyBorder="1" applyAlignment="1">
      <alignment horizontal="center" wrapText="1"/>
    </xf>
    <xf numFmtId="0" fontId="14" fillId="0" borderId="10" xfId="2" applyFont="1" applyBorder="1" applyAlignment="1">
      <alignment horizontal="center" wrapText="1"/>
    </xf>
    <xf numFmtId="0" fontId="14" fillId="0" borderId="11" xfId="2" applyFont="1" applyBorder="1" applyAlignment="1">
      <alignment horizontal="center" wrapText="1"/>
    </xf>
    <xf numFmtId="0" fontId="14" fillId="0" borderId="12" xfId="2" applyFont="1" applyBorder="1" applyAlignment="1">
      <alignment horizontal="center" wrapText="1"/>
    </xf>
    <xf numFmtId="0" fontId="14" fillId="0" borderId="8" xfId="2" applyFont="1" applyBorder="1" applyAlignment="1">
      <alignment horizontal="center"/>
    </xf>
    <xf numFmtId="0" fontId="14" fillId="0" borderId="9" xfId="2" applyFont="1" applyBorder="1" applyAlignment="1">
      <alignment horizontal="center"/>
    </xf>
    <xf numFmtId="0" fontId="14" fillId="0" borderId="10" xfId="2" applyFont="1" applyBorder="1" applyAlignment="1">
      <alignment horizontal="center"/>
    </xf>
    <xf numFmtId="0" fontId="14" fillId="0" borderId="11" xfId="2" applyFont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20" fillId="14" borderId="0" xfId="0" applyFont="1" applyFill="1" applyAlignment="1">
      <alignment horizontal="center"/>
    </xf>
    <xf numFmtId="0" fontId="0" fillId="0" borderId="0" xfId="0"/>
    <xf numFmtId="0" fontId="22" fillId="16" borderId="15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5" fillId="0" borderId="0" xfId="0" applyFont="1" applyAlignment="1">
      <alignment horizontal="center" vertical="center" readingOrder="1"/>
    </xf>
    <xf numFmtId="0" fontId="36" fillId="2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6" fillId="23" borderId="25" xfId="0" applyFont="1" applyFill="1" applyBorder="1" applyAlignment="1">
      <alignment horizontal="left" wrapText="1"/>
    </xf>
    <xf numFmtId="0" fontId="16" fillId="23" borderId="0" xfId="0" applyFont="1" applyFill="1" applyAlignment="1">
      <alignment horizontal="left" wrapText="1"/>
    </xf>
  </cellXfs>
  <cellStyles count="4">
    <cellStyle name="Normal 2" xfId="2" xr:uid="{528331D2-7CF3-4909-9C40-7BF7FB034C44}"/>
    <cellStyle name="백분율" xfId="1" builtinId="5"/>
    <cellStyle name="표준" xfId="0" builtinId="0"/>
    <cellStyle name="하이퍼링크" xfId="3" builtinId="8"/>
  </cellStyles>
  <dxfs count="26"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Paying customer at the beginning 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'Churn example'!$C$13:$G$13</c:f>
              <c:numCache>
                <c:formatCode>#,##0</c:formatCode>
                <c:ptCount val="5"/>
                <c:pt idx="0" formatCode="General">
                  <c:v>600</c:v>
                </c:pt>
                <c:pt idx="1">
                  <c:v>610</c:v>
                </c:pt>
                <c:pt idx="2">
                  <c:v>620</c:v>
                </c:pt>
                <c:pt idx="3">
                  <c:v>630</c:v>
                </c:pt>
                <c:pt idx="4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0-4319-B36F-9500078D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266568"/>
        <c:axId val="530266896"/>
      </c:barChart>
      <c:lineChart>
        <c:grouping val="standard"/>
        <c:varyColors val="0"/>
        <c:ser>
          <c:idx val="0"/>
          <c:order val="0"/>
          <c:tx>
            <c:strRef>
              <c:f>'Churn example'!$B$18</c:f>
              <c:strCache>
                <c:ptCount val="1"/>
                <c:pt idx="0">
                  <c:v>Paying user Churn 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'Churn example'!$C$1:$G$1</c:f>
              <c:numCache>
                <c:formatCode>mmm\-yy</c:formatCode>
                <c:ptCount val="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</c:numCache>
            </c:numRef>
          </c:cat>
          <c:val>
            <c:numRef>
              <c:f>'Churn example'!$C$18:$G$18</c:f>
              <c:numCache>
                <c:formatCode>0%</c:formatCode>
                <c:ptCount val="5"/>
                <c:pt idx="0">
                  <c:v>0.13333333333333333</c:v>
                </c:pt>
                <c:pt idx="1">
                  <c:v>0.18032786885245902</c:v>
                </c:pt>
                <c:pt idx="2">
                  <c:v>0.22580645161290322</c:v>
                </c:pt>
                <c:pt idx="3">
                  <c:v>0.26984126984126983</c:v>
                </c:pt>
                <c:pt idx="4">
                  <c:v>0.296875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0-4319-B36F-9500078D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31704"/>
        <c:axId val="523536296"/>
      </c:lineChart>
      <c:dateAx>
        <c:axId val="523531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536296"/>
        <c:crosses val="autoZero"/>
        <c:auto val="1"/>
        <c:lblOffset val="100"/>
        <c:baseTimeUnit val="months"/>
      </c:dateAx>
      <c:valAx>
        <c:axId val="5235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531704"/>
        <c:crosses val="autoZero"/>
        <c:crossBetween val="between"/>
      </c:valAx>
      <c:valAx>
        <c:axId val="53026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266568"/>
        <c:crosses val="max"/>
        <c:crossBetween val="between"/>
      </c:valAx>
      <c:catAx>
        <c:axId val="530266568"/>
        <c:scaling>
          <c:orientation val="minMax"/>
        </c:scaling>
        <c:delete val="1"/>
        <c:axPos val="b"/>
        <c:majorTickMark val="out"/>
        <c:minorTickMark val="none"/>
        <c:tickLblPos val="nextTo"/>
        <c:crossAx val="53026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L7</a:t>
            </a:r>
            <a:r>
              <a:rPr lang="en-US" baseline="0"/>
              <a:t> (power users)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'In-class case'!$K$4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'In-class case'!$L$2:$R$2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'In-class case'!$L$4:$R$4</c:f>
              <c:numCache>
                <c:formatCode>0%</c:formatCode>
                <c:ptCount val="7"/>
                <c:pt idx="0">
                  <c:v>0.26315789473684209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0.10526315789473684</c:v>
                </c:pt>
                <c:pt idx="4">
                  <c:v>5.2631578947368418E-2</c:v>
                </c:pt>
                <c:pt idx="5">
                  <c:v>0.10526315789473684</c:v>
                </c:pt>
                <c:pt idx="6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4-49D8-84E3-F4D42273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30632"/>
        <c:axId val="498496328"/>
      </c:lineChart>
      <c:catAx>
        <c:axId val="62743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Active days in a week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8496328"/>
        <c:crosses val="autoZero"/>
        <c:auto val="1"/>
        <c:lblAlgn val="ctr"/>
        <c:lblOffset val="100"/>
        <c:noMultiLvlLbl val="0"/>
      </c:catAx>
      <c:valAx>
        <c:axId val="49849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43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Median</a:t>
            </a:r>
            <a:r>
              <a:rPr lang="en-US" b="1" baseline="0"/>
              <a:t> Days between purchases</a:t>
            </a:r>
            <a:endParaRPr lang="en-US" b="1"/>
          </a:p>
        </c:rich>
      </c:tx>
      <c:layout>
        <c:manualLayout>
          <c:xMode val="edge"/>
          <c:yMode val="edge"/>
          <c:x val="0.26372027458084035"/>
          <c:y val="2.7777807637526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 class latency '!$D$2</c:f>
              <c:strCache>
                <c:ptCount val="1"/>
                <c:pt idx="0">
                  <c:v>Median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 class latency '!$B$3:$C$6</c:f>
              <c:strCache>
                <c:ptCount val="4"/>
                <c:pt idx="0">
                  <c:v>between 1th and 2nd </c:v>
                </c:pt>
                <c:pt idx="1">
                  <c:v>between 2nd and 3th</c:v>
                </c:pt>
                <c:pt idx="2">
                  <c:v>between 3th and 4th</c:v>
                </c:pt>
                <c:pt idx="3">
                  <c:v>between 4th and 5th</c:v>
                </c:pt>
              </c:strCache>
            </c:strRef>
          </c:cat>
          <c:val>
            <c:numRef>
              <c:f>'In class latency '!$D$3:$D$6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B-4AB9-94D2-BE3439824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9084512"/>
        <c:axId val="499091400"/>
      </c:barChart>
      <c:catAx>
        <c:axId val="4990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091400"/>
        <c:crosses val="autoZero"/>
        <c:auto val="1"/>
        <c:lblAlgn val="ctr"/>
        <c:lblOffset val="100"/>
        <c:noMultiLvlLbl val="0"/>
      </c:catAx>
      <c:valAx>
        <c:axId val="4990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08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Lifecycle (Days)</a:t>
            </a:r>
            <a:r>
              <a:rPr lang="en-US" baseline="0"/>
              <a:t> after </a:t>
            </a:r>
            <a:r>
              <a:rPr lang="en-US" i="0" baseline="0"/>
              <a:t>nth purchase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'turning latency to profit'!$B$4:$B$9</c:f>
              <c:strCache>
                <c:ptCount val="6"/>
                <c:pt idx="0">
                  <c:v>2nd</c:v>
                </c:pt>
                <c:pt idx="1">
                  <c:v>3th</c:v>
                </c:pt>
                <c:pt idx="2">
                  <c:v>4th</c:v>
                </c:pt>
                <c:pt idx="3">
                  <c:v>5th</c:v>
                </c:pt>
                <c:pt idx="4">
                  <c:v>6th</c:v>
                </c:pt>
                <c:pt idx="5">
                  <c:v>7th</c:v>
                </c:pt>
              </c:strCache>
            </c:strRef>
          </c:cat>
          <c:val>
            <c:numRef>
              <c:f>'turning latency to profit'!$E$4:$E$9</c:f>
              <c:numCache>
                <c:formatCode>General</c:formatCode>
                <c:ptCount val="6"/>
                <c:pt idx="0">
                  <c:v>90</c:v>
                </c:pt>
                <c:pt idx="1">
                  <c:v>150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C-4FE4-803B-33883242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259768"/>
        <c:axId val="669264032"/>
      </c:lineChart>
      <c:catAx>
        <c:axId val="6692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264032"/>
        <c:crosses val="autoZero"/>
        <c:auto val="1"/>
        <c:lblAlgn val="ctr"/>
        <c:lblOffset val="100"/>
        <c:noMultiLvlLbl val="0"/>
      </c:catAx>
      <c:valAx>
        <c:axId val="6692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25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RF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A4-4689-BFCF-447CB63A03E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A4-4689-BFCF-447CB63A03E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A4-4689-BFCF-447CB63A03E4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A4-4689-BFCF-447CB63A03E4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A4-4689-BFCF-447CB63A03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RFM!$A$3:$A$18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xVal>
          <c:yVal>
            <c:numRef>
              <c:f>RFM!$B$3:$B$18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yVal>
          <c:bubbleSize>
            <c:numRef>
              <c:f>RFM!$D$3:$D$18</c:f>
              <c:numCache>
                <c:formatCode>0%</c:formatCode>
                <c:ptCount val="16"/>
                <c:pt idx="0">
                  <c:v>0.14000000000000001</c:v>
                </c:pt>
                <c:pt idx="1">
                  <c:v>8.1632653061224483E-2</c:v>
                </c:pt>
                <c:pt idx="2">
                  <c:v>4.0816326530612242E-2</c:v>
                </c:pt>
                <c:pt idx="3">
                  <c:v>4.0816326530612242E-2</c:v>
                </c:pt>
                <c:pt idx="4">
                  <c:v>4.0816326530612242E-2</c:v>
                </c:pt>
                <c:pt idx="5">
                  <c:v>0.02</c:v>
                </c:pt>
                <c:pt idx="6">
                  <c:v>0.13</c:v>
                </c:pt>
                <c:pt idx="7">
                  <c:v>7.0000000000000007E-2</c:v>
                </c:pt>
                <c:pt idx="8">
                  <c:v>0.03</c:v>
                </c:pt>
                <c:pt idx="9">
                  <c:v>4.0816326530612242E-2</c:v>
                </c:pt>
                <c:pt idx="10">
                  <c:v>0.13</c:v>
                </c:pt>
                <c:pt idx="11">
                  <c:v>0.03</c:v>
                </c:pt>
                <c:pt idx="12">
                  <c:v>0.01</c:v>
                </c:pt>
                <c:pt idx="13">
                  <c:v>0.01</c:v>
                </c:pt>
                <c:pt idx="14">
                  <c:v>0.08</c:v>
                </c:pt>
                <c:pt idx="15">
                  <c:v>0.10204081632653061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18A4-4689-BFCF-447CB63A0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3141800"/>
        <c:axId val="493143440"/>
      </c:bubbleChart>
      <c:valAx>
        <c:axId val="49314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143440"/>
        <c:crosses val="autoZero"/>
        <c:crossBetween val="midCat"/>
        <c:majorUnit val="1"/>
      </c:valAx>
      <c:valAx>
        <c:axId val="4931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141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RF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B6-4EE5-8246-2F9B8D0147F0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B6-4EE5-8246-2F9B8D0147F0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B6-4EE5-8246-2F9B8D0147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'in-class RFM example'!$W$15:$W$30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xVal>
          <c:yVal>
            <c:numRef>
              <c:f>'in-class RFM example'!$X$15:$X$30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yVal>
          <c:bubbleSize>
            <c:numRef>
              <c:f>'in-class RFM example'!$Z$15:$Z$30</c:f>
              <c:numCache>
                <c:formatCode>0%</c:formatCode>
                <c:ptCount val="16"/>
                <c:pt idx="0">
                  <c:v>0.12244897959183673</c:v>
                </c:pt>
                <c:pt idx="1">
                  <c:v>4.0816326530612242E-2</c:v>
                </c:pt>
                <c:pt idx="2">
                  <c:v>4.0816326530612242E-2</c:v>
                </c:pt>
                <c:pt idx="3">
                  <c:v>4.0816326530612242E-2</c:v>
                </c:pt>
                <c:pt idx="4">
                  <c:v>8.1632653061224483E-2</c:v>
                </c:pt>
                <c:pt idx="5">
                  <c:v>6.1224489795918366E-2</c:v>
                </c:pt>
                <c:pt idx="6">
                  <c:v>4.0816326530612242E-2</c:v>
                </c:pt>
                <c:pt idx="7">
                  <c:v>4.0816326530612242E-2</c:v>
                </c:pt>
                <c:pt idx="8">
                  <c:v>4.0816326530612242E-2</c:v>
                </c:pt>
                <c:pt idx="9">
                  <c:v>8.1632653061224483E-2</c:v>
                </c:pt>
                <c:pt idx="10">
                  <c:v>0.10204081632653061</c:v>
                </c:pt>
                <c:pt idx="11">
                  <c:v>4.0816326530612242E-2</c:v>
                </c:pt>
                <c:pt idx="12">
                  <c:v>4.0816326530612242E-2</c:v>
                </c:pt>
                <c:pt idx="13">
                  <c:v>6.1224489795918366E-2</c:v>
                </c:pt>
                <c:pt idx="14">
                  <c:v>6.1224489795918366E-2</c:v>
                </c:pt>
                <c:pt idx="15">
                  <c:v>0.10204081632653061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B0B6-4EE5-8246-2F9B8D01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3141800"/>
        <c:axId val="493143440"/>
      </c:bubbleChart>
      <c:valAx>
        <c:axId val="49314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143440"/>
        <c:crosses val="autoZero"/>
        <c:crossBetween val="midCat"/>
        <c:majorUnit val="1"/>
      </c:valAx>
      <c:valAx>
        <c:axId val="4931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141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</a:t>
            </a:r>
            <a:r>
              <a:rPr lang="en-US" baseline="0"/>
              <a:t> (different  scenarios)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Graph!$C$2:$N$2</c:f>
              <c:numCache>
                <c:formatCode>"$"#,##0</c:formatCode>
                <c:ptCount val="12"/>
                <c:pt idx="0">
                  <c:v>89.562913907284766</c:v>
                </c:pt>
                <c:pt idx="1">
                  <c:v>95.284536082474233</c:v>
                </c:pt>
                <c:pt idx="2">
                  <c:v>106.63201663201663</c:v>
                </c:pt>
                <c:pt idx="3">
                  <c:v>100.85458167330677</c:v>
                </c:pt>
                <c:pt idx="4">
                  <c:v>106.04322200392927</c:v>
                </c:pt>
                <c:pt idx="5">
                  <c:v>124.25450450450451</c:v>
                </c:pt>
                <c:pt idx="6">
                  <c:v>107.78532110091743</c:v>
                </c:pt>
                <c:pt idx="7">
                  <c:v>98.142614601018678</c:v>
                </c:pt>
                <c:pt idx="8">
                  <c:v>96.784745762711864</c:v>
                </c:pt>
                <c:pt idx="9">
                  <c:v>95.557189542483655</c:v>
                </c:pt>
                <c:pt idx="10">
                  <c:v>88.118840579710138</c:v>
                </c:pt>
                <c:pt idx="11">
                  <c:v>89.207142857142856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9-4D71-B4CE-9A87A9931F34}"/>
            </c:ext>
          </c:extLst>
        </c:ser>
        <c:ser>
          <c:idx val="1"/>
          <c:order val="1"/>
          <c:tx>
            <c:strRef>
              <c:f>Graph!$B$3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Graph!$C$3:$N$3</c:f>
              <c:numCache>
                <c:formatCode>"$"#,##0</c:formatCode>
                <c:ptCount val="12"/>
                <c:pt idx="2">
                  <c:v>84.349272349272354</c:v>
                </c:pt>
                <c:pt idx="3">
                  <c:v>92.057768924302792</c:v>
                </c:pt>
                <c:pt idx="4">
                  <c:v>79.766718506998444</c:v>
                </c:pt>
                <c:pt idx="5">
                  <c:v>114.02927927927928</c:v>
                </c:pt>
                <c:pt idx="6">
                  <c:v>99.038532110091737</c:v>
                </c:pt>
                <c:pt idx="7">
                  <c:v>93.665534804753818</c:v>
                </c:pt>
                <c:pt idx="8">
                  <c:v>99.564406779661013</c:v>
                </c:pt>
                <c:pt idx="9">
                  <c:v>94.454248366013076</c:v>
                </c:pt>
                <c:pt idx="10">
                  <c:v>82.757971014492753</c:v>
                </c:pt>
                <c:pt idx="11">
                  <c:v>83.544285714285721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9-4D71-B4CE-9A87A9931F34}"/>
            </c:ext>
          </c:extLst>
        </c:ser>
        <c:ser>
          <c:idx val="2"/>
          <c:order val="2"/>
          <c:tx>
            <c:strRef>
              <c:f>Graph!$B$4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Graph!$C$4:$N$4</c:f>
              <c:numCache>
                <c:formatCode>"$"#,##0</c:formatCode>
                <c:ptCount val="12"/>
                <c:pt idx="2">
                  <c:v>97.883575883575887</c:v>
                </c:pt>
                <c:pt idx="3">
                  <c:v>100.55876494023904</c:v>
                </c:pt>
                <c:pt idx="4">
                  <c:v>80.377916018662518</c:v>
                </c:pt>
                <c:pt idx="5">
                  <c:v>123.88738738738739</c:v>
                </c:pt>
                <c:pt idx="6">
                  <c:v>110.28256880733944</c:v>
                </c:pt>
                <c:pt idx="7">
                  <c:v>96.297962648556876</c:v>
                </c:pt>
                <c:pt idx="8">
                  <c:v>93.107627118644061</c:v>
                </c:pt>
                <c:pt idx="9">
                  <c:v>95.317810457516345</c:v>
                </c:pt>
                <c:pt idx="10">
                  <c:v>85.402173913043484</c:v>
                </c:pt>
                <c:pt idx="11">
                  <c:v>89.728571428571428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9-4D71-B4CE-9A87A993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20208"/>
        <c:axId val="533121520"/>
      </c:lineChart>
      <c:catAx>
        <c:axId val="5331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121520"/>
        <c:crosses val="autoZero"/>
        <c:auto val="1"/>
        <c:lblAlgn val="ctr"/>
        <c:lblOffset val="100"/>
        <c:noMultiLvlLbl val="0"/>
      </c:catAx>
      <c:valAx>
        <c:axId val="53312152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1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Economics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9570418222481015E-2"/>
          <c:y val="0.14566517138988999"/>
          <c:w val="0.89455514569352346"/>
          <c:h val="0.67338881504933301"/>
        </c:manualLayout>
      </c:layout>
      <c:lineChart>
        <c:grouping val="standard"/>
        <c:varyColors val="0"/>
        <c:ser>
          <c:idx val="0"/>
          <c:order val="0"/>
          <c:tx>
            <c:strRef>
              <c:f>'CAC investor and companies'!$B$3</c:f>
              <c:strCache>
                <c:ptCount val="1"/>
                <c:pt idx="0">
                  <c:v>Revenue Per Customer in 2 quarters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'CAC investor and companies'!$C$2:$I$2</c:f>
              <c:strCache>
                <c:ptCount val="7"/>
                <c:pt idx="0">
                  <c:v>Q1FY17</c:v>
                </c:pt>
                <c:pt idx="1">
                  <c:v>Q2FY17</c:v>
                </c:pt>
                <c:pt idx="2">
                  <c:v>Q3FY17</c:v>
                </c:pt>
                <c:pt idx="3">
                  <c:v>Q4FY18</c:v>
                </c:pt>
                <c:pt idx="4">
                  <c:v>Q1FY18</c:v>
                </c:pt>
                <c:pt idx="5">
                  <c:v>Q2FY18</c:v>
                </c:pt>
                <c:pt idx="6">
                  <c:v>Q3FY18</c:v>
                </c:pt>
              </c:strCache>
            </c:strRef>
          </c:cat>
          <c:val>
            <c:numRef>
              <c:f>'CAC investor and companies'!$C$3:$I$3</c:f>
              <c:numCache>
                <c:formatCode>"$"#,##0</c:formatCode>
                <c:ptCount val="7"/>
                <c:pt idx="0">
                  <c:v>200</c:v>
                </c:pt>
                <c:pt idx="1">
                  <c:v>220</c:v>
                </c:pt>
                <c:pt idx="2">
                  <c:v>250</c:v>
                </c:pt>
                <c:pt idx="3">
                  <c:v>280</c:v>
                </c:pt>
                <c:pt idx="4">
                  <c:v>350</c:v>
                </c:pt>
                <c:pt idx="5">
                  <c:v>400</c:v>
                </c:pt>
                <c:pt idx="6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E-4D51-B4DA-73AA1DC2B4DC}"/>
            </c:ext>
          </c:extLst>
        </c:ser>
        <c:ser>
          <c:idx val="1"/>
          <c:order val="1"/>
          <c:tx>
            <c:strRef>
              <c:f>'CAC investor and companies'!$B$7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'CAC investor and companies'!$C$2:$I$2</c:f>
              <c:strCache>
                <c:ptCount val="7"/>
                <c:pt idx="0">
                  <c:v>Q1FY17</c:v>
                </c:pt>
                <c:pt idx="1">
                  <c:v>Q2FY17</c:v>
                </c:pt>
                <c:pt idx="2">
                  <c:v>Q3FY17</c:v>
                </c:pt>
                <c:pt idx="3">
                  <c:v>Q4FY18</c:v>
                </c:pt>
                <c:pt idx="4">
                  <c:v>Q1FY18</c:v>
                </c:pt>
                <c:pt idx="5">
                  <c:v>Q2FY18</c:v>
                </c:pt>
                <c:pt idx="6">
                  <c:v>Q3FY18</c:v>
                </c:pt>
              </c:strCache>
            </c:strRef>
          </c:cat>
          <c:val>
            <c:numRef>
              <c:f>'CAC investor and companies'!$C$7:$I$7</c:f>
              <c:numCache>
                <c:formatCode>"$"#,##0</c:formatCode>
                <c:ptCount val="7"/>
                <c:pt idx="0">
                  <c:v>266.66666666666669</c:v>
                </c:pt>
                <c:pt idx="1">
                  <c:v>273.44632768361583</c:v>
                </c:pt>
                <c:pt idx="2">
                  <c:v>290.23689166418876</c:v>
                </c:pt>
                <c:pt idx="3">
                  <c:v>308.05845518742848</c:v>
                </c:pt>
                <c:pt idx="4">
                  <c:v>326.97432524279691</c:v>
                </c:pt>
                <c:pt idx="5">
                  <c:v>329.69911128648687</c:v>
                </c:pt>
                <c:pt idx="6">
                  <c:v>329.69911128648681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E-4D51-B4DA-73AA1DC2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25464"/>
        <c:axId val="533129400"/>
      </c:lineChart>
      <c:catAx>
        <c:axId val="53312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129400"/>
        <c:crosses val="autoZero"/>
        <c:auto val="1"/>
        <c:lblAlgn val="ctr"/>
        <c:lblOffset val="100"/>
        <c:noMultiLvlLbl val="0"/>
      </c:catAx>
      <c:valAx>
        <c:axId val="53312940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1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</a:t>
            </a:r>
            <a:r>
              <a:rPr lang="en-US" baseline="0"/>
              <a:t> benchmark across different industries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7670691163604549"/>
          <c:y val="0.11615740740740743"/>
          <c:w val="0.68129308836395452"/>
          <c:h val="0.799591353164187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'Industry CAC benchmark'!$F$4:$F$15</c:f>
              <c:strCache>
                <c:ptCount val="12"/>
                <c:pt idx="0">
                  <c:v>Travel</c:v>
                </c:pt>
                <c:pt idx="1">
                  <c:v>Retail</c:v>
                </c:pt>
                <c:pt idx="2">
                  <c:v>Cusumer goods</c:v>
                </c:pt>
                <c:pt idx="3">
                  <c:v>Manufacturing</c:v>
                </c:pt>
                <c:pt idx="4">
                  <c:v>Transportation</c:v>
                </c:pt>
                <c:pt idx="5">
                  <c:v>Marketing Agency</c:v>
                </c:pt>
                <c:pt idx="6">
                  <c:v>Financial</c:v>
                </c:pt>
                <c:pt idx="7">
                  <c:v>Technology (hardware)</c:v>
                </c:pt>
                <c:pt idx="8">
                  <c:v>Real Estate </c:v>
                </c:pt>
                <c:pt idx="9">
                  <c:v>Banking/insurance</c:v>
                </c:pt>
                <c:pt idx="10">
                  <c:v>Telecom</c:v>
                </c:pt>
                <c:pt idx="11">
                  <c:v>Technology (Software)</c:v>
                </c:pt>
              </c:strCache>
            </c:strRef>
          </c:cat>
          <c:val>
            <c:numRef>
              <c:f>'Industry CAC benchmark'!$G$4:$G$15</c:f>
              <c:numCache>
                <c:formatCode>"$"#,##0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22</c:v>
                </c:pt>
                <c:pt idx="3">
                  <c:v>83</c:v>
                </c:pt>
                <c:pt idx="4">
                  <c:v>98</c:v>
                </c:pt>
                <c:pt idx="5">
                  <c:v>141</c:v>
                </c:pt>
                <c:pt idx="6">
                  <c:v>175</c:v>
                </c:pt>
                <c:pt idx="7">
                  <c:v>182</c:v>
                </c:pt>
                <c:pt idx="8">
                  <c:v>213</c:v>
                </c:pt>
                <c:pt idx="9">
                  <c:v>303</c:v>
                </c:pt>
                <c:pt idx="10">
                  <c:v>315</c:v>
                </c:pt>
                <c:pt idx="11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1-4721-BEB3-9E1578B81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8507272"/>
        <c:axId val="648510224"/>
      </c:barChart>
      <c:catAx>
        <c:axId val="64850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8510224"/>
        <c:crosses val="autoZero"/>
        <c:auto val="1"/>
        <c:lblAlgn val="ctr"/>
        <c:lblOffset val="100"/>
        <c:noMultiLvlLbl val="0"/>
      </c:catAx>
      <c:valAx>
        <c:axId val="6485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850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Customer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'Docu Sign example'!$A$21</c:f>
              <c:strCache>
                <c:ptCount val="1"/>
                <c:pt idx="0">
                  <c:v>-- Personal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'Docu Sign example'!$B$20:$K$20</c:f>
              <c:numCache>
                <c:formatCode>General</c:formatCode>
                <c:ptCount val="10"/>
              </c:numCache>
            </c:numRef>
          </c:cat>
          <c:val>
            <c:numRef>
              <c:f>'Docu Sign example'!$B$21:$K$21</c:f>
              <c:numCache>
                <c:formatCode>0%</c:formatCode>
                <c:ptCount val="10"/>
                <c:pt idx="0">
                  <c:v>0.50118764845605701</c:v>
                </c:pt>
                <c:pt idx="1">
                  <c:v>0.51972157772621808</c:v>
                </c:pt>
                <c:pt idx="2">
                  <c:v>0.53533190578158463</c:v>
                </c:pt>
                <c:pt idx="3">
                  <c:v>0.51670378619153678</c:v>
                </c:pt>
                <c:pt idx="4">
                  <c:v>0.53172866520787743</c:v>
                </c:pt>
                <c:pt idx="5">
                  <c:v>0.57228915662650603</c:v>
                </c:pt>
                <c:pt idx="6">
                  <c:v>0.50984682713347917</c:v>
                </c:pt>
                <c:pt idx="7">
                  <c:v>0.4817351598173516</c:v>
                </c:pt>
                <c:pt idx="8">
                  <c:v>0.49074074074074076</c:v>
                </c:pt>
                <c:pt idx="9">
                  <c:v>0.48448687350835323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17-4222-A02E-BE7665E89CA0}"/>
            </c:ext>
          </c:extLst>
        </c:ser>
        <c:ser>
          <c:idx val="1"/>
          <c:order val="1"/>
          <c:tx>
            <c:strRef>
              <c:f>'Docu Sign example'!$A$22</c:f>
              <c:strCache>
                <c:ptCount val="1"/>
                <c:pt idx="0">
                  <c:v>-- Standard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'Docu Sign example'!$B$20:$K$20</c:f>
              <c:numCache>
                <c:formatCode>General</c:formatCode>
                <c:ptCount val="10"/>
              </c:numCache>
            </c:numRef>
          </c:cat>
          <c:val>
            <c:numRef>
              <c:f>'Docu Sign example'!$B$22:$K$22</c:f>
              <c:numCache>
                <c:formatCode>0%</c:formatCode>
                <c:ptCount val="10"/>
                <c:pt idx="0">
                  <c:v>0.43705463182897863</c:v>
                </c:pt>
                <c:pt idx="1">
                  <c:v>0.42691415313225056</c:v>
                </c:pt>
                <c:pt idx="2">
                  <c:v>0.39400428265524623</c:v>
                </c:pt>
                <c:pt idx="3">
                  <c:v>0.40979955456570155</c:v>
                </c:pt>
                <c:pt idx="4">
                  <c:v>0.40262582056892782</c:v>
                </c:pt>
                <c:pt idx="5">
                  <c:v>0.36947791164658633</c:v>
                </c:pt>
                <c:pt idx="6">
                  <c:v>0.40262582056892782</c:v>
                </c:pt>
                <c:pt idx="7">
                  <c:v>0.42009132420091322</c:v>
                </c:pt>
                <c:pt idx="8">
                  <c:v>0.42592592592592593</c:v>
                </c:pt>
                <c:pt idx="9">
                  <c:v>0.43914081145584727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B17-4222-A02E-BE7665E89CA0}"/>
            </c:ext>
          </c:extLst>
        </c:ser>
        <c:ser>
          <c:idx val="2"/>
          <c:order val="2"/>
          <c:tx>
            <c:strRef>
              <c:f>'Docu Sign example'!$A$23</c:f>
              <c:strCache>
                <c:ptCount val="1"/>
                <c:pt idx="0">
                  <c:v>-- Business Pro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'Docu Sign example'!$B$20:$K$20</c:f>
              <c:numCache>
                <c:formatCode>General</c:formatCode>
                <c:ptCount val="10"/>
              </c:numCache>
            </c:numRef>
          </c:cat>
          <c:val>
            <c:numRef>
              <c:f>'Docu Sign example'!$B$23:$K$23</c:f>
              <c:numCache>
                <c:formatCode>0%</c:formatCode>
                <c:ptCount val="10"/>
                <c:pt idx="0">
                  <c:v>5.4631828978622329E-2</c:v>
                </c:pt>
                <c:pt idx="1">
                  <c:v>4.4083526682134569E-2</c:v>
                </c:pt>
                <c:pt idx="2">
                  <c:v>6.4239828693790149E-2</c:v>
                </c:pt>
                <c:pt idx="3">
                  <c:v>6.2360801781737196E-2</c:v>
                </c:pt>
                <c:pt idx="4">
                  <c:v>4.8140043763676151E-2</c:v>
                </c:pt>
                <c:pt idx="5">
                  <c:v>5.0200803212851405E-2</c:v>
                </c:pt>
                <c:pt idx="6">
                  <c:v>7.6586433260393869E-2</c:v>
                </c:pt>
                <c:pt idx="7">
                  <c:v>9.1324200913242004E-2</c:v>
                </c:pt>
                <c:pt idx="8">
                  <c:v>7.407407407407407E-2</c:v>
                </c:pt>
                <c:pt idx="9">
                  <c:v>7.1599045346062054E-2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B17-4222-A02E-BE7665E89CA0}"/>
            </c:ext>
          </c:extLst>
        </c:ser>
        <c:ser>
          <c:idx val="3"/>
          <c:order val="3"/>
          <c:tx>
            <c:strRef>
              <c:f>'Docu Sign example'!$A$24</c:f>
              <c:strCache>
                <c:ptCount val="1"/>
                <c:pt idx="0">
                  <c:v>-- Enterprise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'Docu Sign example'!$B$20:$K$20</c:f>
              <c:numCache>
                <c:formatCode>General</c:formatCode>
                <c:ptCount val="10"/>
              </c:numCache>
            </c:numRef>
          </c:cat>
          <c:val>
            <c:numRef>
              <c:f>'Docu Sign example'!$B$24:$K$24</c:f>
              <c:numCache>
                <c:formatCode>0%</c:formatCode>
                <c:ptCount val="10"/>
                <c:pt idx="0">
                  <c:v>7.1258907363420431E-3</c:v>
                </c:pt>
                <c:pt idx="1">
                  <c:v>9.2807424593967514E-3</c:v>
                </c:pt>
                <c:pt idx="2">
                  <c:v>6.4239828693790149E-3</c:v>
                </c:pt>
                <c:pt idx="3">
                  <c:v>1.1135857461024499E-2</c:v>
                </c:pt>
                <c:pt idx="4">
                  <c:v>1.7505470459518599E-2</c:v>
                </c:pt>
                <c:pt idx="5">
                  <c:v>8.0321285140562242E-3</c:v>
                </c:pt>
                <c:pt idx="6">
                  <c:v>1.0940919037199124E-2</c:v>
                </c:pt>
                <c:pt idx="7">
                  <c:v>6.8493150684931503E-3</c:v>
                </c:pt>
                <c:pt idx="8">
                  <c:v>9.2592592592592587E-3</c:v>
                </c:pt>
                <c:pt idx="9">
                  <c:v>4.7732696897374704E-3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B17-4222-A02E-BE7665E8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665704"/>
        <c:axId val="414666032"/>
      </c:lineChart>
      <c:catAx>
        <c:axId val="41466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666032"/>
        <c:crosses val="autoZero"/>
        <c:auto val="1"/>
        <c:lblAlgn val="ctr"/>
        <c:lblOffset val="100"/>
        <c:noMultiLvlLbl val="0"/>
      </c:catAx>
      <c:valAx>
        <c:axId val="414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66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677171145092E-2"/>
          <c:y val="6.5152138207854496E-2"/>
          <c:w val="0.92742528465380702"/>
          <c:h val="0.77528371420648723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'[1]Segment - Channel'!$A$13</c:f>
              <c:strCache>
                <c:ptCount val="1"/>
                <c:pt idx="0">
                  <c:v>Facebook CAC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'[1]Segment - Channel'!$B$13:$M$13</c:f>
              <c:numCache>
                <c:formatCode>General</c:formatCode>
                <c:ptCount val="12"/>
                <c:pt idx="0">
                  <c:v>84.876543209876544</c:v>
                </c:pt>
                <c:pt idx="1">
                  <c:v>74.829931972789112</c:v>
                </c:pt>
                <c:pt idx="2">
                  <c:v>80.409356725146196</c:v>
                </c:pt>
                <c:pt idx="3">
                  <c:v>81.72043010752688</c:v>
                </c:pt>
                <c:pt idx="4">
                  <c:v>87.962962962962962</c:v>
                </c:pt>
                <c:pt idx="5">
                  <c:v>83.333333333333329</c:v>
                </c:pt>
                <c:pt idx="6">
                  <c:v>85.32176428054953</c:v>
                </c:pt>
                <c:pt idx="7">
                  <c:v>91.049382716049394</c:v>
                </c:pt>
                <c:pt idx="8">
                  <c:v>80.272108843537424</c:v>
                </c:pt>
                <c:pt idx="9">
                  <c:v>89.181286549707593</c:v>
                </c:pt>
                <c:pt idx="10">
                  <c:v>101.92147034252297</c:v>
                </c:pt>
                <c:pt idx="11">
                  <c:v>93.918398768283282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5-421E-B713-401CA0E60CB4}"/>
            </c:ext>
          </c:extLst>
        </c:ser>
        <c:ser>
          <c:idx val="2"/>
          <c:order val="2"/>
          <c:tx>
            <c:strRef>
              <c:f>'[1]Segment - Channel'!$A$14</c:f>
              <c:strCache>
                <c:ptCount val="1"/>
                <c:pt idx="0">
                  <c:v>Twitter CAC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'[1]Segment - Channel'!$B$14:$M$14</c:f>
              <c:numCache>
                <c:formatCode>General</c:formatCode>
                <c:ptCount val="12"/>
                <c:pt idx="0">
                  <c:v>793.65079365079373</c:v>
                </c:pt>
                <c:pt idx="1">
                  <c:v>666.66666666666674</c:v>
                </c:pt>
                <c:pt idx="2">
                  <c:v>595.2380952380953</c:v>
                </c:pt>
                <c:pt idx="3">
                  <c:v>580.64516129032256</c:v>
                </c:pt>
                <c:pt idx="4">
                  <c:v>782.60869565217388</c:v>
                </c:pt>
                <c:pt idx="5">
                  <c:v>692.30769230769226</c:v>
                </c:pt>
                <c:pt idx="6">
                  <c:v>690.4761904761906</c:v>
                </c:pt>
                <c:pt idx="7">
                  <c:v>840.57971014492762</c:v>
                </c:pt>
                <c:pt idx="8">
                  <c:v>805.55555555555566</c:v>
                </c:pt>
                <c:pt idx="9">
                  <c:v>826.66666666666652</c:v>
                </c:pt>
                <c:pt idx="10">
                  <c:v>898.55072463768101</c:v>
                </c:pt>
                <c:pt idx="11">
                  <c:v>984.12698412698398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5-421E-B713-401CA0E60CB4}"/>
            </c:ext>
          </c:extLst>
        </c:ser>
        <c:ser>
          <c:idx val="3"/>
          <c:order val="3"/>
          <c:tx>
            <c:strRef>
              <c:f>'[1]Segment - Channel'!$A$15</c:f>
              <c:strCache>
                <c:ptCount val="1"/>
                <c:pt idx="0">
                  <c:v>Google CAC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'[1]Segment - Channel'!$B$15:$M$15</c:f>
              <c:numCache>
                <c:formatCode>General</c:formatCode>
                <c:ptCount val="12"/>
                <c:pt idx="0">
                  <c:v>212.41830065359477</c:v>
                </c:pt>
                <c:pt idx="1">
                  <c:v>164.14141414141415</c:v>
                </c:pt>
                <c:pt idx="2">
                  <c:v>179.06336088154271</c:v>
                </c:pt>
                <c:pt idx="3">
                  <c:v>159.72222222222223</c:v>
                </c:pt>
                <c:pt idx="4">
                  <c:v>174.24242424242425</c:v>
                </c:pt>
                <c:pt idx="5">
                  <c:v>121.6931216931217</c:v>
                </c:pt>
                <c:pt idx="6">
                  <c:v>147.47474747474749</c:v>
                </c:pt>
                <c:pt idx="7">
                  <c:v>158.00865800865802</c:v>
                </c:pt>
                <c:pt idx="8">
                  <c:v>128.7477954144621</c:v>
                </c:pt>
                <c:pt idx="9">
                  <c:v>155.55555555555554</c:v>
                </c:pt>
                <c:pt idx="10">
                  <c:v>166.66666666666666</c:v>
                </c:pt>
                <c:pt idx="11">
                  <c:v>208.67208672086718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5-421E-B713-401CA0E6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9600320"/>
        <c:axId val="719600976"/>
      </c:barChart>
      <c:lineChart>
        <c:grouping val="standard"/>
        <c:varyColors val="0"/>
        <c:ser>
          <c:idx val="1"/>
          <c:order val="0"/>
          <c:tx>
            <c:strRef>
              <c:f>'[1]Segment - Channel'!$A$12</c:f>
              <c:strCache>
                <c:ptCount val="1"/>
                <c:pt idx="0">
                  <c:v>Average 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'[1]Segment - Channel'!$B$1:$M$1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'[1]Segment - Channel'!$B$12:$N$12</c:f>
              <c:numCache>
                <c:formatCode>General</c:formatCode>
                <c:ptCount val="13"/>
                <c:pt idx="0">
                  <c:v>135.13513513513513</c:v>
                </c:pt>
                <c:pt idx="1">
                  <c:v>115.91962905718702</c:v>
                </c:pt>
                <c:pt idx="2">
                  <c:v>123.96694214876032</c:v>
                </c:pt>
                <c:pt idx="3">
                  <c:v>123.4375</c:v>
                </c:pt>
                <c:pt idx="4">
                  <c:v>134.58262350936968</c:v>
                </c:pt>
                <c:pt idx="5">
                  <c:v>117.73472429210135</c:v>
                </c:pt>
                <c:pt idx="6">
                  <c:v>126.91131498470948</c:v>
                </c:pt>
                <c:pt idx="7">
                  <c:v>136.28899835796386</c:v>
                </c:pt>
                <c:pt idx="8">
                  <c:v>118.06543385490754</c:v>
                </c:pt>
                <c:pt idx="9">
                  <c:v>134.6749226006192</c:v>
                </c:pt>
                <c:pt idx="10">
                  <c:v>151.04166666666666</c:v>
                </c:pt>
                <c:pt idx="11">
                  <c:v>150.77989601386483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D5-421E-B713-401CA0E6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600320"/>
        <c:axId val="719600976"/>
      </c:lineChart>
      <c:catAx>
        <c:axId val="7196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9600976"/>
        <c:crosses val="autoZero"/>
        <c:auto val="1"/>
        <c:lblAlgn val="ctr"/>
        <c:lblOffset val="100"/>
        <c:noMultiLvlLbl val="0"/>
      </c:catAx>
      <c:valAx>
        <c:axId val="7196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96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E-commerce</a:t>
            </a:r>
            <a:r>
              <a:rPr lang="en-US" b="1" baseline="0"/>
              <a:t> Example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1'!$B$2</c:f>
              <c:strCache>
                <c:ptCount val="1"/>
                <c:pt idx="0">
                  <c:v>Number of buyers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1'!$C$1:$F$1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'Example 1'!$C$2:$F$2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240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5-43E8-868B-47503BB3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6473936"/>
        <c:axId val="626471640"/>
      </c:barChart>
      <c:lineChart>
        <c:grouping val="standard"/>
        <c:varyColors val="0"/>
        <c:ser>
          <c:idx val="3"/>
          <c:order val="1"/>
          <c:tx>
            <c:strRef>
              <c:f>'Example 1'!$B$5</c:f>
              <c:strCache>
                <c:ptCount val="1"/>
                <c:pt idx="0">
                  <c:v>% repeat Buyers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1'!$C$1:$F$1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'Example 1'!$C$5:$F$5</c:f>
              <c:numCache>
                <c:formatCode>0%</c:formatCode>
                <c:ptCount val="4"/>
                <c:pt idx="0">
                  <c:v>0.75</c:v>
                </c:pt>
                <c:pt idx="1">
                  <c:v>0.7142857142857143</c:v>
                </c:pt>
                <c:pt idx="2">
                  <c:v>0.69166666666666665</c:v>
                </c:pt>
                <c:pt idx="3">
                  <c:v>0.61538461538461542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5-43E8-868B-47503BB3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22784"/>
        <c:axId val="502523440"/>
      </c:lineChart>
      <c:catAx>
        <c:axId val="6264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471640"/>
        <c:crosses val="autoZero"/>
        <c:auto val="1"/>
        <c:lblAlgn val="ctr"/>
        <c:lblOffset val="100"/>
        <c:noMultiLvlLbl val="0"/>
      </c:catAx>
      <c:valAx>
        <c:axId val="6264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473936"/>
        <c:crosses val="autoZero"/>
        <c:crossBetween val="between"/>
      </c:valAx>
      <c:valAx>
        <c:axId val="502523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2522784"/>
        <c:crosses val="max"/>
        <c:crossBetween val="between"/>
      </c:valAx>
      <c:catAx>
        <c:axId val="50252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52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E-commerce</a:t>
            </a:r>
            <a:r>
              <a:rPr lang="en-US" b="1" baseline="0"/>
              <a:t> Example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'Example 1'!$B$12</c:f>
              <c:strCache>
                <c:ptCount val="1"/>
                <c:pt idx="0">
                  <c:v>% buyers with 1 purchase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'Example 1'!$C$1:$F$1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'Example 1'!$C$12:$F$12</c:f>
              <c:numCache>
                <c:formatCode>0%</c:formatCode>
                <c:ptCount val="4"/>
                <c:pt idx="0">
                  <c:v>0.55000000000000004</c:v>
                </c:pt>
                <c:pt idx="1">
                  <c:v>0.61904761904761907</c:v>
                </c:pt>
                <c:pt idx="2">
                  <c:v>0.625</c:v>
                </c:pt>
                <c:pt idx="3">
                  <c:v>0.65384615384615385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3-49CB-92BC-018FE62CF37D}"/>
            </c:ext>
          </c:extLst>
        </c:ser>
        <c:ser>
          <c:idx val="0"/>
          <c:order val="1"/>
          <c:tx>
            <c:strRef>
              <c:f>'Example 1'!$B$13</c:f>
              <c:strCache>
                <c:ptCount val="1"/>
                <c:pt idx="0">
                  <c:v>% Buyer with 2-3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'Example 1'!$C$13:$F$13</c:f>
              <c:numCache>
                <c:formatCode>0%</c:formatCode>
                <c:ptCount val="4"/>
                <c:pt idx="0">
                  <c:v>0.2</c:v>
                </c:pt>
                <c:pt idx="1">
                  <c:v>0.23809523809523808</c:v>
                </c:pt>
                <c:pt idx="2">
                  <c:v>0.25</c:v>
                </c:pt>
                <c:pt idx="3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3-49CB-92BC-018FE62CF37D}"/>
            </c:ext>
          </c:extLst>
        </c:ser>
        <c:ser>
          <c:idx val="1"/>
          <c:order val="2"/>
          <c:tx>
            <c:strRef>
              <c:f>'Example 1'!$B$14</c:f>
              <c:strCache>
                <c:ptCount val="1"/>
                <c:pt idx="0">
                  <c:v>% Buyer with &gt;3 purchase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'Example 1'!$C$14:$F$14</c:f>
              <c:numCache>
                <c:formatCode>0%</c:formatCode>
                <c:ptCount val="4"/>
                <c:pt idx="0">
                  <c:v>0.25</c:v>
                </c:pt>
                <c:pt idx="1">
                  <c:v>0.14285714285714285</c:v>
                </c:pt>
                <c:pt idx="2">
                  <c:v>0.125</c:v>
                </c:pt>
                <c:pt idx="3">
                  <c:v>3.8461538461538464E-2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3-49CB-92BC-018FE62C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473936"/>
        <c:axId val="626471640"/>
      </c:lineChart>
      <c:catAx>
        <c:axId val="6264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471640"/>
        <c:crosses val="autoZero"/>
        <c:auto val="1"/>
        <c:lblAlgn val="ctr"/>
        <c:lblOffset val="100"/>
        <c:noMultiLvlLbl val="0"/>
      </c:catAx>
      <c:valAx>
        <c:axId val="6264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4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16535433070866"/>
          <c:y val="0.82291557305336838"/>
          <c:w val="0.7803359580052492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curve for different cohort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8229352070651328"/>
          <c:y val="0.1554321377920356"/>
          <c:w val="0.78200669581765669"/>
          <c:h val="0.54429114566456527"/>
        </c:manualLayout>
      </c:layout>
      <c:lineChart>
        <c:grouping val="standard"/>
        <c:varyColors val="0"/>
        <c:ser>
          <c:idx val="0"/>
          <c:order val="0"/>
          <c:tx>
            <c:strRef>
              <c:f>'In-class cohort'!$B$25</c:f>
              <c:strCache>
                <c:ptCount val="1"/>
                <c:pt idx="0">
                  <c:v>Jan17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cohort'!$C$25:$H$25</c:f>
              <c:numCache>
                <c:formatCode>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0.84</c:v>
                </c:pt>
                <c:pt idx="3">
                  <c:v>0.78</c:v>
                </c:pt>
                <c:pt idx="4">
                  <c:v>0.74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A-4AC2-8105-1367630D1A42}"/>
            </c:ext>
          </c:extLst>
        </c:ser>
        <c:ser>
          <c:idx val="1"/>
          <c:order val="1"/>
          <c:tx>
            <c:strRef>
              <c:f>'In-class cohort'!$B$26</c:f>
              <c:strCache>
                <c:ptCount val="1"/>
                <c:pt idx="0">
                  <c:v>Feb 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cohort'!$C$26:$H$26</c:f>
              <c:numCache>
                <c:formatCode>0%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0.91666666666666663</c:v>
                </c:pt>
                <c:pt idx="3">
                  <c:v>0.83333333333333337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A-4AC2-8105-1367630D1A42}"/>
            </c:ext>
          </c:extLst>
        </c:ser>
        <c:ser>
          <c:idx val="2"/>
          <c:order val="2"/>
          <c:tx>
            <c:strRef>
              <c:f>'In-class cohort'!$B$27</c:f>
              <c:strCache>
                <c:ptCount val="1"/>
                <c:pt idx="0">
                  <c:v>Marrch 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cohort'!$C$27:$H$27</c:f>
              <c:numCache>
                <c:formatCode>0%</c:formatCode>
                <c:ptCount val="6"/>
                <c:pt idx="0">
                  <c:v>1</c:v>
                </c:pt>
                <c:pt idx="1">
                  <c:v>0.97142857142857142</c:v>
                </c:pt>
                <c:pt idx="2">
                  <c:v>0.9285714285714286</c:v>
                </c:pt>
                <c:pt idx="3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A-4AC2-8105-1367630D1A42}"/>
            </c:ext>
          </c:extLst>
        </c:ser>
        <c:ser>
          <c:idx val="3"/>
          <c:order val="3"/>
          <c:tx>
            <c:strRef>
              <c:f>'In-class cohort'!$B$28</c:f>
              <c:strCache>
                <c:ptCount val="1"/>
                <c:pt idx="0">
                  <c:v>April 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cohort'!$C$28:$H$28</c:f>
              <c:numCache>
                <c:formatCode>0%</c:formatCode>
                <c:ptCount val="6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A-4AC2-8105-1367630D1A42}"/>
            </c:ext>
          </c:extLst>
        </c:ser>
        <c:ser>
          <c:idx val="4"/>
          <c:order val="4"/>
          <c:tx>
            <c:strRef>
              <c:f>'In-class cohort'!$B$29</c:f>
              <c:strCache>
                <c:ptCount val="1"/>
                <c:pt idx="0">
                  <c:v>May 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cohort'!$C$29:$H$29</c:f>
              <c:numCache>
                <c:formatCode>0%</c:formatCode>
                <c:ptCount val="6"/>
                <c:pt idx="0">
                  <c:v>1</c:v>
                </c:pt>
                <c:pt idx="1">
                  <c:v>0.9882352941176471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A-4AC2-8105-1367630D1A42}"/>
            </c:ext>
          </c:extLst>
        </c:ser>
        <c:ser>
          <c:idx val="5"/>
          <c:order val="5"/>
          <c:tx>
            <c:strRef>
              <c:f>'In-class cohort'!$B$30</c:f>
              <c:strCache>
                <c:ptCount val="1"/>
                <c:pt idx="0">
                  <c:v>June 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'In-class cohort'!$C$24:$H$24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'In-class cohort'!$C$30:$H$30</c:f>
              <c:numCache>
                <c:formatCode>0%</c:formatCode>
                <c:ptCount val="6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A-4AC2-8105-1367630D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159432"/>
        <c:axId val="787160744"/>
      </c:lineChart>
      <c:catAx>
        <c:axId val="78715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Months</a:t>
                </a:r>
                <a:r>
                  <a:rPr lang="en-US" baseline="0"/>
                  <a:t> after first conversion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088039484231714"/>
              <c:y val="0.79693968529680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160744"/>
        <c:crosses val="autoZero"/>
        <c:auto val="1"/>
        <c:lblAlgn val="ctr"/>
        <c:lblOffset val="100"/>
        <c:noMultiLvlLbl val="0"/>
      </c:catAx>
      <c:valAx>
        <c:axId val="78716074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retention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15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910850459816663E-3"/>
          <c:y val="0.88161243977142012"/>
          <c:w val="0.97759065560084113"/>
          <c:h val="9.324350989824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252587</xdr:colOff>
      <xdr:row>3</xdr:row>
      <xdr:rowOff>99482</xdr:rowOff>
    </xdr:from>
    <xdr:to>
      <xdr:col>17</xdr:col>
      <xdr:colOff>176739</xdr:colOff>
      <xdr:row>24</xdr:row>
      <xdr:rowOff>120648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BC04A-117B-4908-9FB2-FF4AB6B82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417885</xdr:colOff>
      <xdr:row>1</xdr:row>
      <xdr:rowOff>69196</xdr:rowOff>
    </xdr:from>
    <xdr:to>
      <xdr:col>13</xdr:col>
      <xdr:colOff>171823</xdr:colOff>
      <xdr:row>16</xdr:row>
      <xdr:rowOff>3082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ABF99-AF51-4592-8851-1A1AE998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39686</xdr:colOff>
      <xdr:row>1</xdr:row>
      <xdr:rowOff>77787</xdr:rowOff>
    </xdr:from>
    <xdr:to>
      <xdr:col>13</xdr:col>
      <xdr:colOff>247650</xdr:colOff>
      <xdr:row>16</xdr:row>
      <xdr:rowOff>11112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A5135-6ED0-4BFA-A418-88D380977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92075</xdr:rowOff>
    </xdr:from>
    <xdr:to>
      <xdr:col>14</xdr:col>
      <xdr:colOff>550182</xdr:colOff>
      <xdr:row>17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81562-2B60-4630-8BC8-FE7DFE061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190502</xdr:colOff>
      <xdr:row>12</xdr:row>
      <xdr:rowOff>117928</xdr:rowOff>
    </xdr:from>
    <xdr:to>
      <xdr:col>38</xdr:col>
      <xdr:colOff>544286</xdr:colOff>
      <xdr:row>31</xdr:row>
      <xdr:rowOff>154213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E350C-533C-4071-B987-9B8E24837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201612</xdr:colOff>
      <xdr:row>5</xdr:row>
      <xdr:rowOff>28575</xdr:rowOff>
    </xdr:from>
    <xdr:to>
      <xdr:col>12</xdr:col>
      <xdr:colOff>342900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C98E2-E13C-4B1A-A997-64D3F8D3E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1931987</xdr:colOff>
      <xdr:row>9</xdr:row>
      <xdr:rowOff>166687</xdr:rowOff>
    </xdr:from>
    <xdr:to>
      <xdr:col>10</xdr:col>
      <xdr:colOff>101600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95518-74BD-4ECE-95EE-4EA493DC2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544512</xdr:colOff>
      <xdr:row>1</xdr:row>
      <xdr:rowOff>163512</xdr:rowOff>
    </xdr:from>
    <xdr:to>
      <xdr:col>18</xdr:col>
      <xdr:colOff>400050</xdr:colOff>
      <xdr:row>16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CD8F7-72CA-4CAB-BF55-F9585D833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2219325</xdr:colOff>
      <xdr:row>25</xdr:row>
      <xdr:rowOff>180974</xdr:rowOff>
    </xdr:from>
    <xdr:to>
      <xdr:col>10</xdr:col>
      <xdr:colOff>219075</xdr:colOff>
      <xdr:row>45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3F9BE-882F-41B5-9C02-6394733FA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17</xdr:row>
      <xdr:rowOff>182561</xdr:rowOff>
    </xdr:from>
    <xdr:to>
      <xdr:col>12</xdr:col>
      <xdr:colOff>428624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775B3-3FD5-4CEF-B761-B3CADDA4F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0</xdr:row>
      <xdr:rowOff>71437</xdr:rowOff>
    </xdr:from>
    <xdr:to>
      <xdr:col>14</xdr:col>
      <xdr:colOff>566737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56EC1-61A1-489D-85AE-18034841B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15</xdr:row>
      <xdr:rowOff>123825</xdr:rowOff>
    </xdr:from>
    <xdr:to>
      <xdr:col>5</xdr:col>
      <xdr:colOff>533400</xdr:colOff>
      <xdr:row>30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F1A6A-852C-44EC-AEE1-A19E4FB71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573086</xdr:colOff>
      <xdr:row>22</xdr:row>
      <xdr:rowOff>30162</xdr:rowOff>
    </xdr:from>
    <xdr:to>
      <xdr:col>17</xdr:col>
      <xdr:colOff>171450</xdr:colOff>
      <xdr:row>37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41D56-29E5-49D3-88C8-2CF4DCECE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625823</xdr:colOff>
      <xdr:row>5</xdr:row>
      <xdr:rowOff>113595</xdr:rowOff>
    </xdr:from>
    <xdr:to>
      <xdr:col>18</xdr:col>
      <xdr:colOff>564091</xdr:colOff>
      <xdr:row>23</xdr:row>
      <xdr:rowOff>7408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A9159-C5F7-4231-A29E-264321555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pi/Google%20Drive/Ongoing%20Projects/Live%20Project%20end%20of%202020%20and%202021/GWU%20Customer%20analytics%202021/Fall%202021/Week%203/Average%20CAC%20is%20Wrong%20--%20Interactive%20Spreadsheets%20by%20BrianBalf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ent - Customer Type"/>
      <sheetName val="Segment - Channel"/>
      <sheetName val="Paid - Projection"/>
      <sheetName val="Content CAC - Projection"/>
    </sheetNames>
    <sheetDataSet>
      <sheetData sheetId="0"/>
      <sheetData sheetId="1">
        <row r="1">
          <cell r="B1" t="str">
            <v>Jan</v>
          </cell>
          <cell r="C1" t="str">
            <v>Feb</v>
          </cell>
          <cell r="D1" t="str">
            <v>Mar</v>
          </cell>
          <cell r="E1" t="str">
            <v>April</v>
          </cell>
          <cell r="F1" t="str">
            <v>May</v>
          </cell>
          <cell r="G1" t="str">
            <v>June</v>
          </cell>
          <cell r="H1" t="str">
            <v>July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</row>
        <row r="12">
          <cell r="A12" t="str">
            <v>Average CAC</v>
          </cell>
          <cell r="B12">
            <v>135.13513513513513</v>
          </cell>
          <cell r="C12">
            <v>115.91962905718702</v>
          </cell>
          <cell r="D12">
            <v>123.96694214876032</v>
          </cell>
          <cell r="E12">
            <v>123.4375</v>
          </cell>
          <cell r="F12">
            <v>134.58262350936968</v>
          </cell>
          <cell r="G12">
            <v>117.73472429210135</v>
          </cell>
          <cell r="H12">
            <v>126.91131498470948</v>
          </cell>
          <cell r="I12">
            <v>136.28899835796386</v>
          </cell>
          <cell r="J12">
            <v>118.06543385490754</v>
          </cell>
          <cell r="K12">
            <v>134.6749226006192</v>
          </cell>
          <cell r="L12">
            <v>151.04166666666666</v>
          </cell>
          <cell r="M12">
            <v>150.77989601386483</v>
          </cell>
        </row>
        <row r="13">
          <cell r="A13" t="str">
            <v>Facebook CAC</v>
          </cell>
          <cell r="B13">
            <v>84.876543209876544</v>
          </cell>
          <cell r="C13">
            <v>74.829931972789112</v>
          </cell>
          <cell r="D13">
            <v>80.409356725146196</v>
          </cell>
          <cell r="E13">
            <v>81.72043010752688</v>
          </cell>
          <cell r="F13">
            <v>87.962962962962962</v>
          </cell>
          <cell r="G13">
            <v>83.333333333333329</v>
          </cell>
          <cell r="H13">
            <v>85.32176428054953</v>
          </cell>
          <cell r="I13">
            <v>91.049382716049394</v>
          </cell>
          <cell r="J13">
            <v>80.272108843537424</v>
          </cell>
          <cell r="K13">
            <v>89.181286549707593</v>
          </cell>
          <cell r="L13">
            <v>101.92147034252297</v>
          </cell>
          <cell r="M13">
            <v>93.918398768283282</v>
          </cell>
        </row>
        <row r="14">
          <cell r="A14" t="str">
            <v>Twitter CAC</v>
          </cell>
          <cell r="B14">
            <v>793.65079365079373</v>
          </cell>
          <cell r="C14">
            <v>666.66666666666674</v>
          </cell>
          <cell r="D14">
            <v>595.2380952380953</v>
          </cell>
          <cell r="E14">
            <v>580.64516129032256</v>
          </cell>
          <cell r="F14">
            <v>782.60869565217388</v>
          </cell>
          <cell r="G14">
            <v>692.30769230769226</v>
          </cell>
          <cell r="H14">
            <v>690.4761904761906</v>
          </cell>
          <cell r="I14">
            <v>840.57971014492762</v>
          </cell>
          <cell r="J14">
            <v>805.55555555555566</v>
          </cell>
          <cell r="K14">
            <v>826.66666666666652</v>
          </cell>
          <cell r="L14">
            <v>898.55072463768101</v>
          </cell>
          <cell r="M14">
            <v>984.12698412698398</v>
          </cell>
        </row>
        <row r="15">
          <cell r="A15" t="str">
            <v>Google CAC</v>
          </cell>
          <cell r="B15">
            <v>212.41830065359477</v>
          </cell>
          <cell r="C15">
            <v>164.14141414141415</v>
          </cell>
          <cell r="D15">
            <v>179.06336088154271</v>
          </cell>
          <cell r="E15">
            <v>159.72222222222223</v>
          </cell>
          <cell r="F15">
            <v>174.24242424242425</v>
          </cell>
          <cell r="G15">
            <v>121.6931216931217</v>
          </cell>
          <cell r="H15">
            <v>147.47474747474749</v>
          </cell>
          <cell r="I15">
            <v>158.00865800865802</v>
          </cell>
          <cell r="J15">
            <v>128.7477954144621</v>
          </cell>
          <cell r="K15">
            <v>155.55555555555554</v>
          </cell>
          <cell r="L15">
            <v>166.66666666666666</v>
          </cell>
          <cell r="M15">
            <v>208.67208672086718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ipi/Google%20Drive/Ongoing%20Projects/Live%20Project%20end%20of%202020%20and%202021/GWU%20Customer%20analytics%20Spring%202021/Spring%202021/Week%205/HW4%20Solutio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ipi/Google%20Drive/Ongoing%20Projects/Live%20Project%20end%20of%202020%20and%202021/GWU%20Customer%20analytics%20Spring%202021/Spring%202021/Week%205/HW4%20Solu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pi" refreshedDate="43735.565357175925" createdVersion="6" refreshedVersion="6" minRefreshableVersion="3" recordCount="50" xr:uid="{9606E457-F319-410A-B1D9-2342DB5FE6BC}">
  <cacheSource type="worksheet">
    <worksheetSource ref="E1:F1048576" sheet="Q2" r:id="rId2"/>
  </cacheSource>
  <cacheFields count="2">
    <cacheField name="R score" numFmtId="0">
      <sharedItems containsString="0" containsBlank="1" containsNumber="1" containsInteger="1" minValue="1" maxValue="4" count="5">
        <n v="1"/>
        <n v="3"/>
        <n v="4"/>
        <n v="2"/>
        <m/>
      </sharedItems>
    </cacheField>
    <cacheField name="F score" numFmtId="0">
      <sharedItems containsString="0" containsBlank="1" containsNumber="1" containsInteger="1" minValue="1" maxValue="4" count="5">
        <n v="2"/>
        <n v="1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pi" refreshedDate="43735.565357523148" createdVersion="6" refreshedVersion="6" minRefreshableVersion="3" recordCount="50" xr:uid="{4B300D3F-36BF-4040-91FB-02CD452847FA}">
  <cacheSource type="worksheet">
    <worksheetSource ref="H1:H1048576" sheet="Q2" r:id="rId2"/>
  </cacheSource>
  <cacheFields count="1">
    <cacheField name="Final RFM" numFmtId="0">
      <sharedItems containsBlank="1" count="63">
        <s v="122"/>
        <s v="112"/>
        <s v="111"/>
        <s v="323"/>
        <s v="333"/>
        <s v="444"/>
        <s v="233"/>
        <s v="222"/>
        <s v="221"/>
        <s v="434"/>
        <s v="321"/>
        <s v="344"/>
        <s v="312"/>
        <s v="242"/>
        <s v="244"/>
        <s v="144"/>
        <s v="322"/>
        <s v="421"/>
        <s v="223"/>
        <s v="411"/>
        <s v="212"/>
        <s v="211"/>
        <s v="422"/>
        <s v="134"/>
        <s v="432"/>
        <s v="433"/>
        <s v="423"/>
        <s v="143"/>
        <s v="133"/>
        <m/>
        <s v="544" u="1"/>
        <s v="414" u="1"/>
        <s v="341" u="1"/>
        <s v="343" u="1"/>
        <s v="455" u="1"/>
        <s v="232" u="1"/>
        <s v="214" u="1"/>
        <s v="121" u="1"/>
        <s v="345" u="1"/>
        <s v="234" u="1"/>
        <s v="253" u="1"/>
        <s v="123" u="1"/>
        <s v="145" u="1"/>
        <s v="511" u="1"/>
        <s v="551" u="1"/>
        <s v="533" u="1"/>
        <s v="534" u="1"/>
        <s v="441" u="1"/>
        <s v="311" u="1"/>
        <s v="334" u="1"/>
        <s v="241" u="1"/>
        <s v="243" u="1"/>
        <s v="355" u="1"/>
        <s v="135" u="1"/>
        <s v="154" u="1"/>
        <s v="155" u="1"/>
        <s v="521" u="1"/>
        <s v="522" u="1"/>
        <s v="523" u="1"/>
        <s v="542" u="1"/>
        <s v="412" u="1"/>
        <s v="431" u="1"/>
        <s v="54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0"/>
    <x v="1"/>
  </r>
  <r>
    <x v="0"/>
    <x v="1"/>
  </r>
  <r>
    <x v="1"/>
    <x v="0"/>
  </r>
  <r>
    <x v="1"/>
    <x v="2"/>
  </r>
  <r>
    <x v="2"/>
    <x v="3"/>
  </r>
  <r>
    <x v="3"/>
    <x v="2"/>
  </r>
  <r>
    <x v="3"/>
    <x v="0"/>
  </r>
  <r>
    <x v="3"/>
    <x v="0"/>
  </r>
  <r>
    <x v="3"/>
    <x v="2"/>
  </r>
  <r>
    <x v="2"/>
    <x v="2"/>
  </r>
  <r>
    <x v="1"/>
    <x v="0"/>
  </r>
  <r>
    <x v="1"/>
    <x v="2"/>
  </r>
  <r>
    <x v="1"/>
    <x v="3"/>
  </r>
  <r>
    <x v="1"/>
    <x v="1"/>
  </r>
  <r>
    <x v="0"/>
    <x v="0"/>
  </r>
  <r>
    <x v="3"/>
    <x v="3"/>
  </r>
  <r>
    <x v="3"/>
    <x v="3"/>
  </r>
  <r>
    <x v="0"/>
    <x v="1"/>
  </r>
  <r>
    <x v="0"/>
    <x v="3"/>
  </r>
  <r>
    <x v="1"/>
    <x v="0"/>
  </r>
  <r>
    <x v="2"/>
    <x v="0"/>
  </r>
  <r>
    <x v="0"/>
    <x v="1"/>
  </r>
  <r>
    <x v="3"/>
    <x v="0"/>
  </r>
  <r>
    <x v="2"/>
    <x v="3"/>
  </r>
  <r>
    <x v="2"/>
    <x v="1"/>
  </r>
  <r>
    <x v="2"/>
    <x v="3"/>
  </r>
  <r>
    <x v="3"/>
    <x v="1"/>
  </r>
  <r>
    <x v="2"/>
    <x v="3"/>
  </r>
  <r>
    <x v="1"/>
    <x v="2"/>
  </r>
  <r>
    <x v="1"/>
    <x v="3"/>
  </r>
  <r>
    <x v="3"/>
    <x v="1"/>
  </r>
  <r>
    <x v="3"/>
    <x v="1"/>
  </r>
  <r>
    <x v="2"/>
    <x v="0"/>
  </r>
  <r>
    <x v="1"/>
    <x v="1"/>
  </r>
  <r>
    <x v="0"/>
    <x v="2"/>
  </r>
  <r>
    <x v="2"/>
    <x v="2"/>
  </r>
  <r>
    <x v="0"/>
    <x v="1"/>
  </r>
  <r>
    <x v="0"/>
    <x v="1"/>
  </r>
  <r>
    <x v="1"/>
    <x v="2"/>
  </r>
  <r>
    <x v="2"/>
    <x v="2"/>
  </r>
  <r>
    <x v="2"/>
    <x v="3"/>
  </r>
  <r>
    <x v="3"/>
    <x v="1"/>
  </r>
  <r>
    <x v="2"/>
    <x v="0"/>
  </r>
  <r>
    <x v="0"/>
    <x v="3"/>
  </r>
  <r>
    <x v="1"/>
    <x v="2"/>
  </r>
  <r>
    <x v="2"/>
    <x v="1"/>
  </r>
  <r>
    <x v="0"/>
    <x v="2"/>
  </r>
  <r>
    <x v="1"/>
    <x v="0"/>
  </r>
  <r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5"/>
  </r>
  <r>
    <x v="6"/>
  </r>
  <r>
    <x v="7"/>
  </r>
  <r>
    <x v="8"/>
  </r>
  <r>
    <x v="6"/>
  </r>
  <r>
    <x v="9"/>
  </r>
  <r>
    <x v="10"/>
  </r>
  <r>
    <x v="4"/>
  </r>
  <r>
    <x v="11"/>
  </r>
  <r>
    <x v="12"/>
  </r>
  <r>
    <x v="0"/>
  </r>
  <r>
    <x v="13"/>
  </r>
  <r>
    <x v="14"/>
  </r>
  <r>
    <x v="2"/>
  </r>
  <r>
    <x v="15"/>
  </r>
  <r>
    <x v="16"/>
  </r>
  <r>
    <x v="17"/>
  </r>
  <r>
    <x v="2"/>
  </r>
  <r>
    <x v="18"/>
  </r>
  <r>
    <x v="5"/>
  </r>
  <r>
    <x v="19"/>
  </r>
  <r>
    <x v="5"/>
  </r>
  <r>
    <x v="20"/>
  </r>
  <r>
    <x v="5"/>
  </r>
  <r>
    <x v="4"/>
  </r>
  <r>
    <x v="11"/>
  </r>
  <r>
    <x v="21"/>
  </r>
  <r>
    <x v="21"/>
  </r>
  <r>
    <x v="22"/>
  </r>
  <r>
    <x v="12"/>
  </r>
  <r>
    <x v="23"/>
  </r>
  <r>
    <x v="24"/>
  </r>
  <r>
    <x v="2"/>
  </r>
  <r>
    <x v="2"/>
  </r>
  <r>
    <x v="4"/>
  </r>
  <r>
    <x v="25"/>
  </r>
  <r>
    <x v="5"/>
  </r>
  <r>
    <x v="21"/>
  </r>
  <r>
    <x v="26"/>
  </r>
  <r>
    <x v="27"/>
  </r>
  <r>
    <x v="4"/>
  </r>
  <r>
    <x v="19"/>
  </r>
  <r>
    <x v="28"/>
  </r>
  <r>
    <x v="16"/>
  </r>
  <r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EF128-4291-47D1-9C80-97CFC1BA4A1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FM score">
  <location ref="J10:L40" firstHeaderRow="0" firstDataRow="1" firstDataCol="1"/>
  <pivotFields count="1">
    <pivotField axis="axisRow" dataField="1" showAll="0" sortType="descending">
      <items count="64">
        <item h="1" x="29"/>
        <item m="1" x="44"/>
        <item m="1" x="30"/>
        <item m="1" x="62"/>
        <item m="1" x="59"/>
        <item m="1" x="46"/>
        <item m="1" x="45"/>
        <item m="1" x="58"/>
        <item m="1" x="57"/>
        <item m="1" x="56"/>
        <item m="1" x="43"/>
        <item m="1" x="34"/>
        <item x="5"/>
        <item m="1" x="47"/>
        <item x="9"/>
        <item x="25"/>
        <item x="24"/>
        <item m="1" x="61"/>
        <item x="26"/>
        <item x="22"/>
        <item x="17"/>
        <item m="1" x="31"/>
        <item m="1" x="60"/>
        <item x="19"/>
        <item m="1" x="52"/>
        <item m="1" x="38"/>
        <item x="11"/>
        <item m="1" x="33"/>
        <item m="1" x="32"/>
        <item m="1" x="49"/>
        <item x="4"/>
        <item x="3"/>
        <item x="16"/>
        <item x="10"/>
        <item x="12"/>
        <item m="1" x="48"/>
        <item m="1" x="40"/>
        <item x="14"/>
        <item m="1" x="51"/>
        <item x="13"/>
        <item m="1" x="50"/>
        <item m="1" x="39"/>
        <item x="6"/>
        <item m="1" x="35"/>
        <item x="18"/>
        <item x="7"/>
        <item x="8"/>
        <item m="1" x="36"/>
        <item x="20"/>
        <item x="21"/>
        <item m="1" x="55"/>
        <item m="1" x="54"/>
        <item m="1" x="42"/>
        <item x="15"/>
        <item x="27"/>
        <item m="1" x="53"/>
        <item x="23"/>
        <item x="28"/>
        <item m="1" x="41"/>
        <item x="0"/>
        <item m="1" x="37"/>
        <item x="1"/>
        <item x="2"/>
        <item t="default"/>
      </items>
    </pivotField>
  </pivotFields>
  <rowFields count="1">
    <field x="0"/>
  </rowFields>
  <rowItems count="30">
    <i>
      <x v="12"/>
    </i>
    <i>
      <x v="14"/>
    </i>
    <i>
      <x v="15"/>
    </i>
    <i>
      <x v="16"/>
    </i>
    <i>
      <x v="18"/>
    </i>
    <i>
      <x v="19"/>
    </i>
    <i>
      <x v="20"/>
    </i>
    <i>
      <x v="23"/>
    </i>
    <i>
      <x v="26"/>
    </i>
    <i>
      <x v="30"/>
    </i>
    <i>
      <x v="31"/>
    </i>
    <i>
      <x v="32"/>
    </i>
    <i>
      <x v="33"/>
    </i>
    <i>
      <x v="34"/>
    </i>
    <i>
      <x v="37"/>
    </i>
    <i>
      <x v="39"/>
    </i>
    <i>
      <x v="42"/>
    </i>
    <i>
      <x v="44"/>
    </i>
    <i>
      <x v="45"/>
    </i>
    <i>
      <x v="46"/>
    </i>
    <i>
      <x v="48"/>
    </i>
    <i>
      <x v="49"/>
    </i>
    <i>
      <x v="53"/>
    </i>
    <i>
      <x v="54"/>
    </i>
    <i>
      <x v="56"/>
    </i>
    <i>
      <x v="57"/>
    </i>
    <i>
      <x v="59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N customer" fld="0" subtotal="count" baseField="0" baseItem="0"/>
    <dataField name="% of customers" fld="0" subtotal="count" showDataAs="percentOfTotal" baseField="0" baseItem="1" numFmtId="10"/>
  </dataFields>
  <formats count="15">
    <format dxfId="14">
      <pivotArea collapsedLevelsAreSubtotals="1" fieldPosition="0">
        <references count="1">
          <reference field="0" count="0"/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outline="0" fieldPosition="0">
        <references count="1">
          <reference field="4294967294" count="1">
            <x v="1"/>
          </reference>
        </references>
      </pivotArea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collapsedLevelsAreSubtotals="1" fieldPosition="0">
        <references count="1">
          <reference field="0" count="10">
            <x v="39"/>
            <x v="42"/>
            <x v="44"/>
            <x v="46"/>
            <x v="48"/>
            <x v="49"/>
            <x v="53"/>
            <x v="54"/>
            <x v="56"/>
            <x v="57"/>
          </reference>
        </references>
      </pivotArea>
    </format>
    <format dxfId="8">
      <pivotArea dataOnly="0" labelOnly="1" fieldPosition="0">
        <references count="1">
          <reference field="0" count="10">
            <x v="39"/>
            <x v="42"/>
            <x v="44"/>
            <x v="46"/>
            <x v="48"/>
            <x v="49"/>
            <x v="53"/>
            <x v="54"/>
            <x v="56"/>
            <x v="57"/>
          </reference>
        </references>
      </pivotArea>
    </format>
    <format dxfId="7">
      <pivotArea collapsedLevelsAreSubtotals="1" fieldPosition="0">
        <references count="1">
          <reference field="0" count="12">
            <x v="30"/>
            <x v="31"/>
            <x v="32"/>
            <x v="33"/>
            <x v="34"/>
            <x v="35"/>
            <x v="37"/>
            <x v="39"/>
            <x v="42"/>
            <x v="44"/>
            <x v="46"/>
            <x v="48"/>
          </reference>
        </references>
      </pivotArea>
    </format>
    <format dxfId="6">
      <pivotArea dataOnly="0" labelOnly="1" fieldPosition="0">
        <references count="1">
          <reference field="0" count="12">
            <x v="30"/>
            <x v="31"/>
            <x v="32"/>
            <x v="33"/>
            <x v="34"/>
            <x v="35"/>
            <x v="37"/>
            <x v="39"/>
            <x v="42"/>
            <x v="44"/>
            <x v="46"/>
            <x v="48"/>
          </reference>
        </references>
      </pivotArea>
    </format>
    <format dxfId="5">
      <pivotArea collapsedLevelsAreSubtotals="1" fieldPosition="0">
        <references count="1">
          <reference field="0" count="1">
            <x v="12"/>
          </reference>
        </references>
      </pivotArea>
    </format>
    <format dxfId="4">
      <pivotArea dataOnly="0" labelOnly="1" fieldPosition="0">
        <references count="1">
          <reference field="0" count="1">
            <x v="12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1DB47-DADB-42D4-9C8E-7F280ABA445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13:S34" firstHeaderRow="1" firstDataRow="1" firstDataCol="1"/>
  <pivotFields count="2">
    <pivotField axis="axisRow" dataField="1" showAll="0">
      <items count="6">
        <item x="0"/>
        <item x="3"/>
        <item x="1"/>
        <item x="2"/>
        <item h="1" x="4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R score" fld="0" subtotal="count" baseField="1" baseItem="0"/>
  </dataFields>
  <formats count="11">
    <format dxfId="25">
      <pivotArea outline="0" collapsedLevelsAreSubtotals="1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19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8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7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6">
      <pivotArea field="1" type="button" dataOnly="0" labelOnly="1" outline="0" axis="axisRow" fieldPosition="1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propellercrm.com/blog/customer-acquisition-cos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51E5-E941-4078-B9C3-DD27386B9A24}">
  <sheetPr>
    <tabColor rgb="FF00B050"/>
  </sheetPr>
  <dimension ref="A1"/>
  <sheetViews>
    <sheetView workbookViewId="0">
      <selection activeCell="E36" sqref="E36"/>
    </sheetView>
  </sheetViews>
  <sheetFormatPr defaultRowHeight="17.399999999999999"/>
  <sheetData/>
  <phoneticPr fontId="4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26FF-B77C-4E18-9D86-630DECFD0C00}">
  <dimension ref="B1:N4"/>
  <sheetViews>
    <sheetView workbookViewId="0">
      <selection activeCell="F16" sqref="F16"/>
    </sheetView>
  </sheetViews>
  <sheetFormatPr defaultColWidth="9.09765625" defaultRowHeight="13.2"/>
  <cols>
    <col min="1" max="1" width="9.09765625" style="31"/>
    <col min="2" max="2" width="17" style="31" customWidth="1"/>
    <col min="3" max="16384" width="9.09765625" style="31"/>
  </cols>
  <sheetData>
    <row r="1" spans="2:14">
      <c r="B1" s="52"/>
      <c r="C1" s="32" t="s">
        <v>26</v>
      </c>
      <c r="D1" s="32" t="s">
        <v>27</v>
      </c>
      <c r="E1" s="32" t="s">
        <v>28</v>
      </c>
      <c r="F1" s="32" t="s">
        <v>29</v>
      </c>
      <c r="G1" s="32" t="s">
        <v>30</v>
      </c>
      <c r="H1" s="32" t="s">
        <v>31</v>
      </c>
      <c r="I1" s="32" t="s">
        <v>32</v>
      </c>
      <c r="J1" s="32" t="s">
        <v>33</v>
      </c>
      <c r="K1" s="32" t="s">
        <v>34</v>
      </c>
      <c r="L1" s="32" t="s">
        <v>35</v>
      </c>
      <c r="M1" s="32" t="s">
        <v>36</v>
      </c>
      <c r="N1" s="32" t="s">
        <v>37</v>
      </c>
    </row>
    <row r="2" spans="2:14">
      <c r="B2" s="57" t="s">
        <v>51</v>
      </c>
      <c r="C2" s="37">
        <v>89.562913907284766</v>
      </c>
      <c r="D2" s="37">
        <v>95.284536082474233</v>
      </c>
      <c r="E2" s="37">
        <v>106.63201663201663</v>
      </c>
      <c r="F2" s="37">
        <v>100.85458167330677</v>
      </c>
      <c r="G2" s="37">
        <v>106.04322200392927</v>
      </c>
      <c r="H2" s="37">
        <v>124.25450450450451</v>
      </c>
      <c r="I2" s="37">
        <v>107.78532110091743</v>
      </c>
      <c r="J2" s="37">
        <v>98.142614601018678</v>
      </c>
      <c r="K2" s="37">
        <v>96.784745762711864</v>
      </c>
      <c r="L2" s="37">
        <v>95.557189542483655</v>
      </c>
      <c r="M2" s="37">
        <v>88.118840579710138</v>
      </c>
      <c r="N2" s="37">
        <v>89.207142857142856</v>
      </c>
    </row>
    <row r="3" spans="2:14">
      <c r="B3" s="57" t="s">
        <v>52</v>
      </c>
      <c r="C3" s="37"/>
      <c r="D3" s="37"/>
      <c r="E3" s="37">
        <f>'Overstimating CAC'!D17</f>
        <v>84.349272349272354</v>
      </c>
      <c r="F3" s="37">
        <f>'Overstimating CAC'!E17</f>
        <v>92.057768924302792</v>
      </c>
      <c r="G3" s="37">
        <f>'Overstimating CAC'!F17</f>
        <v>79.766718506998444</v>
      </c>
      <c r="H3" s="37">
        <f>'Overstimating CAC'!G17</f>
        <v>114.02927927927928</v>
      </c>
      <c r="I3" s="37">
        <f>'Overstimating CAC'!H17</f>
        <v>99.038532110091737</v>
      </c>
      <c r="J3" s="37">
        <f>'Overstimating CAC'!I17</f>
        <v>93.665534804753818</v>
      </c>
      <c r="K3" s="37">
        <f>'Overstimating CAC'!J17</f>
        <v>99.564406779661013</v>
      </c>
      <c r="L3" s="37">
        <f>'Overstimating CAC'!K17</f>
        <v>94.454248366013076</v>
      </c>
      <c r="M3" s="37">
        <f>'Overstimating CAC'!L17</f>
        <v>82.757971014492753</v>
      </c>
      <c r="N3" s="37">
        <f>'Overstimating CAC'!M17</f>
        <v>83.544285714285721</v>
      </c>
    </row>
    <row r="4" spans="2:14">
      <c r="B4" s="57" t="s">
        <v>53</v>
      </c>
      <c r="C4" s="37"/>
      <c r="D4" s="37"/>
      <c r="E4" s="37">
        <f>'Average Cycle'!D17</f>
        <v>97.883575883575887</v>
      </c>
      <c r="F4" s="37">
        <f>'Average Cycle'!E17</f>
        <v>100.55876494023904</v>
      </c>
      <c r="G4" s="37">
        <f>'Average Cycle'!F17</f>
        <v>80.377916018662518</v>
      </c>
      <c r="H4" s="37">
        <f>'Average Cycle'!G17</f>
        <v>123.88738738738739</v>
      </c>
      <c r="I4" s="37">
        <f>'Average Cycle'!H17</f>
        <v>110.28256880733944</v>
      </c>
      <c r="J4" s="37">
        <f>'Average Cycle'!I17</f>
        <v>96.297962648556876</v>
      </c>
      <c r="K4" s="37">
        <f>'Average Cycle'!J17</f>
        <v>93.107627118644061</v>
      </c>
      <c r="L4" s="37">
        <f>'Average Cycle'!K17</f>
        <v>95.317810457516345</v>
      </c>
      <c r="M4" s="37">
        <f>'Average Cycle'!L17</f>
        <v>85.402173913043484</v>
      </c>
      <c r="N4" s="37">
        <f>'Average Cycle'!M17</f>
        <v>89.728571428571428</v>
      </c>
    </row>
  </sheetData>
  <phoneticPr fontId="4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0B6F-E43D-45BD-8A2C-4F37F8302907}">
  <sheetPr>
    <tabColor rgb="FF92D050"/>
  </sheetPr>
  <dimension ref="A1"/>
  <sheetViews>
    <sheetView workbookViewId="0">
      <selection activeCell="N31" sqref="N31"/>
    </sheetView>
  </sheetViews>
  <sheetFormatPr defaultRowHeight="17.399999999999999"/>
  <sheetData/>
  <phoneticPr fontId="4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1815-4ED4-4D90-9B3E-F11E31FF7994}">
  <dimension ref="B2:J8"/>
  <sheetViews>
    <sheetView workbookViewId="0">
      <selection activeCell="C8" sqref="C8"/>
    </sheetView>
  </sheetViews>
  <sheetFormatPr defaultColWidth="8.69921875" defaultRowHeight="17.399999999999999"/>
  <cols>
    <col min="1" max="1" width="8.69921875" style="58"/>
    <col min="2" max="2" width="51.69921875" style="58" bestFit="1" customWidth="1"/>
    <col min="3" max="3" width="8.69921875" style="58"/>
    <col min="4" max="4" width="10.296875" style="58" bestFit="1" customWidth="1"/>
    <col min="5" max="16384" width="8.69921875" style="58"/>
  </cols>
  <sheetData>
    <row r="2" spans="2:10">
      <c r="C2" s="59" t="s">
        <v>54</v>
      </c>
      <c r="D2" s="59" t="s">
        <v>55</v>
      </c>
      <c r="E2" s="59" t="s">
        <v>56</v>
      </c>
      <c r="F2" s="59" t="s">
        <v>57</v>
      </c>
      <c r="G2" s="59" t="s">
        <v>58</v>
      </c>
      <c r="H2" s="59" t="s">
        <v>59</v>
      </c>
      <c r="I2" s="59" t="s">
        <v>60</v>
      </c>
    </row>
    <row r="3" spans="2:10">
      <c r="B3" s="58" t="s">
        <v>61</v>
      </c>
      <c r="C3" s="60">
        <v>200</v>
      </c>
      <c r="D3" s="60">
        <v>220</v>
      </c>
      <c r="E3" s="60">
        <v>250</v>
      </c>
      <c r="F3" s="60">
        <v>280</v>
      </c>
      <c r="G3" s="60">
        <v>350</v>
      </c>
      <c r="H3" s="60">
        <v>400</v>
      </c>
      <c r="I3" s="60">
        <v>440</v>
      </c>
    </row>
    <row r="4" spans="2:10">
      <c r="B4" s="58" t="s">
        <v>62</v>
      </c>
      <c r="C4" s="60">
        <v>80000</v>
      </c>
      <c r="D4" s="60">
        <f>C4*1.21</f>
        <v>96800</v>
      </c>
      <c r="E4" s="60">
        <f t="shared" ref="E4:I5" si="0">D4*1.21</f>
        <v>117128</v>
      </c>
      <c r="F4" s="60">
        <f t="shared" si="0"/>
        <v>141724.88</v>
      </c>
      <c r="G4" s="60">
        <f t="shared" si="0"/>
        <v>171487.1048</v>
      </c>
      <c r="H4" s="60">
        <f t="shared" si="0"/>
        <v>207499.39680799999</v>
      </c>
      <c r="I4" s="60">
        <f t="shared" si="0"/>
        <v>251074.27013767997</v>
      </c>
    </row>
    <row r="5" spans="2:10">
      <c r="B5" s="58" t="s">
        <v>63</v>
      </c>
      <c r="C5" s="61">
        <v>300</v>
      </c>
      <c r="D5" s="61">
        <f>C5*1.18</f>
        <v>354</v>
      </c>
      <c r="E5" s="61">
        <f t="shared" ref="E5:G5" si="1">D5*1.14</f>
        <v>403.55999999999995</v>
      </c>
      <c r="F5" s="61">
        <f t="shared" si="1"/>
        <v>460.05839999999989</v>
      </c>
      <c r="G5" s="61">
        <f t="shared" si="1"/>
        <v>524.4665759999998</v>
      </c>
      <c r="H5" s="61">
        <f>G5*1.2</f>
        <v>629.35989119999977</v>
      </c>
      <c r="I5" s="61">
        <f t="shared" si="0"/>
        <v>761.52546835199973</v>
      </c>
    </row>
    <row r="6" spans="2:10">
      <c r="B6" s="58" t="s">
        <v>64</v>
      </c>
      <c r="C6" s="61">
        <v>700</v>
      </c>
      <c r="D6" s="61">
        <v>900</v>
      </c>
      <c r="E6" s="61">
        <v>1300</v>
      </c>
      <c r="F6" s="61">
        <v>1900</v>
      </c>
      <c r="G6" s="61">
        <v>2300</v>
      </c>
      <c r="H6" s="61">
        <v>2550</v>
      </c>
      <c r="I6" s="61">
        <v>2700</v>
      </c>
    </row>
    <row r="7" spans="2:10">
      <c r="B7" s="58" t="s">
        <v>42</v>
      </c>
      <c r="C7" s="60">
        <f>C4/C5</f>
        <v>266.66666666666669</v>
      </c>
      <c r="D7" s="60">
        <f t="shared" ref="D7:I7" si="2">D4/D5</f>
        <v>273.44632768361583</v>
      </c>
      <c r="E7" s="60">
        <f t="shared" si="2"/>
        <v>290.23689166418876</v>
      </c>
      <c r="F7" s="60">
        <f t="shared" si="2"/>
        <v>308.05845518742848</v>
      </c>
      <c r="G7" s="60">
        <f t="shared" si="2"/>
        <v>326.97432524279691</v>
      </c>
      <c r="H7" s="60">
        <f t="shared" si="2"/>
        <v>329.69911128648687</v>
      </c>
      <c r="I7" s="60">
        <f t="shared" si="2"/>
        <v>329.69911128648681</v>
      </c>
    </row>
    <row r="8" spans="2:10">
      <c r="B8" s="58" t="s">
        <v>65</v>
      </c>
      <c r="C8" s="60">
        <f t="shared" ref="C8:I8" si="3">C4/(C5+C6)</f>
        <v>80</v>
      </c>
      <c r="D8" s="60">
        <f t="shared" si="3"/>
        <v>77.192982456140356</v>
      </c>
      <c r="E8" s="60">
        <f t="shared" si="3"/>
        <v>68.754842799783987</v>
      </c>
      <c r="F8" s="60">
        <f t="shared" si="3"/>
        <v>60.051429235818915</v>
      </c>
      <c r="G8" s="60">
        <f t="shared" si="3"/>
        <v>60.71486427106511</v>
      </c>
      <c r="H8" s="60">
        <f t="shared" si="3"/>
        <v>65.264519874685405</v>
      </c>
      <c r="I8" s="60">
        <f t="shared" si="3"/>
        <v>72.532839186999865</v>
      </c>
      <c r="J8" s="62"/>
    </row>
  </sheetData>
  <phoneticPr fontId="4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6DF6-944A-4800-B261-C94CC46E3632}">
  <dimension ref="A1:J17"/>
  <sheetViews>
    <sheetView zoomScale="145" zoomScaleNormal="145" workbookViewId="0">
      <selection activeCell="C8" sqref="C8"/>
    </sheetView>
  </sheetViews>
  <sheetFormatPr defaultColWidth="8.69921875" defaultRowHeight="17.399999999999999"/>
  <cols>
    <col min="1" max="1" width="8.69921875" style="58"/>
    <col min="2" max="2" width="35.3984375" style="58" bestFit="1" customWidth="1"/>
    <col min="3" max="4" width="9.296875" style="64" bestFit="1" customWidth="1"/>
    <col min="5" max="16384" width="8.69921875" style="58"/>
  </cols>
  <sheetData>
    <row r="1" spans="1:10">
      <c r="A1" s="63" t="s">
        <v>66</v>
      </c>
      <c r="B1" s="63"/>
    </row>
    <row r="3" spans="1:10" ht="18" thickBot="1">
      <c r="B3" s="65" t="s">
        <v>67</v>
      </c>
      <c r="C3" s="65" t="s">
        <v>51</v>
      </c>
      <c r="D3" s="65" t="s">
        <v>52</v>
      </c>
    </row>
    <row r="4" spans="1:10" ht="18" thickTop="1">
      <c r="B4" s="58" t="s">
        <v>68</v>
      </c>
      <c r="C4" s="66">
        <v>10000</v>
      </c>
      <c r="D4" s="66">
        <f>C4</f>
        <v>10000</v>
      </c>
    </row>
    <row r="5" spans="1:10">
      <c r="B5" s="58" t="s">
        <v>69</v>
      </c>
      <c r="C5" s="67">
        <v>0.6</v>
      </c>
      <c r="D5" s="67">
        <v>1</v>
      </c>
      <c r="F5" s="68" t="s">
        <v>70</v>
      </c>
      <c r="G5" s="68"/>
    </row>
    <row r="6" spans="1:10">
      <c r="B6" s="58" t="s">
        <v>3</v>
      </c>
      <c r="C6" s="69">
        <v>0.02</v>
      </c>
      <c r="D6" s="70">
        <f t="shared" ref="D6:D7" si="0">C6</f>
        <v>0.02</v>
      </c>
    </row>
    <row r="7" spans="1:10">
      <c r="B7" s="58" t="s">
        <v>71</v>
      </c>
      <c r="C7" s="69">
        <v>0.2</v>
      </c>
      <c r="D7" s="70">
        <f t="shared" si="0"/>
        <v>0.2</v>
      </c>
    </row>
    <row r="8" spans="1:10">
      <c r="B8" s="71" t="s">
        <v>72</v>
      </c>
    </row>
    <row r="9" spans="1:10">
      <c r="B9" s="72" t="s">
        <v>73</v>
      </c>
      <c r="C9" s="64">
        <v>5</v>
      </c>
      <c r="D9" s="64">
        <v>3</v>
      </c>
    </row>
    <row r="10" spans="1:10">
      <c r="B10" s="72" t="s">
        <v>74</v>
      </c>
      <c r="C10" s="73">
        <v>7000</v>
      </c>
      <c r="D10" s="73">
        <v>7000</v>
      </c>
    </row>
    <row r="11" spans="1:10">
      <c r="B11" s="72" t="s">
        <v>75</v>
      </c>
      <c r="C11" s="73">
        <f>C5*C4</f>
        <v>6000</v>
      </c>
      <c r="D11" s="73">
        <f>D5*D4</f>
        <v>10000</v>
      </c>
    </row>
    <row r="12" spans="1:10">
      <c r="B12" s="71" t="s">
        <v>76</v>
      </c>
    </row>
    <row r="13" spans="1:10">
      <c r="B13" s="72" t="s">
        <v>77</v>
      </c>
      <c r="C13" s="64">
        <f>C4*C6</f>
        <v>200</v>
      </c>
      <c r="D13" s="64">
        <f>D4*D6</f>
        <v>200</v>
      </c>
    </row>
    <row r="14" spans="1:10">
      <c r="B14" s="72" t="s">
        <v>78</v>
      </c>
      <c r="C14" s="64">
        <f>C4*C6*C7</f>
        <v>40</v>
      </c>
      <c r="D14" s="64">
        <f>D4*D6*D7</f>
        <v>40</v>
      </c>
    </row>
    <row r="15" spans="1:10">
      <c r="B15" s="71" t="s">
        <v>79</v>
      </c>
    </row>
    <row r="16" spans="1:10">
      <c r="B16" s="72" t="s">
        <v>80</v>
      </c>
      <c r="C16" s="73">
        <f>(C11+C10*C9)/C14</f>
        <v>1025</v>
      </c>
      <c r="D16" s="74">
        <f>(D11+D10*D9)/D14</f>
        <v>775</v>
      </c>
      <c r="F16" s="75" t="s">
        <v>81</v>
      </c>
      <c r="G16" s="75"/>
      <c r="H16" s="75"/>
      <c r="I16" s="75"/>
      <c r="J16" s="75"/>
    </row>
    <row r="17" spans="2:10">
      <c r="B17" s="72" t="s">
        <v>82</v>
      </c>
      <c r="C17" s="74">
        <f>C11/C14</f>
        <v>150</v>
      </c>
      <c r="D17" s="73">
        <f>D11/D14</f>
        <v>250</v>
      </c>
      <c r="F17" s="75" t="s">
        <v>83</v>
      </c>
      <c r="G17" s="75"/>
      <c r="H17" s="75"/>
      <c r="I17" s="75"/>
      <c r="J17" s="75"/>
    </row>
  </sheetData>
  <phoneticPr fontId="4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47B1-DE35-41ED-B60B-B7D5996FAF44}">
  <dimension ref="A1:G15"/>
  <sheetViews>
    <sheetView workbookViewId="0">
      <selection activeCell="C8" sqref="C8"/>
    </sheetView>
  </sheetViews>
  <sheetFormatPr defaultColWidth="8.69921875" defaultRowHeight="17.399999999999999"/>
  <cols>
    <col min="1" max="1" width="29" style="58" customWidth="1"/>
    <col min="2" max="2" width="8.69921875" style="58"/>
    <col min="3" max="3" width="4.3984375" style="58" customWidth="1"/>
    <col min="4" max="5" width="8.69921875" style="58"/>
    <col min="6" max="6" width="22" style="58" customWidth="1"/>
    <col min="7" max="7" width="8.69921875" style="77"/>
    <col min="8" max="16384" width="8.69921875" style="58"/>
  </cols>
  <sheetData>
    <row r="1" spans="1:7">
      <c r="A1" s="76" t="s">
        <v>84</v>
      </c>
    </row>
    <row r="4" spans="1:7">
      <c r="A4" s="58" t="s">
        <v>85</v>
      </c>
      <c r="F4" s="58" t="s">
        <v>86</v>
      </c>
      <c r="G4" s="77">
        <v>7</v>
      </c>
    </row>
    <row r="5" spans="1:7">
      <c r="A5" s="58" t="s">
        <v>87</v>
      </c>
      <c r="F5" s="58" t="s">
        <v>88</v>
      </c>
      <c r="G5" s="77">
        <v>10</v>
      </c>
    </row>
    <row r="6" spans="1:7">
      <c r="A6" s="58" t="s">
        <v>89</v>
      </c>
      <c r="F6" s="58" t="s">
        <v>90</v>
      </c>
      <c r="G6" s="77">
        <v>22</v>
      </c>
    </row>
    <row r="7" spans="1:7">
      <c r="A7" s="58" t="s">
        <v>91</v>
      </c>
      <c r="F7" s="58" t="s">
        <v>92</v>
      </c>
      <c r="G7" s="77">
        <v>83</v>
      </c>
    </row>
    <row r="8" spans="1:7">
      <c r="A8" s="58" t="s">
        <v>93</v>
      </c>
      <c r="F8" s="58" t="s">
        <v>94</v>
      </c>
      <c r="G8" s="77">
        <v>98</v>
      </c>
    </row>
    <row r="9" spans="1:7">
      <c r="A9" s="58" t="s">
        <v>95</v>
      </c>
      <c r="F9" s="58" t="s">
        <v>96</v>
      </c>
      <c r="G9" s="77">
        <v>141</v>
      </c>
    </row>
    <row r="10" spans="1:7">
      <c r="A10" s="58" t="s">
        <v>97</v>
      </c>
      <c r="F10" s="58" t="s">
        <v>98</v>
      </c>
      <c r="G10" s="77">
        <v>175</v>
      </c>
    </row>
    <row r="11" spans="1:7">
      <c r="A11" s="58" t="s">
        <v>99</v>
      </c>
      <c r="F11" s="58" t="s">
        <v>100</v>
      </c>
      <c r="G11" s="77">
        <v>182</v>
      </c>
    </row>
    <row r="12" spans="1:7">
      <c r="A12" s="58" t="s">
        <v>101</v>
      </c>
      <c r="F12" s="58" t="s">
        <v>102</v>
      </c>
      <c r="G12" s="77">
        <v>213</v>
      </c>
    </row>
    <row r="13" spans="1:7">
      <c r="A13" s="58" t="s">
        <v>103</v>
      </c>
      <c r="F13" s="58" t="s">
        <v>104</v>
      </c>
      <c r="G13" s="77">
        <v>303</v>
      </c>
    </row>
    <row r="14" spans="1:7">
      <c r="A14" s="58" t="s">
        <v>105</v>
      </c>
      <c r="F14" s="58" t="s">
        <v>106</v>
      </c>
      <c r="G14" s="77">
        <v>315</v>
      </c>
    </row>
    <row r="15" spans="1:7">
      <c r="A15" s="58" t="s">
        <v>107</v>
      </c>
      <c r="F15" s="58" t="s">
        <v>108</v>
      </c>
      <c r="G15" s="77">
        <v>395</v>
      </c>
    </row>
  </sheetData>
  <phoneticPr fontId="44" type="noConversion"/>
  <hyperlinks>
    <hyperlink ref="A1" r:id="rId1" xr:uid="{494AE848-EEF6-4E1F-8ED2-CF3772FA1553}"/>
  </hyperlink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38F1-5D13-4EEE-9F81-3D4E41EF2573}">
  <dimension ref="A1:K24"/>
  <sheetViews>
    <sheetView workbookViewId="0">
      <selection activeCell="N26" sqref="N26"/>
    </sheetView>
  </sheetViews>
  <sheetFormatPr defaultColWidth="14.3984375" defaultRowHeight="17.399999999999999"/>
  <cols>
    <col min="1" max="1" width="57" bestFit="1" customWidth="1"/>
    <col min="2" max="11" width="8.69921875" customWidth="1"/>
  </cols>
  <sheetData>
    <row r="1" spans="1:11">
      <c r="B1" s="260" t="s">
        <v>109</v>
      </c>
      <c r="C1" s="261"/>
      <c r="D1" s="261"/>
      <c r="E1" s="261"/>
      <c r="F1" s="261"/>
      <c r="G1" s="261"/>
      <c r="H1" s="261"/>
      <c r="I1" s="261"/>
      <c r="J1" s="261"/>
      <c r="K1" s="261"/>
    </row>
    <row r="2" spans="1:11">
      <c r="B2" s="78" t="s">
        <v>26</v>
      </c>
      <c r="C2" s="78" t="s">
        <v>27</v>
      </c>
      <c r="D2" s="78" t="s">
        <v>28</v>
      </c>
      <c r="E2" s="78" t="s">
        <v>29</v>
      </c>
      <c r="F2" s="78" t="s">
        <v>30</v>
      </c>
      <c r="G2" s="78" t="s">
        <v>31</v>
      </c>
      <c r="H2" s="78" t="s">
        <v>32</v>
      </c>
      <c r="I2" s="78" t="s">
        <v>33</v>
      </c>
      <c r="J2" s="78" t="s">
        <v>34</v>
      </c>
      <c r="K2" s="78" t="s">
        <v>35</v>
      </c>
    </row>
    <row r="3" spans="1:11">
      <c r="A3" s="79" t="s">
        <v>110</v>
      </c>
      <c r="B3" s="80">
        <v>10450</v>
      </c>
      <c r="C3" s="80">
        <v>11892</v>
      </c>
      <c r="D3" s="80">
        <v>12347</v>
      </c>
      <c r="E3" s="80">
        <v>12395</v>
      </c>
      <c r="F3" s="80">
        <v>13538</v>
      </c>
      <c r="G3" s="80">
        <v>10385</v>
      </c>
      <c r="H3" s="80">
        <v>10395</v>
      </c>
      <c r="I3" s="80">
        <v>13485</v>
      </c>
      <c r="J3" s="80">
        <v>12347</v>
      </c>
      <c r="K3" s="80">
        <v>13538</v>
      </c>
    </row>
    <row r="4" spans="1:11">
      <c r="A4" s="79" t="s">
        <v>111</v>
      </c>
      <c r="B4" s="80">
        <v>30122</v>
      </c>
      <c r="C4" s="80">
        <v>34321</v>
      </c>
      <c r="D4" s="80">
        <v>38943</v>
      </c>
      <c r="E4" s="80">
        <v>38234</v>
      </c>
      <c r="F4" s="80">
        <v>40438</v>
      </c>
      <c r="G4" s="80">
        <v>44784</v>
      </c>
      <c r="H4" s="80">
        <v>48348</v>
      </c>
      <c r="I4" s="80">
        <v>44321</v>
      </c>
      <c r="J4" s="80">
        <v>44756</v>
      </c>
      <c r="K4" s="80">
        <v>44943</v>
      </c>
    </row>
    <row r="5" spans="1:11">
      <c r="A5" s="81" t="str">
        <f>"-- Free Trial Support (only for enterprise)"</f>
        <v>-- Free Trial Support (only for enterprise)</v>
      </c>
      <c r="B5" s="80">
        <v>8000</v>
      </c>
      <c r="C5" s="80">
        <v>8000</v>
      </c>
      <c r="D5" s="80">
        <v>8000</v>
      </c>
      <c r="E5" s="80">
        <v>8000</v>
      </c>
      <c r="F5" s="80">
        <v>8000</v>
      </c>
      <c r="G5" s="80">
        <v>8000</v>
      </c>
      <c r="H5" s="80">
        <v>8000</v>
      </c>
      <c r="I5" s="80">
        <v>8000</v>
      </c>
      <c r="J5" s="80">
        <v>8000</v>
      </c>
      <c r="K5" s="80">
        <v>8000</v>
      </c>
    </row>
    <row r="6" spans="1:11">
      <c r="A6" s="79" t="s">
        <v>112</v>
      </c>
      <c r="B6" s="80">
        <f>SUM(B3:B4)+B5</f>
        <v>48572</v>
      </c>
      <c r="C6" s="80">
        <f t="shared" ref="C6:K6" si="0">SUM(C3:C4)+C5</f>
        <v>54213</v>
      </c>
      <c r="D6" s="80">
        <f t="shared" si="0"/>
        <v>59290</v>
      </c>
      <c r="E6" s="80">
        <f t="shared" si="0"/>
        <v>58629</v>
      </c>
      <c r="F6" s="80">
        <f t="shared" si="0"/>
        <v>61976</v>
      </c>
      <c r="G6" s="80">
        <f t="shared" si="0"/>
        <v>63169</v>
      </c>
      <c r="H6" s="80">
        <f t="shared" si="0"/>
        <v>66743</v>
      </c>
      <c r="I6" s="80">
        <f t="shared" si="0"/>
        <v>65806</v>
      </c>
      <c r="J6" s="80">
        <f t="shared" si="0"/>
        <v>65103</v>
      </c>
      <c r="K6" s="80">
        <f t="shared" si="0"/>
        <v>66481</v>
      </c>
    </row>
    <row r="7" spans="1:11">
      <c r="A7" s="79" t="s">
        <v>113</v>
      </c>
      <c r="B7" s="82">
        <f t="shared" ref="B7:K7" si="1">SUM(B8:B11)</f>
        <v>421</v>
      </c>
      <c r="C7" s="82">
        <f t="shared" si="1"/>
        <v>431</v>
      </c>
      <c r="D7" s="82">
        <f t="shared" si="1"/>
        <v>467</v>
      </c>
      <c r="E7" s="82">
        <f t="shared" si="1"/>
        <v>449</v>
      </c>
      <c r="F7" s="82">
        <f t="shared" si="1"/>
        <v>457</v>
      </c>
      <c r="G7" s="82">
        <f t="shared" si="1"/>
        <v>498</v>
      </c>
      <c r="H7" s="82">
        <f t="shared" si="1"/>
        <v>457</v>
      </c>
      <c r="I7" s="82">
        <f t="shared" si="1"/>
        <v>438</v>
      </c>
      <c r="J7" s="82">
        <f t="shared" si="1"/>
        <v>432</v>
      </c>
      <c r="K7" s="82">
        <f t="shared" si="1"/>
        <v>419</v>
      </c>
    </row>
    <row r="8" spans="1:11">
      <c r="A8" s="81" t="s">
        <v>114</v>
      </c>
      <c r="B8" s="83">
        <v>211</v>
      </c>
      <c r="C8" s="83">
        <v>224</v>
      </c>
      <c r="D8" s="83">
        <v>250</v>
      </c>
      <c r="E8" s="83">
        <v>232</v>
      </c>
      <c r="F8" s="83">
        <v>243</v>
      </c>
      <c r="G8" s="83">
        <v>285</v>
      </c>
      <c r="H8" s="83">
        <v>233</v>
      </c>
      <c r="I8" s="83">
        <v>211</v>
      </c>
      <c r="J8" s="83">
        <v>212</v>
      </c>
      <c r="K8" s="83">
        <v>203</v>
      </c>
    </row>
    <row r="9" spans="1:11">
      <c r="A9" s="81" t="s">
        <v>115</v>
      </c>
      <c r="B9" s="83">
        <v>184</v>
      </c>
      <c r="C9" s="83">
        <v>184</v>
      </c>
      <c r="D9" s="83">
        <v>184</v>
      </c>
      <c r="E9" s="83">
        <v>184</v>
      </c>
      <c r="F9" s="83">
        <v>184</v>
      </c>
      <c r="G9" s="83">
        <v>184</v>
      </c>
      <c r="H9" s="83">
        <v>184</v>
      </c>
      <c r="I9" s="83">
        <v>184</v>
      </c>
      <c r="J9" s="83">
        <v>184</v>
      </c>
      <c r="K9" s="83">
        <v>184</v>
      </c>
    </row>
    <row r="10" spans="1:11">
      <c r="A10" s="81" t="s">
        <v>116</v>
      </c>
      <c r="B10" s="83">
        <v>23</v>
      </c>
      <c r="C10" s="83">
        <v>19</v>
      </c>
      <c r="D10" s="83">
        <v>30</v>
      </c>
      <c r="E10" s="83">
        <v>28</v>
      </c>
      <c r="F10" s="83">
        <v>22</v>
      </c>
      <c r="G10" s="83">
        <v>25</v>
      </c>
      <c r="H10" s="83">
        <v>35</v>
      </c>
      <c r="I10" s="83">
        <v>40</v>
      </c>
      <c r="J10" s="83">
        <v>32</v>
      </c>
      <c r="K10" s="83">
        <v>30</v>
      </c>
    </row>
    <row r="11" spans="1:11">
      <c r="A11" s="81" t="s">
        <v>117</v>
      </c>
      <c r="B11" s="83">
        <v>3</v>
      </c>
      <c r="C11" s="83">
        <v>4</v>
      </c>
      <c r="D11" s="83">
        <v>3</v>
      </c>
      <c r="E11" s="83">
        <v>5</v>
      </c>
      <c r="F11" s="83">
        <v>8</v>
      </c>
      <c r="G11" s="83">
        <v>4</v>
      </c>
      <c r="H11" s="83">
        <v>5</v>
      </c>
      <c r="I11" s="83">
        <v>3</v>
      </c>
      <c r="J11" s="83">
        <v>4</v>
      </c>
      <c r="K11" s="83">
        <v>2</v>
      </c>
    </row>
    <row r="12" spans="1:11">
      <c r="A12" s="84" t="s">
        <v>118</v>
      </c>
      <c r="B12" s="85">
        <f>B6/B7</f>
        <v>115.3729216152019</v>
      </c>
      <c r="C12" s="85">
        <f t="shared" ref="C12:K12" si="2">C6/C7</f>
        <v>125.78422273781902</v>
      </c>
      <c r="D12" s="85">
        <f t="shared" si="2"/>
        <v>126.95931477516059</v>
      </c>
      <c r="E12" s="85">
        <f t="shared" si="2"/>
        <v>130.57683741648106</v>
      </c>
      <c r="F12" s="85">
        <f t="shared" si="2"/>
        <v>135.61487964989058</v>
      </c>
      <c r="G12" s="85">
        <f t="shared" si="2"/>
        <v>126.84538152610442</v>
      </c>
      <c r="H12" s="85">
        <f t="shared" si="2"/>
        <v>146.04595185995623</v>
      </c>
      <c r="I12" s="85">
        <f t="shared" si="2"/>
        <v>150.24200913242009</v>
      </c>
      <c r="J12" s="85">
        <f t="shared" si="2"/>
        <v>150.70138888888889</v>
      </c>
      <c r="K12" s="85">
        <f t="shared" si="2"/>
        <v>158.66587112171837</v>
      </c>
    </row>
    <row r="13" spans="1:11">
      <c r="A13" s="81" t="s">
        <v>119</v>
      </c>
      <c r="B13" s="86">
        <f>((B3)/4)/B8</f>
        <v>12.381516587677725</v>
      </c>
      <c r="C13" s="86">
        <f t="shared" ref="C13:K14" si="3">((C3)/4)/C8</f>
        <v>13.272321428571429</v>
      </c>
      <c r="D13" s="86">
        <f t="shared" si="3"/>
        <v>12.347</v>
      </c>
      <c r="E13" s="86">
        <f t="shared" si="3"/>
        <v>13.356681034482758</v>
      </c>
      <c r="F13" s="86">
        <f t="shared" si="3"/>
        <v>13.927983539094651</v>
      </c>
      <c r="G13" s="86">
        <f t="shared" si="3"/>
        <v>9.1096491228070171</v>
      </c>
      <c r="H13" s="86">
        <f t="shared" si="3"/>
        <v>11.15343347639485</v>
      </c>
      <c r="I13" s="86">
        <f t="shared" si="3"/>
        <v>15.977488151658768</v>
      </c>
      <c r="J13" s="86">
        <f t="shared" si="3"/>
        <v>14.560141509433961</v>
      </c>
      <c r="K13" s="86">
        <f t="shared" si="3"/>
        <v>16.672413793103448</v>
      </c>
    </row>
    <row r="14" spans="1:11">
      <c r="A14" s="81" t="s">
        <v>120</v>
      </c>
      <c r="B14" s="86">
        <f>((B4)/4)/B9</f>
        <v>40.926630434782609</v>
      </c>
      <c r="C14" s="86">
        <f t="shared" si="3"/>
        <v>46.631793478260867</v>
      </c>
      <c r="D14" s="86">
        <f t="shared" si="3"/>
        <v>52.911684782608695</v>
      </c>
      <c r="E14" s="86">
        <f t="shared" si="3"/>
        <v>51.948369565217391</v>
      </c>
      <c r="F14" s="86">
        <f t="shared" si="3"/>
        <v>54.942934782608695</v>
      </c>
      <c r="G14" s="86">
        <f t="shared" si="3"/>
        <v>60.847826086956523</v>
      </c>
      <c r="H14" s="86">
        <f t="shared" si="3"/>
        <v>65.690217391304344</v>
      </c>
      <c r="I14" s="86">
        <f t="shared" si="3"/>
        <v>60.21875</v>
      </c>
      <c r="J14" s="86">
        <f t="shared" si="3"/>
        <v>60.809782608695649</v>
      </c>
      <c r="K14" s="86">
        <f t="shared" si="3"/>
        <v>61.063858695652172</v>
      </c>
    </row>
    <row r="15" spans="1:11">
      <c r="A15" s="81" t="s">
        <v>121</v>
      </c>
      <c r="B15" s="86">
        <f>((B3)/4+0.2*B4)/B10</f>
        <v>375.51739130434788</v>
      </c>
      <c r="C15" s="86">
        <f t="shared" ref="C15:K15" si="4">((C3)/4+0.2*C4)/C10</f>
        <v>517.74736842105267</v>
      </c>
      <c r="D15" s="86">
        <f t="shared" si="4"/>
        <v>362.51166666666666</v>
      </c>
      <c r="E15" s="86">
        <f t="shared" si="4"/>
        <v>383.76964285714286</v>
      </c>
      <c r="F15" s="86">
        <f t="shared" si="4"/>
        <v>521.45909090909095</v>
      </c>
      <c r="G15" s="86">
        <f t="shared" si="4"/>
        <v>462.12200000000007</v>
      </c>
      <c r="H15" s="86">
        <f t="shared" si="4"/>
        <v>350.52428571428572</v>
      </c>
      <c r="I15" s="86">
        <f t="shared" si="4"/>
        <v>305.88625000000002</v>
      </c>
      <c r="J15" s="86">
        <f t="shared" si="4"/>
        <v>376.18593750000002</v>
      </c>
      <c r="K15" s="86">
        <f t="shared" si="4"/>
        <v>412.43666666666667</v>
      </c>
    </row>
    <row r="16" spans="1:11">
      <c r="A16" s="81" t="s">
        <v>122</v>
      </c>
      <c r="B16" s="86">
        <f>(((B3)/4)+0.8*B4+B5)/B11</f>
        <v>11570.033333333335</v>
      </c>
      <c r="C16" s="86">
        <f t="shared" ref="C16:K16" si="5">(((C3)/4)+0.8*C4+C5)/C11</f>
        <v>9607.4500000000007</v>
      </c>
      <c r="D16" s="86">
        <f t="shared" si="5"/>
        <v>14080.383333333333</v>
      </c>
      <c r="E16" s="86">
        <f t="shared" si="5"/>
        <v>8337.1899999999987</v>
      </c>
      <c r="F16" s="86">
        <f t="shared" si="5"/>
        <v>5466.8625000000002</v>
      </c>
      <c r="G16" s="86">
        <f t="shared" si="5"/>
        <v>11605.862500000001</v>
      </c>
      <c r="H16" s="86">
        <f t="shared" si="5"/>
        <v>9855.43</v>
      </c>
      <c r="I16" s="86">
        <f t="shared" si="5"/>
        <v>15609.35</v>
      </c>
      <c r="J16" s="86">
        <f t="shared" si="5"/>
        <v>11722.887500000001</v>
      </c>
      <c r="K16" s="86">
        <f t="shared" si="5"/>
        <v>23669.45</v>
      </c>
    </row>
    <row r="20" spans="1:11">
      <c r="A20" t="s">
        <v>123</v>
      </c>
    </row>
    <row r="21" spans="1:11">
      <c r="A21" s="81" t="s">
        <v>114</v>
      </c>
      <c r="B21" s="87">
        <f>B8/B$7</f>
        <v>0.50118764845605701</v>
      </c>
      <c r="C21" s="87">
        <f t="shared" ref="C21:K21" si="6">C8/C$7</f>
        <v>0.51972157772621808</v>
      </c>
      <c r="D21" s="87">
        <f t="shared" si="6"/>
        <v>0.53533190578158463</v>
      </c>
      <c r="E21" s="87">
        <f t="shared" si="6"/>
        <v>0.51670378619153678</v>
      </c>
      <c r="F21" s="87">
        <f t="shared" si="6"/>
        <v>0.53172866520787743</v>
      </c>
      <c r="G21" s="87">
        <f t="shared" si="6"/>
        <v>0.57228915662650603</v>
      </c>
      <c r="H21" s="87">
        <f t="shared" si="6"/>
        <v>0.50984682713347917</v>
      </c>
      <c r="I21" s="87">
        <f t="shared" si="6"/>
        <v>0.4817351598173516</v>
      </c>
      <c r="J21" s="87">
        <f t="shared" si="6"/>
        <v>0.49074074074074076</v>
      </c>
      <c r="K21" s="87">
        <f t="shared" si="6"/>
        <v>0.48448687350835323</v>
      </c>
    </row>
    <row r="22" spans="1:11">
      <c r="A22" s="81" t="s">
        <v>115</v>
      </c>
      <c r="B22" s="87">
        <f t="shared" ref="B22:K24" si="7">B9/B$7</f>
        <v>0.43705463182897863</v>
      </c>
      <c r="C22" s="87">
        <f t="shared" si="7"/>
        <v>0.42691415313225056</v>
      </c>
      <c r="D22" s="87">
        <f t="shared" si="7"/>
        <v>0.39400428265524623</v>
      </c>
      <c r="E22" s="87">
        <f t="shared" si="7"/>
        <v>0.40979955456570155</v>
      </c>
      <c r="F22" s="87">
        <f t="shared" si="7"/>
        <v>0.40262582056892782</v>
      </c>
      <c r="G22" s="87">
        <f t="shared" si="7"/>
        <v>0.36947791164658633</v>
      </c>
      <c r="H22" s="87">
        <f t="shared" si="7"/>
        <v>0.40262582056892782</v>
      </c>
      <c r="I22" s="87">
        <f t="shared" si="7"/>
        <v>0.42009132420091322</v>
      </c>
      <c r="J22" s="87">
        <f t="shared" si="7"/>
        <v>0.42592592592592593</v>
      </c>
      <c r="K22" s="87">
        <f t="shared" si="7"/>
        <v>0.43914081145584727</v>
      </c>
    </row>
    <row r="23" spans="1:11">
      <c r="A23" s="81" t="s">
        <v>116</v>
      </c>
      <c r="B23" s="87">
        <f t="shared" si="7"/>
        <v>5.4631828978622329E-2</v>
      </c>
      <c r="C23" s="87">
        <f t="shared" si="7"/>
        <v>4.4083526682134569E-2</v>
      </c>
      <c r="D23" s="87">
        <f t="shared" si="7"/>
        <v>6.4239828693790149E-2</v>
      </c>
      <c r="E23" s="87">
        <f t="shared" si="7"/>
        <v>6.2360801781737196E-2</v>
      </c>
      <c r="F23" s="87">
        <f t="shared" si="7"/>
        <v>4.8140043763676151E-2</v>
      </c>
      <c r="G23" s="87">
        <f t="shared" si="7"/>
        <v>5.0200803212851405E-2</v>
      </c>
      <c r="H23" s="87">
        <f t="shared" si="7"/>
        <v>7.6586433260393869E-2</v>
      </c>
      <c r="I23" s="87">
        <f t="shared" si="7"/>
        <v>9.1324200913242004E-2</v>
      </c>
      <c r="J23" s="87">
        <f t="shared" si="7"/>
        <v>7.407407407407407E-2</v>
      </c>
      <c r="K23" s="87">
        <f t="shared" si="7"/>
        <v>7.1599045346062054E-2</v>
      </c>
    </row>
    <row r="24" spans="1:11">
      <c r="A24" s="81" t="s">
        <v>117</v>
      </c>
      <c r="B24" s="87">
        <f t="shared" si="7"/>
        <v>7.1258907363420431E-3</v>
      </c>
      <c r="C24" s="87">
        <f t="shared" si="7"/>
        <v>9.2807424593967514E-3</v>
      </c>
      <c r="D24" s="87">
        <f t="shared" si="7"/>
        <v>6.4239828693790149E-3</v>
      </c>
      <c r="E24" s="87">
        <f t="shared" si="7"/>
        <v>1.1135857461024499E-2</v>
      </c>
      <c r="F24" s="87">
        <f t="shared" si="7"/>
        <v>1.7505470459518599E-2</v>
      </c>
      <c r="G24" s="87">
        <f t="shared" si="7"/>
        <v>8.0321285140562242E-3</v>
      </c>
      <c r="H24" s="87">
        <f t="shared" si="7"/>
        <v>1.0940919037199124E-2</v>
      </c>
      <c r="I24" s="87">
        <f t="shared" si="7"/>
        <v>6.8493150684931503E-3</v>
      </c>
      <c r="J24" s="87">
        <f t="shared" si="7"/>
        <v>9.2592592592592587E-3</v>
      </c>
      <c r="K24" s="87">
        <f t="shared" si="7"/>
        <v>4.7732696897374704E-3</v>
      </c>
    </row>
  </sheetData>
  <mergeCells count="1">
    <mergeCell ref="B1:K1"/>
  </mergeCells>
  <phoneticPr fontId="4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078B-B711-4F47-912F-62D6254234C7}">
  <dimension ref="A1:M21"/>
  <sheetViews>
    <sheetView workbookViewId="0">
      <selection activeCell="C8" sqref="C8"/>
    </sheetView>
  </sheetViews>
  <sheetFormatPr defaultColWidth="14.3984375" defaultRowHeight="15.75" customHeight="1"/>
  <cols>
    <col min="1" max="1" width="29.69921875" customWidth="1"/>
    <col min="2" max="13" width="8.69921875" customWidth="1"/>
  </cols>
  <sheetData>
    <row r="1" spans="1:13" ht="17.399999999999999">
      <c r="B1" s="79" t="s">
        <v>26</v>
      </c>
      <c r="C1" s="79" t="s">
        <v>27</v>
      </c>
      <c r="D1" s="79" t="s">
        <v>28</v>
      </c>
      <c r="E1" s="79" t="s">
        <v>29</v>
      </c>
      <c r="F1" s="79" t="s">
        <v>30</v>
      </c>
      <c r="G1" s="79" t="s">
        <v>31</v>
      </c>
      <c r="H1" s="79" t="s">
        <v>32</v>
      </c>
      <c r="I1" s="79" t="s">
        <v>33</v>
      </c>
      <c r="J1" s="79" t="s">
        <v>34</v>
      </c>
      <c r="K1" s="79" t="s">
        <v>35</v>
      </c>
      <c r="L1" s="79" t="s">
        <v>36</v>
      </c>
      <c r="M1" s="79" t="s">
        <v>37</v>
      </c>
    </row>
    <row r="2" spans="1:13" ht="17.399999999999999">
      <c r="A2" s="79" t="s">
        <v>124</v>
      </c>
      <c r="B2" s="88">
        <f t="shared" ref="B2:M2" si="0">SUM(B3:B6)</f>
        <v>75000</v>
      </c>
      <c r="C2" s="88">
        <f t="shared" si="0"/>
        <v>75000</v>
      </c>
      <c r="D2" s="88">
        <f t="shared" si="0"/>
        <v>75000</v>
      </c>
      <c r="E2" s="88">
        <f t="shared" si="0"/>
        <v>79000</v>
      </c>
      <c r="F2" s="88">
        <f t="shared" si="0"/>
        <v>79000</v>
      </c>
      <c r="G2" s="88">
        <f t="shared" si="0"/>
        <v>79000</v>
      </c>
      <c r="H2" s="88">
        <f t="shared" si="0"/>
        <v>83000</v>
      </c>
      <c r="I2" s="88">
        <f t="shared" si="0"/>
        <v>83000</v>
      </c>
      <c r="J2" s="88">
        <f t="shared" si="0"/>
        <v>83000</v>
      </c>
      <c r="K2" s="88">
        <f t="shared" si="0"/>
        <v>87000</v>
      </c>
      <c r="L2" s="88">
        <f t="shared" si="0"/>
        <v>87000</v>
      </c>
      <c r="M2" s="88">
        <f t="shared" si="0"/>
        <v>87000</v>
      </c>
    </row>
    <row r="3" spans="1:13" ht="17.399999999999999">
      <c r="A3" s="81" t="s">
        <v>125</v>
      </c>
      <c r="B3" s="88">
        <v>20000</v>
      </c>
      <c r="C3" s="88">
        <v>20000</v>
      </c>
      <c r="D3" s="88">
        <v>20000</v>
      </c>
      <c r="E3" s="88">
        <v>24000</v>
      </c>
      <c r="F3" s="88">
        <v>24000</v>
      </c>
      <c r="G3" s="88">
        <v>24000</v>
      </c>
      <c r="H3" s="88">
        <v>28000</v>
      </c>
      <c r="I3" s="88">
        <v>28000</v>
      </c>
      <c r="J3" s="88">
        <v>28000</v>
      </c>
      <c r="K3" s="88">
        <v>32000</v>
      </c>
      <c r="L3" s="88">
        <v>32000</v>
      </c>
      <c r="M3" s="88">
        <v>32000</v>
      </c>
    </row>
    <row r="4" spans="1:13" ht="17.399999999999999">
      <c r="A4" s="81" t="s">
        <v>126</v>
      </c>
      <c r="B4" s="88">
        <v>30000</v>
      </c>
      <c r="C4" s="88">
        <v>30000</v>
      </c>
      <c r="D4" s="88">
        <v>30000</v>
      </c>
      <c r="E4" s="88">
        <v>30000</v>
      </c>
      <c r="F4" s="88">
        <v>30000</v>
      </c>
      <c r="G4" s="88">
        <v>30000</v>
      </c>
      <c r="H4" s="88">
        <v>30000</v>
      </c>
      <c r="I4" s="88">
        <v>30000</v>
      </c>
      <c r="J4" s="88">
        <v>30000</v>
      </c>
      <c r="K4" s="88">
        <v>30000</v>
      </c>
      <c r="L4" s="88">
        <v>30000</v>
      </c>
      <c r="M4" s="88">
        <v>30000</v>
      </c>
    </row>
    <row r="5" spans="1:13" ht="17.399999999999999">
      <c r="A5" s="81" t="s">
        <v>127</v>
      </c>
      <c r="B5" s="88">
        <v>10000</v>
      </c>
      <c r="C5" s="88">
        <v>10000</v>
      </c>
      <c r="D5" s="88">
        <v>10000</v>
      </c>
      <c r="E5" s="88">
        <v>10000</v>
      </c>
      <c r="F5" s="88">
        <v>10000</v>
      </c>
      <c r="G5" s="88">
        <v>10000</v>
      </c>
      <c r="H5" s="88">
        <v>10000</v>
      </c>
      <c r="I5" s="88">
        <v>10000</v>
      </c>
      <c r="J5" s="88">
        <v>10000</v>
      </c>
      <c r="K5" s="88">
        <v>10000</v>
      </c>
      <c r="L5" s="88">
        <v>10000</v>
      </c>
      <c r="M5" s="88">
        <v>10000</v>
      </c>
    </row>
    <row r="6" spans="1:13" ht="17.399999999999999">
      <c r="A6" s="81" t="s">
        <v>128</v>
      </c>
      <c r="B6" s="88">
        <v>15000</v>
      </c>
      <c r="C6" s="88">
        <v>15000</v>
      </c>
      <c r="D6" s="88">
        <v>15000</v>
      </c>
      <c r="E6" s="88">
        <v>15000</v>
      </c>
      <c r="F6" s="88">
        <v>15000</v>
      </c>
      <c r="G6" s="88">
        <v>15000</v>
      </c>
      <c r="H6" s="88">
        <v>15000</v>
      </c>
      <c r="I6" s="88">
        <v>15000</v>
      </c>
      <c r="J6" s="88">
        <v>15000</v>
      </c>
      <c r="K6" s="88">
        <v>15000</v>
      </c>
      <c r="L6" s="88">
        <v>15000</v>
      </c>
      <c r="M6" s="88">
        <v>15000</v>
      </c>
    </row>
    <row r="7" spans="1:13" ht="17.399999999999999">
      <c r="A7" s="79" t="s">
        <v>40</v>
      </c>
      <c r="B7" s="88">
        <f t="shared" ref="B7:M7" si="1">SUM(B2)</f>
        <v>75000</v>
      </c>
      <c r="C7" s="88">
        <f t="shared" si="1"/>
        <v>75000</v>
      </c>
      <c r="D7" s="88">
        <f t="shared" si="1"/>
        <v>75000</v>
      </c>
      <c r="E7" s="88">
        <f t="shared" si="1"/>
        <v>79000</v>
      </c>
      <c r="F7" s="88">
        <f t="shared" si="1"/>
        <v>79000</v>
      </c>
      <c r="G7" s="88">
        <f t="shared" si="1"/>
        <v>79000</v>
      </c>
      <c r="H7" s="88">
        <f t="shared" si="1"/>
        <v>83000</v>
      </c>
      <c r="I7" s="88">
        <f t="shared" si="1"/>
        <v>83000</v>
      </c>
      <c r="J7" s="88">
        <f t="shared" si="1"/>
        <v>83000</v>
      </c>
      <c r="K7" s="88">
        <f t="shared" si="1"/>
        <v>87000</v>
      </c>
      <c r="L7" s="88">
        <f t="shared" si="1"/>
        <v>87000</v>
      </c>
      <c r="M7" s="88">
        <f t="shared" si="1"/>
        <v>87000</v>
      </c>
    </row>
    <row r="8" spans="1:13" ht="17.399999999999999">
      <c r="A8" s="89" t="s">
        <v>41</v>
      </c>
      <c r="B8" s="90">
        <f t="shared" ref="B8:M8" si="2">SUM(B9:B11)</f>
        <v>555</v>
      </c>
      <c r="C8" s="90">
        <f t="shared" si="2"/>
        <v>647</v>
      </c>
      <c r="D8" s="90">
        <f t="shared" si="2"/>
        <v>605</v>
      </c>
      <c r="E8" s="90">
        <f t="shared" si="2"/>
        <v>640</v>
      </c>
      <c r="F8" s="90">
        <f t="shared" si="2"/>
        <v>587</v>
      </c>
      <c r="G8" s="90">
        <f t="shared" si="2"/>
        <v>671</v>
      </c>
      <c r="H8" s="90">
        <f t="shared" si="2"/>
        <v>654</v>
      </c>
      <c r="I8" s="90">
        <f t="shared" si="2"/>
        <v>609</v>
      </c>
      <c r="J8" s="90">
        <f t="shared" si="2"/>
        <v>703</v>
      </c>
      <c r="K8" s="90">
        <f t="shared" si="2"/>
        <v>646</v>
      </c>
      <c r="L8" s="90">
        <f t="shared" si="2"/>
        <v>576</v>
      </c>
      <c r="M8" s="90">
        <f t="shared" si="2"/>
        <v>577</v>
      </c>
    </row>
    <row r="9" spans="1:13" ht="17.399999999999999">
      <c r="A9" s="81" t="s">
        <v>129</v>
      </c>
      <c r="B9" s="83">
        <v>432</v>
      </c>
      <c r="C9" s="83">
        <v>490</v>
      </c>
      <c r="D9" s="83">
        <v>456</v>
      </c>
      <c r="E9" s="83">
        <v>465</v>
      </c>
      <c r="F9" s="83">
        <v>432</v>
      </c>
      <c r="G9" s="83">
        <v>456</v>
      </c>
      <c r="H9" s="83">
        <v>461</v>
      </c>
      <c r="I9" s="83">
        <v>432</v>
      </c>
      <c r="J9" s="83">
        <v>490</v>
      </c>
      <c r="K9" s="83">
        <v>456</v>
      </c>
      <c r="L9" s="83">
        <v>399</v>
      </c>
      <c r="M9" s="83">
        <v>433</v>
      </c>
    </row>
    <row r="10" spans="1:13" ht="17.399999999999999">
      <c r="A10" s="81" t="s">
        <v>130</v>
      </c>
      <c r="B10" s="83">
        <v>21</v>
      </c>
      <c r="C10" s="83">
        <v>25</v>
      </c>
      <c r="D10" s="83">
        <v>28</v>
      </c>
      <c r="E10" s="83">
        <v>31</v>
      </c>
      <c r="F10" s="83">
        <v>23</v>
      </c>
      <c r="G10" s="83">
        <v>26</v>
      </c>
      <c r="H10" s="83">
        <v>28</v>
      </c>
      <c r="I10" s="83">
        <v>23</v>
      </c>
      <c r="J10" s="83">
        <v>24</v>
      </c>
      <c r="K10" s="83">
        <v>25</v>
      </c>
      <c r="L10" s="83">
        <v>23</v>
      </c>
      <c r="M10" s="83">
        <v>21</v>
      </c>
    </row>
    <row r="11" spans="1:13" ht="17.399999999999999">
      <c r="A11" s="81" t="s">
        <v>131</v>
      </c>
      <c r="B11" s="83">
        <v>102</v>
      </c>
      <c r="C11" s="83">
        <v>132</v>
      </c>
      <c r="D11" s="83">
        <v>121</v>
      </c>
      <c r="E11" s="83">
        <v>144</v>
      </c>
      <c r="F11" s="83">
        <v>132</v>
      </c>
      <c r="G11" s="83">
        <v>189</v>
      </c>
      <c r="H11" s="83">
        <v>165</v>
      </c>
      <c r="I11" s="83">
        <v>154</v>
      </c>
      <c r="J11" s="83">
        <v>189</v>
      </c>
      <c r="K11" s="83">
        <v>165</v>
      </c>
      <c r="L11" s="83">
        <v>154</v>
      </c>
      <c r="M11" s="83">
        <v>123</v>
      </c>
    </row>
    <row r="12" spans="1:13" ht="17.399999999999999">
      <c r="A12" s="84" t="s">
        <v>132</v>
      </c>
      <c r="B12" s="85">
        <f t="shared" ref="B12:M12" si="3">B7/B8</f>
        <v>135.13513513513513</v>
      </c>
      <c r="C12" s="85">
        <f t="shared" si="3"/>
        <v>115.91962905718702</v>
      </c>
      <c r="D12" s="85">
        <f t="shared" si="3"/>
        <v>123.96694214876032</v>
      </c>
      <c r="E12" s="85">
        <f t="shared" si="3"/>
        <v>123.4375</v>
      </c>
      <c r="F12" s="85">
        <f t="shared" si="3"/>
        <v>134.58262350936968</v>
      </c>
      <c r="G12" s="85">
        <f t="shared" si="3"/>
        <v>117.73472429210135</v>
      </c>
      <c r="H12" s="85">
        <f t="shared" si="3"/>
        <v>126.91131498470948</v>
      </c>
      <c r="I12" s="85">
        <f t="shared" si="3"/>
        <v>136.28899835796386</v>
      </c>
      <c r="J12" s="85">
        <f t="shared" si="3"/>
        <v>118.06543385490754</v>
      </c>
      <c r="K12" s="85">
        <f t="shared" si="3"/>
        <v>134.6749226006192</v>
      </c>
      <c r="L12" s="85">
        <f t="shared" si="3"/>
        <v>151.04166666666666</v>
      </c>
      <c r="M12" s="85">
        <f t="shared" si="3"/>
        <v>150.77989601386483</v>
      </c>
    </row>
    <row r="13" spans="1:13" ht="17.399999999999999">
      <c r="A13" s="91" t="s">
        <v>133</v>
      </c>
      <c r="B13" s="86">
        <f t="shared" ref="B13:M13" si="4">(B4+(B3/3))/B9</f>
        <v>84.876543209876544</v>
      </c>
      <c r="C13" s="86">
        <f t="shared" si="4"/>
        <v>74.829931972789112</v>
      </c>
      <c r="D13" s="86">
        <f t="shared" si="4"/>
        <v>80.409356725146196</v>
      </c>
      <c r="E13" s="86">
        <f t="shared" si="4"/>
        <v>81.72043010752688</v>
      </c>
      <c r="F13" s="86">
        <f t="shared" si="4"/>
        <v>87.962962962962962</v>
      </c>
      <c r="G13" s="86">
        <f t="shared" si="4"/>
        <v>83.333333333333329</v>
      </c>
      <c r="H13" s="86">
        <f t="shared" si="4"/>
        <v>85.32176428054953</v>
      </c>
      <c r="I13" s="86">
        <f t="shared" si="4"/>
        <v>91.049382716049394</v>
      </c>
      <c r="J13" s="86">
        <f t="shared" si="4"/>
        <v>80.272108843537424</v>
      </c>
      <c r="K13" s="86">
        <f t="shared" si="4"/>
        <v>89.181286549707593</v>
      </c>
      <c r="L13" s="86">
        <f t="shared" si="4"/>
        <v>101.92147034252297</v>
      </c>
      <c r="M13" s="86">
        <f t="shared" si="4"/>
        <v>93.918398768283282</v>
      </c>
    </row>
    <row r="14" spans="1:13" ht="17.399999999999999">
      <c r="A14" s="91" t="s">
        <v>134</v>
      </c>
      <c r="B14" s="86">
        <f t="shared" ref="B14:M14" si="5">(B5+(B3/3))/B10</f>
        <v>793.65079365079373</v>
      </c>
      <c r="C14" s="86">
        <f t="shared" si="5"/>
        <v>666.66666666666674</v>
      </c>
      <c r="D14" s="86">
        <f t="shared" si="5"/>
        <v>595.2380952380953</v>
      </c>
      <c r="E14" s="86">
        <f t="shared" si="5"/>
        <v>580.64516129032256</v>
      </c>
      <c r="F14" s="86">
        <f t="shared" si="5"/>
        <v>782.60869565217388</v>
      </c>
      <c r="G14" s="86">
        <f t="shared" si="5"/>
        <v>692.30769230769226</v>
      </c>
      <c r="H14" s="86">
        <f t="shared" si="5"/>
        <v>690.4761904761906</v>
      </c>
      <c r="I14" s="86">
        <f t="shared" si="5"/>
        <v>840.57971014492762</v>
      </c>
      <c r="J14" s="86">
        <f t="shared" si="5"/>
        <v>805.55555555555566</v>
      </c>
      <c r="K14" s="86">
        <f t="shared" si="5"/>
        <v>826.66666666666652</v>
      </c>
      <c r="L14" s="86">
        <f t="shared" si="5"/>
        <v>898.55072463768101</v>
      </c>
      <c r="M14" s="86">
        <f t="shared" si="5"/>
        <v>984.12698412698398</v>
      </c>
    </row>
    <row r="15" spans="1:13" ht="17.399999999999999">
      <c r="A15" s="91" t="s">
        <v>135</v>
      </c>
      <c r="B15" s="86">
        <f t="shared" ref="B15:M15" si="6">(B6+(B3/3))/B11</f>
        <v>212.41830065359477</v>
      </c>
      <c r="C15" s="86">
        <f t="shared" si="6"/>
        <v>164.14141414141415</v>
      </c>
      <c r="D15" s="86">
        <f t="shared" si="6"/>
        <v>179.06336088154271</v>
      </c>
      <c r="E15" s="86">
        <f t="shared" si="6"/>
        <v>159.72222222222223</v>
      </c>
      <c r="F15" s="86">
        <f t="shared" si="6"/>
        <v>174.24242424242425</v>
      </c>
      <c r="G15" s="86">
        <f t="shared" si="6"/>
        <v>121.6931216931217</v>
      </c>
      <c r="H15" s="86">
        <f t="shared" si="6"/>
        <v>147.47474747474749</v>
      </c>
      <c r="I15" s="86">
        <f t="shared" si="6"/>
        <v>158.00865800865802</v>
      </c>
      <c r="J15" s="86">
        <f t="shared" si="6"/>
        <v>128.7477954144621</v>
      </c>
      <c r="K15" s="86">
        <f t="shared" si="6"/>
        <v>155.55555555555554</v>
      </c>
      <c r="L15" s="86">
        <f t="shared" si="6"/>
        <v>166.66666666666666</v>
      </c>
      <c r="M15" s="86">
        <f t="shared" si="6"/>
        <v>208.67208672086718</v>
      </c>
    </row>
    <row r="16" spans="1:13" ht="17.399999999999999">
      <c r="A16" s="81"/>
      <c r="E16" s="92"/>
      <c r="F16" s="92"/>
      <c r="G16" s="92"/>
      <c r="H16" s="92"/>
      <c r="I16" s="92"/>
      <c r="J16" s="92"/>
    </row>
    <row r="17" spans="1:10" ht="17.399999999999999">
      <c r="A17" s="81"/>
      <c r="E17" s="92"/>
      <c r="F17" s="92"/>
      <c r="G17" s="92"/>
      <c r="H17" s="92"/>
      <c r="I17" s="92"/>
      <c r="J17" s="92"/>
    </row>
    <row r="18" spans="1:10" ht="17.399999999999999">
      <c r="A18" s="81"/>
      <c r="E18" s="92"/>
      <c r="F18" s="92"/>
      <c r="G18" s="92"/>
      <c r="H18" s="92"/>
      <c r="I18" s="92"/>
      <c r="J18" s="92"/>
    </row>
    <row r="19" spans="1:10" ht="17.399999999999999">
      <c r="A19" s="81"/>
      <c r="E19" s="92"/>
      <c r="F19" s="92"/>
      <c r="G19" s="92"/>
      <c r="H19" s="92"/>
      <c r="I19" s="92"/>
      <c r="J19" s="92"/>
    </row>
    <row r="20" spans="1:10" ht="17.399999999999999">
      <c r="A20" s="81"/>
      <c r="E20" s="92"/>
      <c r="F20" s="92"/>
      <c r="G20" s="92"/>
      <c r="H20" s="92"/>
      <c r="I20" s="92"/>
      <c r="J20" s="92"/>
    </row>
    <row r="21" spans="1:10" ht="17.399999999999999">
      <c r="A21" s="81"/>
    </row>
  </sheetData>
  <phoneticPr fontId="4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3BE0-9101-4F3A-9883-BE3C76533F65}">
  <dimension ref="C3:H20"/>
  <sheetViews>
    <sheetView workbookViewId="0">
      <selection activeCell="C8" sqref="C8"/>
    </sheetView>
  </sheetViews>
  <sheetFormatPr defaultColWidth="8.69921875" defaultRowHeight="17.399999999999999"/>
  <cols>
    <col min="1" max="2" width="8.69921875" style="58"/>
    <col min="3" max="3" width="50.296875" style="58" customWidth="1"/>
    <col min="4" max="4" width="11.3984375" style="64" customWidth="1"/>
    <col min="5" max="5" width="14.59765625" style="64" customWidth="1"/>
    <col min="6" max="6" width="10.3984375" style="64" customWidth="1"/>
    <col min="7" max="7" width="12.59765625" style="64" customWidth="1"/>
    <col min="8" max="8" width="16.3984375" style="64" customWidth="1"/>
    <col min="9" max="16384" width="8.69921875" style="58"/>
  </cols>
  <sheetData>
    <row r="3" spans="3:8" ht="18" thickBot="1">
      <c r="C3" s="65" t="s">
        <v>67</v>
      </c>
      <c r="D3" s="93" t="s">
        <v>51</v>
      </c>
      <c r="E3" s="93" t="s">
        <v>52</v>
      </c>
      <c r="F3" s="93" t="s">
        <v>53</v>
      </c>
      <c r="G3" s="262" t="s">
        <v>136</v>
      </c>
      <c r="H3" s="263"/>
    </row>
    <row r="4" spans="3:8" ht="18" thickTop="1">
      <c r="C4" s="58" t="s">
        <v>68</v>
      </c>
      <c r="D4" s="94">
        <v>10000</v>
      </c>
      <c r="E4" s="94">
        <f>D4</f>
        <v>10000</v>
      </c>
      <c r="F4" s="94">
        <f t="shared" ref="F4" si="0">E4</f>
        <v>10000</v>
      </c>
      <c r="G4" s="95"/>
    </row>
    <row r="5" spans="3:8">
      <c r="C5" s="58" t="s">
        <v>69</v>
      </c>
      <c r="D5" s="96">
        <v>0.6</v>
      </c>
      <c r="E5" s="96">
        <v>0.6</v>
      </c>
      <c r="F5" s="96">
        <v>0.6</v>
      </c>
      <c r="G5" s="95"/>
    </row>
    <row r="6" spans="3:8">
      <c r="C6" s="58" t="s">
        <v>3</v>
      </c>
      <c r="D6" s="97">
        <v>0.02</v>
      </c>
      <c r="E6" s="98">
        <v>2.5000000000000001E-2</v>
      </c>
      <c r="F6" s="97">
        <v>2.75E-2</v>
      </c>
      <c r="G6" s="99">
        <f>F6/E6-1</f>
        <v>9.9999999999999867E-2</v>
      </c>
      <c r="H6" s="100" t="s">
        <v>137</v>
      </c>
    </row>
    <row r="7" spans="3:8">
      <c r="C7" s="58" t="s">
        <v>138</v>
      </c>
      <c r="D7" s="101">
        <v>0.2</v>
      </c>
      <c r="E7" s="102">
        <v>0.22</v>
      </c>
      <c r="F7" s="101">
        <v>0.24</v>
      </c>
      <c r="G7" s="99">
        <f>F7/E7-1</f>
        <v>9.0909090909090828E-2</v>
      </c>
      <c r="H7" s="100" t="s">
        <v>137</v>
      </c>
    </row>
    <row r="8" spans="3:8">
      <c r="C8" s="58" t="s">
        <v>71</v>
      </c>
      <c r="D8" s="101">
        <v>0.3</v>
      </c>
      <c r="E8" s="102">
        <f t="shared" ref="E8" si="1">D8</f>
        <v>0.3</v>
      </c>
      <c r="F8" s="101">
        <v>0.33</v>
      </c>
      <c r="G8" s="99">
        <f>F8/E8-1</f>
        <v>0.10000000000000009</v>
      </c>
      <c r="H8" s="100" t="s">
        <v>137</v>
      </c>
    </row>
    <row r="9" spans="3:8">
      <c r="C9" s="71" t="s">
        <v>72</v>
      </c>
      <c r="D9" s="103"/>
      <c r="E9" s="103"/>
      <c r="F9" s="103"/>
      <c r="G9" s="95"/>
      <c r="H9" s="100"/>
    </row>
    <row r="10" spans="3:8">
      <c r="C10" s="72" t="s">
        <v>139</v>
      </c>
      <c r="D10" s="104">
        <f>D5*D4</f>
        <v>6000</v>
      </c>
      <c r="E10" s="104">
        <f>E5*E4</f>
        <v>6000</v>
      </c>
      <c r="F10" s="104">
        <f t="shared" ref="F10" si="2">F5*F4</f>
        <v>6000</v>
      </c>
      <c r="G10" s="105"/>
      <c r="H10" s="100"/>
    </row>
    <row r="11" spans="3:8">
      <c r="C11" s="71" t="s">
        <v>140</v>
      </c>
      <c r="D11" s="103"/>
      <c r="E11" s="103"/>
      <c r="F11" s="103"/>
      <c r="G11" s="95"/>
      <c r="H11" s="100"/>
    </row>
    <row r="12" spans="3:8">
      <c r="C12" s="72" t="s">
        <v>77</v>
      </c>
      <c r="D12" s="103">
        <f>D$4*D6</f>
        <v>200</v>
      </c>
      <c r="E12" s="103">
        <f t="shared" ref="E12:F12" si="3">E$4*E6</f>
        <v>250</v>
      </c>
      <c r="F12" s="103">
        <f t="shared" si="3"/>
        <v>275</v>
      </c>
      <c r="G12" s="99">
        <f>F12/E12-1</f>
        <v>0.10000000000000009</v>
      </c>
      <c r="H12" s="100" t="s">
        <v>137</v>
      </c>
    </row>
    <row r="13" spans="3:8">
      <c r="C13" s="72" t="s">
        <v>141</v>
      </c>
      <c r="D13" s="103">
        <f>D12*D7</f>
        <v>40</v>
      </c>
      <c r="E13" s="103">
        <f t="shared" ref="E13:F14" si="4">E12*E7</f>
        <v>55</v>
      </c>
      <c r="F13" s="103">
        <f t="shared" si="4"/>
        <v>66</v>
      </c>
      <c r="G13" s="99">
        <f>F13/E13-1</f>
        <v>0.19999999999999996</v>
      </c>
      <c r="H13" s="100" t="s">
        <v>137</v>
      </c>
    </row>
    <row r="14" spans="3:8">
      <c r="C14" s="72" t="s">
        <v>142</v>
      </c>
      <c r="D14" s="103">
        <f>D13*D8</f>
        <v>12</v>
      </c>
      <c r="E14" s="103">
        <f t="shared" si="4"/>
        <v>16.5</v>
      </c>
      <c r="F14" s="103">
        <f t="shared" si="4"/>
        <v>21.78</v>
      </c>
      <c r="G14" s="99">
        <f>F14/E14-1</f>
        <v>0.32000000000000006</v>
      </c>
      <c r="H14" s="100" t="s">
        <v>137</v>
      </c>
    </row>
    <row r="15" spans="3:8">
      <c r="C15" s="71" t="s">
        <v>143</v>
      </c>
      <c r="D15" s="103"/>
      <c r="E15" s="103"/>
      <c r="F15" s="103"/>
      <c r="G15" s="95"/>
      <c r="H15" s="100"/>
    </row>
    <row r="16" spans="3:8">
      <c r="C16" s="72" t="s">
        <v>144</v>
      </c>
      <c r="D16" s="104">
        <f>D$10/D12</f>
        <v>30</v>
      </c>
      <c r="E16" s="104">
        <f t="shared" ref="E16:F16" si="5">E$10/E12</f>
        <v>24</v>
      </c>
      <c r="F16" s="104">
        <f t="shared" si="5"/>
        <v>21.818181818181817</v>
      </c>
      <c r="G16" s="99">
        <f>F16/E16-1</f>
        <v>-9.0909090909090939E-2</v>
      </c>
      <c r="H16" s="100" t="s">
        <v>145</v>
      </c>
    </row>
    <row r="17" spans="3:8">
      <c r="C17" s="72" t="s">
        <v>146</v>
      </c>
      <c r="D17" s="104">
        <f t="shared" ref="D17:F18" si="6">D$10/D13</f>
        <v>150</v>
      </c>
      <c r="E17" s="104">
        <f t="shared" si="6"/>
        <v>109.09090909090909</v>
      </c>
      <c r="F17" s="104">
        <f t="shared" si="6"/>
        <v>90.909090909090907</v>
      </c>
      <c r="G17" s="99">
        <f>F17/E17-1</f>
        <v>-0.16666666666666674</v>
      </c>
      <c r="H17" s="100" t="s">
        <v>145</v>
      </c>
    </row>
    <row r="18" spans="3:8">
      <c r="C18" s="106" t="s">
        <v>147</v>
      </c>
      <c r="D18" s="107">
        <f t="shared" si="6"/>
        <v>500</v>
      </c>
      <c r="E18" s="107">
        <f t="shared" si="6"/>
        <v>363.63636363636363</v>
      </c>
      <c r="F18" s="107">
        <f t="shared" si="6"/>
        <v>275.48209366391183</v>
      </c>
      <c r="G18" s="99">
        <f>F18/E18-1</f>
        <v>-0.24242424242424243</v>
      </c>
      <c r="H18" s="100" t="s">
        <v>145</v>
      </c>
    </row>
    <row r="19" spans="3:8">
      <c r="H19" s="58"/>
    </row>
    <row r="20" spans="3:8">
      <c r="H20" s="58"/>
    </row>
  </sheetData>
  <mergeCells count="1">
    <mergeCell ref="G3:H3"/>
  </mergeCells>
  <phoneticPr fontId="4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71A1-633A-446E-864F-21EF9718FBEC}">
  <sheetPr>
    <tabColor rgb="FF00B050"/>
  </sheetPr>
  <dimension ref="A1"/>
  <sheetViews>
    <sheetView workbookViewId="0">
      <selection activeCell="T32" sqref="T32"/>
    </sheetView>
  </sheetViews>
  <sheetFormatPr defaultRowHeight="17.399999999999999"/>
  <sheetData/>
  <phoneticPr fontId="4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4CD5-7300-4068-B034-379EBC2F7DBC}">
  <dimension ref="A1:D15"/>
  <sheetViews>
    <sheetView workbookViewId="0">
      <selection activeCell="E11" sqref="E11"/>
    </sheetView>
  </sheetViews>
  <sheetFormatPr defaultColWidth="12.69921875" defaultRowHeight="19.2"/>
  <cols>
    <col min="1" max="1" width="48.09765625" style="113" customWidth="1"/>
    <col min="2" max="2" width="17.59765625" style="110" customWidth="1"/>
    <col min="3" max="3" width="18.69921875" style="110" customWidth="1"/>
    <col min="4" max="4" width="20.69921875" style="110" customWidth="1"/>
    <col min="5" max="16384" width="12.69921875" style="110"/>
  </cols>
  <sheetData>
    <row r="1" spans="1:4">
      <c r="A1" s="108" t="s">
        <v>148</v>
      </c>
      <c r="B1" s="109" t="s">
        <v>149</v>
      </c>
      <c r="C1" s="109" t="s">
        <v>150</v>
      </c>
      <c r="D1" s="109" t="s">
        <v>151</v>
      </c>
    </row>
    <row r="2" spans="1:4">
      <c r="A2" s="111" t="s">
        <v>152</v>
      </c>
      <c r="B2" s="112">
        <v>0.23</v>
      </c>
      <c r="C2" s="112">
        <v>0.57999999999999996</v>
      </c>
      <c r="D2" s="112">
        <v>0.19</v>
      </c>
    </row>
    <row r="3" spans="1:4">
      <c r="A3" s="111" t="s">
        <v>153</v>
      </c>
      <c r="B3" s="112">
        <v>0.21</v>
      </c>
      <c r="C3" s="112">
        <v>0.52</v>
      </c>
      <c r="D3" s="112">
        <v>0.27</v>
      </c>
    </row>
    <row r="4" spans="1:4">
      <c r="A4" s="111" t="s">
        <v>154</v>
      </c>
      <c r="B4" s="112">
        <v>0.3</v>
      </c>
      <c r="C4" s="112">
        <v>0.44</v>
      </c>
      <c r="D4" s="112">
        <v>0.26</v>
      </c>
    </row>
    <row r="5" spans="1:4">
      <c r="A5" s="111" t="s">
        <v>155</v>
      </c>
      <c r="B5" s="112">
        <v>0.34</v>
      </c>
      <c r="C5" s="112">
        <v>0.39</v>
      </c>
      <c r="D5" s="112">
        <v>0.27</v>
      </c>
    </row>
    <row r="6" spans="1:4">
      <c r="A6" s="111" t="s">
        <v>156</v>
      </c>
      <c r="B6" s="112">
        <v>0.31</v>
      </c>
      <c r="C6" s="112">
        <v>0.28000000000000003</v>
      </c>
      <c r="D6" s="112">
        <v>0.41</v>
      </c>
    </row>
    <row r="7" spans="1:4">
      <c r="A7" s="111" t="s">
        <v>157</v>
      </c>
      <c r="B7" s="112">
        <v>0.61</v>
      </c>
      <c r="C7" s="112">
        <v>0.22</v>
      </c>
      <c r="D7" s="112">
        <v>0.18</v>
      </c>
    </row>
    <row r="8" spans="1:4">
      <c r="A8" s="111" t="s">
        <v>158</v>
      </c>
      <c r="B8" s="112">
        <v>0.52</v>
      </c>
      <c r="C8" s="112">
        <v>0.18</v>
      </c>
      <c r="D8" s="112">
        <v>0.3</v>
      </c>
    </row>
    <row r="9" spans="1:4">
      <c r="A9" s="111" t="s">
        <v>159</v>
      </c>
      <c r="B9" s="112">
        <v>0.28999999999999998</v>
      </c>
      <c r="C9" s="112">
        <v>0.16</v>
      </c>
      <c r="D9" s="112">
        <v>0.55000000000000004</v>
      </c>
    </row>
    <row r="10" spans="1:4">
      <c r="A10" s="111" t="s">
        <v>160</v>
      </c>
      <c r="B10" s="112">
        <v>0.66</v>
      </c>
      <c r="C10" s="112">
        <v>0.06</v>
      </c>
      <c r="D10" s="112">
        <v>0.28000000000000003</v>
      </c>
    </row>
    <row r="11" spans="1:4">
      <c r="A11" s="111" t="s">
        <v>161</v>
      </c>
      <c r="B11" s="112">
        <v>0.85</v>
      </c>
      <c r="C11" s="112">
        <v>0.04</v>
      </c>
      <c r="D11" s="112">
        <v>0.11</v>
      </c>
    </row>
    <row r="12" spans="1:4">
      <c r="A12" s="111" t="s">
        <v>162</v>
      </c>
      <c r="B12" s="112">
        <v>0.86</v>
      </c>
      <c r="C12" s="112">
        <v>0.02</v>
      </c>
      <c r="D12" s="112">
        <v>0.13</v>
      </c>
    </row>
    <row r="15" spans="1:4">
      <c r="A15" s="264" t="s">
        <v>163</v>
      </c>
      <c r="B15" s="264"/>
      <c r="C15" s="264"/>
      <c r="D15" s="264"/>
    </row>
  </sheetData>
  <autoFilter ref="A1:D1" xr:uid="{E3B02835-666E-41F1-89C8-8BE1E4C8B520}">
    <sortState xmlns:xlrd2="http://schemas.microsoft.com/office/spreadsheetml/2017/richdata2" ref="A2:D12">
      <sortCondition descending="1" ref="C1"/>
    </sortState>
  </autoFilter>
  <mergeCells count="1">
    <mergeCell ref="A15:D15"/>
  </mergeCells>
  <phoneticPr fontId="4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6D38-5BD3-4BAD-B34C-A8B699E0D31F}">
  <dimension ref="B1:D17"/>
  <sheetViews>
    <sheetView zoomScale="80" zoomScaleNormal="80" workbookViewId="0">
      <selection activeCell="C17" sqref="C17"/>
    </sheetView>
  </sheetViews>
  <sheetFormatPr defaultColWidth="8.69921875" defaultRowHeight="17.399999999999999"/>
  <cols>
    <col min="1" max="1" width="8.69921875" style="12"/>
    <col min="2" max="2" width="60" style="11" customWidth="1"/>
    <col min="3" max="3" width="21" style="11" customWidth="1"/>
    <col min="4" max="4" width="17.69921875" style="11" customWidth="1"/>
    <col min="5" max="16384" width="8.69921875" style="12"/>
  </cols>
  <sheetData>
    <row r="1" spans="2:4" ht="18" thickBot="1">
      <c r="C1" s="223" t="s">
        <v>9</v>
      </c>
      <c r="D1" s="223"/>
    </row>
    <row r="2" spans="2:4" ht="18" thickBot="1">
      <c r="B2" s="1"/>
      <c r="C2" s="13" t="s">
        <v>0</v>
      </c>
      <c r="D2" s="13" t="s">
        <v>1</v>
      </c>
    </row>
    <row r="3" spans="2:4" ht="18.600000000000001" thickTop="1" thickBot="1">
      <c r="B3" s="14" t="s">
        <v>2</v>
      </c>
      <c r="C3" s="5">
        <v>100000</v>
      </c>
      <c r="D3" s="5">
        <v>80000</v>
      </c>
    </row>
    <row r="4" spans="2:4" ht="18" thickBot="1">
      <c r="B4" s="15" t="s">
        <v>3</v>
      </c>
      <c r="C4" s="6">
        <v>0.03</v>
      </c>
      <c r="D4" s="6">
        <v>0.05</v>
      </c>
    </row>
    <row r="5" spans="2:4" ht="22.35" customHeight="1" thickBot="1">
      <c r="B5" s="16" t="s">
        <v>6</v>
      </c>
      <c r="C5" s="7">
        <v>0.2</v>
      </c>
      <c r="D5" s="7">
        <v>0.25</v>
      </c>
    </row>
    <row r="6" spans="2:4" ht="18" thickBot="1">
      <c r="B6" s="15" t="s">
        <v>4</v>
      </c>
      <c r="C6" s="6">
        <v>0.9</v>
      </c>
      <c r="D6" s="6">
        <v>0.5</v>
      </c>
    </row>
    <row r="7" spans="2:4" ht="18" thickBot="1">
      <c r="B7" s="16" t="s">
        <v>5</v>
      </c>
      <c r="C7" s="8">
        <v>150</v>
      </c>
      <c r="D7" s="8">
        <v>500</v>
      </c>
    </row>
    <row r="8" spans="2:4" ht="18" thickBot="1">
      <c r="B8" s="15" t="s">
        <v>7</v>
      </c>
      <c r="C8" s="3">
        <v>2</v>
      </c>
      <c r="D8" s="3">
        <v>1</v>
      </c>
    </row>
    <row r="9" spans="2:4" ht="18" thickBot="1">
      <c r="B9" s="17"/>
      <c r="C9" s="9"/>
      <c r="D9" s="9"/>
    </row>
    <row r="10" spans="2:4" ht="18" thickBot="1">
      <c r="B10" s="2" t="s">
        <v>8</v>
      </c>
      <c r="C10" s="4"/>
      <c r="D10" s="4"/>
    </row>
    <row r="12" spans="2:4">
      <c r="C12" s="11">
        <f>C4*C3</f>
        <v>3000</v>
      </c>
      <c r="D12" s="11">
        <f>D4*D3</f>
        <v>4000</v>
      </c>
    </row>
    <row r="13" spans="2:4">
      <c r="C13" s="11">
        <f>C12*C5</f>
        <v>600</v>
      </c>
      <c r="D13" s="11">
        <f t="shared" ref="C13:D16" si="0">D12*D5</f>
        <v>1000</v>
      </c>
    </row>
    <row r="14" spans="2:4">
      <c r="C14" s="11">
        <f>C13*C6</f>
        <v>540</v>
      </c>
      <c r="D14" s="11">
        <f t="shared" si="0"/>
        <v>500</v>
      </c>
    </row>
    <row r="15" spans="2:4" ht="18" thickBot="1">
      <c r="C15" s="11">
        <f>C14*C7</f>
        <v>81000</v>
      </c>
      <c r="D15" s="11">
        <f t="shared" si="0"/>
        <v>250000</v>
      </c>
    </row>
    <row r="16" spans="2:4" ht="21.6" thickBot="1">
      <c r="B16" s="16" t="s">
        <v>23</v>
      </c>
      <c r="C16" s="8">
        <f>C15*C8</f>
        <v>162000</v>
      </c>
      <c r="D16" s="28">
        <f t="shared" si="0"/>
        <v>250000</v>
      </c>
    </row>
    <row r="17" spans="2:4" ht="21.6" thickBot="1">
      <c r="B17" s="16" t="s">
        <v>24</v>
      </c>
      <c r="C17" s="10">
        <f>C16/C3</f>
        <v>1.62</v>
      </c>
      <c r="D17" s="29">
        <f>D16/D3</f>
        <v>3.125</v>
      </c>
    </row>
  </sheetData>
  <mergeCells count="1">
    <mergeCell ref="C1:D1"/>
  </mergeCells>
  <phoneticPr fontId="4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EDD2-932B-44EC-9D84-84BC6A822E03}">
  <dimension ref="D3:AD20"/>
  <sheetViews>
    <sheetView workbookViewId="0">
      <selection activeCell="A7" sqref="A7"/>
    </sheetView>
  </sheetViews>
  <sheetFormatPr defaultColWidth="8.69921875" defaultRowHeight="17.399999999999999"/>
  <cols>
    <col min="1" max="3" width="8.69921875" style="58"/>
    <col min="4" max="4" width="42.59765625" style="58" bestFit="1" customWidth="1"/>
    <col min="5" max="7" width="8.69921875" style="64"/>
    <col min="8" max="30" width="8.69921875" style="116"/>
    <col min="31" max="16384" width="8.69921875" style="58"/>
  </cols>
  <sheetData>
    <row r="3" spans="4:10" ht="21.6">
      <c r="D3" s="114" t="s">
        <v>164</v>
      </c>
      <c r="E3" s="115"/>
      <c r="F3" s="115"/>
      <c r="G3" s="115"/>
    </row>
    <row r="4" spans="4:10">
      <c r="E4" s="117" t="s">
        <v>165</v>
      </c>
      <c r="F4" s="117" t="s">
        <v>27</v>
      </c>
      <c r="G4" s="117" t="s">
        <v>28</v>
      </c>
    </row>
    <row r="5" spans="4:10">
      <c r="D5" s="59" t="s">
        <v>166</v>
      </c>
      <c r="E5" s="66">
        <v>50000</v>
      </c>
      <c r="F5" s="66">
        <f>E5</f>
        <v>50000</v>
      </c>
      <c r="G5" s="66">
        <f>F5</f>
        <v>50000</v>
      </c>
    </row>
    <row r="6" spans="4:10">
      <c r="D6" s="59" t="s">
        <v>167</v>
      </c>
      <c r="E6" s="66">
        <v>7000</v>
      </c>
      <c r="F6" s="66">
        <v>10000</v>
      </c>
      <c r="G6" s="66">
        <v>8000</v>
      </c>
    </row>
    <row r="7" spans="4:10">
      <c r="D7" s="58" t="s">
        <v>168</v>
      </c>
      <c r="E7" s="66">
        <v>52000</v>
      </c>
      <c r="F7" s="66">
        <v>55000</v>
      </c>
      <c r="G7" s="66">
        <v>52000</v>
      </c>
    </row>
    <row r="8" spans="4:10">
      <c r="D8" s="118" t="s">
        <v>169</v>
      </c>
      <c r="E8" s="119">
        <f>E7-E6</f>
        <v>45000</v>
      </c>
      <c r="F8" s="119">
        <f t="shared" ref="F8:G8" si="0">F7-F6</f>
        <v>45000</v>
      </c>
      <c r="G8" s="119">
        <f t="shared" si="0"/>
        <v>44000</v>
      </c>
    </row>
    <row r="9" spans="4:10">
      <c r="D9" s="120" t="s">
        <v>170</v>
      </c>
      <c r="E9" s="121">
        <f>E8/E5</f>
        <v>0.9</v>
      </c>
      <c r="F9" s="121">
        <f t="shared" ref="F9:G9" si="1">F8/F5</f>
        <v>0.9</v>
      </c>
      <c r="G9" s="121">
        <f t="shared" si="1"/>
        <v>0.88</v>
      </c>
    </row>
    <row r="11" spans="4:10" ht="21">
      <c r="D11" s="114" t="s">
        <v>171</v>
      </c>
      <c r="E11" s="115"/>
      <c r="F11" s="115"/>
      <c r="G11" s="115"/>
    </row>
    <row r="12" spans="4:10">
      <c r="D12" s="122"/>
    </row>
    <row r="13" spans="4:10">
      <c r="E13" s="117" t="s">
        <v>165</v>
      </c>
      <c r="F13" s="117" t="s">
        <v>27</v>
      </c>
      <c r="G13" s="117" t="s">
        <v>28</v>
      </c>
      <c r="J13" s="123"/>
    </row>
    <row r="14" spans="4:10">
      <c r="D14" s="59" t="s">
        <v>172</v>
      </c>
      <c r="E14" s="66">
        <v>50000</v>
      </c>
      <c r="F14" s="66">
        <v>54000</v>
      </c>
      <c r="G14" s="66">
        <v>48000</v>
      </c>
    </row>
    <row r="15" spans="4:10">
      <c r="D15" s="59" t="s">
        <v>173</v>
      </c>
      <c r="E15" s="66">
        <v>7000</v>
      </c>
      <c r="F15" s="66">
        <v>10000</v>
      </c>
      <c r="G15" s="66">
        <v>8000</v>
      </c>
    </row>
    <row r="16" spans="4:10">
      <c r="D16" s="59" t="s">
        <v>174</v>
      </c>
      <c r="E16" s="66">
        <f>E14-E15</f>
        <v>43000</v>
      </c>
      <c r="F16" s="66">
        <f t="shared" ref="F16:G16" si="2">F14-F15</f>
        <v>44000</v>
      </c>
      <c r="G16" s="66">
        <f t="shared" si="2"/>
        <v>40000</v>
      </c>
    </row>
    <row r="17" spans="4:7">
      <c r="D17" s="124" t="s">
        <v>175</v>
      </c>
      <c r="E17" s="66"/>
      <c r="F17" s="66">
        <v>30000</v>
      </c>
      <c r="G17" s="66">
        <v>35000</v>
      </c>
    </row>
    <row r="18" spans="4:7">
      <c r="D18" s="59"/>
      <c r="E18" s="66"/>
      <c r="F18" s="66"/>
      <c r="G18" s="66"/>
    </row>
    <row r="19" spans="4:7">
      <c r="D19" s="120" t="s">
        <v>176</v>
      </c>
      <c r="E19" s="121"/>
      <c r="F19" s="125">
        <f>F17/E14</f>
        <v>0.6</v>
      </c>
      <c r="G19" s="125">
        <f>G17/F14</f>
        <v>0.64814814814814814</v>
      </c>
    </row>
    <row r="20" spans="4:7">
      <c r="D20" s="120" t="s">
        <v>177</v>
      </c>
      <c r="E20" s="121">
        <f>E16/E14</f>
        <v>0.86</v>
      </c>
      <c r="F20" s="121">
        <f t="shared" ref="F20:G20" si="3">F16/F14</f>
        <v>0.81481481481481477</v>
      </c>
      <c r="G20" s="121">
        <f t="shared" si="3"/>
        <v>0.83333333333333337</v>
      </c>
    </row>
  </sheetData>
  <phoneticPr fontId="4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DF67-8DAC-4A48-B007-D4E5EBF14784}">
  <dimension ref="B1:H14"/>
  <sheetViews>
    <sheetView workbookViewId="0">
      <selection activeCell="H21" sqref="H21"/>
    </sheetView>
  </sheetViews>
  <sheetFormatPr defaultColWidth="8.69921875" defaultRowHeight="17.399999999999999"/>
  <cols>
    <col min="1" max="1" width="8.69921875" style="58"/>
    <col min="2" max="2" width="31.8984375" style="58" bestFit="1" customWidth="1"/>
    <col min="3" max="8" width="8.69921875" style="64"/>
    <col min="9" max="16384" width="8.69921875" style="58"/>
  </cols>
  <sheetData>
    <row r="1" spans="2:6">
      <c r="C1" s="126" t="s">
        <v>178</v>
      </c>
      <c r="D1" s="126" t="s">
        <v>179</v>
      </c>
      <c r="E1" s="126" t="s">
        <v>180</v>
      </c>
      <c r="F1" s="126" t="s">
        <v>181</v>
      </c>
    </row>
    <row r="2" spans="2:6">
      <c r="B2" s="58" t="s">
        <v>142</v>
      </c>
      <c r="C2" s="64">
        <v>200</v>
      </c>
      <c r="D2" s="64">
        <v>210</v>
      </c>
      <c r="E2" s="64">
        <v>240</v>
      </c>
      <c r="F2" s="64">
        <v>260</v>
      </c>
    </row>
    <row r="3" spans="2:6">
      <c r="B3" s="58" t="s">
        <v>182</v>
      </c>
      <c r="C3" s="64">
        <v>50</v>
      </c>
      <c r="D3" s="64">
        <v>60</v>
      </c>
      <c r="E3" s="64">
        <v>74</v>
      </c>
      <c r="F3" s="64">
        <v>100</v>
      </c>
    </row>
    <row r="4" spans="2:6">
      <c r="B4" s="58" t="s">
        <v>183</v>
      </c>
      <c r="C4" s="64">
        <f>C2-C3</f>
        <v>150</v>
      </c>
      <c r="D4" s="64">
        <f t="shared" ref="D4:F4" si="0">D2-D3</f>
        <v>150</v>
      </c>
      <c r="E4" s="64">
        <f t="shared" si="0"/>
        <v>166</v>
      </c>
      <c r="F4" s="64">
        <f t="shared" si="0"/>
        <v>160</v>
      </c>
    </row>
    <row r="5" spans="2:6">
      <c r="B5" s="58" t="s">
        <v>184</v>
      </c>
      <c r="C5" s="70">
        <f>C4/C2</f>
        <v>0.75</v>
      </c>
      <c r="D5" s="70">
        <f t="shared" ref="D5:F5" si="1">D4/D2</f>
        <v>0.7142857142857143</v>
      </c>
      <c r="E5" s="70">
        <f t="shared" si="1"/>
        <v>0.69166666666666665</v>
      </c>
      <c r="F5" s="70">
        <f t="shared" si="1"/>
        <v>0.61538461538461542</v>
      </c>
    </row>
    <row r="7" spans="2:6">
      <c r="C7" s="126" t="s">
        <v>178</v>
      </c>
      <c r="D7" s="126" t="s">
        <v>179</v>
      </c>
      <c r="E7" s="126" t="s">
        <v>180</v>
      </c>
      <c r="F7" s="126" t="s">
        <v>181</v>
      </c>
    </row>
    <row r="8" spans="2:6">
      <c r="B8" s="59" t="s">
        <v>185</v>
      </c>
    </row>
    <row r="9" spans="2:6">
      <c r="B9" s="58" t="s">
        <v>186</v>
      </c>
      <c r="C9" s="64">
        <f>110</f>
        <v>110</v>
      </c>
      <c r="D9" s="64">
        <v>130</v>
      </c>
      <c r="E9" s="64">
        <v>150</v>
      </c>
      <c r="F9" s="64">
        <v>170</v>
      </c>
    </row>
    <row r="10" spans="2:6">
      <c r="B10" s="58" t="s">
        <v>187</v>
      </c>
      <c r="C10" s="64">
        <v>40</v>
      </c>
      <c r="D10" s="64">
        <v>50</v>
      </c>
      <c r="E10" s="64">
        <v>60</v>
      </c>
      <c r="F10" s="64">
        <v>80</v>
      </c>
    </row>
    <row r="11" spans="2:6">
      <c r="B11" s="58" t="s">
        <v>188</v>
      </c>
      <c r="C11" s="64">
        <f>C2-C9-C10</f>
        <v>50</v>
      </c>
      <c r="D11" s="64">
        <f t="shared" ref="D11:F11" si="2">D2-D9-D10</f>
        <v>30</v>
      </c>
      <c r="E11" s="64">
        <f t="shared" si="2"/>
        <v>30</v>
      </c>
      <c r="F11" s="64">
        <f t="shared" si="2"/>
        <v>10</v>
      </c>
    </row>
    <row r="12" spans="2:6">
      <c r="B12" s="127" t="s">
        <v>189</v>
      </c>
      <c r="C12" s="70">
        <f>C9/C$2</f>
        <v>0.55000000000000004</v>
      </c>
      <c r="D12" s="70">
        <f t="shared" ref="D12:F12" si="3">D9/D$2</f>
        <v>0.61904761904761907</v>
      </c>
      <c r="E12" s="70">
        <f t="shared" si="3"/>
        <v>0.625</v>
      </c>
      <c r="F12" s="70">
        <f t="shared" si="3"/>
        <v>0.65384615384615385</v>
      </c>
    </row>
    <row r="13" spans="2:6">
      <c r="B13" s="127" t="s">
        <v>190</v>
      </c>
      <c r="C13" s="70">
        <f t="shared" ref="C13:F14" si="4">C10/C$2</f>
        <v>0.2</v>
      </c>
      <c r="D13" s="70">
        <f t="shared" si="4"/>
        <v>0.23809523809523808</v>
      </c>
      <c r="E13" s="70">
        <f t="shared" si="4"/>
        <v>0.25</v>
      </c>
      <c r="F13" s="70">
        <f t="shared" si="4"/>
        <v>0.30769230769230771</v>
      </c>
    </row>
    <row r="14" spans="2:6">
      <c r="B14" s="127" t="s">
        <v>191</v>
      </c>
      <c r="C14" s="70">
        <f t="shared" si="4"/>
        <v>0.25</v>
      </c>
      <c r="D14" s="70">
        <f t="shared" si="4"/>
        <v>0.14285714285714285</v>
      </c>
      <c r="E14" s="70">
        <f t="shared" si="4"/>
        <v>0.125</v>
      </c>
      <c r="F14" s="70">
        <f t="shared" si="4"/>
        <v>3.8461538461538464E-2</v>
      </c>
    </row>
  </sheetData>
  <phoneticPr fontId="4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E594-4456-41EB-9361-93AC0C9E97AD}">
  <dimension ref="A1:P42"/>
  <sheetViews>
    <sheetView topLeftCell="A10" workbookViewId="0">
      <selection activeCell="A7" sqref="A7"/>
    </sheetView>
  </sheetViews>
  <sheetFormatPr defaultColWidth="8.69921875" defaultRowHeight="17.399999999999999"/>
  <cols>
    <col min="1" max="1" width="14.09765625" style="128" customWidth="1"/>
    <col min="2" max="2" width="9.296875" style="128" customWidth="1"/>
    <col min="3" max="8" width="8.8984375" style="128" customWidth="1"/>
    <col min="9" max="16" width="8.69921875" style="128"/>
    <col min="17" max="16384" width="8.69921875" style="58"/>
  </cols>
  <sheetData>
    <row r="1" spans="1:15">
      <c r="B1" s="129"/>
      <c r="C1" s="130"/>
      <c r="D1" s="130"/>
      <c r="E1" s="130"/>
      <c r="F1" s="130"/>
      <c r="G1" s="130"/>
      <c r="H1" s="130"/>
    </row>
    <row r="2" spans="1:15">
      <c r="C2" s="265" t="s">
        <v>192</v>
      </c>
      <c r="D2" s="265"/>
      <c r="E2" s="265"/>
      <c r="F2" s="265"/>
      <c r="G2" s="265"/>
      <c r="H2" s="265"/>
    </row>
    <row r="3" spans="1:15" ht="27.6">
      <c r="A3" s="131" t="s">
        <v>193</v>
      </c>
      <c r="B3" s="131" t="s">
        <v>194</v>
      </c>
      <c r="C3" s="132" t="s">
        <v>195</v>
      </c>
      <c r="D3" s="133" t="s">
        <v>196</v>
      </c>
      <c r="E3" s="133" t="s">
        <v>197</v>
      </c>
      <c r="F3" s="133" t="s">
        <v>29</v>
      </c>
      <c r="G3" s="133" t="s">
        <v>30</v>
      </c>
      <c r="H3" s="134" t="s">
        <v>31</v>
      </c>
    </row>
    <row r="4" spans="1:15">
      <c r="A4" s="135" t="s">
        <v>195</v>
      </c>
      <c r="B4" s="136">
        <v>50</v>
      </c>
      <c r="C4" s="137">
        <v>50</v>
      </c>
      <c r="D4" s="136">
        <v>45</v>
      </c>
      <c r="E4" s="136">
        <v>42</v>
      </c>
      <c r="F4" s="136">
        <v>39</v>
      </c>
      <c r="G4" s="136">
        <v>37</v>
      </c>
      <c r="H4" s="138">
        <v>35</v>
      </c>
    </row>
    <row r="5" spans="1:15">
      <c r="A5" s="135" t="s">
        <v>196</v>
      </c>
      <c r="B5" s="136">
        <v>60</v>
      </c>
      <c r="C5" s="137"/>
      <c r="D5" s="136">
        <v>60</v>
      </c>
      <c r="E5" s="136">
        <v>57</v>
      </c>
      <c r="F5" s="136">
        <v>55</v>
      </c>
      <c r="G5" s="136">
        <v>50</v>
      </c>
      <c r="H5" s="138">
        <v>48</v>
      </c>
    </row>
    <row r="6" spans="1:15">
      <c r="A6" s="135" t="s">
        <v>197</v>
      </c>
      <c r="B6" s="136">
        <v>70</v>
      </c>
      <c r="C6" s="137"/>
      <c r="D6" s="136"/>
      <c r="E6" s="136">
        <v>70</v>
      </c>
      <c r="F6" s="136">
        <v>68</v>
      </c>
      <c r="G6" s="136">
        <v>65</v>
      </c>
      <c r="H6" s="138">
        <v>61</v>
      </c>
    </row>
    <row r="7" spans="1:15">
      <c r="A7" s="135" t="s">
        <v>29</v>
      </c>
      <c r="B7" s="136">
        <v>75</v>
      </c>
      <c r="C7" s="137"/>
      <c r="D7" s="136"/>
      <c r="E7" s="136"/>
      <c r="F7" s="136">
        <v>75</v>
      </c>
      <c r="G7" s="136">
        <v>72</v>
      </c>
      <c r="H7" s="138">
        <v>69</v>
      </c>
    </row>
    <row r="8" spans="1:15">
      <c r="A8" s="135" t="s">
        <v>30</v>
      </c>
      <c r="B8" s="136">
        <v>85</v>
      </c>
      <c r="C8" s="137"/>
      <c r="D8" s="136"/>
      <c r="E8" s="136"/>
      <c r="F8" s="136"/>
      <c r="G8" s="136">
        <v>85</v>
      </c>
      <c r="H8" s="138">
        <v>84</v>
      </c>
    </row>
    <row r="9" spans="1:15">
      <c r="A9" s="135" t="s">
        <v>31</v>
      </c>
      <c r="B9" s="136">
        <v>100</v>
      </c>
      <c r="C9" s="137"/>
      <c r="D9" s="136"/>
      <c r="E9" s="136"/>
      <c r="F9" s="136"/>
      <c r="G9" s="136"/>
      <c r="H9" s="138">
        <v>100</v>
      </c>
    </row>
    <row r="10" spans="1:15">
      <c r="A10" s="135"/>
      <c r="B10" s="139"/>
      <c r="C10" s="140">
        <f t="shared" ref="C10:H10" si="0">SUM(C4:C9)</f>
        <v>50</v>
      </c>
      <c r="D10" s="141">
        <f t="shared" si="0"/>
        <v>105</v>
      </c>
      <c r="E10" s="141">
        <f t="shared" si="0"/>
        <v>169</v>
      </c>
      <c r="F10" s="141">
        <f t="shared" si="0"/>
        <v>237</v>
      </c>
      <c r="G10" s="141">
        <f t="shared" si="0"/>
        <v>309</v>
      </c>
      <c r="H10" s="142">
        <f t="shared" si="0"/>
        <v>397</v>
      </c>
    </row>
    <row r="13" spans="1:15">
      <c r="C13" s="265" t="s">
        <v>198</v>
      </c>
      <c r="D13" s="265"/>
      <c r="E13" s="265"/>
      <c r="F13" s="265"/>
      <c r="G13" s="265"/>
      <c r="H13" s="265"/>
    </row>
    <row r="14" spans="1:15" ht="27.6">
      <c r="A14" s="131" t="s">
        <v>193</v>
      </c>
      <c r="B14" s="131" t="s">
        <v>194</v>
      </c>
      <c r="C14" s="143">
        <v>0</v>
      </c>
      <c r="D14" s="144">
        <v>1</v>
      </c>
      <c r="E14" s="144">
        <v>2</v>
      </c>
      <c r="F14" s="144">
        <v>3</v>
      </c>
      <c r="G14" s="144">
        <v>4</v>
      </c>
      <c r="H14" s="145">
        <v>5</v>
      </c>
    </row>
    <row r="15" spans="1:15">
      <c r="A15" s="135" t="s">
        <v>195</v>
      </c>
      <c r="B15" s="136">
        <v>50</v>
      </c>
      <c r="C15" s="146">
        <v>50</v>
      </c>
      <c r="D15" s="147">
        <v>45</v>
      </c>
      <c r="E15" s="147">
        <v>42</v>
      </c>
      <c r="F15" s="147">
        <v>39</v>
      </c>
      <c r="G15" s="147">
        <v>37</v>
      </c>
      <c r="H15" s="148">
        <v>35</v>
      </c>
      <c r="J15" s="149">
        <f>50-C15</f>
        <v>0</v>
      </c>
      <c r="K15" s="149">
        <f>C15-D15</f>
        <v>5</v>
      </c>
      <c r="L15" s="149">
        <f>D15-E15</f>
        <v>3</v>
      </c>
      <c r="M15" s="149">
        <f t="shared" ref="M15:O17" si="1">E15-F15</f>
        <v>3</v>
      </c>
      <c r="N15" s="149">
        <f t="shared" si="1"/>
        <v>2</v>
      </c>
      <c r="O15" s="149">
        <f t="shared" si="1"/>
        <v>2</v>
      </c>
    </row>
    <row r="16" spans="1:15">
      <c r="A16" s="135" t="s">
        <v>196</v>
      </c>
      <c r="B16" s="136">
        <v>60</v>
      </c>
      <c r="C16" s="146">
        <v>60</v>
      </c>
      <c r="D16" s="147">
        <v>57</v>
      </c>
      <c r="E16" s="147">
        <v>55</v>
      </c>
      <c r="F16" s="147">
        <v>50</v>
      </c>
      <c r="G16" s="147">
        <v>48</v>
      </c>
      <c r="H16" s="148"/>
      <c r="J16" s="128">
        <v>0</v>
      </c>
      <c r="K16" s="149">
        <f>C16-D16</f>
        <v>3</v>
      </c>
      <c r="L16" s="149">
        <f t="shared" ref="L16:L17" si="2">D16-E16</f>
        <v>2</v>
      </c>
      <c r="M16" s="149">
        <f t="shared" si="1"/>
        <v>5</v>
      </c>
      <c r="N16" s="149">
        <f t="shared" si="1"/>
        <v>2</v>
      </c>
    </row>
    <row r="17" spans="1:14">
      <c r="A17" s="135" t="s">
        <v>197</v>
      </c>
      <c r="B17" s="136">
        <v>70</v>
      </c>
      <c r="C17" s="146">
        <v>70</v>
      </c>
      <c r="D17" s="147">
        <v>68</v>
      </c>
      <c r="E17" s="147">
        <v>65</v>
      </c>
      <c r="F17" s="147">
        <v>61</v>
      </c>
      <c r="G17" s="147"/>
      <c r="H17" s="148"/>
      <c r="J17" s="128">
        <v>0</v>
      </c>
      <c r="K17" s="149">
        <f>C17-D17</f>
        <v>2</v>
      </c>
      <c r="L17" s="149">
        <f t="shared" si="2"/>
        <v>3</v>
      </c>
      <c r="M17" s="149">
        <f t="shared" si="1"/>
        <v>4</v>
      </c>
      <c r="N17" s="149"/>
    </row>
    <row r="18" spans="1:14">
      <c r="A18" s="135" t="s">
        <v>29</v>
      </c>
      <c r="B18" s="136">
        <v>75</v>
      </c>
      <c r="C18" s="146">
        <v>75</v>
      </c>
      <c r="D18" s="147">
        <v>72</v>
      </c>
      <c r="E18" s="147">
        <v>69</v>
      </c>
      <c r="F18" s="147"/>
      <c r="G18" s="147"/>
      <c r="H18" s="148"/>
      <c r="J18" s="128">
        <v>0</v>
      </c>
      <c r="K18" s="149">
        <f>C18-D18</f>
        <v>3</v>
      </c>
      <c r="L18" s="149">
        <f>D18-E18</f>
        <v>3</v>
      </c>
    </row>
    <row r="19" spans="1:14">
      <c r="A19" s="135" t="s">
        <v>30</v>
      </c>
      <c r="B19" s="136">
        <v>85</v>
      </c>
      <c r="C19" s="146">
        <v>85</v>
      </c>
      <c r="D19" s="147">
        <v>84</v>
      </c>
      <c r="E19" s="147"/>
      <c r="F19" s="147"/>
      <c r="G19" s="147"/>
      <c r="H19" s="148"/>
      <c r="J19" s="128">
        <v>0</v>
      </c>
      <c r="K19" s="149">
        <f>C19-D19</f>
        <v>1</v>
      </c>
    </row>
    <row r="20" spans="1:14">
      <c r="A20" s="135" t="s">
        <v>31</v>
      </c>
      <c r="B20" s="136">
        <v>100</v>
      </c>
      <c r="C20" s="146">
        <v>100</v>
      </c>
      <c r="D20" s="147"/>
      <c r="E20" s="147"/>
      <c r="F20" s="147"/>
      <c r="G20" s="147"/>
      <c r="H20" s="148"/>
      <c r="J20" s="128">
        <v>0</v>
      </c>
    </row>
    <row r="21" spans="1:14">
      <c r="A21" s="135"/>
      <c r="B21" s="139"/>
      <c r="C21" s="150">
        <f t="shared" ref="C21:H21" si="3">SUM(C15:C20)</f>
        <v>440</v>
      </c>
      <c r="D21" s="151">
        <f t="shared" si="3"/>
        <v>326</v>
      </c>
      <c r="E21" s="151">
        <f t="shared" si="3"/>
        <v>231</v>
      </c>
      <c r="F21" s="151">
        <f t="shared" si="3"/>
        <v>150</v>
      </c>
      <c r="G21" s="151">
        <f t="shared" si="3"/>
        <v>85</v>
      </c>
      <c r="H21" s="152">
        <f t="shared" si="3"/>
        <v>35</v>
      </c>
    </row>
    <row r="23" spans="1:14">
      <c r="C23" s="265" t="s">
        <v>199</v>
      </c>
      <c r="D23" s="265"/>
      <c r="E23" s="265"/>
      <c r="F23" s="265"/>
      <c r="G23" s="265"/>
      <c r="H23" s="265"/>
    </row>
    <row r="24" spans="1:14">
      <c r="C24" s="143">
        <v>0</v>
      </c>
      <c r="D24" s="144">
        <v>1</v>
      </c>
      <c r="E24" s="144">
        <v>2</v>
      </c>
      <c r="F24" s="144">
        <v>3</v>
      </c>
      <c r="G24" s="144">
        <v>4</v>
      </c>
      <c r="H24" s="145">
        <v>5</v>
      </c>
    </row>
    <row r="25" spans="1:14">
      <c r="B25" s="153" t="s">
        <v>200</v>
      </c>
      <c r="C25" s="154">
        <v>1</v>
      </c>
      <c r="D25" s="155">
        <v>0.9</v>
      </c>
      <c r="E25" s="155">
        <v>0.84</v>
      </c>
      <c r="F25" s="155">
        <v>0.78</v>
      </c>
      <c r="G25" s="155">
        <v>0.74</v>
      </c>
      <c r="H25" s="156">
        <v>0.7</v>
      </c>
    </row>
    <row r="26" spans="1:14">
      <c r="B26" s="153" t="s">
        <v>201</v>
      </c>
      <c r="C26" s="157">
        <v>1</v>
      </c>
      <c r="D26" s="158">
        <v>0.95</v>
      </c>
      <c r="E26" s="158">
        <v>0.91666666666666663</v>
      </c>
      <c r="F26" s="158">
        <v>0.83333333333333337</v>
      </c>
      <c r="G26" s="158">
        <v>0.8</v>
      </c>
      <c r="H26" s="159"/>
    </row>
    <row r="27" spans="1:14">
      <c r="B27" s="153" t="s">
        <v>202</v>
      </c>
      <c r="C27" s="157">
        <v>1</v>
      </c>
      <c r="D27" s="158">
        <v>0.97142857142857142</v>
      </c>
      <c r="E27" s="158">
        <v>0.9285714285714286</v>
      </c>
      <c r="F27" s="158">
        <v>0.87142857142857144</v>
      </c>
      <c r="G27" s="158"/>
      <c r="H27" s="159"/>
    </row>
    <row r="28" spans="1:14">
      <c r="B28" s="153" t="s">
        <v>203</v>
      </c>
      <c r="C28" s="157">
        <v>1</v>
      </c>
      <c r="D28" s="158">
        <v>0.96</v>
      </c>
      <c r="E28" s="158">
        <v>0.92</v>
      </c>
      <c r="F28" s="158"/>
      <c r="G28" s="158"/>
      <c r="H28" s="159"/>
    </row>
    <row r="29" spans="1:14">
      <c r="B29" s="153" t="s">
        <v>204</v>
      </c>
      <c r="C29" s="157">
        <v>1</v>
      </c>
      <c r="D29" s="158">
        <v>0.9882352941176471</v>
      </c>
      <c r="E29" s="158"/>
      <c r="F29" s="158"/>
      <c r="G29" s="158"/>
      <c r="H29" s="159"/>
    </row>
    <row r="30" spans="1:14">
      <c r="B30" s="153" t="s">
        <v>205</v>
      </c>
      <c r="C30" s="160">
        <v>1</v>
      </c>
      <c r="D30" s="161"/>
      <c r="E30" s="161"/>
      <c r="F30" s="161"/>
      <c r="G30" s="161"/>
      <c r="H30" s="162"/>
    </row>
    <row r="31" spans="1:14">
      <c r="C31" s="163">
        <v>1</v>
      </c>
      <c r="D31" s="164">
        <v>0.95882352941176474</v>
      </c>
      <c r="E31" s="164">
        <v>0.90588235294117647</v>
      </c>
      <c r="F31" s="164">
        <v>0.83333333333333337</v>
      </c>
      <c r="G31" s="164">
        <v>0.77272727272727271</v>
      </c>
      <c r="H31" s="165">
        <v>0.7</v>
      </c>
    </row>
    <row r="34" spans="2:8">
      <c r="C34" s="265" t="s">
        <v>206</v>
      </c>
      <c r="D34" s="265"/>
      <c r="E34" s="265"/>
      <c r="F34" s="265"/>
      <c r="G34" s="265"/>
      <c r="H34" s="265"/>
    </row>
    <row r="35" spans="2:8">
      <c r="C35" s="166">
        <v>0</v>
      </c>
      <c r="D35" s="167">
        <v>1</v>
      </c>
      <c r="E35" s="167">
        <v>2</v>
      </c>
      <c r="F35" s="167">
        <v>3</v>
      </c>
      <c r="G35" s="167">
        <v>4</v>
      </c>
      <c r="H35" s="168">
        <v>5</v>
      </c>
    </row>
    <row r="36" spans="2:8">
      <c r="B36" s="135" t="s">
        <v>195</v>
      </c>
      <c r="C36" s="154">
        <f>J15/$C$15</f>
        <v>0</v>
      </c>
      <c r="D36" s="155">
        <f t="shared" ref="D36:H36" si="4">K15/$C$15</f>
        <v>0.1</v>
      </c>
      <c r="E36" s="155">
        <f t="shared" si="4"/>
        <v>0.06</v>
      </c>
      <c r="F36" s="155">
        <f t="shared" si="4"/>
        <v>0.06</v>
      </c>
      <c r="G36" s="155">
        <f t="shared" si="4"/>
        <v>0.04</v>
      </c>
      <c r="H36" s="156">
        <f t="shared" si="4"/>
        <v>0.04</v>
      </c>
    </row>
    <row r="37" spans="2:8">
      <c r="B37" s="135" t="s">
        <v>196</v>
      </c>
      <c r="C37" s="157">
        <f>J16/$C$16</f>
        <v>0</v>
      </c>
      <c r="D37" s="158">
        <f t="shared" ref="D37:G37" si="5">K16/$C$16</f>
        <v>0.05</v>
      </c>
      <c r="E37" s="158">
        <f t="shared" si="5"/>
        <v>3.3333333333333333E-2</v>
      </c>
      <c r="F37" s="158">
        <f t="shared" si="5"/>
        <v>8.3333333333333329E-2</v>
      </c>
      <c r="G37" s="158">
        <f t="shared" si="5"/>
        <v>3.3333333333333333E-2</v>
      </c>
      <c r="H37" s="159"/>
    </row>
    <row r="38" spans="2:8">
      <c r="B38" s="135" t="s">
        <v>197</v>
      </c>
      <c r="C38" s="157">
        <f>J17/$C$17</f>
        <v>0</v>
      </c>
      <c r="D38" s="158">
        <f t="shared" ref="D38:F38" si="6">K17/$C$17</f>
        <v>2.8571428571428571E-2</v>
      </c>
      <c r="E38" s="158">
        <f t="shared" si="6"/>
        <v>4.2857142857142858E-2</v>
      </c>
      <c r="F38" s="158">
        <f t="shared" si="6"/>
        <v>5.7142857142857141E-2</v>
      </c>
      <c r="G38" s="158"/>
      <c r="H38" s="159"/>
    </row>
    <row r="39" spans="2:8">
      <c r="B39" s="135" t="s">
        <v>29</v>
      </c>
      <c r="C39" s="157">
        <f>J18/$C$18</f>
        <v>0</v>
      </c>
      <c r="D39" s="158">
        <f t="shared" ref="D39:E39" si="7">K18/$C$18</f>
        <v>0.04</v>
      </c>
      <c r="E39" s="158">
        <f t="shared" si="7"/>
        <v>0.04</v>
      </c>
      <c r="F39" s="158"/>
      <c r="G39" s="158"/>
      <c r="H39" s="159"/>
    </row>
    <row r="40" spans="2:8">
      <c r="B40" s="135" t="s">
        <v>30</v>
      </c>
      <c r="C40" s="157">
        <f>J19/$C$19</f>
        <v>0</v>
      </c>
      <c r="D40" s="158">
        <f>K19/$C$19</f>
        <v>1.1764705882352941E-2</v>
      </c>
      <c r="E40" s="158"/>
      <c r="F40" s="158"/>
      <c r="G40" s="158"/>
      <c r="H40" s="159"/>
    </row>
    <row r="41" spans="2:8">
      <c r="B41" s="135" t="s">
        <v>31</v>
      </c>
      <c r="C41" s="157">
        <f>J20</f>
        <v>0</v>
      </c>
      <c r="D41" s="158"/>
      <c r="E41" s="158"/>
      <c r="F41" s="158"/>
      <c r="G41" s="158"/>
      <c r="H41" s="159"/>
    </row>
    <row r="42" spans="2:8">
      <c r="C42" s="169">
        <f>AVERAGE(C36:C41)</f>
        <v>0</v>
      </c>
      <c r="D42" s="170">
        <f t="shared" ref="D42:H42" si="8">AVERAGE(D36:D41)</f>
        <v>4.6067226890756305E-2</v>
      </c>
      <c r="E42" s="170">
        <f t="shared" si="8"/>
        <v>4.4047619047619051E-2</v>
      </c>
      <c r="F42" s="170">
        <f t="shared" si="8"/>
        <v>6.6825396825396816E-2</v>
      </c>
      <c r="G42" s="170">
        <f t="shared" si="8"/>
        <v>3.6666666666666667E-2</v>
      </c>
      <c r="H42" s="171">
        <f t="shared" si="8"/>
        <v>0.04</v>
      </c>
    </row>
  </sheetData>
  <mergeCells count="4">
    <mergeCell ref="C2:H2"/>
    <mergeCell ref="C13:H13"/>
    <mergeCell ref="C23:H23"/>
    <mergeCell ref="C34:H34"/>
  </mergeCells>
  <phoneticPr fontId="44" type="noConversion"/>
  <conditionalFormatting sqref="C25:H31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rgb="FFEDCCCB"/>
        <color rgb="FFCD6F6D"/>
      </colorScale>
    </cfRule>
    <cfRule type="colorScale" priority="6">
      <colorScale>
        <cfvo type="min"/>
        <cfvo type="max"/>
        <color rgb="FFCD6F6D"/>
        <color rgb="FFEDCCCB"/>
      </colorScale>
    </cfRule>
  </conditionalFormatting>
  <conditionalFormatting sqref="C36:H42">
    <cfRule type="colorScale" priority="1">
      <colorScale>
        <cfvo type="min"/>
        <cfvo type="max"/>
        <color rgb="FFEDCCCB"/>
        <color rgb="FFD3817F"/>
      </colorScale>
    </cfRule>
    <cfRule type="colorScale" priority="2">
      <colorScale>
        <cfvo type="min"/>
        <cfvo type="max"/>
        <color rgb="FFEDCCCB"/>
        <color rgb="FFCD6F6D"/>
      </colorScale>
    </cfRule>
    <cfRule type="colorScale" priority="3">
      <colorScale>
        <cfvo type="min"/>
        <cfvo type="max"/>
        <color rgb="FFCD6F6D"/>
        <color rgb="FFEDCCC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EF5C-74D9-4D20-A6D0-ABA2272FDE21}">
  <dimension ref="A1:S25"/>
  <sheetViews>
    <sheetView zoomScale="90" zoomScaleNormal="90" workbookViewId="0">
      <selection activeCell="A7" sqref="A7"/>
    </sheetView>
  </sheetViews>
  <sheetFormatPr defaultRowHeight="17.399999999999999"/>
  <cols>
    <col min="1" max="1" width="17.3984375" customWidth="1"/>
    <col min="11" max="11" width="12.3984375" customWidth="1"/>
    <col min="12" max="12" width="13.296875" bestFit="1" customWidth="1"/>
  </cols>
  <sheetData>
    <row r="1" spans="1:19">
      <c r="B1" s="266" t="s">
        <v>207</v>
      </c>
      <c r="C1" s="266"/>
      <c r="D1" s="266"/>
      <c r="E1" s="266"/>
      <c r="F1" s="266"/>
      <c r="G1" s="266"/>
      <c r="H1" s="266"/>
      <c r="K1" s="126"/>
      <c r="L1" s="172" t="s">
        <v>208</v>
      </c>
      <c r="M1" s="172"/>
      <c r="N1" s="172"/>
      <c r="O1" s="172"/>
      <c r="P1" s="172"/>
      <c r="Q1" s="172"/>
      <c r="R1" s="172"/>
      <c r="S1" s="173"/>
    </row>
    <row r="2" spans="1:19">
      <c r="A2" s="174" t="s">
        <v>209</v>
      </c>
      <c r="B2" s="175" t="s">
        <v>210</v>
      </c>
      <c r="C2" s="175" t="s">
        <v>211</v>
      </c>
      <c r="D2" s="175" t="s">
        <v>212</v>
      </c>
      <c r="E2" s="175" t="s">
        <v>213</v>
      </c>
      <c r="F2" s="175" t="s">
        <v>214</v>
      </c>
      <c r="G2" s="175" t="s">
        <v>215</v>
      </c>
      <c r="H2" s="175" t="s">
        <v>216</v>
      </c>
      <c r="I2" s="175" t="s">
        <v>217</v>
      </c>
      <c r="J2" s="175"/>
      <c r="K2" s="126"/>
      <c r="L2" s="172">
        <v>1</v>
      </c>
      <c r="M2" s="172">
        <v>2</v>
      </c>
      <c r="N2" s="172">
        <v>3</v>
      </c>
      <c r="O2" s="172">
        <v>4</v>
      </c>
      <c r="P2" s="172">
        <v>5</v>
      </c>
      <c r="Q2" s="172">
        <v>6</v>
      </c>
      <c r="R2" s="172">
        <v>7</v>
      </c>
      <c r="S2" s="173" t="s">
        <v>218</v>
      </c>
    </row>
    <row r="3" spans="1:19">
      <c r="A3" s="117">
        <v>222</v>
      </c>
      <c r="B3" s="64">
        <v>0</v>
      </c>
      <c r="C3" s="64">
        <v>1</v>
      </c>
      <c r="D3" s="64">
        <v>0</v>
      </c>
      <c r="E3" s="64">
        <v>0</v>
      </c>
      <c r="F3" s="64">
        <v>0</v>
      </c>
      <c r="G3" s="64">
        <v>0</v>
      </c>
      <c r="H3" s="64">
        <v>0</v>
      </c>
      <c r="I3" s="64">
        <f>SUM(B3:H3)</f>
        <v>1</v>
      </c>
      <c r="J3" s="64"/>
      <c r="K3" s="126" t="s">
        <v>219</v>
      </c>
      <c r="L3" s="64">
        <f>COUNTIF($I$3:$I$105,"="&amp;L2)</f>
        <v>5</v>
      </c>
      <c r="M3" s="64">
        <f t="shared" ref="M3:R3" si="0">COUNTIF($I$3:$I$105,"="&amp;M2)</f>
        <v>3</v>
      </c>
      <c r="N3" s="64">
        <f t="shared" si="0"/>
        <v>3</v>
      </c>
      <c r="O3" s="64">
        <f t="shared" si="0"/>
        <v>2</v>
      </c>
      <c r="P3" s="64">
        <f t="shared" si="0"/>
        <v>1</v>
      </c>
      <c r="Q3" s="64">
        <f t="shared" si="0"/>
        <v>2</v>
      </c>
      <c r="R3" s="64">
        <f t="shared" si="0"/>
        <v>3</v>
      </c>
      <c r="S3" s="64">
        <f>SUM(L3:R3)</f>
        <v>19</v>
      </c>
    </row>
    <row r="4" spans="1:19">
      <c r="A4" s="117">
        <v>336</v>
      </c>
      <c r="B4" s="64">
        <v>0</v>
      </c>
      <c r="C4" s="64">
        <v>0</v>
      </c>
      <c r="D4" s="64">
        <v>0</v>
      </c>
      <c r="E4" s="64">
        <v>0</v>
      </c>
      <c r="F4" s="64">
        <v>0</v>
      </c>
      <c r="G4" s="64">
        <v>1</v>
      </c>
      <c r="H4" s="64">
        <v>0</v>
      </c>
      <c r="I4" s="64">
        <f t="shared" ref="I4:I21" si="1">SUM(B4:H4)</f>
        <v>1</v>
      </c>
      <c r="J4" s="64"/>
      <c r="K4" s="126" t="s">
        <v>220</v>
      </c>
      <c r="L4" s="70">
        <f>L3/$S$3</f>
        <v>0.26315789473684209</v>
      </c>
      <c r="M4" s="70">
        <f t="shared" ref="M4:R4" si="2">M3/$S$3</f>
        <v>0.15789473684210525</v>
      </c>
      <c r="N4" s="70">
        <f t="shared" si="2"/>
        <v>0.15789473684210525</v>
      </c>
      <c r="O4" s="70">
        <f t="shared" si="2"/>
        <v>0.10526315789473684</v>
      </c>
      <c r="P4" s="70">
        <f t="shared" si="2"/>
        <v>5.2631578947368418E-2</v>
      </c>
      <c r="Q4" s="70">
        <f t="shared" si="2"/>
        <v>0.10526315789473684</v>
      </c>
      <c r="R4" s="70">
        <f t="shared" si="2"/>
        <v>0.15789473684210525</v>
      </c>
      <c r="S4" s="64"/>
    </row>
    <row r="5" spans="1:19">
      <c r="A5" s="117">
        <v>743</v>
      </c>
      <c r="B5" s="64">
        <v>0</v>
      </c>
      <c r="C5" s="64">
        <v>0</v>
      </c>
      <c r="D5" s="64">
        <v>0</v>
      </c>
      <c r="E5" s="64">
        <v>0</v>
      </c>
      <c r="F5" s="64">
        <v>1</v>
      </c>
      <c r="G5" s="64">
        <v>0</v>
      </c>
      <c r="H5" s="64">
        <v>0</v>
      </c>
      <c r="I5" s="64">
        <f t="shared" si="1"/>
        <v>1</v>
      </c>
      <c r="J5" s="64"/>
      <c r="K5" s="64"/>
      <c r="L5" s="58"/>
      <c r="M5" s="58"/>
      <c r="N5" s="58"/>
      <c r="O5" s="58"/>
      <c r="P5" s="58"/>
      <c r="Q5" s="58"/>
      <c r="R5" s="58"/>
      <c r="S5" s="58"/>
    </row>
    <row r="6" spans="1:19">
      <c r="A6" s="117">
        <v>876</v>
      </c>
      <c r="B6" s="64">
        <v>0</v>
      </c>
      <c r="C6" s="64">
        <v>1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f t="shared" si="1"/>
        <v>1</v>
      </c>
      <c r="J6" s="64"/>
      <c r="K6" s="64"/>
      <c r="L6" s="58"/>
      <c r="M6" s="58"/>
      <c r="N6" s="58"/>
      <c r="O6" s="58"/>
      <c r="P6" s="58"/>
      <c r="Q6" s="58"/>
      <c r="R6" s="58"/>
      <c r="S6" s="58"/>
    </row>
    <row r="7" spans="1:19">
      <c r="A7" s="117">
        <v>883</v>
      </c>
      <c r="B7" s="64">
        <v>1</v>
      </c>
      <c r="C7" s="64">
        <v>1</v>
      </c>
      <c r="D7" s="64">
        <v>0</v>
      </c>
      <c r="E7" s="64">
        <v>1</v>
      </c>
      <c r="F7" s="64">
        <v>0</v>
      </c>
      <c r="G7" s="64">
        <v>1</v>
      </c>
      <c r="H7" s="64">
        <v>1</v>
      </c>
      <c r="I7" s="64">
        <f t="shared" si="1"/>
        <v>5</v>
      </c>
      <c r="J7" s="64"/>
      <c r="K7" s="64"/>
      <c r="L7" s="58"/>
      <c r="M7" s="58"/>
      <c r="N7" s="58"/>
      <c r="O7" s="58"/>
      <c r="P7" s="58"/>
      <c r="Q7" s="58"/>
      <c r="R7" s="58"/>
      <c r="S7" s="58"/>
    </row>
    <row r="8" spans="1:19">
      <c r="A8" s="117">
        <v>1103</v>
      </c>
      <c r="B8" s="64">
        <v>0</v>
      </c>
      <c r="C8" s="64">
        <v>0</v>
      </c>
      <c r="D8" s="64">
        <v>0</v>
      </c>
      <c r="E8" s="64">
        <v>1</v>
      </c>
      <c r="F8" s="64">
        <v>0</v>
      </c>
      <c r="G8" s="64">
        <v>0</v>
      </c>
      <c r="H8" s="64">
        <v>1</v>
      </c>
      <c r="I8" s="64">
        <f t="shared" si="1"/>
        <v>2</v>
      </c>
      <c r="J8" s="64"/>
      <c r="K8" s="64"/>
      <c r="L8" s="58"/>
      <c r="M8" s="58"/>
      <c r="N8" s="58"/>
      <c r="O8" s="58"/>
      <c r="P8" s="58"/>
      <c r="Q8" s="58"/>
      <c r="R8" s="58"/>
      <c r="S8" s="58"/>
    </row>
    <row r="9" spans="1:19">
      <c r="A9" s="117">
        <v>1443</v>
      </c>
      <c r="B9" s="64">
        <v>1</v>
      </c>
      <c r="C9" s="64">
        <v>1</v>
      </c>
      <c r="D9" s="64">
        <v>1</v>
      </c>
      <c r="E9" s="64">
        <v>1</v>
      </c>
      <c r="F9" s="64">
        <v>1</v>
      </c>
      <c r="G9" s="64">
        <v>1</v>
      </c>
      <c r="H9" s="64">
        <v>1</v>
      </c>
      <c r="I9" s="64">
        <f t="shared" si="1"/>
        <v>7</v>
      </c>
      <c r="J9" s="64"/>
      <c r="K9" s="173"/>
    </row>
    <row r="10" spans="1:19">
      <c r="A10" s="117">
        <v>1816</v>
      </c>
      <c r="B10" s="64">
        <v>1</v>
      </c>
      <c r="C10" s="64">
        <v>1</v>
      </c>
      <c r="D10" s="64">
        <v>1</v>
      </c>
      <c r="E10" s="64">
        <v>1</v>
      </c>
      <c r="F10" s="64">
        <v>1</v>
      </c>
      <c r="G10" s="64">
        <v>1</v>
      </c>
      <c r="H10" s="64">
        <v>1</v>
      </c>
      <c r="I10" s="64">
        <f t="shared" si="1"/>
        <v>7</v>
      </c>
      <c r="J10" s="64"/>
      <c r="K10" s="173"/>
    </row>
    <row r="11" spans="1:19">
      <c r="A11" s="117">
        <v>1986</v>
      </c>
      <c r="B11" s="64">
        <v>1</v>
      </c>
      <c r="C11" s="64">
        <v>0</v>
      </c>
      <c r="D11" s="64">
        <v>0</v>
      </c>
      <c r="E11" s="64">
        <v>0</v>
      </c>
      <c r="F11" s="64">
        <v>1</v>
      </c>
      <c r="G11" s="64">
        <v>1</v>
      </c>
      <c r="H11" s="64">
        <v>1</v>
      </c>
      <c r="I11" s="64">
        <f t="shared" si="1"/>
        <v>4</v>
      </c>
      <c r="J11" s="64"/>
      <c r="K11" s="173"/>
    </row>
    <row r="12" spans="1:19">
      <c r="A12" s="117">
        <v>2230</v>
      </c>
      <c r="B12" s="64">
        <v>1</v>
      </c>
      <c r="C12" s="64">
        <v>1</v>
      </c>
      <c r="D12" s="64">
        <v>1</v>
      </c>
      <c r="E12" s="64">
        <v>1</v>
      </c>
      <c r="F12" s="64">
        <v>1</v>
      </c>
      <c r="G12" s="64">
        <v>1</v>
      </c>
      <c r="H12" s="64">
        <v>1</v>
      </c>
      <c r="I12" s="64">
        <f t="shared" si="1"/>
        <v>7</v>
      </c>
      <c r="J12" s="64"/>
      <c r="K12" s="173"/>
    </row>
    <row r="13" spans="1:19">
      <c r="A13" s="117">
        <v>2526</v>
      </c>
      <c r="B13" s="64">
        <v>0</v>
      </c>
      <c r="C13" s="64">
        <v>0</v>
      </c>
      <c r="D13" s="64">
        <v>0</v>
      </c>
      <c r="E13" s="64">
        <v>0</v>
      </c>
      <c r="F13" s="64">
        <v>1</v>
      </c>
      <c r="G13" s="64">
        <v>0</v>
      </c>
      <c r="H13" s="64">
        <v>0</v>
      </c>
      <c r="I13" s="64">
        <f t="shared" si="1"/>
        <v>1</v>
      </c>
      <c r="J13" s="64"/>
      <c r="K13" s="173"/>
    </row>
    <row r="14" spans="1:19">
      <c r="A14" s="117">
        <v>2730</v>
      </c>
      <c r="B14" s="64">
        <v>0</v>
      </c>
      <c r="C14" s="64">
        <v>0</v>
      </c>
      <c r="D14" s="64">
        <v>0</v>
      </c>
      <c r="E14" s="64">
        <v>1</v>
      </c>
      <c r="F14" s="64">
        <v>0</v>
      </c>
      <c r="G14" s="64">
        <v>0</v>
      </c>
      <c r="H14" s="64">
        <v>1</v>
      </c>
      <c r="I14" s="64">
        <f t="shared" si="1"/>
        <v>2</v>
      </c>
      <c r="J14" s="64"/>
      <c r="K14" s="173"/>
    </row>
    <row r="15" spans="1:19">
      <c r="A15" s="117">
        <v>2821</v>
      </c>
      <c r="B15" s="64">
        <v>0</v>
      </c>
      <c r="C15" s="64">
        <v>1</v>
      </c>
      <c r="D15" s="64">
        <v>0</v>
      </c>
      <c r="E15" s="64">
        <v>1</v>
      </c>
      <c r="F15" s="64">
        <v>0</v>
      </c>
      <c r="G15" s="64">
        <v>0</v>
      </c>
      <c r="H15" s="64">
        <v>1</v>
      </c>
      <c r="I15" s="64">
        <f t="shared" si="1"/>
        <v>3</v>
      </c>
      <c r="J15" s="64"/>
      <c r="K15" s="173"/>
    </row>
    <row r="16" spans="1:19">
      <c r="A16" s="117">
        <v>5551</v>
      </c>
      <c r="B16" s="64">
        <v>1</v>
      </c>
      <c r="C16" s="64">
        <v>0</v>
      </c>
      <c r="D16" s="64">
        <v>0</v>
      </c>
      <c r="E16" s="64">
        <v>1</v>
      </c>
      <c r="F16" s="64">
        <v>0</v>
      </c>
      <c r="G16" s="64">
        <v>1</v>
      </c>
      <c r="H16" s="64">
        <v>1</v>
      </c>
      <c r="I16" s="64">
        <f t="shared" si="1"/>
        <v>4</v>
      </c>
      <c r="J16" s="64"/>
      <c r="K16" s="64"/>
    </row>
    <row r="17" spans="1:11">
      <c r="A17" s="117">
        <v>5847</v>
      </c>
      <c r="B17" s="64">
        <v>1</v>
      </c>
      <c r="C17" s="64">
        <v>0</v>
      </c>
      <c r="D17" s="64">
        <v>1</v>
      </c>
      <c r="E17" s="64">
        <v>0</v>
      </c>
      <c r="F17" s="64">
        <v>0</v>
      </c>
      <c r="G17" s="64">
        <v>0</v>
      </c>
      <c r="H17" s="64">
        <v>0</v>
      </c>
      <c r="I17" s="64">
        <f t="shared" si="1"/>
        <v>2</v>
      </c>
      <c r="J17" s="64"/>
      <c r="K17" s="64"/>
    </row>
    <row r="18" spans="1:11">
      <c r="A18" s="117">
        <v>6298</v>
      </c>
      <c r="B18" s="64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4">
        <v>0</v>
      </c>
      <c r="I18" s="64">
        <f t="shared" si="1"/>
        <v>6</v>
      </c>
      <c r="J18" s="64"/>
      <c r="K18" s="64"/>
    </row>
    <row r="19" spans="1:11">
      <c r="A19" s="117">
        <v>6520</v>
      </c>
      <c r="B19" s="64">
        <v>1</v>
      </c>
      <c r="C19" s="64">
        <v>0</v>
      </c>
      <c r="D19" s="64">
        <v>0</v>
      </c>
      <c r="E19" s="64">
        <v>1</v>
      </c>
      <c r="F19" s="64">
        <v>1</v>
      </c>
      <c r="G19" s="64">
        <v>0</v>
      </c>
      <c r="H19" s="64">
        <v>0</v>
      </c>
      <c r="I19" s="64">
        <f t="shared" si="1"/>
        <v>3</v>
      </c>
      <c r="J19" s="64"/>
      <c r="K19" s="64"/>
    </row>
    <row r="20" spans="1:11">
      <c r="A20" s="117">
        <v>6856</v>
      </c>
      <c r="B20" s="64">
        <v>0</v>
      </c>
      <c r="C20" s="64">
        <v>0</v>
      </c>
      <c r="D20" s="64">
        <v>0</v>
      </c>
      <c r="E20" s="64">
        <v>1</v>
      </c>
      <c r="F20" s="64">
        <v>1</v>
      </c>
      <c r="G20" s="64">
        <v>0</v>
      </c>
      <c r="H20" s="64">
        <v>1</v>
      </c>
      <c r="I20" s="64">
        <f t="shared" si="1"/>
        <v>3</v>
      </c>
      <c r="J20" s="64"/>
      <c r="K20" s="64"/>
    </row>
    <row r="21" spans="1:11">
      <c r="A21" s="117">
        <v>6972</v>
      </c>
      <c r="B21" s="64">
        <v>1</v>
      </c>
      <c r="C21" s="64">
        <v>1</v>
      </c>
      <c r="D21" s="64">
        <v>1</v>
      </c>
      <c r="E21" s="64">
        <v>1</v>
      </c>
      <c r="F21" s="64">
        <v>1</v>
      </c>
      <c r="G21" s="64">
        <v>1</v>
      </c>
      <c r="H21" s="64">
        <v>0</v>
      </c>
      <c r="I21" s="64">
        <f t="shared" si="1"/>
        <v>6</v>
      </c>
      <c r="J21" s="64"/>
      <c r="K21" s="64"/>
    </row>
    <row r="22" spans="1:11">
      <c r="B22" s="175" t="s">
        <v>210</v>
      </c>
      <c r="C22" s="175" t="s">
        <v>211</v>
      </c>
      <c r="D22" s="175" t="s">
        <v>212</v>
      </c>
      <c r="E22" s="175" t="s">
        <v>213</v>
      </c>
      <c r="F22" s="175" t="s">
        <v>214</v>
      </c>
      <c r="G22" s="175" t="s">
        <v>215</v>
      </c>
      <c r="H22" s="175" t="s">
        <v>216</v>
      </c>
    </row>
    <row r="23" spans="1:11">
      <c r="A23" t="s">
        <v>221</v>
      </c>
      <c r="B23" s="173">
        <f>SUM(B3:B21)</f>
        <v>10</v>
      </c>
      <c r="C23" s="173">
        <f t="shared" ref="C23:H23" si="3">SUM(C3:C21)</f>
        <v>9</v>
      </c>
      <c r="D23" s="173">
        <f t="shared" si="3"/>
        <v>6</v>
      </c>
      <c r="E23" s="173">
        <f t="shared" si="3"/>
        <v>12</v>
      </c>
      <c r="F23" s="173">
        <f t="shared" si="3"/>
        <v>10</v>
      </c>
      <c r="G23" s="173">
        <f t="shared" si="3"/>
        <v>9</v>
      </c>
      <c r="H23" s="173">
        <f t="shared" si="3"/>
        <v>10</v>
      </c>
      <c r="I23" s="173"/>
    </row>
    <row r="24" spans="1:11">
      <c r="A24" t="s">
        <v>222</v>
      </c>
      <c r="B24" s="64">
        <v>19</v>
      </c>
      <c r="C24" s="64">
        <v>19</v>
      </c>
      <c r="D24" s="64">
        <v>19</v>
      </c>
      <c r="E24" s="64">
        <v>19</v>
      </c>
      <c r="F24" s="64">
        <v>19</v>
      </c>
      <c r="G24" s="64">
        <v>19</v>
      </c>
      <c r="H24" s="64">
        <v>19</v>
      </c>
    </row>
    <row r="25" spans="1:11">
      <c r="A25" t="s">
        <v>223</v>
      </c>
      <c r="B25" s="176">
        <f>B23/B24</f>
        <v>0.52631578947368418</v>
      </c>
      <c r="C25" s="176">
        <f t="shared" ref="C25:H25" si="4">C23/C24</f>
        <v>0.47368421052631576</v>
      </c>
      <c r="D25" s="176">
        <f t="shared" si="4"/>
        <v>0.31578947368421051</v>
      </c>
      <c r="E25" s="176">
        <f t="shared" si="4"/>
        <v>0.63157894736842102</v>
      </c>
      <c r="F25" s="176">
        <f t="shared" si="4"/>
        <v>0.52631578947368418</v>
      </c>
      <c r="G25" s="176">
        <f t="shared" si="4"/>
        <v>0.47368421052631576</v>
      </c>
      <c r="H25" s="176">
        <f t="shared" si="4"/>
        <v>0.52631578947368418</v>
      </c>
      <c r="I25" s="177">
        <f>AVERAGE(B25:H25)</f>
        <v>0.49624060150375943</v>
      </c>
    </row>
  </sheetData>
  <mergeCells count="1">
    <mergeCell ref="B1:H1"/>
  </mergeCells>
  <phoneticPr fontId="44" type="noConversion"/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A606-4AC7-447F-B8A1-96AA99DF8DF5}">
  <sheetPr>
    <tabColor rgb="FF00B050"/>
  </sheetPr>
  <dimension ref="V35"/>
  <sheetViews>
    <sheetView tabSelected="1" topLeftCell="B13" workbookViewId="0">
      <selection activeCell="Q22" sqref="Q22"/>
    </sheetView>
  </sheetViews>
  <sheetFormatPr defaultRowHeight="17.399999999999999"/>
  <sheetData>
    <row r="35" spans="22:22">
      <c r="V35" t="s">
        <v>321</v>
      </c>
    </row>
  </sheetData>
  <phoneticPr fontId="4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4A0B-7A9A-4DC2-8BC3-A4F430328460}">
  <dimension ref="B2:D6"/>
  <sheetViews>
    <sheetView zoomScale="85" zoomScaleNormal="85" workbookViewId="0">
      <selection activeCell="H21" sqref="H21"/>
    </sheetView>
  </sheetViews>
  <sheetFormatPr defaultColWidth="8.69921875" defaultRowHeight="17.399999999999999"/>
  <cols>
    <col min="1" max="2" width="8.69921875" style="58"/>
    <col min="3" max="3" width="13" style="58" customWidth="1"/>
    <col min="4" max="4" width="8.69921875" style="64"/>
    <col min="5" max="16384" width="8.69921875" style="58"/>
  </cols>
  <sheetData>
    <row r="2" spans="2:4">
      <c r="D2" s="64" t="s">
        <v>224</v>
      </c>
    </row>
    <row r="3" spans="2:4">
      <c r="B3" s="58" t="s">
        <v>225</v>
      </c>
      <c r="D3" s="64">
        <v>20</v>
      </c>
    </row>
    <row r="4" spans="2:4">
      <c r="B4" s="58" t="s">
        <v>226</v>
      </c>
      <c r="D4" s="64">
        <v>30</v>
      </c>
    </row>
    <row r="5" spans="2:4">
      <c r="B5" s="58" t="s">
        <v>227</v>
      </c>
      <c r="D5" s="64">
        <v>40</v>
      </c>
    </row>
    <row r="6" spans="2:4">
      <c r="B6" s="58" t="s">
        <v>228</v>
      </c>
      <c r="D6" s="64">
        <v>25</v>
      </c>
    </row>
  </sheetData>
  <phoneticPr fontId="44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4D1B-4929-4685-82CD-CFB20EB205BB}">
  <dimension ref="B3:E9"/>
  <sheetViews>
    <sheetView workbookViewId="0">
      <selection activeCell="H21" sqref="H21"/>
    </sheetView>
  </sheetViews>
  <sheetFormatPr defaultColWidth="8.69921875" defaultRowHeight="17.399999999999999"/>
  <cols>
    <col min="1" max="2" width="8.69921875" style="58"/>
    <col min="3" max="3" width="33.09765625" style="58" customWidth="1"/>
    <col min="4" max="4" width="8.69921875" style="64"/>
    <col min="5" max="5" width="14.09765625" style="64" customWidth="1"/>
    <col min="6" max="16384" width="8.69921875" style="58"/>
  </cols>
  <sheetData>
    <row r="3" spans="2:5">
      <c r="C3" s="59" t="s">
        <v>229</v>
      </c>
      <c r="E3" s="64" t="s">
        <v>230</v>
      </c>
    </row>
    <row r="4" spans="2:5">
      <c r="B4" s="58" t="s">
        <v>231</v>
      </c>
      <c r="C4" s="58" t="s">
        <v>232</v>
      </c>
      <c r="D4" s="64" t="s">
        <v>233</v>
      </c>
      <c r="E4" s="64">
        <v>90</v>
      </c>
    </row>
    <row r="5" spans="2:5">
      <c r="B5" s="58" t="s">
        <v>234</v>
      </c>
      <c r="C5" s="58" t="s">
        <v>235</v>
      </c>
      <c r="D5" s="64" t="s">
        <v>236</v>
      </c>
      <c r="E5" s="64">
        <v>150</v>
      </c>
    </row>
    <row r="6" spans="2:5">
      <c r="B6" s="58" t="s">
        <v>237</v>
      </c>
      <c r="C6" s="58" t="s">
        <v>238</v>
      </c>
      <c r="D6" s="64" t="s">
        <v>239</v>
      </c>
      <c r="E6" s="64">
        <v>180</v>
      </c>
    </row>
    <row r="7" spans="2:5">
      <c r="B7" s="58" t="s">
        <v>240</v>
      </c>
      <c r="C7" s="59" t="s">
        <v>241</v>
      </c>
      <c r="D7" s="126" t="s">
        <v>233</v>
      </c>
      <c r="E7" s="126">
        <v>270</v>
      </c>
    </row>
    <row r="8" spans="2:5">
      <c r="B8" s="58" t="s">
        <v>242</v>
      </c>
      <c r="C8" s="58" t="s">
        <v>243</v>
      </c>
      <c r="D8" s="64" t="s">
        <v>233</v>
      </c>
      <c r="E8" s="64">
        <v>360</v>
      </c>
    </row>
    <row r="9" spans="2:5">
      <c r="B9" s="58" t="s">
        <v>244</v>
      </c>
      <c r="C9" s="58" t="s">
        <v>245</v>
      </c>
      <c r="D9" s="64" t="s">
        <v>233</v>
      </c>
      <c r="E9" s="64">
        <v>450</v>
      </c>
    </row>
  </sheetData>
  <phoneticPr fontId="44" type="noConversion"/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7525-84B1-4AD8-B966-BC55AAEAE012}">
  <dimension ref="B2:F10"/>
  <sheetViews>
    <sheetView topLeftCell="A2" workbookViewId="0">
      <selection activeCell="H21" sqref="H21"/>
    </sheetView>
  </sheetViews>
  <sheetFormatPr defaultColWidth="8.69921875" defaultRowHeight="17.399999999999999"/>
  <cols>
    <col min="1" max="1" width="8.69921875" style="58"/>
    <col min="2" max="2" width="16.09765625" style="58" bestFit="1" customWidth="1"/>
    <col min="3" max="3" width="19.8984375" style="64" customWidth="1"/>
    <col min="4" max="4" width="8.296875" style="64" customWidth="1"/>
    <col min="5" max="16384" width="8.69921875" style="58"/>
  </cols>
  <sheetData>
    <row r="2" spans="2:6">
      <c r="B2" s="59" t="s">
        <v>246</v>
      </c>
    </row>
    <row r="3" spans="2:6">
      <c r="C3" s="126" t="s">
        <v>247</v>
      </c>
      <c r="D3" s="178" t="s">
        <v>248</v>
      </c>
      <c r="E3" s="178" t="s">
        <v>249</v>
      </c>
      <c r="F3" s="64"/>
    </row>
    <row r="4" spans="2:6">
      <c r="B4" s="58" t="s">
        <v>250</v>
      </c>
      <c r="C4" s="64">
        <v>1000</v>
      </c>
      <c r="D4" s="64">
        <v>1000</v>
      </c>
      <c r="E4" s="64">
        <v>1000</v>
      </c>
      <c r="F4" s="64"/>
    </row>
    <row r="5" spans="2:6">
      <c r="B5" s="58" t="s">
        <v>251</v>
      </c>
      <c r="C5" s="179">
        <v>3.5000000000000003E-2</v>
      </c>
      <c r="D5" s="180">
        <v>0.06</v>
      </c>
      <c r="E5" s="180">
        <v>0.08</v>
      </c>
      <c r="F5" s="181"/>
    </row>
    <row r="6" spans="2:6">
      <c r="B6" s="58" t="s">
        <v>252</v>
      </c>
      <c r="C6" s="64">
        <f>C5*C4</f>
        <v>35</v>
      </c>
      <c r="D6" s="64">
        <f>D5*D4</f>
        <v>60</v>
      </c>
      <c r="E6" s="64">
        <f>E5*E4</f>
        <v>80</v>
      </c>
      <c r="F6" s="64"/>
    </row>
    <row r="7" spans="2:6">
      <c r="B7" s="58" t="s">
        <v>253</v>
      </c>
      <c r="C7" s="60">
        <f>C6*4</f>
        <v>140</v>
      </c>
      <c r="D7" s="60">
        <f>D6*4</f>
        <v>240</v>
      </c>
      <c r="E7" s="60">
        <f>E6*4</f>
        <v>320</v>
      </c>
      <c r="F7" s="60"/>
    </row>
    <row r="8" spans="2:6">
      <c r="B8" s="58" t="s">
        <v>254</v>
      </c>
      <c r="C8" s="60">
        <f>C4*0.3</f>
        <v>300</v>
      </c>
      <c r="D8" s="60">
        <f>D4*0.3</f>
        <v>300</v>
      </c>
      <c r="E8" s="60">
        <f>E4*0.3</f>
        <v>300</v>
      </c>
      <c r="F8" s="60"/>
    </row>
    <row r="9" spans="2:6">
      <c r="E9" s="64"/>
      <c r="F9" s="64"/>
    </row>
    <row r="10" spans="2:6">
      <c r="B10" s="58" t="s">
        <v>255</v>
      </c>
      <c r="C10" s="70">
        <f>(C7-C8)/C8</f>
        <v>-0.53333333333333333</v>
      </c>
      <c r="D10" s="70">
        <f>(D7-D8)/D8</f>
        <v>-0.2</v>
      </c>
      <c r="E10" s="182">
        <f>(E7-E8)/E8</f>
        <v>6.6666666666666666E-2</v>
      </c>
      <c r="F10" s="70"/>
    </row>
  </sheetData>
  <phoneticPr fontId="4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B395-2615-4CB7-B024-21BC83485563}">
  <dimension ref="B1:I19"/>
  <sheetViews>
    <sheetView zoomScale="115" zoomScaleNormal="115" workbookViewId="0">
      <selection activeCell="H21" sqref="H21"/>
    </sheetView>
  </sheetViews>
  <sheetFormatPr defaultColWidth="8.69921875" defaultRowHeight="17.399999999999999"/>
  <cols>
    <col min="1" max="1" width="8.69921875" style="58"/>
    <col min="2" max="2" width="8.69921875" style="64"/>
    <col min="3" max="3" width="18.09765625" style="64" customWidth="1"/>
    <col min="4" max="4" width="13" style="64" customWidth="1"/>
    <col min="5" max="5" width="12.59765625" style="58" customWidth="1"/>
    <col min="6" max="6" width="10.8984375" style="58" customWidth="1"/>
    <col min="7" max="7" width="15.296875" style="58" customWidth="1"/>
    <col min="8" max="16384" width="8.69921875" style="58"/>
  </cols>
  <sheetData>
    <row r="1" spans="2:7">
      <c r="C1" s="183" t="s">
        <v>256</v>
      </c>
      <c r="D1" s="184">
        <v>0.1</v>
      </c>
    </row>
    <row r="2" spans="2:7">
      <c r="C2" s="183" t="s">
        <v>257</v>
      </c>
      <c r="D2" s="184">
        <v>0.1</v>
      </c>
    </row>
    <row r="3" spans="2:7">
      <c r="C3" s="183" t="s">
        <v>258</v>
      </c>
      <c r="D3" s="185">
        <v>200</v>
      </c>
    </row>
    <row r="4" spans="2:7">
      <c r="C4" s="183" t="s">
        <v>259</v>
      </c>
      <c r="D4" s="185">
        <v>100</v>
      </c>
    </row>
    <row r="5" spans="2:7" ht="9.75" customHeight="1">
      <c r="D5" s="69"/>
    </row>
    <row r="6" spans="2:7" hidden="1"/>
    <row r="7" spans="2:7" s="188" customFormat="1" ht="34.799999999999997">
      <c r="B7" s="186" t="s">
        <v>260</v>
      </c>
      <c r="C7" s="186" t="s">
        <v>261</v>
      </c>
      <c r="D7" s="186" t="s">
        <v>262</v>
      </c>
      <c r="E7" s="186" t="s">
        <v>263</v>
      </c>
      <c r="F7" s="187" t="s">
        <v>264</v>
      </c>
      <c r="G7" s="186" t="s">
        <v>265</v>
      </c>
    </row>
    <row r="8" spans="2:7">
      <c r="B8" s="64">
        <v>1</v>
      </c>
      <c r="C8" s="70">
        <v>0</v>
      </c>
      <c r="D8" s="70">
        <f>1-C8</f>
        <v>1</v>
      </c>
      <c r="E8" s="70">
        <f>(1-C8)^(B8-1)</f>
        <v>1</v>
      </c>
      <c r="F8" s="70">
        <f>1/(1+$D$2)^(B8-1)</f>
        <v>1</v>
      </c>
      <c r="G8" s="73">
        <f>E8*($D$3-$D$4)*F8</f>
        <v>100</v>
      </c>
    </row>
    <row r="9" spans="2:7">
      <c r="B9" s="64">
        <v>2</v>
      </c>
      <c r="C9" s="69">
        <f>D1</f>
        <v>0.1</v>
      </c>
      <c r="D9" s="70">
        <f t="shared" ref="D9:D17" si="0">1-C9</f>
        <v>0.9</v>
      </c>
      <c r="E9" s="70">
        <f t="shared" ref="E9:E17" si="1">(1-C9)^(B9-1)</f>
        <v>0.9</v>
      </c>
      <c r="F9" s="70">
        <f t="shared" ref="F9:F17" si="2">1/(1+$D$2)^(B9-1)</f>
        <v>0.90909090909090906</v>
      </c>
      <c r="G9" s="73">
        <f t="shared" ref="G9:G17" si="3">E9*($D$3-$D$4)*F9</f>
        <v>81.818181818181813</v>
      </c>
    </row>
    <row r="10" spans="2:7">
      <c r="B10" s="64">
        <v>3</v>
      </c>
      <c r="C10" s="69">
        <f>C9</f>
        <v>0.1</v>
      </c>
      <c r="D10" s="70">
        <f t="shared" si="0"/>
        <v>0.9</v>
      </c>
      <c r="E10" s="70">
        <f t="shared" si="1"/>
        <v>0.81</v>
      </c>
      <c r="F10" s="70">
        <f t="shared" si="2"/>
        <v>0.82644628099173545</v>
      </c>
      <c r="G10" s="73">
        <f t="shared" si="3"/>
        <v>66.942148760330568</v>
      </c>
    </row>
    <row r="11" spans="2:7">
      <c r="B11" s="64">
        <v>4</v>
      </c>
      <c r="C11" s="69">
        <f t="shared" ref="C11:C17" si="4">C10</f>
        <v>0.1</v>
      </c>
      <c r="D11" s="70">
        <f t="shared" si="0"/>
        <v>0.9</v>
      </c>
      <c r="E11" s="70">
        <f t="shared" si="1"/>
        <v>0.72900000000000009</v>
      </c>
      <c r="F11" s="70">
        <f t="shared" si="2"/>
        <v>0.75131480090157754</v>
      </c>
      <c r="G11" s="73">
        <f t="shared" si="3"/>
        <v>54.77084898572501</v>
      </c>
    </row>
    <row r="12" spans="2:7">
      <c r="B12" s="64">
        <v>5</v>
      </c>
      <c r="C12" s="69">
        <f t="shared" si="4"/>
        <v>0.1</v>
      </c>
      <c r="D12" s="70">
        <f t="shared" si="0"/>
        <v>0.9</v>
      </c>
      <c r="E12" s="70">
        <f t="shared" si="1"/>
        <v>0.65610000000000013</v>
      </c>
      <c r="F12" s="70">
        <f t="shared" si="2"/>
        <v>0.68301345536507052</v>
      </c>
      <c r="G12" s="73">
        <f t="shared" si="3"/>
        <v>44.812512806502284</v>
      </c>
    </row>
    <row r="13" spans="2:7">
      <c r="B13" s="64">
        <v>6</v>
      </c>
      <c r="C13" s="69">
        <f t="shared" si="4"/>
        <v>0.1</v>
      </c>
      <c r="D13" s="70">
        <f t="shared" si="0"/>
        <v>0.9</v>
      </c>
      <c r="E13" s="70">
        <f t="shared" si="1"/>
        <v>0.59049000000000018</v>
      </c>
      <c r="F13" s="70">
        <f t="shared" si="2"/>
        <v>0.62092132305915493</v>
      </c>
      <c r="G13" s="73">
        <f t="shared" si="3"/>
        <v>36.664783205320049</v>
      </c>
    </row>
    <row r="14" spans="2:7">
      <c r="B14" s="64">
        <v>7</v>
      </c>
      <c r="C14" s="69">
        <f t="shared" si="4"/>
        <v>0.1</v>
      </c>
      <c r="D14" s="70">
        <f t="shared" si="0"/>
        <v>0.9</v>
      </c>
      <c r="E14" s="70">
        <f t="shared" si="1"/>
        <v>0.53144100000000016</v>
      </c>
      <c r="F14" s="70">
        <f t="shared" si="2"/>
        <v>0.56447393005377722</v>
      </c>
      <c r="G14" s="73">
        <f t="shared" si="3"/>
        <v>29.998458986170952</v>
      </c>
    </row>
    <row r="15" spans="2:7">
      <c r="B15" s="64">
        <v>8</v>
      </c>
      <c r="C15" s="69">
        <f t="shared" si="4"/>
        <v>0.1</v>
      </c>
      <c r="D15" s="70">
        <f t="shared" si="0"/>
        <v>0.9</v>
      </c>
      <c r="E15" s="70">
        <f t="shared" si="1"/>
        <v>0.47829690000000014</v>
      </c>
      <c r="F15" s="70">
        <f t="shared" si="2"/>
        <v>0.51315811823070645</v>
      </c>
      <c r="G15" s="73">
        <f t="shared" si="3"/>
        <v>24.544193715958045</v>
      </c>
    </row>
    <row r="16" spans="2:7">
      <c r="B16" s="64">
        <v>9</v>
      </c>
      <c r="C16" s="69">
        <f t="shared" si="4"/>
        <v>0.1</v>
      </c>
      <c r="D16" s="70">
        <f t="shared" si="0"/>
        <v>0.9</v>
      </c>
      <c r="E16" s="70">
        <f t="shared" si="1"/>
        <v>0.43046721000000016</v>
      </c>
      <c r="F16" s="70">
        <f t="shared" si="2"/>
        <v>0.46650738020973315</v>
      </c>
      <c r="G16" s="73">
        <f t="shared" si="3"/>
        <v>20.081613040329309</v>
      </c>
    </row>
    <row r="17" spans="2:9" ht="18" thickBot="1">
      <c r="B17" s="64">
        <v>10</v>
      </c>
      <c r="C17" s="69">
        <f t="shared" si="4"/>
        <v>0.1</v>
      </c>
      <c r="D17" s="70">
        <f t="shared" si="0"/>
        <v>0.9</v>
      </c>
      <c r="E17" s="70">
        <f t="shared" si="1"/>
        <v>0.38742048900000015</v>
      </c>
      <c r="F17" s="70">
        <f t="shared" si="2"/>
        <v>0.42409761837248466</v>
      </c>
      <c r="G17" s="73">
        <f t="shared" si="3"/>
        <v>16.430410669360345</v>
      </c>
    </row>
    <row r="18" spans="2:9" ht="18" thickTop="1">
      <c r="E18" s="267" t="s">
        <v>266</v>
      </c>
      <c r="F18" s="267"/>
      <c r="G18" s="189">
        <f>SUM(G8:G17)</f>
        <v>476.06315198787837</v>
      </c>
    </row>
    <row r="19" spans="2:9">
      <c r="E19" s="268" t="s">
        <v>267</v>
      </c>
      <c r="F19" s="268"/>
      <c r="G19" s="190">
        <f>(D3-D4)/(1- (1-D1)/(1+D2))</f>
        <v>549.99999999999977</v>
      </c>
      <c r="I19" s="191"/>
    </row>
  </sheetData>
  <mergeCells count="2">
    <mergeCell ref="E18:F18"/>
    <mergeCell ref="E19:F19"/>
  </mergeCells>
  <phoneticPr fontId="4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D4DC-C4D1-45C6-B333-AA1A74A40492}">
  <dimension ref="A2:D18"/>
  <sheetViews>
    <sheetView topLeftCell="C4" workbookViewId="0">
      <selection activeCell="H21" sqref="H21"/>
    </sheetView>
  </sheetViews>
  <sheetFormatPr defaultRowHeight="17.399999999999999"/>
  <sheetData>
    <row r="2" spans="1:4">
      <c r="A2" s="192" t="s">
        <v>268</v>
      </c>
      <c r="B2" s="192" t="s">
        <v>269</v>
      </c>
      <c r="C2" s="192" t="s">
        <v>270</v>
      </c>
      <c r="D2" s="193" t="s">
        <v>220</v>
      </c>
    </row>
    <row r="3" spans="1:4">
      <c r="A3" s="64">
        <v>1</v>
      </c>
      <c r="B3" s="126">
        <v>1</v>
      </c>
      <c r="C3" s="126">
        <v>6</v>
      </c>
      <c r="D3" s="194">
        <v>0.14000000000000001</v>
      </c>
    </row>
    <row r="4" spans="1:4">
      <c r="A4" s="64">
        <v>1</v>
      </c>
      <c r="B4" s="126">
        <v>2</v>
      </c>
      <c r="C4" s="126">
        <v>4</v>
      </c>
      <c r="D4" s="194">
        <v>8.1632653061224483E-2</v>
      </c>
    </row>
    <row r="5" spans="1:4">
      <c r="A5" s="64">
        <v>1</v>
      </c>
      <c r="B5" s="126">
        <v>3</v>
      </c>
      <c r="C5" s="126">
        <v>2</v>
      </c>
      <c r="D5" s="194">
        <v>4.0816326530612242E-2</v>
      </c>
    </row>
    <row r="6" spans="1:4">
      <c r="A6" s="64">
        <v>1</v>
      </c>
      <c r="B6" s="126">
        <v>4</v>
      </c>
      <c r="C6" s="126">
        <v>2</v>
      </c>
      <c r="D6" s="194">
        <v>4.0816326530612242E-2</v>
      </c>
    </row>
    <row r="7" spans="1:4">
      <c r="A7" s="64">
        <v>2</v>
      </c>
      <c r="B7" s="126">
        <v>1</v>
      </c>
      <c r="C7" s="126">
        <v>2</v>
      </c>
      <c r="D7" s="194">
        <v>4.0816326530612242E-2</v>
      </c>
    </row>
    <row r="8" spans="1:4">
      <c r="A8" s="64">
        <v>2</v>
      </c>
      <c r="B8" s="126">
        <v>2</v>
      </c>
      <c r="C8" s="126">
        <v>3</v>
      </c>
      <c r="D8" s="194">
        <v>0.02</v>
      </c>
    </row>
    <row r="9" spans="1:4">
      <c r="A9" s="64">
        <v>2</v>
      </c>
      <c r="B9" s="126">
        <v>3</v>
      </c>
      <c r="C9" s="126">
        <v>4</v>
      </c>
      <c r="D9" s="194">
        <v>0.13</v>
      </c>
    </row>
    <row r="10" spans="1:4">
      <c r="A10" s="64">
        <v>2</v>
      </c>
      <c r="B10" s="126">
        <v>4</v>
      </c>
      <c r="C10" s="126">
        <v>3</v>
      </c>
      <c r="D10" s="194">
        <v>7.0000000000000007E-2</v>
      </c>
    </row>
    <row r="11" spans="1:4">
      <c r="A11" s="64">
        <v>3</v>
      </c>
      <c r="B11" s="126">
        <v>1</v>
      </c>
      <c r="C11" s="126">
        <v>2</v>
      </c>
      <c r="D11" s="194">
        <v>0.03</v>
      </c>
    </row>
    <row r="12" spans="1:4">
      <c r="A12" s="64">
        <v>3</v>
      </c>
      <c r="B12" s="126">
        <v>2</v>
      </c>
      <c r="C12" s="126">
        <v>2</v>
      </c>
      <c r="D12" s="194">
        <v>4.0816326530612242E-2</v>
      </c>
    </row>
    <row r="13" spans="1:4">
      <c r="A13" s="64">
        <v>3</v>
      </c>
      <c r="B13" s="126">
        <v>3</v>
      </c>
      <c r="C13" s="126">
        <v>5</v>
      </c>
      <c r="D13" s="194">
        <v>0.13</v>
      </c>
    </row>
    <row r="14" spans="1:4">
      <c r="A14" s="64">
        <v>3</v>
      </c>
      <c r="B14" s="126">
        <v>4</v>
      </c>
      <c r="C14" s="126">
        <v>3</v>
      </c>
      <c r="D14" s="194">
        <v>0.03</v>
      </c>
    </row>
    <row r="15" spans="1:4">
      <c r="A15" s="64">
        <v>4</v>
      </c>
      <c r="B15" s="126">
        <v>1</v>
      </c>
      <c r="C15" s="126">
        <v>2</v>
      </c>
      <c r="D15" s="194">
        <v>0.01</v>
      </c>
    </row>
    <row r="16" spans="1:4">
      <c r="A16" s="64">
        <v>4</v>
      </c>
      <c r="B16" s="126">
        <v>2</v>
      </c>
      <c r="C16" s="126">
        <v>2</v>
      </c>
      <c r="D16" s="194">
        <v>0.01</v>
      </c>
    </row>
    <row r="17" spans="1:4">
      <c r="A17" s="64">
        <v>4</v>
      </c>
      <c r="B17" s="126">
        <v>3</v>
      </c>
      <c r="C17" s="126">
        <v>2</v>
      </c>
      <c r="D17" s="194">
        <v>0.08</v>
      </c>
    </row>
    <row r="18" spans="1:4">
      <c r="A18" s="64">
        <v>4</v>
      </c>
      <c r="B18" s="126">
        <v>4</v>
      </c>
      <c r="C18" s="126">
        <v>5</v>
      </c>
      <c r="D18" s="194">
        <v>0.10204081632653061</v>
      </c>
    </row>
  </sheetData>
  <phoneticPr fontId="4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23E9-FDEC-4C8C-B5AA-61775E2A5644}">
  <dimension ref="B1:G27"/>
  <sheetViews>
    <sheetView zoomScale="90" zoomScaleNormal="90" workbookViewId="0">
      <selection activeCell="B14" sqref="B13:B14"/>
    </sheetView>
  </sheetViews>
  <sheetFormatPr defaultColWidth="8.69921875" defaultRowHeight="13.8"/>
  <cols>
    <col min="1" max="1" width="4.69921875" style="18" customWidth="1"/>
    <col min="2" max="2" width="26.296875" style="18" customWidth="1"/>
    <col min="3" max="3" width="8.69921875" style="20"/>
    <col min="4" max="16384" width="8.69921875" style="18"/>
  </cols>
  <sheetData>
    <row r="1" spans="2:7">
      <c r="C1" s="30">
        <v>43466</v>
      </c>
      <c r="D1" s="30">
        <v>43497</v>
      </c>
      <c r="E1" s="30">
        <v>43525</v>
      </c>
      <c r="F1" s="30">
        <v>43556</v>
      </c>
      <c r="G1" s="30">
        <v>43586</v>
      </c>
    </row>
    <row r="2" spans="2:7">
      <c r="B2" s="19" t="s">
        <v>10</v>
      </c>
    </row>
    <row r="3" spans="2:7">
      <c r="B3" s="18" t="s">
        <v>11</v>
      </c>
      <c r="C3" s="21">
        <v>20000</v>
      </c>
      <c r="D3" s="21">
        <f>C5</f>
        <v>23000</v>
      </c>
      <c r="E3" s="21">
        <f t="shared" ref="E3:G3" si="0">D5</f>
        <v>27000</v>
      </c>
      <c r="F3" s="21">
        <f t="shared" si="0"/>
        <v>32000</v>
      </c>
      <c r="G3" s="21">
        <f t="shared" si="0"/>
        <v>38000</v>
      </c>
    </row>
    <row r="4" spans="2:7">
      <c r="B4" s="18" t="s">
        <v>12</v>
      </c>
      <c r="C4" s="21">
        <v>3000</v>
      </c>
      <c r="D4" s="21">
        <f>4000</f>
        <v>4000</v>
      </c>
      <c r="E4" s="21">
        <v>5000</v>
      </c>
      <c r="F4" s="21">
        <v>6000</v>
      </c>
      <c r="G4" s="21">
        <v>7000</v>
      </c>
    </row>
    <row r="5" spans="2:7">
      <c r="B5" s="18" t="s">
        <v>13</v>
      </c>
      <c r="C5" s="21">
        <f>SUM(C3:C4)</f>
        <v>23000</v>
      </c>
      <c r="D5" s="21">
        <f t="shared" ref="D5:G5" si="1">SUM(D3:D4)</f>
        <v>27000</v>
      </c>
      <c r="E5" s="21">
        <f t="shared" si="1"/>
        <v>32000</v>
      </c>
      <c r="F5" s="21">
        <f t="shared" si="1"/>
        <v>38000</v>
      </c>
      <c r="G5" s="21">
        <f t="shared" si="1"/>
        <v>45000</v>
      </c>
    </row>
    <row r="6" spans="2:7" ht="16.5" customHeight="1">
      <c r="D6" s="20"/>
      <c r="E6" s="20"/>
      <c r="F6" s="20"/>
      <c r="G6" s="20"/>
    </row>
    <row r="7" spans="2:7">
      <c r="B7" s="19" t="s">
        <v>14</v>
      </c>
      <c r="D7" s="20"/>
      <c r="E7" s="20"/>
      <c r="F7" s="20"/>
      <c r="G7" s="20"/>
    </row>
    <row r="8" spans="2:7">
      <c r="B8" s="18" t="s">
        <v>11</v>
      </c>
      <c r="C8" s="20">
        <v>8000</v>
      </c>
      <c r="D8" s="21">
        <f>C10</f>
        <v>8900</v>
      </c>
      <c r="E8" s="21">
        <f t="shared" ref="E8:G8" si="2">D10</f>
        <v>10100</v>
      </c>
      <c r="F8" s="21">
        <f t="shared" si="2"/>
        <v>11600</v>
      </c>
      <c r="G8" s="21">
        <f t="shared" si="2"/>
        <v>13400</v>
      </c>
    </row>
    <row r="9" spans="2:7">
      <c r="B9" s="18" t="s">
        <v>12</v>
      </c>
      <c r="C9" s="20">
        <f>30%*C4</f>
        <v>900</v>
      </c>
      <c r="D9" s="20">
        <f t="shared" ref="D9:G9" si="3">30%*D4</f>
        <v>1200</v>
      </c>
      <c r="E9" s="20">
        <f t="shared" si="3"/>
        <v>1500</v>
      </c>
      <c r="F9" s="20">
        <f t="shared" si="3"/>
        <v>1800</v>
      </c>
      <c r="G9" s="20">
        <f t="shared" si="3"/>
        <v>2100</v>
      </c>
    </row>
    <row r="10" spans="2:7">
      <c r="B10" s="18" t="s">
        <v>13</v>
      </c>
      <c r="C10" s="21">
        <f>SUM(C8:C9)</f>
        <v>8900</v>
      </c>
      <c r="D10" s="21">
        <f t="shared" ref="D10" si="4">SUM(D8:D9)</f>
        <v>10100</v>
      </c>
      <c r="E10" s="21">
        <f t="shared" ref="E10" si="5">SUM(E8:E9)</f>
        <v>11600</v>
      </c>
      <c r="F10" s="21">
        <f t="shared" ref="F10" si="6">SUM(F8:F9)</f>
        <v>13400</v>
      </c>
      <c r="G10" s="21">
        <f t="shared" ref="G10" si="7">SUM(G8:G9)</f>
        <v>15500</v>
      </c>
    </row>
    <row r="11" spans="2:7" ht="19.649999999999999" customHeight="1"/>
    <row r="12" spans="2:7">
      <c r="B12" s="19" t="s">
        <v>15</v>
      </c>
    </row>
    <row r="13" spans="2:7">
      <c r="B13" s="18" t="s">
        <v>11</v>
      </c>
      <c r="C13" s="20">
        <f>C3*0.03</f>
        <v>600</v>
      </c>
      <c r="D13" s="21">
        <f>C16</f>
        <v>610</v>
      </c>
      <c r="E13" s="21">
        <f t="shared" ref="E13:G13" si="8">D16</f>
        <v>620</v>
      </c>
      <c r="F13" s="21">
        <f t="shared" si="8"/>
        <v>630</v>
      </c>
      <c r="G13" s="21">
        <f t="shared" si="8"/>
        <v>640</v>
      </c>
    </row>
    <row r="14" spans="2:7">
      <c r="B14" s="18" t="s">
        <v>12</v>
      </c>
      <c r="C14" s="20">
        <f>C4*0.03</f>
        <v>90</v>
      </c>
      <c r="D14" s="20">
        <f t="shared" ref="D14:G14" si="9">D4*0.03</f>
        <v>120</v>
      </c>
      <c r="E14" s="20">
        <f t="shared" si="9"/>
        <v>150</v>
      </c>
      <c r="F14" s="20">
        <f t="shared" si="9"/>
        <v>180</v>
      </c>
      <c r="G14" s="20">
        <f t="shared" si="9"/>
        <v>210</v>
      </c>
    </row>
    <row r="15" spans="2:7">
      <c r="B15" s="22" t="s">
        <v>16</v>
      </c>
      <c r="C15" s="23">
        <v>-80</v>
      </c>
      <c r="D15" s="23">
        <v>-110</v>
      </c>
      <c r="E15" s="23">
        <v>-140</v>
      </c>
      <c r="F15" s="23">
        <v>-170</v>
      </c>
      <c r="G15" s="23">
        <v>-190</v>
      </c>
    </row>
    <row r="16" spans="2:7">
      <c r="B16" s="18" t="s">
        <v>13</v>
      </c>
      <c r="C16" s="21">
        <f>SUM(C13:C15)</f>
        <v>610</v>
      </c>
      <c r="D16" s="21">
        <f t="shared" ref="D16:G16" si="10">SUM(D13:D15)</f>
        <v>620</v>
      </c>
      <c r="E16" s="21">
        <f t="shared" si="10"/>
        <v>630</v>
      </c>
      <c r="F16" s="21">
        <f t="shared" si="10"/>
        <v>640</v>
      </c>
      <c r="G16" s="21">
        <f t="shared" si="10"/>
        <v>660</v>
      </c>
    </row>
    <row r="17" spans="2:7">
      <c r="C17" s="21"/>
      <c r="D17" s="21"/>
      <c r="E17" s="21"/>
      <c r="F17" s="21"/>
      <c r="G17" s="21"/>
    </row>
    <row r="18" spans="2:7">
      <c r="B18" s="22" t="s">
        <v>25</v>
      </c>
      <c r="C18" s="24">
        <f>-C15/C13</f>
        <v>0.13333333333333333</v>
      </c>
      <c r="D18" s="24">
        <f t="shared" ref="D18:G18" si="11">-D15/D13</f>
        <v>0.18032786885245902</v>
      </c>
      <c r="E18" s="24">
        <f t="shared" si="11"/>
        <v>0.22580645161290322</v>
      </c>
      <c r="F18" s="24">
        <f t="shared" si="11"/>
        <v>0.26984126984126983</v>
      </c>
      <c r="G18" s="24">
        <f t="shared" si="11"/>
        <v>0.296875</v>
      </c>
    </row>
    <row r="19" spans="2:7" ht="9" customHeight="1"/>
    <row r="20" spans="2:7">
      <c r="B20" s="25" t="s">
        <v>19</v>
      </c>
      <c r="C20" s="26"/>
      <c r="D20" s="27">
        <f>D3/C3-1</f>
        <v>0.14999999999999991</v>
      </c>
      <c r="E20" s="27">
        <f>E3/D3-1</f>
        <v>0.17391304347826098</v>
      </c>
      <c r="F20" s="27">
        <f t="shared" ref="E20:G21" si="12">F3/E3-1</f>
        <v>0.18518518518518512</v>
      </c>
      <c r="G20" s="27">
        <f t="shared" si="12"/>
        <v>0.1875</v>
      </c>
    </row>
    <row r="21" spans="2:7">
      <c r="B21" s="25" t="s">
        <v>18</v>
      </c>
      <c r="C21" s="26"/>
      <c r="D21" s="27">
        <f>D4/C4-1</f>
        <v>0.33333333333333326</v>
      </c>
      <c r="E21" s="27">
        <f t="shared" si="12"/>
        <v>0.25</v>
      </c>
      <c r="F21" s="27">
        <f t="shared" si="12"/>
        <v>0.19999999999999996</v>
      </c>
      <c r="G21" s="27">
        <f t="shared" si="12"/>
        <v>0.16666666666666674</v>
      </c>
    </row>
    <row r="22" spans="2:7">
      <c r="D22" s="20"/>
      <c r="E22" s="20"/>
      <c r="F22" s="20"/>
      <c r="G22" s="20"/>
    </row>
    <row r="23" spans="2:7">
      <c r="B23" s="25" t="s">
        <v>17</v>
      </c>
      <c r="C23" s="26"/>
      <c r="D23" s="27">
        <f>D8/C8-1</f>
        <v>0.11250000000000004</v>
      </c>
      <c r="E23" s="27">
        <f t="shared" ref="E23:G24" si="13">E8/D8-1</f>
        <v>0.13483146067415741</v>
      </c>
      <c r="F23" s="27">
        <f t="shared" si="13"/>
        <v>0.14851485148514842</v>
      </c>
      <c r="G23" s="27">
        <f t="shared" si="13"/>
        <v>0.15517241379310343</v>
      </c>
    </row>
    <row r="24" spans="2:7">
      <c r="B24" s="25" t="s">
        <v>20</v>
      </c>
      <c r="C24" s="26"/>
      <c r="D24" s="27">
        <f>D9/C9-1</f>
        <v>0.33333333333333326</v>
      </c>
      <c r="E24" s="27">
        <f t="shared" si="13"/>
        <v>0.25</v>
      </c>
      <c r="F24" s="27">
        <f t="shared" si="13"/>
        <v>0.19999999999999996</v>
      </c>
      <c r="G24" s="27">
        <f t="shared" si="13"/>
        <v>0.16666666666666674</v>
      </c>
    </row>
    <row r="25" spans="2:7">
      <c r="D25" s="20"/>
      <c r="E25" s="20"/>
      <c r="F25" s="20"/>
      <c r="G25" s="20"/>
    </row>
    <row r="26" spans="2:7">
      <c r="B26" s="25" t="s">
        <v>21</v>
      </c>
      <c r="C26" s="26"/>
      <c r="D26" s="27">
        <f>D13/C13-1</f>
        <v>1.6666666666666607E-2</v>
      </c>
      <c r="E26" s="27">
        <f t="shared" ref="E26:G27" si="14">E13/D13-1</f>
        <v>1.6393442622950838E-2</v>
      </c>
      <c r="F26" s="27">
        <f t="shared" si="14"/>
        <v>1.6129032258064502E-2</v>
      </c>
      <c r="G26" s="27">
        <f t="shared" si="14"/>
        <v>1.5873015873015817E-2</v>
      </c>
    </row>
    <row r="27" spans="2:7">
      <c r="B27" s="25" t="s">
        <v>22</v>
      </c>
      <c r="C27" s="26"/>
      <c r="D27" s="27">
        <f>D14/C14-1</f>
        <v>0.33333333333333326</v>
      </c>
      <c r="E27" s="27">
        <f t="shared" si="14"/>
        <v>0.25</v>
      </c>
      <c r="F27" s="27">
        <f t="shared" si="14"/>
        <v>0.19999999999999996</v>
      </c>
      <c r="G27" s="27">
        <f t="shared" si="14"/>
        <v>0.16666666666666674</v>
      </c>
    </row>
  </sheetData>
  <phoneticPr fontId="3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7181-47D4-414E-B893-EC52D725F2C7}">
  <dimension ref="A1:AB52"/>
  <sheetViews>
    <sheetView topLeftCell="E1" zoomScale="70" zoomScaleNormal="70" workbookViewId="0">
      <selection activeCell="H21" sqref="H21"/>
    </sheetView>
  </sheetViews>
  <sheetFormatPr defaultColWidth="8.69921875" defaultRowHeight="17.399999999999999"/>
  <cols>
    <col min="1" max="1" width="34.8984375" style="64" customWidth="1"/>
    <col min="2" max="2" width="23.69921875" style="64" bestFit="1" customWidth="1"/>
    <col min="3" max="3" width="21.09765625" style="64" customWidth="1"/>
    <col min="4" max="4" width="21.8984375" style="60" bestFit="1" customWidth="1"/>
    <col min="5" max="5" width="9" style="58" customWidth="1"/>
    <col min="6" max="7" width="8.69921875" style="58"/>
    <col min="8" max="8" width="11.09765625" style="58" customWidth="1"/>
    <col min="9" max="9" width="14.59765625" style="58" customWidth="1"/>
    <col min="10" max="10" width="16.3984375" style="58" customWidth="1"/>
    <col min="11" max="11" width="12.8984375" style="64" customWidth="1"/>
    <col min="12" max="12" width="13.59765625" style="58" bestFit="1" customWidth="1"/>
    <col min="13" max="13" width="12" style="58" bestFit="1" customWidth="1"/>
    <col min="14" max="14" width="8.69921875" style="58"/>
    <col min="15" max="15" width="14.8984375" style="58" customWidth="1"/>
    <col min="16" max="17" width="8.69921875" style="58"/>
    <col min="18" max="18" width="12.59765625" style="58" bestFit="1" customWidth="1"/>
    <col min="19" max="19" width="14.59765625" style="58" bestFit="1" customWidth="1"/>
    <col min="20" max="22" width="2.69921875" style="58" bestFit="1" customWidth="1"/>
    <col min="23" max="23" width="10.59765625" style="64" bestFit="1" customWidth="1"/>
    <col min="24" max="24" width="13.69921875" style="64" customWidth="1"/>
    <col min="25" max="25" width="11.3984375" style="64" customWidth="1"/>
    <col min="26" max="26" width="8.59765625" style="70" customWidth="1"/>
    <col min="27" max="16384" width="8.69921875" style="58"/>
  </cols>
  <sheetData>
    <row r="1" spans="1:28" s="197" customFormat="1" ht="30">
      <c r="A1" s="195"/>
      <c r="B1" s="195"/>
      <c r="C1" s="195"/>
      <c r="D1" s="196"/>
      <c r="K1" s="198" t="str">
        <f>"use PERCENTILE function in excel to define your quartile level"</f>
        <v>use PERCENTILE function in excel to define your quartile level</v>
      </c>
      <c r="L1" s="199"/>
      <c r="M1" s="199"/>
      <c r="N1" s="199"/>
      <c r="O1" s="199"/>
      <c r="P1" s="199"/>
      <c r="W1" s="195"/>
      <c r="X1" s="195"/>
      <c r="Y1" s="195"/>
      <c r="Z1" s="200"/>
    </row>
    <row r="3" spans="1:28">
      <c r="A3" s="126" t="s">
        <v>271</v>
      </c>
      <c r="B3" s="201" t="s">
        <v>272</v>
      </c>
      <c r="C3" s="201" t="s">
        <v>273</v>
      </c>
      <c r="D3" s="202" t="s">
        <v>274</v>
      </c>
      <c r="E3" s="203" t="s">
        <v>275</v>
      </c>
      <c r="F3" s="203" t="s">
        <v>276</v>
      </c>
      <c r="G3" s="203" t="s">
        <v>277</v>
      </c>
      <c r="H3" s="203" t="s">
        <v>278</v>
      </c>
      <c r="K3" s="204" t="s">
        <v>268</v>
      </c>
      <c r="L3" s="204" t="s">
        <v>269</v>
      </c>
      <c r="M3" s="204" t="s">
        <v>279</v>
      </c>
    </row>
    <row r="4" spans="1:28">
      <c r="A4" s="64">
        <v>5874</v>
      </c>
      <c r="B4" s="64">
        <v>191</v>
      </c>
      <c r="C4" s="64">
        <v>26</v>
      </c>
      <c r="D4" s="60">
        <v>260</v>
      </c>
      <c r="E4" s="64">
        <f>IF(B4&gt;K$6,1,IF(B4&gt;K$5,2,IF(B4&gt;K$4,3,4)))</f>
        <v>1</v>
      </c>
      <c r="F4" s="64">
        <f>IF(C4&gt;L$6,4,IF(C4&gt;L$5,3,IF(C4&gt;L$4,2,1)))</f>
        <v>2</v>
      </c>
      <c r="G4" s="64">
        <f>IF(D4&gt;M$6,4,IF(D4&gt;M$5,3,IF(D4&gt;M$4,2,1)))</f>
        <v>2</v>
      </c>
      <c r="H4" s="64" t="str">
        <f>_xlfn.CONCAT(E4,F4,G4)</f>
        <v>122</v>
      </c>
      <c r="I4" s="64">
        <v>1</v>
      </c>
      <c r="K4" s="64">
        <f>PERCENTILE(B$4:B$52,0.25)</f>
        <v>67</v>
      </c>
      <c r="L4" s="64">
        <f>PERCENTILE(C$4:C$52,0.25)</f>
        <v>22</v>
      </c>
      <c r="M4" s="60">
        <f>PERCENTILE(D$4:D$52,0.25)</f>
        <v>120</v>
      </c>
    </row>
    <row r="5" spans="1:28">
      <c r="A5" s="64">
        <v>3739</v>
      </c>
      <c r="B5" s="64">
        <v>200</v>
      </c>
      <c r="C5" s="64">
        <v>9</v>
      </c>
      <c r="D5" s="60">
        <v>140</v>
      </c>
      <c r="E5" s="64">
        <f t="shared" ref="E5:E52" si="0">IF(B5&gt;K$6,1,IF(B5&gt;K$5,2,IF(B5&gt;K$4,3,4)))</f>
        <v>1</v>
      </c>
      <c r="F5" s="64">
        <f t="shared" ref="F5:G52" si="1">IF(C5&gt;L$6,4,IF(C5&gt;L$5,3,IF(C5&gt;L$4,2,1)))</f>
        <v>1</v>
      </c>
      <c r="G5" s="64">
        <f t="shared" si="1"/>
        <v>2</v>
      </c>
      <c r="H5" s="64" t="str">
        <f t="shared" ref="H5:H52" si="2">_xlfn.CONCAT(E5,F5,G5)</f>
        <v>112</v>
      </c>
      <c r="I5" s="64">
        <v>1</v>
      </c>
      <c r="K5" s="64">
        <f>PERCENTILE(B$4:B$52,0.5)</f>
        <v>118</v>
      </c>
      <c r="L5" s="64">
        <f>PERCENTILE(C$4:C$52,0.5)</f>
        <v>36</v>
      </c>
      <c r="M5" s="60">
        <f>PERCENTILE(D$4:D$52,0.5)</f>
        <v>300</v>
      </c>
    </row>
    <row r="6" spans="1:28">
      <c r="A6" s="64">
        <v>7985</v>
      </c>
      <c r="B6" s="64">
        <v>200</v>
      </c>
      <c r="C6" s="64">
        <v>10</v>
      </c>
      <c r="D6" s="60">
        <v>100</v>
      </c>
      <c r="E6" s="64">
        <f t="shared" si="0"/>
        <v>1</v>
      </c>
      <c r="F6" s="64">
        <f t="shared" si="1"/>
        <v>1</v>
      </c>
      <c r="G6" s="64">
        <f t="shared" si="1"/>
        <v>1</v>
      </c>
      <c r="H6" s="64" t="str">
        <f t="shared" si="2"/>
        <v>111</v>
      </c>
      <c r="I6" s="64">
        <v>1</v>
      </c>
      <c r="K6" s="64">
        <f>PERCENTILE(B$4:B$52,0.75)</f>
        <v>169</v>
      </c>
      <c r="L6" s="64">
        <f>PERCENTILE(C$4:C$52,0.75)</f>
        <v>54</v>
      </c>
      <c r="M6" s="60">
        <f>PERCENTILE(D$4:D$52,0.75)</f>
        <v>720</v>
      </c>
    </row>
    <row r="7" spans="1:28">
      <c r="A7" s="64">
        <v>4144</v>
      </c>
      <c r="B7" s="64">
        <v>80</v>
      </c>
      <c r="C7" s="64">
        <v>36</v>
      </c>
      <c r="D7" s="60">
        <v>580</v>
      </c>
      <c r="E7" s="64">
        <f t="shared" si="0"/>
        <v>3</v>
      </c>
      <c r="F7" s="64">
        <f t="shared" si="1"/>
        <v>2</v>
      </c>
      <c r="G7" s="64">
        <f t="shared" si="1"/>
        <v>3</v>
      </c>
      <c r="H7" s="64" t="str">
        <f t="shared" si="2"/>
        <v>323</v>
      </c>
      <c r="I7" s="64">
        <v>1</v>
      </c>
      <c r="L7" s="64"/>
      <c r="M7" s="60"/>
    </row>
    <row r="8" spans="1:28">
      <c r="A8" s="64">
        <v>2468</v>
      </c>
      <c r="B8" s="64">
        <v>85</v>
      </c>
      <c r="C8" s="64">
        <v>38</v>
      </c>
      <c r="D8" s="60">
        <v>660</v>
      </c>
      <c r="E8" s="64">
        <f t="shared" si="0"/>
        <v>3</v>
      </c>
      <c r="F8" s="64">
        <f t="shared" si="1"/>
        <v>3</v>
      </c>
      <c r="G8" s="64">
        <f t="shared" si="1"/>
        <v>3</v>
      </c>
      <c r="H8" s="64" t="str">
        <f t="shared" si="2"/>
        <v>333</v>
      </c>
      <c r="I8" s="64">
        <v>1</v>
      </c>
      <c r="M8" s="60"/>
    </row>
    <row r="9" spans="1:28">
      <c r="A9" s="64">
        <v>9873</v>
      </c>
      <c r="B9" s="64">
        <v>67</v>
      </c>
      <c r="C9" s="64">
        <v>66</v>
      </c>
      <c r="D9" s="60">
        <v>1260</v>
      </c>
      <c r="E9" s="64">
        <f t="shared" si="0"/>
        <v>4</v>
      </c>
      <c r="F9" s="64">
        <f t="shared" si="1"/>
        <v>4</v>
      </c>
      <c r="G9" s="64">
        <f t="shared" si="1"/>
        <v>4</v>
      </c>
      <c r="H9" s="64" t="str">
        <f t="shared" si="2"/>
        <v>444</v>
      </c>
      <c r="I9" s="64">
        <v>1</v>
      </c>
    </row>
    <row r="10" spans="1:28">
      <c r="A10" s="64">
        <v>7294</v>
      </c>
      <c r="B10" s="64">
        <v>140</v>
      </c>
      <c r="C10" s="64">
        <v>47</v>
      </c>
      <c r="D10" s="60">
        <v>320</v>
      </c>
      <c r="E10" s="64">
        <f t="shared" si="0"/>
        <v>2</v>
      </c>
      <c r="F10" s="64">
        <f t="shared" si="1"/>
        <v>3</v>
      </c>
      <c r="G10" s="64">
        <f t="shared" si="1"/>
        <v>3</v>
      </c>
      <c r="H10" s="64" t="str">
        <f t="shared" si="2"/>
        <v>233</v>
      </c>
      <c r="I10" s="64">
        <v>1</v>
      </c>
      <c r="J10" s="205" t="s">
        <v>280</v>
      </c>
      <c r="K10" s="206" t="s">
        <v>219</v>
      </c>
      <c r="L10" s="207" t="s">
        <v>281</v>
      </c>
      <c r="M10" s="208" t="s">
        <v>282</v>
      </c>
    </row>
    <row r="11" spans="1:28">
      <c r="A11" s="64">
        <v>3159</v>
      </c>
      <c r="B11" s="64">
        <v>169</v>
      </c>
      <c r="C11" s="64">
        <v>28</v>
      </c>
      <c r="D11" s="60">
        <v>220</v>
      </c>
      <c r="E11" s="64">
        <f t="shared" si="0"/>
        <v>2</v>
      </c>
      <c r="F11" s="64">
        <f t="shared" si="1"/>
        <v>2</v>
      </c>
      <c r="G11" s="64">
        <f t="shared" si="1"/>
        <v>2</v>
      </c>
      <c r="H11" s="64" t="str">
        <f t="shared" si="2"/>
        <v>222</v>
      </c>
      <c r="I11" s="64">
        <v>1</v>
      </c>
      <c r="J11" s="209" t="s">
        <v>283</v>
      </c>
      <c r="K11" s="209">
        <v>5</v>
      </c>
      <c r="L11" s="210">
        <v>0.10204081632653061</v>
      </c>
      <c r="M11" s="211">
        <f>SUMIFS($D$4:$D$52,$H$4:$H$52,"="&amp;J11)/SUM($D$4:$D$52)</f>
        <v>0.2381160052333188</v>
      </c>
      <c r="N11" s="212"/>
      <c r="O11" s="212" t="s">
        <v>284</v>
      </c>
    </row>
    <row r="12" spans="1:28">
      <c r="A12" s="64">
        <v>7400</v>
      </c>
      <c r="B12" s="64">
        <v>119</v>
      </c>
      <c r="C12" s="64">
        <v>29</v>
      </c>
      <c r="D12" s="60">
        <v>60</v>
      </c>
      <c r="E12" s="64">
        <f t="shared" si="0"/>
        <v>2</v>
      </c>
      <c r="F12" s="64">
        <f t="shared" si="1"/>
        <v>2</v>
      </c>
      <c r="G12" s="64">
        <f t="shared" si="1"/>
        <v>1</v>
      </c>
      <c r="H12" s="64" t="str">
        <f t="shared" si="2"/>
        <v>221</v>
      </c>
      <c r="I12" s="64">
        <v>1</v>
      </c>
      <c r="J12" s="173" t="s">
        <v>285</v>
      </c>
      <c r="K12" s="173">
        <v>1</v>
      </c>
      <c r="L12" s="213">
        <v>2.0408163265306121E-2</v>
      </c>
      <c r="M12" s="214">
        <f t="shared" ref="M12:M39" si="3">SUMIFS($D$4:$D$52,$H$4:$H$52,"="&amp;J12)/SUM($D$4:$D$52)</f>
        <v>4.3610989969472304E-2</v>
      </c>
    </row>
    <row r="13" spans="1:28">
      <c r="A13" s="64">
        <v>5906</v>
      </c>
      <c r="B13" s="64">
        <v>131</v>
      </c>
      <c r="C13" s="64">
        <v>39</v>
      </c>
      <c r="D13" s="60">
        <v>600</v>
      </c>
      <c r="E13" s="64">
        <f t="shared" si="0"/>
        <v>2</v>
      </c>
      <c r="F13" s="64">
        <f t="shared" si="1"/>
        <v>3</v>
      </c>
      <c r="G13" s="64">
        <f t="shared" si="1"/>
        <v>3</v>
      </c>
      <c r="H13" s="64" t="str">
        <f t="shared" si="2"/>
        <v>233</v>
      </c>
      <c r="I13" s="64">
        <v>1</v>
      </c>
      <c r="J13" s="173" t="s">
        <v>286</v>
      </c>
      <c r="K13" s="173">
        <v>1</v>
      </c>
      <c r="L13" s="213">
        <v>2.0408163265306121E-2</v>
      </c>
      <c r="M13" s="214">
        <f t="shared" si="3"/>
        <v>3.139991277802006E-2</v>
      </c>
      <c r="R13" s="199" t="s">
        <v>287</v>
      </c>
      <c r="S13" s="199" t="s">
        <v>288</v>
      </c>
    </row>
    <row r="14" spans="1:28">
      <c r="A14" s="64">
        <v>3552</v>
      </c>
      <c r="B14" s="64">
        <v>15</v>
      </c>
      <c r="C14" s="64">
        <v>38</v>
      </c>
      <c r="D14" s="60">
        <v>1000</v>
      </c>
      <c r="E14" s="64">
        <f t="shared" si="0"/>
        <v>4</v>
      </c>
      <c r="F14" s="64">
        <f t="shared" si="1"/>
        <v>3</v>
      </c>
      <c r="G14" s="64">
        <f t="shared" si="1"/>
        <v>4</v>
      </c>
      <c r="H14" s="64" t="str">
        <f t="shared" si="2"/>
        <v>434</v>
      </c>
      <c r="I14" s="64">
        <v>1</v>
      </c>
      <c r="J14" s="173" t="s">
        <v>289</v>
      </c>
      <c r="K14" s="173">
        <v>1</v>
      </c>
      <c r="L14" s="213">
        <v>2.0408163265306121E-2</v>
      </c>
      <c r="M14" s="214">
        <f t="shared" si="3"/>
        <v>1.13388573920628E-2</v>
      </c>
      <c r="Q14" s="58" t="s">
        <v>268</v>
      </c>
      <c r="R14" s="215">
        <v>1</v>
      </c>
      <c r="S14" s="64">
        <v>12</v>
      </c>
      <c r="W14" s="192" t="s">
        <v>290</v>
      </c>
      <c r="X14" s="192" t="s">
        <v>291</v>
      </c>
      <c r="Y14" s="192" t="s">
        <v>292</v>
      </c>
      <c r="Z14" s="216" t="s">
        <v>220</v>
      </c>
    </row>
    <row r="15" spans="1:28">
      <c r="A15" s="64">
        <v>2039</v>
      </c>
      <c r="B15" s="64">
        <v>108</v>
      </c>
      <c r="C15" s="64">
        <v>30</v>
      </c>
      <c r="D15" s="60">
        <v>120</v>
      </c>
      <c r="E15" s="64">
        <f t="shared" si="0"/>
        <v>3</v>
      </c>
      <c r="F15" s="64">
        <f t="shared" si="1"/>
        <v>2</v>
      </c>
      <c r="G15" s="64">
        <f t="shared" si="1"/>
        <v>1</v>
      </c>
      <c r="H15" s="64" t="str">
        <f t="shared" si="2"/>
        <v>321</v>
      </c>
      <c r="I15" s="64">
        <v>1</v>
      </c>
      <c r="J15" s="173" t="s">
        <v>293</v>
      </c>
      <c r="K15" s="173">
        <v>1</v>
      </c>
      <c r="L15" s="213">
        <v>2.0408163265306121E-2</v>
      </c>
      <c r="M15" s="214">
        <f t="shared" si="3"/>
        <v>1.7444395987788922E-2</v>
      </c>
      <c r="Q15" s="58" t="s">
        <v>269</v>
      </c>
      <c r="R15" s="72">
        <v>1</v>
      </c>
      <c r="S15" s="64">
        <v>6</v>
      </c>
      <c r="W15" s="217">
        <v>1</v>
      </c>
      <c r="X15" s="218">
        <f>R15</f>
        <v>1</v>
      </c>
      <c r="Y15" s="218">
        <f>S15</f>
        <v>6</v>
      </c>
      <c r="Z15" s="219">
        <f>Y15/SUM(Y$15:Y$30)</f>
        <v>0.12244897959183673</v>
      </c>
      <c r="AA15" s="220" t="s">
        <v>294</v>
      </c>
      <c r="AB15" s="220"/>
    </row>
    <row r="16" spans="1:28">
      <c r="A16" s="64">
        <v>405</v>
      </c>
      <c r="B16" s="64">
        <v>100</v>
      </c>
      <c r="C16" s="64">
        <v>39</v>
      </c>
      <c r="D16" s="60">
        <v>720</v>
      </c>
      <c r="E16" s="64">
        <f t="shared" si="0"/>
        <v>3</v>
      </c>
      <c r="F16" s="64">
        <f t="shared" si="1"/>
        <v>3</v>
      </c>
      <c r="G16" s="64">
        <f t="shared" si="1"/>
        <v>3</v>
      </c>
      <c r="H16" s="64" t="str">
        <f t="shared" si="2"/>
        <v>333</v>
      </c>
      <c r="I16" s="64">
        <v>1</v>
      </c>
      <c r="J16" s="173" t="s">
        <v>295</v>
      </c>
      <c r="K16" s="173">
        <v>1</v>
      </c>
      <c r="L16" s="213">
        <v>2.0408163265306121E-2</v>
      </c>
      <c r="M16" s="214">
        <f t="shared" si="3"/>
        <v>1.2211077191452245E-2</v>
      </c>
      <c r="R16" s="72">
        <v>2</v>
      </c>
      <c r="S16" s="64">
        <v>2</v>
      </c>
      <c r="W16" s="64">
        <v>1</v>
      </c>
      <c r="X16" s="126">
        <f t="shared" ref="X16:Y18" si="4">R16</f>
        <v>2</v>
      </c>
      <c r="Y16" s="126">
        <f t="shared" si="4"/>
        <v>2</v>
      </c>
      <c r="Z16" s="70">
        <f t="shared" ref="Z16:Z30" si="5">Y16/SUM(Y$15:Y$30)</f>
        <v>4.0816326530612242E-2</v>
      </c>
    </row>
    <row r="17" spans="1:28">
      <c r="A17" s="64">
        <v>569</v>
      </c>
      <c r="B17" s="64">
        <v>70</v>
      </c>
      <c r="C17" s="64">
        <v>200</v>
      </c>
      <c r="D17" s="60">
        <v>1200</v>
      </c>
      <c r="E17" s="64">
        <f t="shared" si="0"/>
        <v>3</v>
      </c>
      <c r="F17" s="64">
        <f t="shared" si="1"/>
        <v>4</v>
      </c>
      <c r="G17" s="64">
        <f t="shared" si="1"/>
        <v>4</v>
      </c>
      <c r="H17" s="64" t="str">
        <f t="shared" si="2"/>
        <v>344</v>
      </c>
      <c r="I17" s="64">
        <v>1</v>
      </c>
      <c r="J17" s="173" t="s">
        <v>296</v>
      </c>
      <c r="K17" s="173">
        <v>1</v>
      </c>
      <c r="L17" s="213">
        <v>2.0408163265306121E-2</v>
      </c>
      <c r="M17" s="214">
        <f t="shared" si="3"/>
        <v>3.4888791975577847E-3</v>
      </c>
      <c r="R17" s="72">
        <v>3</v>
      </c>
      <c r="S17" s="64">
        <v>2</v>
      </c>
      <c r="W17" s="64">
        <v>1</v>
      </c>
      <c r="X17" s="126">
        <f t="shared" si="4"/>
        <v>3</v>
      </c>
      <c r="Y17" s="126">
        <f t="shared" si="4"/>
        <v>2</v>
      </c>
      <c r="Z17" s="70">
        <f t="shared" si="5"/>
        <v>4.0816326530612242E-2</v>
      </c>
    </row>
    <row r="18" spans="1:28">
      <c r="A18" s="64">
        <v>6776</v>
      </c>
      <c r="B18" s="64">
        <v>112</v>
      </c>
      <c r="C18" s="64">
        <v>16</v>
      </c>
      <c r="D18" s="60">
        <v>140</v>
      </c>
      <c r="E18" s="64">
        <f t="shared" si="0"/>
        <v>3</v>
      </c>
      <c r="F18" s="64">
        <f t="shared" si="1"/>
        <v>1</v>
      </c>
      <c r="G18" s="64">
        <f t="shared" si="1"/>
        <v>2</v>
      </c>
      <c r="H18" s="64" t="str">
        <f t="shared" si="2"/>
        <v>312</v>
      </c>
      <c r="I18" s="64">
        <v>1</v>
      </c>
      <c r="J18" s="173" t="s">
        <v>297</v>
      </c>
      <c r="K18" s="173">
        <v>2</v>
      </c>
      <c r="L18" s="213">
        <v>4.0816326530612242E-2</v>
      </c>
      <c r="M18" s="214">
        <f t="shared" si="3"/>
        <v>7.849978194505015E-3</v>
      </c>
      <c r="R18" s="72">
        <v>4</v>
      </c>
      <c r="S18" s="64">
        <v>2</v>
      </c>
      <c r="W18" s="64">
        <v>1</v>
      </c>
      <c r="X18" s="126">
        <f t="shared" si="4"/>
        <v>4</v>
      </c>
      <c r="Y18" s="126">
        <f t="shared" si="4"/>
        <v>2</v>
      </c>
      <c r="Z18" s="70">
        <f t="shared" si="5"/>
        <v>4.0816326530612242E-2</v>
      </c>
    </row>
    <row r="19" spans="1:28">
      <c r="A19" s="64">
        <v>6073</v>
      </c>
      <c r="B19" s="64">
        <v>179</v>
      </c>
      <c r="C19" s="64">
        <v>34</v>
      </c>
      <c r="D19" s="60">
        <v>140</v>
      </c>
      <c r="E19" s="64">
        <f t="shared" si="0"/>
        <v>1</v>
      </c>
      <c r="F19" s="64">
        <f t="shared" si="1"/>
        <v>2</v>
      </c>
      <c r="G19" s="64">
        <f t="shared" si="1"/>
        <v>2</v>
      </c>
      <c r="H19" s="64" t="str">
        <f t="shared" si="2"/>
        <v>122</v>
      </c>
      <c r="I19" s="64">
        <v>1</v>
      </c>
      <c r="J19" s="173" t="s">
        <v>298</v>
      </c>
      <c r="K19" s="173">
        <v>2</v>
      </c>
      <c r="L19" s="213">
        <v>4.0816326530612242E-2</v>
      </c>
      <c r="M19" s="214">
        <f t="shared" si="3"/>
        <v>0.1020497165285652</v>
      </c>
      <c r="R19" s="215">
        <v>2</v>
      </c>
      <c r="S19" s="64">
        <v>11</v>
      </c>
      <c r="W19" s="64">
        <v>2</v>
      </c>
      <c r="X19" s="126">
        <f>R20</f>
        <v>1</v>
      </c>
      <c r="Y19" s="126">
        <f>S20</f>
        <v>4</v>
      </c>
      <c r="Z19" s="70">
        <f t="shared" si="5"/>
        <v>8.1632653061224483E-2</v>
      </c>
    </row>
    <row r="20" spans="1:28">
      <c r="A20" s="64">
        <v>2487</v>
      </c>
      <c r="B20" s="64">
        <v>138</v>
      </c>
      <c r="C20" s="64">
        <v>67</v>
      </c>
      <c r="D20" s="60">
        <v>300</v>
      </c>
      <c r="E20" s="64">
        <f t="shared" si="0"/>
        <v>2</v>
      </c>
      <c r="F20" s="64">
        <f t="shared" si="1"/>
        <v>4</v>
      </c>
      <c r="G20" s="64">
        <f t="shared" si="1"/>
        <v>2</v>
      </c>
      <c r="H20" s="64" t="str">
        <f t="shared" si="2"/>
        <v>242</v>
      </c>
      <c r="I20" s="64">
        <v>1</v>
      </c>
      <c r="J20" s="64" t="s">
        <v>299</v>
      </c>
      <c r="K20" s="64">
        <v>5</v>
      </c>
      <c r="L20" s="69">
        <v>0.10204081632653061</v>
      </c>
      <c r="M20" s="214">
        <f t="shared" si="3"/>
        <v>0.14217182730047973</v>
      </c>
      <c r="R20" s="72">
        <v>1</v>
      </c>
      <c r="S20" s="64">
        <v>4</v>
      </c>
      <c r="W20" s="64">
        <v>2</v>
      </c>
      <c r="X20" s="126">
        <f t="shared" ref="X20:Y22" si="6">R21</f>
        <v>2</v>
      </c>
      <c r="Y20" s="126">
        <f t="shared" si="6"/>
        <v>3</v>
      </c>
      <c r="Z20" s="70">
        <f t="shared" si="5"/>
        <v>6.1224489795918366E-2</v>
      </c>
    </row>
    <row r="21" spans="1:28">
      <c r="A21" s="64">
        <v>9090</v>
      </c>
      <c r="B21" s="64">
        <v>129</v>
      </c>
      <c r="C21" s="64">
        <v>68</v>
      </c>
      <c r="D21" s="60">
        <v>1060</v>
      </c>
      <c r="E21" s="64">
        <f t="shared" si="0"/>
        <v>2</v>
      </c>
      <c r="F21" s="64">
        <f t="shared" si="1"/>
        <v>4</v>
      </c>
      <c r="G21" s="64">
        <f t="shared" si="1"/>
        <v>4</v>
      </c>
      <c r="H21" s="64" t="str">
        <f t="shared" si="2"/>
        <v>244</v>
      </c>
      <c r="I21" s="64">
        <v>1</v>
      </c>
      <c r="J21" s="64" t="s">
        <v>300</v>
      </c>
      <c r="K21" s="64">
        <v>1</v>
      </c>
      <c r="L21" s="69">
        <v>2.0408163265306121E-2</v>
      </c>
      <c r="M21" s="214">
        <f t="shared" si="3"/>
        <v>2.5294374182293938E-2</v>
      </c>
      <c r="R21" s="72">
        <v>2</v>
      </c>
      <c r="S21" s="64">
        <v>3</v>
      </c>
      <c r="T21" s="221"/>
      <c r="U21" s="221"/>
      <c r="V21" s="221"/>
      <c r="W21" s="64">
        <v>2</v>
      </c>
      <c r="X21" s="126">
        <f t="shared" si="6"/>
        <v>3</v>
      </c>
      <c r="Y21" s="126">
        <f t="shared" si="6"/>
        <v>2</v>
      </c>
      <c r="Z21" s="70">
        <f t="shared" si="5"/>
        <v>4.0816326530612242E-2</v>
      </c>
    </row>
    <row r="22" spans="1:28">
      <c r="A22" s="64">
        <v>7906</v>
      </c>
      <c r="B22" s="64">
        <v>179</v>
      </c>
      <c r="C22" s="64">
        <v>2</v>
      </c>
      <c r="D22" s="60">
        <v>50</v>
      </c>
      <c r="E22" s="64">
        <f t="shared" si="0"/>
        <v>1</v>
      </c>
      <c r="F22" s="64">
        <f t="shared" si="1"/>
        <v>1</v>
      </c>
      <c r="G22" s="64">
        <f t="shared" si="1"/>
        <v>1</v>
      </c>
      <c r="H22" s="64" t="str">
        <f t="shared" si="2"/>
        <v>111</v>
      </c>
      <c r="I22" s="64">
        <v>1</v>
      </c>
      <c r="J22" s="64" t="s">
        <v>301</v>
      </c>
      <c r="K22" s="64">
        <v>2</v>
      </c>
      <c r="L22" s="69">
        <v>4.0816326530612242E-2</v>
      </c>
      <c r="M22" s="214">
        <f t="shared" si="3"/>
        <v>2.0933275185346708E-2</v>
      </c>
      <c r="R22" s="72">
        <v>3</v>
      </c>
      <c r="S22" s="64">
        <v>2</v>
      </c>
      <c r="T22" s="64"/>
      <c r="U22" s="64"/>
      <c r="V22" s="64"/>
      <c r="W22" s="64">
        <v>2</v>
      </c>
      <c r="X22" s="126">
        <f t="shared" si="6"/>
        <v>4</v>
      </c>
      <c r="Y22" s="126">
        <f t="shared" si="6"/>
        <v>2</v>
      </c>
      <c r="Z22" s="70">
        <f t="shared" si="5"/>
        <v>4.0816326530612242E-2</v>
      </c>
    </row>
    <row r="23" spans="1:28">
      <c r="A23" s="64">
        <v>8946</v>
      </c>
      <c r="B23" s="64">
        <v>193</v>
      </c>
      <c r="C23" s="64">
        <v>63</v>
      </c>
      <c r="D23" s="60">
        <v>940</v>
      </c>
      <c r="E23" s="64">
        <f t="shared" si="0"/>
        <v>1</v>
      </c>
      <c r="F23" s="64">
        <f t="shared" si="1"/>
        <v>4</v>
      </c>
      <c r="G23" s="64">
        <f t="shared" si="1"/>
        <v>4</v>
      </c>
      <c r="H23" s="64" t="str">
        <f t="shared" si="2"/>
        <v>144</v>
      </c>
      <c r="I23" s="64">
        <v>1</v>
      </c>
      <c r="J23" s="64" t="s">
        <v>302</v>
      </c>
      <c r="K23" s="64">
        <v>1</v>
      </c>
      <c r="L23" s="69">
        <v>2.0408163265306121E-2</v>
      </c>
      <c r="M23" s="214">
        <f t="shared" si="3"/>
        <v>5.233318796336677E-3</v>
      </c>
      <c r="R23" s="72">
        <v>4</v>
      </c>
      <c r="S23" s="64">
        <v>2</v>
      </c>
      <c r="T23" s="64"/>
      <c r="U23" s="64"/>
      <c r="V23" s="64"/>
      <c r="W23" s="64">
        <v>3</v>
      </c>
      <c r="X23" s="126">
        <f>R25</f>
        <v>1</v>
      </c>
      <c r="Y23" s="126">
        <f>S25</f>
        <v>2</v>
      </c>
      <c r="Z23" s="70">
        <f t="shared" si="5"/>
        <v>4.0816326530612242E-2</v>
      </c>
    </row>
    <row r="24" spans="1:28">
      <c r="A24" s="64">
        <v>1036</v>
      </c>
      <c r="B24" s="64">
        <v>111</v>
      </c>
      <c r="C24" s="64">
        <v>31</v>
      </c>
      <c r="D24" s="60">
        <v>280</v>
      </c>
      <c r="E24" s="64">
        <f t="shared" si="0"/>
        <v>3</v>
      </c>
      <c r="F24" s="64">
        <f t="shared" si="1"/>
        <v>2</v>
      </c>
      <c r="G24" s="64">
        <f t="shared" si="1"/>
        <v>2</v>
      </c>
      <c r="H24" s="64" t="str">
        <f t="shared" si="2"/>
        <v>322</v>
      </c>
      <c r="I24" s="64">
        <v>1</v>
      </c>
      <c r="J24" s="64" t="s">
        <v>303</v>
      </c>
      <c r="K24" s="64">
        <v>2</v>
      </c>
      <c r="L24" s="69">
        <v>4.0816326530612242E-2</v>
      </c>
      <c r="M24" s="214">
        <f t="shared" si="3"/>
        <v>1.569995638901003E-2</v>
      </c>
      <c r="R24" s="215">
        <v>3</v>
      </c>
      <c r="S24" s="64">
        <v>13</v>
      </c>
      <c r="T24" s="64"/>
      <c r="U24" s="64"/>
      <c r="V24" s="64"/>
      <c r="W24" s="64">
        <v>3</v>
      </c>
      <c r="X24" s="126">
        <f t="shared" ref="X24:Y26" si="7">R26</f>
        <v>2</v>
      </c>
      <c r="Y24" s="126">
        <f t="shared" si="7"/>
        <v>4</v>
      </c>
      <c r="Z24" s="70">
        <f t="shared" si="5"/>
        <v>8.1632653061224483E-2</v>
      </c>
    </row>
    <row r="25" spans="1:28">
      <c r="A25" s="64">
        <v>1007</v>
      </c>
      <c r="B25" s="64">
        <v>63</v>
      </c>
      <c r="C25" s="64">
        <v>34</v>
      </c>
      <c r="D25" s="60">
        <v>80</v>
      </c>
      <c r="E25" s="64">
        <f t="shared" si="0"/>
        <v>4</v>
      </c>
      <c r="F25" s="64">
        <f t="shared" si="1"/>
        <v>2</v>
      </c>
      <c r="G25" s="64">
        <f t="shared" si="1"/>
        <v>1</v>
      </c>
      <c r="H25" s="64" t="str">
        <f t="shared" si="2"/>
        <v>421</v>
      </c>
      <c r="I25" s="64">
        <v>1</v>
      </c>
      <c r="J25" s="64" t="s">
        <v>304</v>
      </c>
      <c r="K25" s="64">
        <v>1</v>
      </c>
      <c r="L25" s="69">
        <v>2.0408163265306121E-2</v>
      </c>
      <c r="M25" s="214">
        <f t="shared" si="3"/>
        <v>4.6227649367640643E-2</v>
      </c>
      <c r="R25" s="72">
        <v>1</v>
      </c>
      <c r="S25" s="64">
        <v>2</v>
      </c>
      <c r="T25" s="64"/>
      <c r="U25" s="64"/>
      <c r="V25" s="64"/>
      <c r="W25" s="64">
        <v>3</v>
      </c>
      <c r="X25" s="126">
        <f t="shared" si="7"/>
        <v>3</v>
      </c>
      <c r="Y25" s="126">
        <f t="shared" si="7"/>
        <v>5</v>
      </c>
      <c r="Z25" s="70">
        <f t="shared" si="5"/>
        <v>0.10204081632653061</v>
      </c>
    </row>
    <row r="26" spans="1:28">
      <c r="A26" s="64">
        <v>5292</v>
      </c>
      <c r="B26" s="64">
        <v>180</v>
      </c>
      <c r="C26" s="64">
        <v>10</v>
      </c>
      <c r="D26" s="60">
        <v>90</v>
      </c>
      <c r="E26" s="64">
        <f t="shared" si="0"/>
        <v>1</v>
      </c>
      <c r="F26" s="64">
        <f t="shared" si="1"/>
        <v>1</v>
      </c>
      <c r="G26" s="64">
        <f t="shared" si="1"/>
        <v>1</v>
      </c>
      <c r="H26" s="64" t="str">
        <f t="shared" si="2"/>
        <v>111</v>
      </c>
      <c r="I26" s="64">
        <v>1</v>
      </c>
      <c r="J26" s="64" t="s">
        <v>305</v>
      </c>
      <c r="K26" s="64">
        <v>1</v>
      </c>
      <c r="L26" s="69">
        <v>2.0408163265306121E-2</v>
      </c>
      <c r="M26" s="214">
        <f t="shared" si="3"/>
        <v>1.3083296990841693E-2</v>
      </c>
      <c r="R26" s="72">
        <v>2</v>
      </c>
      <c r="S26" s="64">
        <v>4</v>
      </c>
      <c r="W26" s="64">
        <v>3</v>
      </c>
      <c r="X26" s="126">
        <f t="shared" si="7"/>
        <v>4</v>
      </c>
      <c r="Y26" s="126">
        <f t="shared" si="7"/>
        <v>2</v>
      </c>
      <c r="Z26" s="70">
        <f t="shared" si="5"/>
        <v>4.0816326530612242E-2</v>
      </c>
    </row>
    <row r="27" spans="1:28">
      <c r="A27" s="64">
        <v>9958</v>
      </c>
      <c r="B27" s="64">
        <v>162</v>
      </c>
      <c r="C27" s="64">
        <v>36</v>
      </c>
      <c r="D27" s="60">
        <v>580</v>
      </c>
      <c r="E27" s="64">
        <f t="shared" si="0"/>
        <v>2</v>
      </c>
      <c r="F27" s="64">
        <f t="shared" si="1"/>
        <v>2</v>
      </c>
      <c r="G27" s="64">
        <f t="shared" si="1"/>
        <v>3</v>
      </c>
      <c r="H27" s="64" t="str">
        <f t="shared" si="2"/>
        <v>223</v>
      </c>
      <c r="I27" s="64">
        <v>1</v>
      </c>
      <c r="J27" s="64" t="s">
        <v>306</v>
      </c>
      <c r="K27" s="64">
        <v>2</v>
      </c>
      <c r="L27" s="69">
        <v>4.0816326530612242E-2</v>
      </c>
      <c r="M27" s="214">
        <f t="shared" si="3"/>
        <v>4.0122110771914521E-2</v>
      </c>
      <c r="R27" s="72">
        <v>3</v>
      </c>
      <c r="S27" s="64">
        <v>5</v>
      </c>
      <c r="W27" s="64">
        <v>4</v>
      </c>
      <c r="X27" s="126">
        <f>R30</f>
        <v>1</v>
      </c>
      <c r="Y27" s="126">
        <f>S30</f>
        <v>2</v>
      </c>
      <c r="Z27" s="70">
        <f t="shared" si="5"/>
        <v>4.0816326530612242E-2</v>
      </c>
    </row>
    <row r="28" spans="1:28">
      <c r="A28" s="64">
        <v>5587</v>
      </c>
      <c r="B28" s="64">
        <v>40</v>
      </c>
      <c r="C28" s="64">
        <v>63</v>
      </c>
      <c r="D28" s="60">
        <v>800</v>
      </c>
      <c r="E28" s="64">
        <f t="shared" si="0"/>
        <v>4</v>
      </c>
      <c r="F28" s="64">
        <f t="shared" si="1"/>
        <v>4</v>
      </c>
      <c r="G28" s="64">
        <f t="shared" si="1"/>
        <v>4</v>
      </c>
      <c r="H28" s="64" t="str">
        <f t="shared" si="2"/>
        <v>444</v>
      </c>
      <c r="I28" s="64">
        <v>1</v>
      </c>
      <c r="J28" s="64" t="s">
        <v>307</v>
      </c>
      <c r="K28" s="64">
        <v>1</v>
      </c>
      <c r="L28" s="69">
        <v>2.0408163265306121E-2</v>
      </c>
      <c r="M28" s="214">
        <f t="shared" si="3"/>
        <v>2.5294374182293938E-2</v>
      </c>
      <c r="R28" s="72">
        <v>4</v>
      </c>
      <c r="S28" s="64">
        <v>2</v>
      </c>
      <c r="W28" s="64">
        <v>4</v>
      </c>
      <c r="X28" s="126">
        <f t="shared" ref="X28:Y30" si="8">R31</f>
        <v>2</v>
      </c>
      <c r="Y28" s="126">
        <f t="shared" si="8"/>
        <v>3</v>
      </c>
      <c r="Z28" s="70">
        <f t="shared" si="5"/>
        <v>6.1224489795918366E-2</v>
      </c>
    </row>
    <row r="29" spans="1:28">
      <c r="A29" s="64">
        <v>2586</v>
      </c>
      <c r="B29" s="64">
        <v>27</v>
      </c>
      <c r="C29" s="64">
        <v>22</v>
      </c>
      <c r="D29" s="60">
        <v>80</v>
      </c>
      <c r="E29" s="64">
        <f t="shared" si="0"/>
        <v>4</v>
      </c>
      <c r="F29" s="64">
        <f t="shared" si="1"/>
        <v>1</v>
      </c>
      <c r="G29" s="64">
        <f t="shared" si="1"/>
        <v>1</v>
      </c>
      <c r="H29" s="64" t="str">
        <f t="shared" si="2"/>
        <v>411</v>
      </c>
      <c r="I29" s="64">
        <v>1</v>
      </c>
      <c r="J29" s="173" t="s">
        <v>308</v>
      </c>
      <c r="K29" s="173">
        <v>1</v>
      </c>
      <c r="L29" s="213">
        <v>2.0408163265306121E-2</v>
      </c>
      <c r="M29" s="214">
        <f t="shared" si="3"/>
        <v>9.5944177932839082E-3</v>
      </c>
      <c r="R29" s="215">
        <v>4</v>
      </c>
      <c r="S29" s="64">
        <v>13</v>
      </c>
      <c r="W29" s="64">
        <v>4</v>
      </c>
      <c r="X29" s="126">
        <f t="shared" si="8"/>
        <v>3</v>
      </c>
      <c r="Y29" s="126">
        <f t="shared" si="8"/>
        <v>3</v>
      </c>
      <c r="Z29" s="70">
        <f t="shared" si="5"/>
        <v>6.1224489795918366E-2</v>
      </c>
    </row>
    <row r="30" spans="1:28">
      <c r="A30" s="64">
        <v>2898</v>
      </c>
      <c r="B30" s="64">
        <v>20</v>
      </c>
      <c r="C30" s="64">
        <v>59</v>
      </c>
      <c r="D30" s="60">
        <v>1600</v>
      </c>
      <c r="E30" s="64">
        <f t="shared" si="0"/>
        <v>4</v>
      </c>
      <c r="F30" s="64">
        <f t="shared" si="1"/>
        <v>4</v>
      </c>
      <c r="G30" s="64">
        <f t="shared" si="1"/>
        <v>4</v>
      </c>
      <c r="H30" s="64" t="str">
        <f t="shared" si="2"/>
        <v>444</v>
      </c>
      <c r="I30" s="64">
        <v>1</v>
      </c>
      <c r="J30" s="64" t="s">
        <v>309</v>
      </c>
      <c r="K30" s="64">
        <v>1</v>
      </c>
      <c r="L30" s="69">
        <v>2.0408163265306121E-2</v>
      </c>
      <c r="M30" s="214">
        <f t="shared" si="3"/>
        <v>2.6166593981683385E-3</v>
      </c>
      <c r="R30" s="72">
        <v>1</v>
      </c>
      <c r="S30" s="64">
        <v>2</v>
      </c>
      <c r="W30" s="64">
        <v>4</v>
      </c>
      <c r="X30" s="126">
        <f t="shared" si="8"/>
        <v>4</v>
      </c>
      <c r="Y30" s="126">
        <f t="shared" si="8"/>
        <v>5</v>
      </c>
      <c r="Z30" s="70">
        <f t="shared" si="5"/>
        <v>0.10204081632653061</v>
      </c>
      <c r="AA30" s="205" t="s">
        <v>310</v>
      </c>
      <c r="AB30" s="205"/>
    </row>
    <row r="31" spans="1:28">
      <c r="A31" s="64">
        <v>6835</v>
      </c>
      <c r="B31" s="64">
        <v>148</v>
      </c>
      <c r="C31" s="64">
        <v>20</v>
      </c>
      <c r="D31" s="60">
        <v>160</v>
      </c>
      <c r="E31" s="64">
        <f t="shared" si="0"/>
        <v>2</v>
      </c>
      <c r="F31" s="64">
        <f t="shared" si="1"/>
        <v>1</v>
      </c>
      <c r="G31" s="64">
        <f t="shared" si="1"/>
        <v>2</v>
      </c>
      <c r="H31" s="64" t="str">
        <f t="shared" si="2"/>
        <v>212</v>
      </c>
      <c r="I31" s="64">
        <v>1</v>
      </c>
      <c r="J31" s="64" t="s">
        <v>311</v>
      </c>
      <c r="K31" s="64">
        <v>1</v>
      </c>
      <c r="L31" s="69">
        <v>2.0408163265306121E-2</v>
      </c>
      <c r="M31" s="214">
        <f t="shared" si="3"/>
        <v>6.9777583951155693E-3</v>
      </c>
      <c r="R31" s="72">
        <v>2</v>
      </c>
      <c r="S31" s="64">
        <v>3</v>
      </c>
      <c r="X31" s="126"/>
      <c r="Y31" s="126"/>
    </row>
    <row r="32" spans="1:28">
      <c r="A32" s="64">
        <v>3987</v>
      </c>
      <c r="B32" s="64">
        <v>55</v>
      </c>
      <c r="C32" s="64">
        <v>100</v>
      </c>
      <c r="D32" s="60">
        <v>800</v>
      </c>
      <c r="E32" s="64">
        <f t="shared" si="0"/>
        <v>4</v>
      </c>
      <c r="F32" s="64">
        <f t="shared" si="1"/>
        <v>4</v>
      </c>
      <c r="G32" s="64">
        <f t="shared" si="1"/>
        <v>4</v>
      </c>
      <c r="H32" s="64" t="str">
        <f t="shared" si="2"/>
        <v>444</v>
      </c>
      <c r="I32" s="64">
        <v>1</v>
      </c>
      <c r="J32" s="64" t="s">
        <v>312</v>
      </c>
      <c r="K32" s="64">
        <v>3</v>
      </c>
      <c r="L32" s="69">
        <v>6.1224489795918366E-2</v>
      </c>
      <c r="M32" s="214">
        <f t="shared" si="3"/>
        <v>9.5944177932839082E-3</v>
      </c>
      <c r="R32" s="72">
        <v>3</v>
      </c>
      <c r="S32" s="64">
        <v>3</v>
      </c>
    </row>
    <row r="33" spans="1:19">
      <c r="A33" s="64">
        <v>5458</v>
      </c>
      <c r="B33" s="64">
        <v>118</v>
      </c>
      <c r="C33" s="64">
        <v>46</v>
      </c>
      <c r="D33" s="60">
        <v>680</v>
      </c>
      <c r="E33" s="64">
        <f t="shared" si="0"/>
        <v>3</v>
      </c>
      <c r="F33" s="64">
        <f t="shared" si="1"/>
        <v>3</v>
      </c>
      <c r="G33" s="64">
        <f t="shared" si="1"/>
        <v>3</v>
      </c>
      <c r="H33" s="64" t="str">
        <f t="shared" si="2"/>
        <v>333</v>
      </c>
      <c r="I33" s="64">
        <v>1</v>
      </c>
      <c r="J33" s="64" t="s">
        <v>313</v>
      </c>
      <c r="K33" s="64">
        <v>1</v>
      </c>
      <c r="L33" s="69">
        <v>2.0408163265306121E-2</v>
      </c>
      <c r="M33" s="214">
        <f t="shared" si="3"/>
        <v>4.0994330571303972E-2</v>
      </c>
      <c r="R33" s="72">
        <v>4</v>
      </c>
      <c r="S33" s="64">
        <v>5</v>
      </c>
    </row>
    <row r="34" spans="1:19">
      <c r="A34" s="64">
        <v>1323</v>
      </c>
      <c r="B34" s="64">
        <v>118</v>
      </c>
      <c r="C34" s="64">
        <v>63</v>
      </c>
      <c r="D34" s="60">
        <v>1140</v>
      </c>
      <c r="E34" s="64">
        <f t="shared" si="0"/>
        <v>3</v>
      </c>
      <c r="F34" s="64">
        <f t="shared" si="1"/>
        <v>4</v>
      </c>
      <c r="G34" s="64">
        <f t="shared" si="1"/>
        <v>4</v>
      </c>
      <c r="H34" s="64" t="str">
        <f t="shared" si="2"/>
        <v>344</v>
      </c>
      <c r="I34" s="64">
        <v>1</v>
      </c>
      <c r="J34" s="64" t="s">
        <v>314</v>
      </c>
      <c r="K34" s="64">
        <v>1</v>
      </c>
      <c r="L34" s="69">
        <v>2.0408163265306121E-2</v>
      </c>
      <c r="M34" s="214">
        <f t="shared" si="3"/>
        <v>2.3549934583515047E-2</v>
      </c>
      <c r="R34" s="215" t="s">
        <v>315</v>
      </c>
      <c r="S34" s="64">
        <v>49</v>
      </c>
    </row>
    <row r="35" spans="1:19">
      <c r="A35" s="64">
        <v>815</v>
      </c>
      <c r="B35" s="64">
        <v>123</v>
      </c>
      <c r="C35" s="64">
        <v>13</v>
      </c>
      <c r="D35" s="60">
        <v>60</v>
      </c>
      <c r="E35" s="64">
        <f t="shared" si="0"/>
        <v>2</v>
      </c>
      <c r="F35" s="64">
        <f t="shared" si="1"/>
        <v>1</v>
      </c>
      <c r="G35" s="64">
        <f t="shared" si="1"/>
        <v>1</v>
      </c>
      <c r="H35" s="64" t="str">
        <f t="shared" si="2"/>
        <v>211</v>
      </c>
      <c r="I35" s="64">
        <v>1</v>
      </c>
      <c r="J35" s="64" t="s">
        <v>316</v>
      </c>
      <c r="K35" s="64">
        <v>1</v>
      </c>
      <c r="L35" s="69">
        <v>2.0408163265306121E-2</v>
      </c>
      <c r="M35" s="214">
        <f t="shared" si="3"/>
        <v>3.9249890972525077E-2</v>
      </c>
    </row>
    <row r="36" spans="1:19">
      <c r="A36" s="64">
        <v>4665</v>
      </c>
      <c r="B36" s="64">
        <v>161</v>
      </c>
      <c r="C36" s="64">
        <v>21</v>
      </c>
      <c r="D36" s="60">
        <v>60</v>
      </c>
      <c r="E36" s="64">
        <f t="shared" si="0"/>
        <v>2</v>
      </c>
      <c r="F36" s="64">
        <f t="shared" si="1"/>
        <v>1</v>
      </c>
      <c r="G36" s="64">
        <f t="shared" si="1"/>
        <v>1</v>
      </c>
      <c r="H36" s="64" t="str">
        <f t="shared" si="2"/>
        <v>211</v>
      </c>
      <c r="I36" s="64">
        <v>1</v>
      </c>
      <c r="J36" s="64" t="s">
        <v>317</v>
      </c>
      <c r="K36" s="64">
        <v>1</v>
      </c>
      <c r="L36" s="69">
        <v>2.0408163265306121E-2</v>
      </c>
      <c r="M36" s="214">
        <f t="shared" si="3"/>
        <v>2.5294374182293938E-2</v>
      </c>
    </row>
    <row r="37" spans="1:19">
      <c r="A37" s="64">
        <v>2122</v>
      </c>
      <c r="B37" s="64">
        <v>49</v>
      </c>
      <c r="C37" s="64">
        <v>28</v>
      </c>
      <c r="D37" s="60">
        <v>280</v>
      </c>
      <c r="E37" s="64">
        <f t="shared" si="0"/>
        <v>4</v>
      </c>
      <c r="F37" s="64">
        <f t="shared" si="1"/>
        <v>2</v>
      </c>
      <c r="G37" s="64">
        <f t="shared" si="1"/>
        <v>2</v>
      </c>
      <c r="H37" s="64" t="str">
        <f t="shared" si="2"/>
        <v>422</v>
      </c>
      <c r="I37" s="64">
        <v>1</v>
      </c>
      <c r="J37" s="173" t="s">
        <v>318</v>
      </c>
      <c r="K37" s="173">
        <v>2</v>
      </c>
      <c r="L37" s="213">
        <v>4.0816326530612242E-2</v>
      </c>
      <c r="M37" s="214">
        <f t="shared" si="3"/>
        <v>1.7444395987788922E-2</v>
      </c>
    </row>
    <row r="38" spans="1:19">
      <c r="A38" s="64">
        <v>3943</v>
      </c>
      <c r="B38" s="64">
        <v>110</v>
      </c>
      <c r="C38" s="64">
        <v>18</v>
      </c>
      <c r="D38" s="60">
        <v>220</v>
      </c>
      <c r="E38" s="64">
        <f t="shared" si="0"/>
        <v>3</v>
      </c>
      <c r="F38" s="64">
        <f t="shared" si="1"/>
        <v>1</v>
      </c>
      <c r="G38" s="64">
        <f t="shared" si="1"/>
        <v>2</v>
      </c>
      <c r="H38" s="64" t="str">
        <f t="shared" si="2"/>
        <v>312</v>
      </c>
      <c r="I38" s="64">
        <v>1</v>
      </c>
      <c r="J38" s="173" t="s">
        <v>319</v>
      </c>
      <c r="K38" s="173">
        <v>1</v>
      </c>
      <c r="L38" s="213">
        <v>2.0408163265306121E-2</v>
      </c>
      <c r="M38" s="214">
        <f t="shared" si="3"/>
        <v>6.1055385957261227E-3</v>
      </c>
    </row>
    <row r="39" spans="1:19">
      <c r="A39" s="64">
        <v>8835</v>
      </c>
      <c r="B39" s="64">
        <v>181</v>
      </c>
      <c r="C39" s="64">
        <v>54</v>
      </c>
      <c r="D39" s="60">
        <v>900</v>
      </c>
      <c r="E39" s="64">
        <f t="shared" si="0"/>
        <v>1</v>
      </c>
      <c r="F39" s="64">
        <f t="shared" si="1"/>
        <v>3</v>
      </c>
      <c r="G39" s="64">
        <f t="shared" si="1"/>
        <v>4</v>
      </c>
      <c r="H39" s="64" t="str">
        <f t="shared" si="2"/>
        <v>134</v>
      </c>
      <c r="I39" s="64">
        <v>1</v>
      </c>
      <c r="J39" s="173" t="s">
        <v>320</v>
      </c>
      <c r="K39" s="173">
        <v>5</v>
      </c>
      <c r="L39" s="213">
        <v>0.10204081632653061</v>
      </c>
      <c r="M39" s="214">
        <f t="shared" si="3"/>
        <v>1.70082860880942E-2</v>
      </c>
    </row>
    <row r="40" spans="1:19">
      <c r="A40" s="64">
        <v>3898</v>
      </c>
      <c r="B40" s="64">
        <v>27</v>
      </c>
      <c r="C40" s="64">
        <v>50</v>
      </c>
      <c r="D40" s="60">
        <v>260</v>
      </c>
      <c r="E40" s="64">
        <f t="shared" si="0"/>
        <v>4</v>
      </c>
      <c r="F40" s="64">
        <f t="shared" si="1"/>
        <v>3</v>
      </c>
      <c r="G40" s="64">
        <f t="shared" si="1"/>
        <v>2</v>
      </c>
      <c r="H40" s="64" t="str">
        <f t="shared" si="2"/>
        <v>432</v>
      </c>
      <c r="I40" s="64">
        <v>1</v>
      </c>
      <c r="J40" s="222" t="s">
        <v>315</v>
      </c>
      <c r="K40" s="173">
        <v>49</v>
      </c>
      <c r="L40" s="213">
        <v>1</v>
      </c>
      <c r="M40" s="214"/>
    </row>
    <row r="41" spans="1:19">
      <c r="A41" s="64">
        <v>254</v>
      </c>
      <c r="B41" s="64">
        <v>185</v>
      </c>
      <c r="C41" s="64">
        <v>22</v>
      </c>
      <c r="D41" s="60">
        <v>90</v>
      </c>
      <c r="E41" s="64">
        <f t="shared" si="0"/>
        <v>1</v>
      </c>
      <c r="F41" s="64">
        <f t="shared" si="1"/>
        <v>1</v>
      </c>
      <c r="G41" s="64">
        <f t="shared" si="1"/>
        <v>1</v>
      </c>
      <c r="H41" s="64" t="str">
        <f t="shared" si="2"/>
        <v>111</v>
      </c>
      <c r="I41" s="64">
        <v>1</v>
      </c>
      <c r="J41"/>
      <c r="K41"/>
      <c r="L41"/>
    </row>
    <row r="42" spans="1:19">
      <c r="A42" s="64">
        <v>6934</v>
      </c>
      <c r="B42" s="64">
        <v>200</v>
      </c>
      <c r="C42" s="64">
        <v>10</v>
      </c>
      <c r="D42" s="60">
        <v>60</v>
      </c>
      <c r="E42" s="64">
        <f t="shared" si="0"/>
        <v>1</v>
      </c>
      <c r="F42" s="64">
        <f t="shared" si="1"/>
        <v>1</v>
      </c>
      <c r="G42" s="64">
        <f t="shared" si="1"/>
        <v>1</v>
      </c>
      <c r="H42" s="64" t="str">
        <f t="shared" si="2"/>
        <v>111</v>
      </c>
      <c r="I42" s="64">
        <v>1</v>
      </c>
      <c r="J42"/>
      <c r="K42"/>
      <c r="L42"/>
    </row>
    <row r="43" spans="1:19">
      <c r="A43" s="64">
        <v>3492</v>
      </c>
      <c r="B43" s="64">
        <v>88</v>
      </c>
      <c r="C43" s="64">
        <v>50</v>
      </c>
      <c r="D43" s="60">
        <v>580</v>
      </c>
      <c r="E43" s="64">
        <f t="shared" si="0"/>
        <v>3</v>
      </c>
      <c r="F43" s="64">
        <f t="shared" si="1"/>
        <v>3</v>
      </c>
      <c r="G43" s="64">
        <f t="shared" si="1"/>
        <v>3</v>
      </c>
      <c r="H43" s="64" t="str">
        <f t="shared" si="2"/>
        <v>333</v>
      </c>
      <c r="I43" s="64">
        <v>1</v>
      </c>
      <c r="J43"/>
      <c r="K43"/>
      <c r="L43"/>
    </row>
    <row r="44" spans="1:19">
      <c r="A44" s="64">
        <v>9076</v>
      </c>
      <c r="B44" s="64">
        <v>10</v>
      </c>
      <c r="C44" s="64">
        <v>42</v>
      </c>
      <c r="D44" s="60">
        <v>720</v>
      </c>
      <c r="E44" s="64">
        <f t="shared" si="0"/>
        <v>4</v>
      </c>
      <c r="F44" s="64">
        <f t="shared" si="1"/>
        <v>3</v>
      </c>
      <c r="G44" s="64">
        <f t="shared" si="1"/>
        <v>3</v>
      </c>
      <c r="H44" s="64" t="str">
        <f t="shared" si="2"/>
        <v>433</v>
      </c>
      <c r="I44" s="64">
        <v>1</v>
      </c>
      <c r="J44"/>
      <c r="K44"/>
      <c r="L44"/>
    </row>
    <row r="45" spans="1:19">
      <c r="A45" s="64">
        <v>2308</v>
      </c>
      <c r="B45" s="64">
        <v>56</v>
      </c>
      <c r="C45" s="64">
        <v>60</v>
      </c>
      <c r="D45" s="60">
        <v>1000</v>
      </c>
      <c r="E45" s="64">
        <f t="shared" si="0"/>
        <v>4</v>
      </c>
      <c r="F45" s="64">
        <f t="shared" si="1"/>
        <v>4</v>
      </c>
      <c r="G45" s="64">
        <f t="shared" si="1"/>
        <v>4</v>
      </c>
      <c r="H45" s="64" t="str">
        <f t="shared" si="2"/>
        <v>444</v>
      </c>
      <c r="I45" s="64">
        <v>1</v>
      </c>
      <c r="J45"/>
      <c r="K45"/>
      <c r="L45"/>
    </row>
    <row r="46" spans="1:19">
      <c r="A46" s="64">
        <v>2499</v>
      </c>
      <c r="B46" s="64">
        <v>165</v>
      </c>
      <c r="C46" s="64">
        <v>20</v>
      </c>
      <c r="D46" s="60">
        <v>100</v>
      </c>
      <c r="E46" s="64">
        <f t="shared" si="0"/>
        <v>2</v>
      </c>
      <c r="F46" s="64">
        <f t="shared" si="1"/>
        <v>1</v>
      </c>
      <c r="G46" s="64">
        <f t="shared" si="1"/>
        <v>1</v>
      </c>
      <c r="H46" s="64" t="str">
        <f t="shared" si="2"/>
        <v>211</v>
      </c>
      <c r="I46" s="64">
        <v>1</v>
      </c>
      <c r="J46"/>
      <c r="K46"/>
      <c r="L46"/>
    </row>
    <row r="47" spans="1:19">
      <c r="A47" s="64">
        <v>5509</v>
      </c>
      <c r="B47" s="64">
        <v>38</v>
      </c>
      <c r="C47" s="64">
        <v>34</v>
      </c>
      <c r="D47" s="60">
        <v>400</v>
      </c>
      <c r="E47" s="64">
        <f t="shared" si="0"/>
        <v>4</v>
      </c>
      <c r="F47" s="64">
        <f t="shared" si="1"/>
        <v>2</v>
      </c>
      <c r="G47" s="64">
        <f t="shared" si="1"/>
        <v>3</v>
      </c>
      <c r="H47" s="64" t="str">
        <f t="shared" si="2"/>
        <v>423</v>
      </c>
      <c r="I47" s="64">
        <v>1</v>
      </c>
      <c r="J47"/>
      <c r="K47"/>
      <c r="L47"/>
    </row>
    <row r="48" spans="1:19">
      <c r="A48" s="64">
        <v>9939</v>
      </c>
      <c r="B48" s="64">
        <v>186</v>
      </c>
      <c r="C48" s="64">
        <v>57</v>
      </c>
      <c r="D48" s="60">
        <v>540</v>
      </c>
      <c r="E48" s="64">
        <f t="shared" si="0"/>
        <v>1</v>
      </c>
      <c r="F48" s="64">
        <f t="shared" si="1"/>
        <v>4</v>
      </c>
      <c r="G48" s="64">
        <f t="shared" si="1"/>
        <v>3</v>
      </c>
      <c r="H48" s="64" t="str">
        <f t="shared" si="2"/>
        <v>143</v>
      </c>
      <c r="I48" s="64">
        <v>1</v>
      </c>
      <c r="J48"/>
      <c r="K48"/>
      <c r="L48"/>
    </row>
    <row r="49" spans="1:12">
      <c r="A49" s="64">
        <v>9623</v>
      </c>
      <c r="B49" s="64">
        <v>117</v>
      </c>
      <c r="C49" s="64">
        <v>54</v>
      </c>
      <c r="D49" s="60">
        <v>620</v>
      </c>
      <c r="E49" s="64">
        <f t="shared" si="0"/>
        <v>3</v>
      </c>
      <c r="F49" s="64">
        <f t="shared" si="1"/>
        <v>3</v>
      </c>
      <c r="G49" s="64">
        <f t="shared" si="1"/>
        <v>3</v>
      </c>
      <c r="H49" s="64" t="str">
        <f t="shared" si="2"/>
        <v>333</v>
      </c>
      <c r="I49" s="64">
        <v>1</v>
      </c>
      <c r="J49"/>
      <c r="K49"/>
      <c r="L49"/>
    </row>
    <row r="50" spans="1:12">
      <c r="A50" s="64">
        <v>455</v>
      </c>
      <c r="B50" s="64">
        <v>53</v>
      </c>
      <c r="C50" s="64">
        <v>6</v>
      </c>
      <c r="D50" s="60">
        <v>100</v>
      </c>
      <c r="E50" s="64">
        <f t="shared" si="0"/>
        <v>4</v>
      </c>
      <c r="F50" s="64">
        <f t="shared" si="1"/>
        <v>1</v>
      </c>
      <c r="G50" s="64">
        <f t="shared" si="1"/>
        <v>1</v>
      </c>
      <c r="H50" s="64" t="str">
        <f t="shared" si="2"/>
        <v>411</v>
      </c>
      <c r="I50" s="64">
        <v>1</v>
      </c>
    </row>
    <row r="51" spans="1:12">
      <c r="A51" s="64">
        <v>8851</v>
      </c>
      <c r="B51" s="64">
        <v>190</v>
      </c>
      <c r="C51" s="64">
        <v>47</v>
      </c>
      <c r="D51" s="60">
        <v>580</v>
      </c>
      <c r="E51" s="64">
        <f t="shared" si="0"/>
        <v>1</v>
      </c>
      <c r="F51" s="64">
        <f t="shared" si="1"/>
        <v>3</v>
      </c>
      <c r="G51" s="64">
        <f t="shared" si="1"/>
        <v>3</v>
      </c>
      <c r="H51" s="64" t="str">
        <f t="shared" si="2"/>
        <v>133</v>
      </c>
      <c r="I51" s="64">
        <v>1</v>
      </c>
    </row>
    <row r="52" spans="1:12">
      <c r="A52" s="64">
        <v>8502</v>
      </c>
      <c r="B52" s="64">
        <v>104</v>
      </c>
      <c r="C52" s="64">
        <v>24</v>
      </c>
      <c r="D52" s="60">
        <v>200</v>
      </c>
      <c r="E52" s="64">
        <f t="shared" si="0"/>
        <v>3</v>
      </c>
      <c r="F52" s="64">
        <f t="shared" si="1"/>
        <v>2</v>
      </c>
      <c r="G52" s="64">
        <f t="shared" si="1"/>
        <v>2</v>
      </c>
      <c r="H52" s="64" t="str">
        <f t="shared" si="2"/>
        <v>322</v>
      </c>
      <c r="I52" s="64">
        <v>1</v>
      </c>
    </row>
  </sheetData>
  <phoneticPr fontId="44" type="noConversion"/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94C7-55BA-4B59-BF51-69E9B6BB8007}">
  <sheetPr>
    <tabColor rgb="FF00B050"/>
  </sheetPr>
  <dimension ref="A1"/>
  <sheetViews>
    <sheetView workbookViewId="0">
      <selection activeCell="C36" sqref="C36"/>
    </sheetView>
  </sheetViews>
  <sheetFormatPr defaultRowHeight="17.399999999999999"/>
  <sheetData/>
  <phoneticPr fontId="4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9078-E190-4722-BC4F-F43CB73906E7}">
  <sheetPr>
    <tabColor rgb="FF92D050"/>
  </sheetPr>
  <dimension ref="A1"/>
  <sheetViews>
    <sheetView workbookViewId="0">
      <selection activeCell="Q37" sqref="Q37"/>
    </sheetView>
  </sheetViews>
  <sheetFormatPr defaultRowHeight="17.399999999999999"/>
  <sheetData/>
  <phoneticPr fontId="4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75AF-7BF5-4611-BCAD-FF3CDCA312D7}">
  <sheetPr>
    <outlinePr summaryBelow="0" summaryRight="0"/>
  </sheetPr>
  <dimension ref="A1:M10"/>
  <sheetViews>
    <sheetView workbookViewId="0">
      <pane xSplit="1" ySplit="1" topLeftCell="B2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14.3984375" defaultRowHeight="15.75" customHeight="1"/>
  <cols>
    <col min="1" max="1" width="16.296875" style="31" customWidth="1"/>
    <col min="2" max="9" width="8.69921875" style="31" customWidth="1"/>
    <col min="10" max="10" width="14" style="31" customWidth="1"/>
    <col min="11" max="13" width="8.69921875" style="31" customWidth="1"/>
    <col min="14" max="16384" width="14.3984375" style="31"/>
  </cols>
  <sheetData>
    <row r="1" spans="1:13" ht="15.75" customHeight="1">
      <c r="B1" s="32" t="s">
        <v>26</v>
      </c>
      <c r="C1" s="32" t="s">
        <v>27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  <c r="J1" s="32" t="s">
        <v>34</v>
      </c>
      <c r="K1" s="32" t="s">
        <v>35</v>
      </c>
      <c r="L1" s="32" t="s">
        <v>36</v>
      </c>
      <c r="M1" s="32" t="s">
        <v>37</v>
      </c>
    </row>
    <row r="2" spans="1:13" ht="15.75" customHeight="1">
      <c r="A2" s="33" t="s">
        <v>38</v>
      </c>
      <c r="B2" s="34">
        <v>10450</v>
      </c>
      <c r="C2" s="34">
        <v>11892</v>
      </c>
      <c r="D2" s="34">
        <v>12347</v>
      </c>
      <c r="E2" s="34">
        <v>12395</v>
      </c>
      <c r="F2" s="34">
        <v>13538</v>
      </c>
      <c r="G2" s="34">
        <v>10385</v>
      </c>
      <c r="H2" s="34">
        <v>10395</v>
      </c>
      <c r="I2" s="34">
        <v>13485</v>
      </c>
      <c r="J2" s="34">
        <v>12347</v>
      </c>
      <c r="K2" s="34">
        <v>13538</v>
      </c>
      <c r="L2" s="34">
        <v>12584</v>
      </c>
      <c r="M2" s="34">
        <v>12119</v>
      </c>
    </row>
    <row r="3" spans="1:13" ht="15.75" customHeight="1">
      <c r="A3" s="33" t="s">
        <v>39</v>
      </c>
      <c r="B3" s="34">
        <v>30122</v>
      </c>
      <c r="C3" s="34">
        <v>34321</v>
      </c>
      <c r="D3" s="34">
        <v>38943</v>
      </c>
      <c r="E3" s="34">
        <v>38234</v>
      </c>
      <c r="F3" s="34">
        <v>40438</v>
      </c>
      <c r="G3" s="34">
        <v>44784</v>
      </c>
      <c r="H3" s="34">
        <v>48348</v>
      </c>
      <c r="I3" s="34">
        <v>44321</v>
      </c>
      <c r="J3" s="34">
        <v>44756</v>
      </c>
      <c r="K3" s="34">
        <v>44943</v>
      </c>
      <c r="L3" s="34">
        <v>48218</v>
      </c>
      <c r="M3" s="34">
        <v>50326</v>
      </c>
    </row>
    <row r="4" spans="1:13" ht="15.75" customHeight="1">
      <c r="A4" s="33" t="s">
        <v>40</v>
      </c>
      <c r="B4" s="34">
        <f t="shared" ref="B4:M4" si="0">SUM(B2:B3)</f>
        <v>40572</v>
      </c>
      <c r="C4" s="34">
        <f t="shared" si="0"/>
        <v>46213</v>
      </c>
      <c r="D4" s="34">
        <f t="shared" si="0"/>
        <v>51290</v>
      </c>
      <c r="E4" s="34">
        <f t="shared" si="0"/>
        <v>50629</v>
      </c>
      <c r="F4" s="34">
        <f t="shared" si="0"/>
        <v>53976</v>
      </c>
      <c r="G4" s="34">
        <f t="shared" si="0"/>
        <v>55169</v>
      </c>
      <c r="H4" s="34">
        <f t="shared" si="0"/>
        <v>58743</v>
      </c>
      <c r="I4" s="34">
        <f t="shared" si="0"/>
        <v>57806</v>
      </c>
      <c r="J4" s="34">
        <f t="shared" si="0"/>
        <v>57103</v>
      </c>
      <c r="K4" s="34">
        <f t="shared" si="0"/>
        <v>58481</v>
      </c>
      <c r="L4" s="34">
        <f t="shared" si="0"/>
        <v>60802</v>
      </c>
      <c r="M4" s="34">
        <f t="shared" si="0"/>
        <v>62445</v>
      </c>
    </row>
    <row r="5" spans="1:13" ht="15.75" customHeight="1">
      <c r="A5" s="33" t="s">
        <v>41</v>
      </c>
      <c r="B5" s="35">
        <v>453</v>
      </c>
      <c r="C5" s="35">
        <v>485</v>
      </c>
      <c r="D5" s="35">
        <v>481</v>
      </c>
      <c r="E5" s="35">
        <v>502</v>
      </c>
      <c r="F5" s="35">
        <v>509</v>
      </c>
      <c r="G5" s="35">
        <v>444</v>
      </c>
      <c r="H5" s="35">
        <v>545</v>
      </c>
      <c r="I5" s="35">
        <v>589</v>
      </c>
      <c r="J5" s="35">
        <v>590</v>
      </c>
      <c r="K5" s="35">
        <v>612</v>
      </c>
      <c r="L5" s="35">
        <v>690</v>
      </c>
      <c r="M5" s="35">
        <v>700</v>
      </c>
    </row>
    <row r="6" spans="1:13" ht="15.75" customHeight="1">
      <c r="A6" s="36" t="s">
        <v>42</v>
      </c>
      <c r="B6" s="37">
        <f t="shared" ref="B6:M6" si="1">B4/B5</f>
        <v>89.562913907284766</v>
      </c>
      <c r="C6" s="37">
        <f t="shared" si="1"/>
        <v>95.284536082474233</v>
      </c>
      <c r="D6" s="37">
        <f t="shared" si="1"/>
        <v>106.63201663201663</v>
      </c>
      <c r="E6" s="37">
        <f t="shared" si="1"/>
        <v>100.85458167330677</v>
      </c>
      <c r="F6" s="37">
        <f t="shared" si="1"/>
        <v>106.04322200392927</v>
      </c>
      <c r="G6" s="37">
        <f t="shared" si="1"/>
        <v>124.25450450450451</v>
      </c>
      <c r="H6" s="37">
        <f t="shared" si="1"/>
        <v>107.78532110091743</v>
      </c>
      <c r="I6" s="37">
        <f t="shared" si="1"/>
        <v>98.142614601018678</v>
      </c>
      <c r="J6" s="37">
        <f t="shared" si="1"/>
        <v>96.784745762711864</v>
      </c>
      <c r="K6" s="37">
        <f t="shared" si="1"/>
        <v>95.557189542483655</v>
      </c>
      <c r="L6" s="37">
        <f t="shared" si="1"/>
        <v>88.118840579710138</v>
      </c>
      <c r="M6" s="37">
        <f t="shared" si="1"/>
        <v>89.207142857142856</v>
      </c>
    </row>
    <row r="7" spans="1:13" ht="15.75" customHeight="1">
      <c r="A7" s="38"/>
    </row>
    <row r="8" spans="1:13" ht="15.75" customHeight="1">
      <c r="A8" s="38"/>
      <c r="E8" s="224" t="s">
        <v>43</v>
      </c>
      <c r="F8" s="225"/>
      <c r="G8" s="225"/>
      <c r="H8" s="225"/>
      <c r="I8" s="225"/>
      <c r="J8" s="225"/>
      <c r="K8" s="225"/>
      <c r="L8" s="225"/>
      <c r="M8" s="225"/>
    </row>
    <row r="9" spans="1:13" ht="15.75" customHeight="1">
      <c r="A9" s="38"/>
      <c r="E9" s="226"/>
      <c r="F9" s="225"/>
      <c r="G9" s="225"/>
      <c r="H9" s="225"/>
      <c r="I9" s="225"/>
      <c r="J9" s="225"/>
      <c r="K9" s="225"/>
      <c r="L9" s="225"/>
      <c r="M9" s="225"/>
    </row>
    <row r="10" spans="1:13" ht="15.75" customHeight="1">
      <c r="A10" s="38"/>
    </row>
  </sheetData>
  <mergeCells count="1">
    <mergeCell ref="E8:M9"/>
  </mergeCells>
  <phoneticPr fontId="4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D986-FB8D-42B1-851B-DDE4A8E2D72A}">
  <sheetPr>
    <outlinePr summaryBelow="0" summaryRight="0"/>
  </sheetPr>
  <dimension ref="A1:M10"/>
  <sheetViews>
    <sheetView workbookViewId="0">
      <pane xSplit="1" ySplit="1" topLeftCell="B2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14.3984375" defaultRowHeight="15.75" customHeight="1"/>
  <cols>
    <col min="1" max="1" width="16.296875" style="31" customWidth="1"/>
    <col min="2" max="12" width="8.69921875" style="31" customWidth="1"/>
    <col min="13" max="13" width="14.3984375" style="31" customWidth="1"/>
    <col min="14" max="16384" width="14.3984375" style="31"/>
  </cols>
  <sheetData>
    <row r="1" spans="1:13" ht="13.2">
      <c r="B1" s="32" t="s">
        <v>26</v>
      </c>
      <c r="C1" s="32" t="s">
        <v>27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  <c r="J1" s="32" t="s">
        <v>34</v>
      </c>
      <c r="K1" s="32" t="s">
        <v>35</v>
      </c>
      <c r="L1" s="32" t="s">
        <v>36</v>
      </c>
      <c r="M1" s="32" t="s">
        <v>37</v>
      </c>
    </row>
    <row r="2" spans="1:13" ht="13.2">
      <c r="A2" s="33" t="s">
        <v>38</v>
      </c>
      <c r="B2" s="34">
        <v>10450</v>
      </c>
      <c r="C2" s="34">
        <v>11892</v>
      </c>
      <c r="D2" s="34">
        <v>12347</v>
      </c>
      <c r="E2" s="34">
        <v>12395</v>
      </c>
      <c r="F2" s="34">
        <v>13538</v>
      </c>
      <c r="G2" s="34">
        <v>10385</v>
      </c>
      <c r="H2" s="34">
        <v>10395</v>
      </c>
      <c r="I2" s="34">
        <v>13485</v>
      </c>
      <c r="J2" s="34">
        <v>12347</v>
      </c>
      <c r="K2" s="34">
        <v>13538</v>
      </c>
      <c r="L2" s="34">
        <v>12584</v>
      </c>
      <c r="M2" s="34">
        <v>12119</v>
      </c>
    </row>
    <row r="3" spans="1:13" ht="13.2">
      <c r="A3" s="33" t="s">
        <v>39</v>
      </c>
      <c r="B3" s="34">
        <v>30122</v>
      </c>
      <c r="C3" s="34">
        <v>34321</v>
      </c>
      <c r="D3" s="34">
        <v>38943</v>
      </c>
      <c r="E3" s="34">
        <v>38234</v>
      </c>
      <c r="F3" s="34">
        <v>40438</v>
      </c>
      <c r="G3" s="34">
        <v>44784</v>
      </c>
      <c r="H3" s="34">
        <v>48348</v>
      </c>
      <c r="I3" s="34">
        <v>44321</v>
      </c>
      <c r="J3" s="34">
        <v>44756</v>
      </c>
      <c r="K3" s="34">
        <v>44943</v>
      </c>
      <c r="L3" s="34">
        <v>48218</v>
      </c>
      <c r="M3" s="34">
        <v>50326</v>
      </c>
    </row>
    <row r="4" spans="1:13" ht="13.2">
      <c r="A4" s="33" t="s">
        <v>40</v>
      </c>
      <c r="B4" s="34">
        <f t="shared" ref="B4:M4" si="0">SUM(B2:B3)</f>
        <v>40572</v>
      </c>
      <c r="C4" s="34">
        <f t="shared" si="0"/>
        <v>46213</v>
      </c>
      <c r="D4" s="34">
        <f t="shared" si="0"/>
        <v>51290</v>
      </c>
      <c r="E4" s="34">
        <f t="shared" si="0"/>
        <v>50629</v>
      </c>
      <c r="F4" s="34">
        <f t="shared" si="0"/>
        <v>53976</v>
      </c>
      <c r="G4" s="34">
        <f t="shared" si="0"/>
        <v>55169</v>
      </c>
      <c r="H4" s="34">
        <f t="shared" si="0"/>
        <v>58743</v>
      </c>
      <c r="I4" s="34">
        <f t="shared" si="0"/>
        <v>57806</v>
      </c>
      <c r="J4" s="34">
        <f t="shared" si="0"/>
        <v>57103</v>
      </c>
      <c r="K4" s="34">
        <f t="shared" si="0"/>
        <v>58481</v>
      </c>
      <c r="L4" s="34">
        <f t="shared" si="0"/>
        <v>60802</v>
      </c>
      <c r="M4" s="34">
        <f t="shared" si="0"/>
        <v>62445</v>
      </c>
    </row>
    <row r="5" spans="1:13" ht="13.2">
      <c r="A5" s="33" t="s">
        <v>41</v>
      </c>
      <c r="B5" s="35">
        <v>453</v>
      </c>
      <c r="C5" s="35">
        <v>485</v>
      </c>
      <c r="D5" s="35">
        <v>481</v>
      </c>
      <c r="E5" s="35">
        <v>502</v>
      </c>
      <c r="F5" s="35">
        <v>509</v>
      </c>
      <c r="G5" s="35">
        <v>444</v>
      </c>
      <c r="H5" s="35">
        <v>545</v>
      </c>
      <c r="I5" s="35">
        <v>589</v>
      </c>
      <c r="J5" s="35">
        <v>590</v>
      </c>
      <c r="K5" s="35">
        <v>612</v>
      </c>
      <c r="L5" s="35">
        <v>690</v>
      </c>
      <c r="M5" s="35">
        <v>700</v>
      </c>
    </row>
    <row r="6" spans="1:13" ht="13.2">
      <c r="A6" s="36" t="s">
        <v>42</v>
      </c>
      <c r="B6" s="37">
        <f t="shared" ref="B6:M6" si="1">B4/B5</f>
        <v>89.562913907284766</v>
      </c>
      <c r="C6" s="37">
        <f t="shared" si="1"/>
        <v>95.284536082474233</v>
      </c>
      <c r="D6" s="39">
        <f t="shared" si="1"/>
        <v>106.63201663201663</v>
      </c>
      <c r="E6" s="37">
        <f t="shared" si="1"/>
        <v>100.85458167330677</v>
      </c>
      <c r="F6" s="37">
        <f t="shared" si="1"/>
        <v>106.04322200392927</v>
      </c>
      <c r="G6" s="37">
        <f t="shared" si="1"/>
        <v>124.25450450450451</v>
      </c>
      <c r="H6" s="37">
        <f t="shared" si="1"/>
        <v>107.78532110091743</v>
      </c>
      <c r="I6" s="37">
        <f t="shared" si="1"/>
        <v>98.142614601018678</v>
      </c>
      <c r="J6" s="37">
        <f t="shared" si="1"/>
        <v>96.784745762711864</v>
      </c>
      <c r="K6" s="37">
        <f t="shared" si="1"/>
        <v>95.557189542483655</v>
      </c>
      <c r="L6" s="37">
        <f t="shared" si="1"/>
        <v>88.118840579710138</v>
      </c>
      <c r="M6" s="37">
        <f t="shared" si="1"/>
        <v>89.207142857142856</v>
      </c>
    </row>
    <row r="7" spans="1:13" ht="13.2">
      <c r="A7" s="38"/>
    </row>
    <row r="8" spans="1:13" ht="13.2">
      <c r="A8" s="38"/>
      <c r="B8" s="227" t="s">
        <v>44</v>
      </c>
      <c r="C8" s="228"/>
      <c r="D8" s="228"/>
      <c r="E8" s="228"/>
      <c r="F8" s="229"/>
      <c r="H8" s="233" t="s">
        <v>45</v>
      </c>
      <c r="I8" s="234"/>
      <c r="J8" s="234"/>
      <c r="K8" s="234"/>
      <c r="L8" s="234"/>
      <c r="M8" s="235"/>
    </row>
    <row r="9" spans="1:13" ht="22.5" customHeight="1">
      <c r="A9" s="38"/>
      <c r="B9" s="230"/>
      <c r="C9" s="231"/>
      <c r="D9" s="231"/>
      <c r="E9" s="231"/>
      <c r="F9" s="232"/>
      <c r="H9" s="236"/>
      <c r="I9" s="237"/>
      <c r="J9" s="237"/>
      <c r="K9" s="237"/>
      <c r="L9" s="237"/>
      <c r="M9" s="238"/>
    </row>
    <row r="10" spans="1:13" ht="13.2">
      <c r="A10" s="38"/>
    </row>
  </sheetData>
  <mergeCells count="2">
    <mergeCell ref="B8:F9"/>
    <mergeCell ref="H8:M9"/>
  </mergeCells>
  <phoneticPr fontId="4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D6E9-A2E8-4589-A9A6-99E05BB74C51}">
  <sheetPr>
    <outlinePr summaryBelow="0" summaryRight="0"/>
  </sheetPr>
  <dimension ref="A1:M21"/>
  <sheetViews>
    <sheetView workbookViewId="0">
      <pane xSplit="1" ySplit="1" topLeftCell="B2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14.3984375" defaultRowHeight="15.75" customHeight="1"/>
  <cols>
    <col min="1" max="1" width="16.296875" style="31" customWidth="1"/>
    <col min="2" max="13" width="8.69921875" style="31" customWidth="1"/>
    <col min="14" max="16384" width="14.3984375" style="31"/>
  </cols>
  <sheetData>
    <row r="1" spans="1:13" ht="13.2">
      <c r="B1" s="40" t="s">
        <v>26</v>
      </c>
      <c r="C1" s="40" t="s">
        <v>27</v>
      </c>
      <c r="D1" s="40" t="s">
        <v>28</v>
      </c>
      <c r="E1" s="40" t="s">
        <v>29</v>
      </c>
      <c r="F1" s="40" t="s">
        <v>30</v>
      </c>
      <c r="G1" s="40" t="s">
        <v>31</v>
      </c>
      <c r="H1" s="40" t="s">
        <v>32</v>
      </c>
      <c r="I1" s="40" t="s">
        <v>33</v>
      </c>
      <c r="J1" s="40" t="s">
        <v>34</v>
      </c>
      <c r="K1" s="40" t="s">
        <v>35</v>
      </c>
      <c r="L1" s="40" t="s">
        <v>36</v>
      </c>
      <c r="M1" s="40" t="s">
        <v>37</v>
      </c>
    </row>
    <row r="2" spans="1:13" ht="13.2">
      <c r="A2" s="33" t="s">
        <v>38</v>
      </c>
      <c r="B2" s="41">
        <v>10450</v>
      </c>
      <c r="C2" s="41">
        <v>11892</v>
      </c>
      <c r="D2" s="41">
        <v>12347</v>
      </c>
      <c r="E2" s="41">
        <v>12395</v>
      </c>
      <c r="F2" s="41">
        <v>13538</v>
      </c>
      <c r="G2" s="41">
        <v>10385</v>
      </c>
      <c r="H2" s="41">
        <v>10395</v>
      </c>
      <c r="I2" s="41">
        <v>13485</v>
      </c>
      <c r="J2" s="41">
        <v>12347</v>
      </c>
      <c r="K2" s="41">
        <v>13538</v>
      </c>
      <c r="L2" s="41">
        <v>12584</v>
      </c>
      <c r="M2" s="41">
        <v>12119</v>
      </c>
    </row>
    <row r="3" spans="1:13" ht="13.2">
      <c r="A3" s="33" t="s">
        <v>39</v>
      </c>
      <c r="B3" s="41">
        <v>30122</v>
      </c>
      <c r="C3" s="41">
        <v>34321</v>
      </c>
      <c r="D3" s="41">
        <v>38943</v>
      </c>
      <c r="E3" s="41">
        <v>38234</v>
      </c>
      <c r="F3" s="41">
        <v>40438</v>
      </c>
      <c r="G3" s="41">
        <v>44784</v>
      </c>
      <c r="H3" s="41">
        <v>48348</v>
      </c>
      <c r="I3" s="41">
        <v>44321</v>
      </c>
      <c r="J3" s="41">
        <v>44756</v>
      </c>
      <c r="K3" s="41">
        <v>44943</v>
      </c>
      <c r="L3" s="41">
        <v>48218</v>
      </c>
      <c r="M3" s="41">
        <v>50326</v>
      </c>
    </row>
    <row r="4" spans="1:13" ht="13.2">
      <c r="A4" s="33" t="s">
        <v>40</v>
      </c>
      <c r="B4" s="41">
        <f t="shared" ref="B4:M4" si="0">SUM(B2:B3)</f>
        <v>40572</v>
      </c>
      <c r="C4" s="41">
        <f t="shared" si="0"/>
        <v>46213</v>
      </c>
      <c r="D4" s="41">
        <f t="shared" si="0"/>
        <v>51290</v>
      </c>
      <c r="E4" s="41">
        <f t="shared" si="0"/>
        <v>50629</v>
      </c>
      <c r="F4" s="41">
        <f t="shared" si="0"/>
        <v>53976</v>
      </c>
      <c r="G4" s="41">
        <f t="shared" si="0"/>
        <v>55169</v>
      </c>
      <c r="H4" s="41">
        <f t="shared" si="0"/>
        <v>58743</v>
      </c>
      <c r="I4" s="41">
        <f t="shared" si="0"/>
        <v>57806</v>
      </c>
      <c r="J4" s="41">
        <f t="shared" si="0"/>
        <v>57103</v>
      </c>
      <c r="K4" s="41">
        <f t="shared" si="0"/>
        <v>58481</v>
      </c>
      <c r="L4" s="41">
        <f t="shared" si="0"/>
        <v>60802</v>
      </c>
      <c r="M4" s="41">
        <f t="shared" si="0"/>
        <v>62445</v>
      </c>
    </row>
    <row r="5" spans="1:13" ht="13.2">
      <c r="A5" s="33" t="s">
        <v>41</v>
      </c>
      <c r="B5" s="42">
        <v>453</v>
      </c>
      <c r="C5" s="42">
        <v>485</v>
      </c>
      <c r="D5" s="42">
        <v>481</v>
      </c>
      <c r="E5" s="42">
        <v>502</v>
      </c>
      <c r="F5" s="42">
        <v>509</v>
      </c>
      <c r="G5" s="42">
        <v>444</v>
      </c>
      <c r="H5" s="42">
        <v>545</v>
      </c>
      <c r="I5" s="42">
        <v>589</v>
      </c>
      <c r="J5" s="42">
        <v>590</v>
      </c>
      <c r="K5" s="42">
        <v>612</v>
      </c>
      <c r="L5" s="42">
        <v>690</v>
      </c>
      <c r="M5" s="42">
        <v>700</v>
      </c>
    </row>
    <row r="6" spans="1:13" ht="13.2">
      <c r="A6" s="36" t="s">
        <v>42</v>
      </c>
      <c r="B6" s="43">
        <f t="shared" ref="B6:M6" si="1">B4/B5</f>
        <v>89.562913907284766</v>
      </c>
      <c r="C6" s="43">
        <f t="shared" si="1"/>
        <v>95.284536082474233</v>
      </c>
      <c r="D6" s="44">
        <f t="shared" si="1"/>
        <v>106.63201663201663</v>
      </c>
      <c r="E6" s="43">
        <f t="shared" si="1"/>
        <v>100.85458167330677</v>
      </c>
      <c r="F6" s="43">
        <f t="shared" si="1"/>
        <v>106.04322200392927</v>
      </c>
      <c r="G6" s="43">
        <f t="shared" si="1"/>
        <v>124.25450450450451</v>
      </c>
      <c r="H6" s="43">
        <f t="shared" si="1"/>
        <v>107.78532110091743</v>
      </c>
      <c r="I6" s="43">
        <f t="shared" si="1"/>
        <v>98.142614601018678</v>
      </c>
      <c r="J6" s="43">
        <f t="shared" si="1"/>
        <v>96.784745762711864</v>
      </c>
      <c r="K6" s="43">
        <f t="shared" si="1"/>
        <v>95.557189542483655</v>
      </c>
      <c r="L6" s="43">
        <f t="shared" si="1"/>
        <v>88.118840579710138</v>
      </c>
      <c r="M6" s="43">
        <f t="shared" si="1"/>
        <v>89.207142857142856</v>
      </c>
    </row>
    <row r="7" spans="1:13" ht="13.2">
      <c r="A7" s="38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 spans="1:13" ht="13.2">
      <c r="A8" s="38"/>
      <c r="B8" s="239" t="s">
        <v>44</v>
      </c>
      <c r="C8" s="240"/>
      <c r="D8" s="240"/>
      <c r="E8" s="240"/>
      <c r="F8" s="241"/>
      <c r="G8" s="45"/>
      <c r="H8" s="233" t="s">
        <v>45</v>
      </c>
      <c r="I8" s="245"/>
      <c r="J8" s="245"/>
      <c r="K8" s="245"/>
      <c r="L8" s="245"/>
      <c r="M8" s="246"/>
    </row>
    <row r="9" spans="1:13" ht="22.5" customHeight="1">
      <c r="A9" s="38"/>
      <c r="B9" s="242"/>
      <c r="C9" s="243"/>
      <c r="D9" s="243"/>
      <c r="E9" s="243"/>
      <c r="F9" s="244"/>
      <c r="G9" s="45"/>
      <c r="H9" s="247"/>
      <c r="I9" s="248"/>
      <c r="J9" s="248"/>
      <c r="K9" s="248"/>
      <c r="L9" s="248"/>
      <c r="M9" s="249"/>
    </row>
    <row r="10" spans="1:13" ht="13.2">
      <c r="A10" s="38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3" ht="13.2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3.2">
      <c r="A12" s="48"/>
      <c r="B12" s="49" t="s">
        <v>26</v>
      </c>
      <c r="C12" s="49" t="s">
        <v>27</v>
      </c>
      <c r="D12" s="49" t="s">
        <v>28</v>
      </c>
      <c r="E12" s="49" t="s">
        <v>29</v>
      </c>
      <c r="F12" s="49" t="s">
        <v>30</v>
      </c>
      <c r="G12" s="49" t="s">
        <v>31</v>
      </c>
      <c r="H12" s="49" t="s">
        <v>32</v>
      </c>
      <c r="I12" s="49" t="s">
        <v>33</v>
      </c>
      <c r="J12" s="49" t="s">
        <v>34</v>
      </c>
      <c r="K12" s="49" t="s">
        <v>35</v>
      </c>
      <c r="L12" s="49" t="s">
        <v>36</v>
      </c>
      <c r="M12" s="49" t="s">
        <v>37</v>
      </c>
    </row>
    <row r="13" spans="1:13" ht="13.2">
      <c r="A13" s="33" t="s">
        <v>38</v>
      </c>
      <c r="B13" s="41">
        <v>10450</v>
      </c>
      <c r="C13" s="41">
        <v>11892</v>
      </c>
      <c r="D13" s="41">
        <v>12347</v>
      </c>
      <c r="E13" s="41">
        <v>12395</v>
      </c>
      <c r="F13" s="41">
        <v>13538</v>
      </c>
      <c r="G13" s="41">
        <v>10385</v>
      </c>
      <c r="H13" s="41">
        <v>10395</v>
      </c>
      <c r="I13" s="41">
        <v>13485</v>
      </c>
      <c r="J13" s="41">
        <v>12347</v>
      </c>
      <c r="K13" s="41">
        <v>13538</v>
      </c>
      <c r="L13" s="41">
        <v>12584</v>
      </c>
      <c r="M13" s="41">
        <v>12119</v>
      </c>
    </row>
    <row r="14" spans="1:13" ht="13.2">
      <c r="A14" s="33" t="s">
        <v>39</v>
      </c>
      <c r="B14" s="41">
        <v>30122</v>
      </c>
      <c r="C14" s="41">
        <v>34321</v>
      </c>
      <c r="D14" s="41">
        <v>38943</v>
      </c>
      <c r="E14" s="41">
        <v>38234</v>
      </c>
      <c r="F14" s="41">
        <v>40438</v>
      </c>
      <c r="G14" s="41">
        <v>44784</v>
      </c>
      <c r="H14" s="41">
        <v>48348</v>
      </c>
      <c r="I14" s="41">
        <v>44321</v>
      </c>
      <c r="J14" s="41">
        <v>44756</v>
      </c>
      <c r="K14" s="41">
        <v>44943</v>
      </c>
      <c r="L14" s="41">
        <v>48218</v>
      </c>
      <c r="M14" s="41">
        <v>50326</v>
      </c>
    </row>
    <row r="15" spans="1:13" ht="13.2">
      <c r="A15" s="33" t="s">
        <v>40</v>
      </c>
      <c r="B15" s="41">
        <f t="shared" ref="B15:M15" si="2">SUM(B13:B14)</f>
        <v>40572</v>
      </c>
      <c r="C15" s="41">
        <f t="shared" si="2"/>
        <v>46213</v>
      </c>
      <c r="D15" s="41">
        <f t="shared" si="2"/>
        <v>51290</v>
      </c>
      <c r="E15" s="41">
        <f t="shared" si="2"/>
        <v>50629</v>
      </c>
      <c r="F15" s="41">
        <f t="shared" si="2"/>
        <v>53976</v>
      </c>
      <c r="G15" s="41">
        <f t="shared" si="2"/>
        <v>55169</v>
      </c>
      <c r="H15" s="41">
        <f t="shared" si="2"/>
        <v>58743</v>
      </c>
      <c r="I15" s="41">
        <f t="shared" si="2"/>
        <v>57806</v>
      </c>
      <c r="J15" s="41">
        <f t="shared" si="2"/>
        <v>57103</v>
      </c>
      <c r="K15" s="41">
        <f t="shared" si="2"/>
        <v>58481</v>
      </c>
      <c r="L15" s="41">
        <f t="shared" si="2"/>
        <v>60802</v>
      </c>
      <c r="M15" s="41">
        <f t="shared" si="2"/>
        <v>62445</v>
      </c>
    </row>
    <row r="16" spans="1:13" ht="13.2">
      <c r="A16" s="33" t="s">
        <v>41</v>
      </c>
      <c r="B16" s="42">
        <v>453</v>
      </c>
      <c r="C16" s="42">
        <v>485</v>
      </c>
      <c r="D16" s="42">
        <v>481</v>
      </c>
      <c r="E16" s="42">
        <v>502</v>
      </c>
      <c r="F16" s="42">
        <v>643</v>
      </c>
      <c r="G16" s="42">
        <v>444</v>
      </c>
      <c r="H16" s="42">
        <v>545</v>
      </c>
      <c r="I16" s="42">
        <v>589</v>
      </c>
      <c r="J16" s="42">
        <v>590</v>
      </c>
      <c r="K16" s="42">
        <v>612</v>
      </c>
      <c r="L16" s="42">
        <v>690</v>
      </c>
      <c r="M16" s="42">
        <v>700</v>
      </c>
    </row>
    <row r="17" spans="1:13" ht="13.2">
      <c r="A17" s="36" t="s">
        <v>42</v>
      </c>
      <c r="B17" s="50" t="s">
        <v>46</v>
      </c>
      <c r="C17" s="50" t="s">
        <v>46</v>
      </c>
      <c r="D17" s="43">
        <f>B15/D16</f>
        <v>84.349272349272354</v>
      </c>
      <c r="E17" s="43">
        <f t="shared" ref="E17:M17" si="3">C15/E16</f>
        <v>92.057768924302792</v>
      </c>
      <c r="F17" s="51">
        <f t="shared" si="3"/>
        <v>79.766718506998444</v>
      </c>
      <c r="G17" s="43">
        <f t="shared" si="3"/>
        <v>114.02927927927928</v>
      </c>
      <c r="H17" s="43">
        <f t="shared" si="3"/>
        <v>99.038532110091737</v>
      </c>
      <c r="I17" s="43">
        <f t="shared" si="3"/>
        <v>93.665534804753818</v>
      </c>
      <c r="J17" s="43">
        <f t="shared" si="3"/>
        <v>99.564406779661013</v>
      </c>
      <c r="K17" s="43">
        <f t="shared" si="3"/>
        <v>94.454248366013076</v>
      </c>
      <c r="L17" s="43">
        <f t="shared" si="3"/>
        <v>82.757971014492753</v>
      </c>
      <c r="M17" s="43">
        <f t="shared" si="3"/>
        <v>83.544285714285721</v>
      </c>
    </row>
    <row r="18" spans="1:13" ht="13.2">
      <c r="A18" s="38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ht="13.2">
      <c r="A19" s="38"/>
      <c r="B19" s="239" t="s">
        <v>47</v>
      </c>
      <c r="C19" s="240"/>
      <c r="D19" s="240"/>
      <c r="E19" s="240"/>
      <c r="F19" s="241"/>
      <c r="G19" s="45"/>
      <c r="H19" s="239" t="s">
        <v>48</v>
      </c>
      <c r="I19" s="245"/>
      <c r="J19" s="245"/>
      <c r="K19" s="245"/>
      <c r="L19" s="245"/>
      <c r="M19" s="246"/>
    </row>
    <row r="20" spans="1:13" ht="22.5" customHeight="1">
      <c r="A20" s="38"/>
      <c r="B20" s="242"/>
      <c r="C20" s="243"/>
      <c r="D20" s="243"/>
      <c r="E20" s="243"/>
      <c r="F20" s="244"/>
      <c r="G20" s="45"/>
      <c r="H20" s="247"/>
      <c r="I20" s="248"/>
      <c r="J20" s="248"/>
      <c r="K20" s="248"/>
      <c r="L20" s="248"/>
      <c r="M20" s="249"/>
    </row>
    <row r="21" spans="1:13" ht="13.2">
      <c r="A21" s="38"/>
    </row>
  </sheetData>
  <mergeCells count="4">
    <mergeCell ref="B8:F9"/>
    <mergeCell ref="H8:M9"/>
    <mergeCell ref="B19:F20"/>
    <mergeCell ref="H19:M20"/>
  </mergeCells>
  <phoneticPr fontId="4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F2C1-B10C-46F9-8C3C-5A32E12B0320}">
  <sheetPr>
    <outlinePr summaryBelow="0" summaryRight="0"/>
  </sheetPr>
  <dimension ref="A1:M21"/>
  <sheetViews>
    <sheetView zoomScale="115" zoomScaleNormal="115" workbookViewId="0">
      <pane xSplit="1" ySplit="1" topLeftCell="B2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ColWidth="14.3984375" defaultRowHeight="15.75" customHeight="1"/>
  <cols>
    <col min="1" max="1" width="16.296875" style="31" customWidth="1"/>
    <col min="2" max="13" width="8.69921875" style="31" customWidth="1"/>
    <col min="14" max="16384" width="14.3984375" style="31"/>
  </cols>
  <sheetData>
    <row r="1" spans="1:13" ht="13.2">
      <c r="B1" s="33" t="s">
        <v>26</v>
      </c>
      <c r="C1" s="33" t="s">
        <v>27</v>
      </c>
      <c r="D1" s="33" t="s">
        <v>28</v>
      </c>
      <c r="E1" s="33" t="s">
        <v>29</v>
      </c>
      <c r="F1" s="33" t="s">
        <v>30</v>
      </c>
      <c r="G1" s="33" t="s">
        <v>31</v>
      </c>
      <c r="H1" s="33" t="s">
        <v>32</v>
      </c>
      <c r="I1" s="33" t="s">
        <v>33</v>
      </c>
      <c r="J1" s="33" t="s">
        <v>34</v>
      </c>
      <c r="K1" s="33" t="s">
        <v>35</v>
      </c>
      <c r="L1" s="33" t="s">
        <v>36</v>
      </c>
      <c r="M1" s="33" t="s">
        <v>37</v>
      </c>
    </row>
    <row r="2" spans="1:13" ht="13.2">
      <c r="A2" s="33" t="s">
        <v>38</v>
      </c>
      <c r="B2" s="34">
        <v>10450</v>
      </c>
      <c r="C2" s="34">
        <v>11892</v>
      </c>
      <c r="D2" s="34">
        <v>12347</v>
      </c>
      <c r="E2" s="34">
        <v>12395</v>
      </c>
      <c r="F2" s="34">
        <v>13538</v>
      </c>
      <c r="G2" s="34">
        <v>10385</v>
      </c>
      <c r="H2" s="34">
        <v>10395</v>
      </c>
      <c r="I2" s="34">
        <v>13485</v>
      </c>
      <c r="J2" s="34">
        <v>12347</v>
      </c>
      <c r="K2" s="34">
        <v>13538</v>
      </c>
      <c r="L2" s="34">
        <v>12584</v>
      </c>
      <c r="M2" s="34">
        <v>12119</v>
      </c>
    </row>
    <row r="3" spans="1:13" ht="13.2">
      <c r="A3" s="33" t="s">
        <v>39</v>
      </c>
      <c r="B3" s="34">
        <v>30122</v>
      </c>
      <c r="C3" s="34">
        <v>34321</v>
      </c>
      <c r="D3" s="34">
        <v>38943</v>
      </c>
      <c r="E3" s="34">
        <v>38234</v>
      </c>
      <c r="F3" s="34">
        <v>40438</v>
      </c>
      <c r="G3" s="34">
        <v>44784</v>
      </c>
      <c r="H3" s="34">
        <v>48348</v>
      </c>
      <c r="I3" s="34">
        <v>44321</v>
      </c>
      <c r="J3" s="34">
        <v>44756</v>
      </c>
      <c r="K3" s="34">
        <v>44943</v>
      </c>
      <c r="L3" s="34">
        <v>48218</v>
      </c>
      <c r="M3" s="34">
        <v>50326</v>
      </c>
    </row>
    <row r="4" spans="1:13" ht="13.2">
      <c r="A4" s="33" t="s">
        <v>40</v>
      </c>
      <c r="B4" s="34">
        <f t="shared" ref="B4:M4" si="0">SUM(B2:B3)</f>
        <v>40572</v>
      </c>
      <c r="C4" s="34">
        <f t="shared" si="0"/>
        <v>46213</v>
      </c>
      <c r="D4" s="34">
        <f t="shared" si="0"/>
        <v>51290</v>
      </c>
      <c r="E4" s="34">
        <f t="shared" si="0"/>
        <v>50629</v>
      </c>
      <c r="F4" s="34">
        <f t="shared" si="0"/>
        <v>53976</v>
      </c>
      <c r="G4" s="34">
        <f t="shared" si="0"/>
        <v>55169</v>
      </c>
      <c r="H4" s="34">
        <f t="shared" si="0"/>
        <v>58743</v>
      </c>
      <c r="I4" s="34">
        <f t="shared" si="0"/>
        <v>57806</v>
      </c>
      <c r="J4" s="34">
        <f t="shared" si="0"/>
        <v>57103</v>
      </c>
      <c r="K4" s="34">
        <f t="shared" si="0"/>
        <v>58481</v>
      </c>
      <c r="L4" s="34">
        <f t="shared" si="0"/>
        <v>60802</v>
      </c>
      <c r="M4" s="34">
        <f t="shared" si="0"/>
        <v>62445</v>
      </c>
    </row>
    <row r="5" spans="1:13" ht="13.2">
      <c r="A5" s="33" t="s">
        <v>41</v>
      </c>
      <c r="B5" s="35">
        <v>453</v>
      </c>
      <c r="C5" s="35">
        <v>485</v>
      </c>
      <c r="D5" s="35">
        <v>481</v>
      </c>
      <c r="E5" s="35">
        <v>502</v>
      </c>
      <c r="F5" s="35">
        <v>643</v>
      </c>
      <c r="G5" s="35">
        <v>444</v>
      </c>
      <c r="H5" s="35">
        <v>545</v>
      </c>
      <c r="I5" s="35">
        <v>589</v>
      </c>
      <c r="J5" s="35">
        <v>590</v>
      </c>
      <c r="K5" s="35">
        <v>612</v>
      </c>
      <c r="L5" s="35">
        <v>690</v>
      </c>
      <c r="M5" s="35">
        <v>700</v>
      </c>
    </row>
    <row r="6" spans="1:13" ht="13.2">
      <c r="A6" s="36" t="s">
        <v>42</v>
      </c>
      <c r="B6" s="37">
        <f t="shared" ref="B6:M6" si="1">B4/B5</f>
        <v>89.562913907284766</v>
      </c>
      <c r="C6" s="37">
        <f t="shared" si="1"/>
        <v>95.284536082474233</v>
      </c>
      <c r="D6" s="37">
        <f t="shared" si="1"/>
        <v>106.63201663201663</v>
      </c>
      <c r="E6" s="37">
        <f t="shared" si="1"/>
        <v>100.85458167330677</v>
      </c>
      <c r="F6" s="37">
        <f t="shared" si="1"/>
        <v>83.944012441679632</v>
      </c>
      <c r="G6" s="37">
        <f t="shared" si="1"/>
        <v>124.25450450450451</v>
      </c>
      <c r="H6" s="37">
        <f t="shared" si="1"/>
        <v>107.78532110091743</v>
      </c>
      <c r="I6" s="37">
        <f t="shared" si="1"/>
        <v>98.142614601018678</v>
      </c>
      <c r="J6" s="37">
        <f t="shared" si="1"/>
        <v>96.784745762711864</v>
      </c>
      <c r="K6" s="37">
        <f t="shared" si="1"/>
        <v>95.557189542483655</v>
      </c>
      <c r="L6" s="37">
        <f t="shared" si="1"/>
        <v>88.118840579710138</v>
      </c>
      <c r="M6" s="37">
        <f t="shared" si="1"/>
        <v>89.207142857142856</v>
      </c>
    </row>
    <row r="7" spans="1:13" ht="13.2">
      <c r="A7" s="38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</row>
    <row r="8" spans="1:13" ht="13.2">
      <c r="A8" s="38"/>
      <c r="B8" s="53"/>
      <c r="C8" s="53"/>
      <c r="D8" s="53"/>
      <c r="E8" s="53"/>
      <c r="F8" s="53"/>
      <c r="G8" s="52"/>
      <c r="H8" s="233" t="s">
        <v>45</v>
      </c>
      <c r="I8" s="250"/>
      <c r="J8" s="250"/>
      <c r="K8" s="250"/>
      <c r="L8" s="250"/>
      <c r="M8" s="251"/>
    </row>
    <row r="9" spans="1:13" ht="22.5" customHeight="1">
      <c r="A9" s="38"/>
      <c r="B9" s="53"/>
      <c r="C9" s="53"/>
      <c r="D9" s="53"/>
      <c r="E9" s="53"/>
      <c r="F9" s="53"/>
      <c r="G9" s="52"/>
      <c r="H9" s="252"/>
      <c r="I9" s="253"/>
      <c r="J9" s="253"/>
      <c r="K9" s="253"/>
      <c r="L9" s="253"/>
      <c r="M9" s="254"/>
    </row>
    <row r="10" spans="1:13" ht="13.2">
      <c r="A10" s="38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</row>
    <row r="11" spans="1:13" ht="13.2">
      <c r="A11" s="46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</row>
    <row r="12" spans="1:13" ht="13.2">
      <c r="A12" s="48"/>
      <c r="B12" s="55" t="s">
        <v>26</v>
      </c>
      <c r="C12" s="55" t="s">
        <v>27</v>
      </c>
      <c r="D12" s="55" t="s">
        <v>28</v>
      </c>
      <c r="E12" s="55" t="s">
        <v>29</v>
      </c>
      <c r="F12" s="55" t="s">
        <v>30</v>
      </c>
      <c r="G12" s="55" t="s">
        <v>31</v>
      </c>
      <c r="H12" s="55" t="s">
        <v>32</v>
      </c>
      <c r="I12" s="55" t="s">
        <v>33</v>
      </c>
      <c r="J12" s="55" t="s">
        <v>34</v>
      </c>
      <c r="K12" s="55" t="s">
        <v>35</v>
      </c>
      <c r="L12" s="55" t="s">
        <v>36</v>
      </c>
      <c r="M12" s="55" t="s">
        <v>37</v>
      </c>
    </row>
    <row r="13" spans="1:13" ht="13.2">
      <c r="A13" s="33" t="s">
        <v>38</v>
      </c>
      <c r="B13" s="34">
        <v>10450</v>
      </c>
      <c r="C13" s="34">
        <v>11892</v>
      </c>
      <c r="D13" s="34">
        <v>12347</v>
      </c>
      <c r="E13" s="34">
        <v>12395</v>
      </c>
      <c r="F13" s="34">
        <v>13538</v>
      </c>
      <c r="G13" s="34">
        <v>10385</v>
      </c>
      <c r="H13" s="34">
        <v>10395</v>
      </c>
      <c r="I13" s="34">
        <v>13485</v>
      </c>
      <c r="J13" s="34">
        <v>12347</v>
      </c>
      <c r="K13" s="34">
        <v>13538</v>
      </c>
      <c r="L13" s="34">
        <v>12584</v>
      </c>
      <c r="M13" s="34">
        <v>12119</v>
      </c>
    </row>
    <row r="14" spans="1:13" ht="13.2">
      <c r="A14" s="33" t="s">
        <v>39</v>
      </c>
      <c r="B14" s="34">
        <v>30122</v>
      </c>
      <c r="C14" s="34">
        <v>34321</v>
      </c>
      <c r="D14" s="34">
        <v>38943</v>
      </c>
      <c r="E14" s="34">
        <v>38234</v>
      </c>
      <c r="F14" s="34">
        <v>40438</v>
      </c>
      <c r="G14" s="34">
        <v>44784</v>
      </c>
      <c r="H14" s="34">
        <v>48348</v>
      </c>
      <c r="I14" s="34">
        <v>44321</v>
      </c>
      <c r="J14" s="34">
        <v>44756</v>
      </c>
      <c r="K14" s="34">
        <v>44943</v>
      </c>
      <c r="L14" s="34">
        <v>48218</v>
      </c>
      <c r="M14" s="34">
        <v>50326</v>
      </c>
    </row>
    <row r="15" spans="1:13" ht="13.2">
      <c r="A15" s="33" t="s">
        <v>40</v>
      </c>
      <c r="B15" s="34">
        <f t="shared" ref="B15:M15" si="2">SUM(B13:B14)</f>
        <v>40572</v>
      </c>
      <c r="C15" s="34">
        <f t="shared" si="2"/>
        <v>46213</v>
      </c>
      <c r="D15" s="34">
        <f t="shared" si="2"/>
        <v>51290</v>
      </c>
      <c r="E15" s="34">
        <f t="shared" si="2"/>
        <v>50629</v>
      </c>
      <c r="F15" s="34">
        <f t="shared" si="2"/>
        <v>53976</v>
      </c>
      <c r="G15" s="34">
        <f t="shared" si="2"/>
        <v>55169</v>
      </c>
      <c r="H15" s="34">
        <f t="shared" si="2"/>
        <v>58743</v>
      </c>
      <c r="I15" s="34">
        <f t="shared" si="2"/>
        <v>57806</v>
      </c>
      <c r="J15" s="34">
        <f t="shared" si="2"/>
        <v>57103</v>
      </c>
      <c r="K15" s="34">
        <f t="shared" si="2"/>
        <v>58481</v>
      </c>
      <c r="L15" s="34">
        <f t="shared" si="2"/>
        <v>60802</v>
      </c>
      <c r="M15" s="34">
        <f t="shared" si="2"/>
        <v>62445</v>
      </c>
    </row>
    <row r="16" spans="1:13" ht="13.2">
      <c r="A16" s="33" t="s">
        <v>41</v>
      </c>
      <c r="B16" s="35">
        <v>453</v>
      </c>
      <c r="C16" s="35">
        <v>485</v>
      </c>
      <c r="D16" s="35">
        <v>481</v>
      </c>
      <c r="E16" s="35">
        <v>502</v>
      </c>
      <c r="F16" s="35">
        <v>643</v>
      </c>
      <c r="G16" s="35">
        <v>444</v>
      </c>
      <c r="H16" s="35">
        <v>545</v>
      </c>
      <c r="I16" s="35">
        <v>589</v>
      </c>
      <c r="J16" s="35">
        <v>590</v>
      </c>
      <c r="K16" s="35">
        <v>612</v>
      </c>
      <c r="L16" s="35">
        <v>690</v>
      </c>
      <c r="M16" s="35">
        <v>700</v>
      </c>
    </row>
    <row r="17" spans="1:13" ht="13.2">
      <c r="A17" s="36" t="s">
        <v>42</v>
      </c>
      <c r="B17" s="56" t="s">
        <v>46</v>
      </c>
      <c r="C17" s="56" t="s">
        <v>46</v>
      </c>
      <c r="D17" s="37">
        <f>(B13+(0.5*C14)+(0.5*D14))/D16</f>
        <v>97.883575883575887</v>
      </c>
      <c r="E17" s="37">
        <f t="shared" ref="E17:M17" si="3">(C13+(0.5*D14)+(0.5*E14))/E16</f>
        <v>100.55876494023904</v>
      </c>
      <c r="F17" s="37">
        <f t="shared" si="3"/>
        <v>80.377916018662518</v>
      </c>
      <c r="G17" s="37">
        <f t="shared" si="3"/>
        <v>123.88738738738739</v>
      </c>
      <c r="H17" s="37">
        <f t="shared" si="3"/>
        <v>110.28256880733944</v>
      </c>
      <c r="I17" s="37">
        <f t="shared" si="3"/>
        <v>96.297962648556876</v>
      </c>
      <c r="J17" s="37">
        <f t="shared" si="3"/>
        <v>93.107627118644061</v>
      </c>
      <c r="K17" s="37">
        <f t="shared" si="3"/>
        <v>95.317810457516345</v>
      </c>
      <c r="L17" s="37">
        <f t="shared" si="3"/>
        <v>85.402173913043484</v>
      </c>
      <c r="M17" s="37">
        <f t="shared" si="3"/>
        <v>89.728571428571428</v>
      </c>
    </row>
    <row r="18" spans="1:13" ht="13.2">
      <c r="A18" s="38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</row>
    <row r="19" spans="1:13" ht="13.2">
      <c r="A19" s="38"/>
      <c r="B19" s="239" t="s">
        <v>49</v>
      </c>
      <c r="C19" s="255"/>
      <c r="D19" s="255"/>
      <c r="E19" s="255"/>
      <c r="F19" s="256"/>
      <c r="G19" s="52"/>
      <c r="H19" s="239" t="s">
        <v>50</v>
      </c>
      <c r="I19" s="250"/>
      <c r="J19" s="250"/>
      <c r="K19" s="250"/>
      <c r="L19" s="250"/>
      <c r="M19" s="251"/>
    </row>
    <row r="20" spans="1:13" ht="38.25" customHeight="1">
      <c r="A20" s="38"/>
      <c r="B20" s="257"/>
      <c r="C20" s="258"/>
      <c r="D20" s="258"/>
      <c r="E20" s="258"/>
      <c r="F20" s="259"/>
      <c r="G20" s="52"/>
      <c r="H20" s="252"/>
      <c r="I20" s="253"/>
      <c r="J20" s="253"/>
      <c r="K20" s="253"/>
      <c r="L20" s="253"/>
      <c r="M20" s="254"/>
    </row>
    <row r="21" spans="1:13" ht="13.2">
      <c r="A21" s="38"/>
    </row>
  </sheetData>
  <mergeCells count="3">
    <mergeCell ref="H8:M9"/>
    <mergeCell ref="B19:F20"/>
    <mergeCell ref="H19:M20"/>
  </mergeCells>
  <phoneticPr fontId="4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Lec2▶</vt:lpstr>
      <vt:lpstr>E-commerce Example</vt:lpstr>
      <vt:lpstr>Churn example</vt:lpstr>
      <vt:lpstr>Lec3▶</vt:lpstr>
      <vt:lpstr>1)CAC</vt:lpstr>
      <vt:lpstr>Simple Calculation</vt:lpstr>
      <vt:lpstr>Overstimating CAC - 12</vt:lpstr>
      <vt:lpstr>Overstimating CAC</vt:lpstr>
      <vt:lpstr>Average Cycle</vt:lpstr>
      <vt:lpstr>Graph</vt:lpstr>
      <vt:lpstr>2)In-class ex</vt:lpstr>
      <vt:lpstr>CAC investor and companies</vt:lpstr>
      <vt:lpstr>AdWords Example</vt:lpstr>
      <vt:lpstr>Industry CAC benchmark</vt:lpstr>
      <vt:lpstr>Docu Sign example</vt:lpstr>
      <vt:lpstr>Channel Segment Example</vt:lpstr>
      <vt:lpstr>Conversion Rate Example</vt:lpstr>
      <vt:lpstr>Lec4▶</vt:lpstr>
      <vt:lpstr>Retention channels</vt:lpstr>
      <vt:lpstr>retention</vt:lpstr>
      <vt:lpstr>Example 1</vt:lpstr>
      <vt:lpstr>In-class cohort</vt:lpstr>
      <vt:lpstr>In-class case</vt:lpstr>
      <vt:lpstr>Lec5▶</vt:lpstr>
      <vt:lpstr>In class latency </vt:lpstr>
      <vt:lpstr>turning latency to profit</vt:lpstr>
      <vt:lpstr>ROI example</vt:lpstr>
      <vt:lpstr>Naive LTV</vt:lpstr>
      <vt:lpstr>RFM</vt:lpstr>
      <vt:lpstr>in-class RFM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alipi</dc:creator>
  <cp:lastModifiedBy>김혜림</cp:lastModifiedBy>
  <dcterms:created xsi:type="dcterms:W3CDTF">2019-08-29T05:10:56Z</dcterms:created>
  <dcterms:modified xsi:type="dcterms:W3CDTF">2021-10-11T21:35:59Z</dcterms:modified>
</cp:coreProperties>
</file>