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佳欣\資料彙整\111學年度新的內容\!次分區統整大表\"/>
    </mc:Choice>
  </mc:AlternateContent>
  <bookViews>
    <workbookView xWindow="0" yWindow="0" windowWidth="28800" windowHeight="12255"/>
  </bookViews>
  <sheets>
    <sheet name="臺北市各次分區托育盤點統計表" sheetId="4" r:id="rId1"/>
    <sheet name="臺北市降低師生比各行政區公共化教保服務比例統計表" sheetId="6" r:id="rId2"/>
  </sheets>
  <definedNames>
    <definedName name="_xlnm._FilterDatabase" localSheetId="0" hidden="1">臺北市各次分區托育盤點統計表!$AF$1:$AF$90</definedName>
    <definedName name="_xlnm.Print_Titles" localSheetId="0">臺北市各次分區托育盤點統計表!$1:$6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6" l="1"/>
  <c r="R18" i="6"/>
  <c r="Q18" i="6"/>
  <c r="J18" i="6"/>
  <c r="I18" i="6"/>
  <c r="H18" i="6"/>
  <c r="G18" i="6"/>
  <c r="E18" i="6"/>
  <c r="D18" i="6"/>
  <c r="C18" i="6"/>
  <c r="L18" i="6" s="1"/>
  <c r="B18" i="6"/>
  <c r="K18" i="6" s="1"/>
  <c r="R17" i="6"/>
  <c r="S17" i="6" s="1"/>
  <c r="U17" i="6" s="1"/>
  <c r="Q17" i="6"/>
  <c r="M17" i="6"/>
  <c r="N17" i="6" s="1"/>
  <c r="L17" i="6"/>
  <c r="K17" i="6"/>
  <c r="F17" i="6"/>
  <c r="R16" i="6"/>
  <c r="S16" i="6" s="1"/>
  <c r="Q16" i="6"/>
  <c r="M16" i="6"/>
  <c r="K16" i="6"/>
  <c r="F16" i="6"/>
  <c r="R15" i="6"/>
  <c r="S15" i="6" s="1"/>
  <c r="Q15" i="6"/>
  <c r="M15" i="6"/>
  <c r="U15" i="6" s="1"/>
  <c r="K15" i="6"/>
  <c r="F15" i="6"/>
  <c r="R14" i="6"/>
  <c r="S14" i="6" s="1"/>
  <c r="Q14" i="6"/>
  <c r="M14" i="6"/>
  <c r="U14" i="6" s="1"/>
  <c r="K14" i="6"/>
  <c r="F14" i="6"/>
  <c r="R13" i="6"/>
  <c r="S13" i="6" s="1"/>
  <c r="Q13" i="6"/>
  <c r="M13" i="6"/>
  <c r="K13" i="6"/>
  <c r="F13" i="6"/>
  <c r="R12" i="6"/>
  <c r="S12" i="6" s="1"/>
  <c r="Q12" i="6"/>
  <c r="M12" i="6"/>
  <c r="U12" i="6" s="1"/>
  <c r="L12" i="6"/>
  <c r="K12" i="6"/>
  <c r="F12" i="6"/>
  <c r="S11" i="6"/>
  <c r="R11" i="6"/>
  <c r="Q11" i="6"/>
  <c r="M11" i="6"/>
  <c r="U11" i="6" s="1"/>
  <c r="K11" i="6"/>
  <c r="F11" i="6"/>
  <c r="S10" i="6"/>
  <c r="R10" i="6"/>
  <c r="Q10" i="6"/>
  <c r="M10" i="6"/>
  <c r="U10" i="6" s="1"/>
  <c r="L10" i="6"/>
  <c r="K10" i="6"/>
  <c r="F10" i="6"/>
  <c r="R9" i="6"/>
  <c r="S9" i="6" s="1"/>
  <c r="Q9" i="6"/>
  <c r="M9" i="6"/>
  <c r="L9" i="6"/>
  <c r="K9" i="6"/>
  <c r="F9" i="6"/>
  <c r="R8" i="6"/>
  <c r="S8" i="6" s="1"/>
  <c r="U8" i="6" s="1"/>
  <c r="Q8" i="6"/>
  <c r="N8" i="6"/>
  <c r="M8" i="6"/>
  <c r="K8" i="6"/>
  <c r="F8" i="6"/>
  <c r="R7" i="6"/>
  <c r="S7" i="6" s="1"/>
  <c r="U7" i="6" s="1"/>
  <c r="Q7" i="6"/>
  <c r="N7" i="6"/>
  <c r="M7" i="6"/>
  <c r="K7" i="6"/>
  <c r="F7" i="6"/>
  <c r="F18" i="6" s="1"/>
  <c r="R6" i="6"/>
  <c r="S6" i="6" s="1"/>
  <c r="U6" i="6" s="1"/>
  <c r="Q6" i="6"/>
  <c r="N6" i="6"/>
  <c r="M6" i="6"/>
  <c r="M18" i="6" s="1"/>
  <c r="U18" i="6" s="1"/>
  <c r="L6" i="6"/>
  <c r="K6" i="6"/>
  <c r="F6" i="6"/>
  <c r="U16" i="6" l="1"/>
  <c r="U9" i="6"/>
  <c r="U13" i="6"/>
  <c r="N10" i="6"/>
  <c r="N12" i="6"/>
  <c r="N13" i="6"/>
  <c r="N14" i="6"/>
  <c r="N18" i="6" s="1"/>
  <c r="N15" i="6"/>
  <c r="N16" i="6"/>
  <c r="N9" i="6"/>
  <c r="N11" i="6"/>
  <c r="AJ71" i="4" l="1"/>
  <c r="AJ66" i="4"/>
  <c r="AJ65" i="4"/>
  <c r="AJ51" i="4"/>
  <c r="AJ37" i="4"/>
  <c r="AK37" i="4"/>
  <c r="AK51" i="4"/>
  <c r="AK65" i="4"/>
  <c r="AK66" i="4"/>
  <c r="AK71" i="4"/>
  <c r="AI37" i="4"/>
  <c r="AI51" i="4"/>
  <c r="AI65" i="4"/>
  <c r="AI66" i="4"/>
  <c r="AI71" i="4"/>
  <c r="AH37" i="4"/>
  <c r="AH51" i="4"/>
  <c r="AH65" i="4"/>
  <c r="AH66" i="4"/>
  <c r="AH71" i="4"/>
  <c r="AD8" i="4"/>
  <c r="AD9" i="4"/>
  <c r="AD10" i="4"/>
  <c r="AD12" i="4"/>
  <c r="AD13" i="4"/>
  <c r="AD14" i="4"/>
  <c r="AD15" i="4"/>
  <c r="AD16" i="4"/>
  <c r="AD18" i="4"/>
  <c r="AD19" i="4"/>
  <c r="AD20" i="4"/>
  <c r="AD21" i="4"/>
  <c r="AD22" i="4"/>
  <c r="AD23" i="4"/>
  <c r="AD24" i="4"/>
  <c r="AD26" i="4"/>
  <c r="AD27" i="4"/>
  <c r="AD28" i="4"/>
  <c r="AD29" i="4"/>
  <c r="AD30" i="4"/>
  <c r="AD31" i="4"/>
  <c r="AD32" i="4"/>
  <c r="AD34" i="4"/>
  <c r="AD35" i="4"/>
  <c r="AD36" i="4"/>
  <c r="AD37" i="4"/>
  <c r="AD38" i="4"/>
  <c r="AD39" i="4"/>
  <c r="AD41" i="4"/>
  <c r="AD42" i="4"/>
  <c r="AD43" i="4"/>
  <c r="AD44" i="4"/>
  <c r="AD46" i="4"/>
  <c r="AD47" i="4"/>
  <c r="AD48" i="4"/>
  <c r="AD49" i="4"/>
  <c r="AD50" i="4"/>
  <c r="AD51" i="4"/>
  <c r="AD53" i="4"/>
  <c r="AD54" i="4"/>
  <c r="AD55" i="4"/>
  <c r="AD56" i="4"/>
  <c r="AD57" i="4"/>
  <c r="AD58" i="4"/>
  <c r="AD60" i="4"/>
  <c r="AD61" i="4"/>
  <c r="AD62" i="4"/>
  <c r="AD63" i="4"/>
  <c r="AD65" i="4"/>
  <c r="AD66" i="4"/>
  <c r="AD67" i="4"/>
  <c r="AD68" i="4"/>
  <c r="AD69" i="4"/>
  <c r="AD71" i="4"/>
  <c r="AD72" i="4"/>
  <c r="AD73" i="4"/>
  <c r="AD74" i="4"/>
  <c r="AD75" i="4"/>
  <c r="AD76" i="4"/>
  <c r="AD77" i="4"/>
  <c r="AD79" i="4"/>
  <c r="AD80" i="4"/>
  <c r="AD81" i="4"/>
  <c r="AD82" i="4"/>
  <c r="AD83" i="4"/>
  <c r="AD84" i="4"/>
  <c r="AD85" i="4"/>
  <c r="AE7" i="4"/>
  <c r="AE8" i="4"/>
  <c r="AE9" i="4"/>
  <c r="AE10" i="4"/>
  <c r="AE12" i="4"/>
  <c r="AE13" i="4"/>
  <c r="AE14" i="4"/>
  <c r="AE15" i="4"/>
  <c r="AE16" i="4"/>
  <c r="AE18" i="4"/>
  <c r="AE19" i="4"/>
  <c r="AE20" i="4"/>
  <c r="AE21" i="4"/>
  <c r="AE22" i="4"/>
  <c r="AE23" i="4"/>
  <c r="AE24" i="4"/>
  <c r="AE26" i="4"/>
  <c r="AE27" i="4"/>
  <c r="AE28" i="4"/>
  <c r="AE29" i="4"/>
  <c r="AE30" i="4"/>
  <c r="AE31" i="4"/>
  <c r="AE32" i="4"/>
  <c r="AE34" i="4"/>
  <c r="AE35" i="4"/>
  <c r="AE36" i="4"/>
  <c r="AE37" i="4"/>
  <c r="AE38" i="4"/>
  <c r="AE39" i="4"/>
  <c r="AE41" i="4"/>
  <c r="AE42" i="4"/>
  <c r="AE43" i="4"/>
  <c r="AE44" i="4"/>
  <c r="AE46" i="4"/>
  <c r="AE47" i="4"/>
  <c r="AE48" i="4"/>
  <c r="AE49" i="4"/>
  <c r="AE50" i="4"/>
  <c r="AE51" i="4"/>
  <c r="AE53" i="4"/>
  <c r="AE54" i="4"/>
  <c r="AE55" i="4"/>
  <c r="AE56" i="4"/>
  <c r="AE57" i="4"/>
  <c r="AE58" i="4"/>
  <c r="AE60" i="4"/>
  <c r="AE61" i="4"/>
  <c r="AE62" i="4"/>
  <c r="AE63" i="4"/>
  <c r="AE65" i="4"/>
  <c r="AE66" i="4"/>
  <c r="AE67" i="4"/>
  <c r="AE68" i="4"/>
  <c r="AE69" i="4"/>
  <c r="AE71" i="4"/>
  <c r="AE72" i="4"/>
  <c r="AE73" i="4"/>
  <c r="AE74" i="4"/>
  <c r="AE75" i="4"/>
  <c r="AE76" i="4"/>
  <c r="AE77" i="4"/>
  <c r="AE79" i="4"/>
  <c r="AE80" i="4"/>
  <c r="AE81" i="4"/>
  <c r="AE82" i="4"/>
  <c r="AE83" i="4"/>
  <c r="AE84" i="4"/>
  <c r="AE85" i="4"/>
  <c r="AF7" i="4"/>
  <c r="AF8" i="4"/>
  <c r="AF9" i="4"/>
  <c r="AF10" i="4"/>
  <c r="AF12" i="4"/>
  <c r="AF13" i="4"/>
  <c r="AF14" i="4"/>
  <c r="AF15" i="4"/>
  <c r="AF16" i="4"/>
  <c r="AF18" i="4"/>
  <c r="AF19" i="4"/>
  <c r="AF20" i="4"/>
  <c r="AF21" i="4"/>
  <c r="AF22" i="4"/>
  <c r="AF23" i="4"/>
  <c r="AF24" i="4"/>
  <c r="AF26" i="4"/>
  <c r="AF27" i="4"/>
  <c r="AF28" i="4"/>
  <c r="AF29" i="4"/>
  <c r="AF30" i="4"/>
  <c r="AF31" i="4"/>
  <c r="AF32" i="4"/>
  <c r="AF34" i="4"/>
  <c r="AF35" i="4"/>
  <c r="AF36" i="4"/>
  <c r="AF37" i="4"/>
  <c r="AF38" i="4"/>
  <c r="AF39" i="4"/>
  <c r="AF41" i="4"/>
  <c r="AF42" i="4"/>
  <c r="AF43" i="4"/>
  <c r="AF44" i="4"/>
  <c r="AF46" i="4"/>
  <c r="AF47" i="4"/>
  <c r="AF48" i="4"/>
  <c r="AF49" i="4"/>
  <c r="AF50" i="4"/>
  <c r="AF51" i="4"/>
  <c r="AF53" i="4"/>
  <c r="AF54" i="4"/>
  <c r="AF55" i="4"/>
  <c r="AF56" i="4"/>
  <c r="AF57" i="4"/>
  <c r="AF58" i="4"/>
  <c r="AF60" i="4"/>
  <c r="AF61" i="4"/>
  <c r="AF62" i="4"/>
  <c r="AF63" i="4"/>
  <c r="AF65" i="4"/>
  <c r="AF66" i="4"/>
  <c r="AF67" i="4"/>
  <c r="AF68" i="4"/>
  <c r="AF69" i="4"/>
  <c r="AF71" i="4"/>
  <c r="AF72" i="4"/>
  <c r="AF73" i="4"/>
  <c r="AF74" i="4"/>
  <c r="AF75" i="4"/>
  <c r="AF76" i="4"/>
  <c r="AF77" i="4"/>
  <c r="AF79" i="4"/>
  <c r="AF80" i="4"/>
  <c r="AF81" i="4"/>
  <c r="AF82" i="4"/>
  <c r="AF83" i="4"/>
  <c r="AF84" i="4"/>
  <c r="AF85" i="4"/>
  <c r="AD7" i="4"/>
  <c r="D86" i="4" l="1"/>
  <c r="E86" i="4"/>
  <c r="F86" i="4"/>
  <c r="G86" i="4"/>
  <c r="H86" i="4"/>
  <c r="I86" i="4"/>
  <c r="J86" i="4"/>
  <c r="K86" i="4"/>
  <c r="L86" i="4"/>
  <c r="M86" i="4"/>
  <c r="N86" i="4"/>
  <c r="O86" i="4"/>
  <c r="P86" i="4"/>
  <c r="R86" i="4"/>
  <c r="S86" i="4"/>
  <c r="U86" i="4"/>
  <c r="V86" i="4"/>
  <c r="X86" i="4"/>
  <c r="Y86" i="4"/>
  <c r="Z86" i="4"/>
  <c r="AA86" i="4"/>
  <c r="AB86" i="4"/>
  <c r="C86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R78" i="4"/>
  <c r="S78" i="4"/>
  <c r="U78" i="4"/>
  <c r="V78" i="4"/>
  <c r="X78" i="4"/>
  <c r="Y78" i="4"/>
  <c r="Z78" i="4"/>
  <c r="AA78" i="4"/>
  <c r="AB78" i="4"/>
  <c r="C78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R70" i="4"/>
  <c r="S70" i="4"/>
  <c r="U70" i="4"/>
  <c r="V70" i="4"/>
  <c r="X70" i="4"/>
  <c r="Y70" i="4"/>
  <c r="Z70" i="4"/>
  <c r="AA70" i="4"/>
  <c r="AB70" i="4"/>
  <c r="C70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R64" i="4"/>
  <c r="S64" i="4"/>
  <c r="U64" i="4"/>
  <c r="V64" i="4"/>
  <c r="X64" i="4"/>
  <c r="Y64" i="4"/>
  <c r="Z64" i="4"/>
  <c r="AA64" i="4"/>
  <c r="AB64" i="4"/>
  <c r="C64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R59" i="4"/>
  <c r="S59" i="4"/>
  <c r="U59" i="4"/>
  <c r="V59" i="4"/>
  <c r="X59" i="4"/>
  <c r="Y59" i="4"/>
  <c r="Z59" i="4"/>
  <c r="AA59" i="4"/>
  <c r="AB59" i="4"/>
  <c r="C59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R52" i="4"/>
  <c r="S52" i="4"/>
  <c r="U52" i="4"/>
  <c r="V52" i="4"/>
  <c r="X52" i="4"/>
  <c r="Y52" i="4"/>
  <c r="Z52" i="4"/>
  <c r="AA52" i="4"/>
  <c r="AB52" i="4"/>
  <c r="C52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R45" i="4"/>
  <c r="S45" i="4"/>
  <c r="U45" i="4"/>
  <c r="V45" i="4"/>
  <c r="X45" i="4"/>
  <c r="Y45" i="4"/>
  <c r="Z45" i="4"/>
  <c r="AA45" i="4"/>
  <c r="AB45" i="4"/>
  <c r="C45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R40" i="4"/>
  <c r="S40" i="4"/>
  <c r="U40" i="4"/>
  <c r="V40" i="4"/>
  <c r="X40" i="4"/>
  <c r="Y40" i="4"/>
  <c r="Z40" i="4"/>
  <c r="AA40" i="4"/>
  <c r="AB40" i="4"/>
  <c r="C40" i="4"/>
  <c r="F33" i="4"/>
  <c r="G33" i="4"/>
  <c r="H33" i="4"/>
  <c r="I33" i="4"/>
  <c r="J33" i="4"/>
  <c r="K33" i="4"/>
  <c r="L33" i="4"/>
  <c r="M33" i="4"/>
  <c r="N33" i="4"/>
  <c r="O33" i="4"/>
  <c r="P33" i="4"/>
  <c r="R33" i="4"/>
  <c r="S33" i="4"/>
  <c r="U33" i="4"/>
  <c r="V33" i="4"/>
  <c r="X33" i="4"/>
  <c r="Y33" i="4"/>
  <c r="Z33" i="4"/>
  <c r="AA33" i="4"/>
  <c r="AB33" i="4"/>
  <c r="D33" i="4"/>
  <c r="E33" i="4"/>
  <c r="C33" i="4"/>
  <c r="F25" i="4"/>
  <c r="G25" i="4"/>
  <c r="H25" i="4"/>
  <c r="I25" i="4"/>
  <c r="J25" i="4"/>
  <c r="K25" i="4"/>
  <c r="L25" i="4"/>
  <c r="M25" i="4"/>
  <c r="N25" i="4"/>
  <c r="O25" i="4"/>
  <c r="P25" i="4"/>
  <c r="R25" i="4"/>
  <c r="S25" i="4"/>
  <c r="U25" i="4"/>
  <c r="V25" i="4"/>
  <c r="X25" i="4"/>
  <c r="Y25" i="4"/>
  <c r="Z25" i="4"/>
  <c r="AA25" i="4"/>
  <c r="AB25" i="4"/>
  <c r="D25" i="4"/>
  <c r="E25" i="4"/>
  <c r="C25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R17" i="4"/>
  <c r="S17" i="4"/>
  <c r="U17" i="4"/>
  <c r="V17" i="4"/>
  <c r="X17" i="4"/>
  <c r="Y17" i="4"/>
  <c r="Z17" i="4"/>
  <c r="AA17" i="4"/>
  <c r="AB17" i="4"/>
  <c r="C17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R11" i="4"/>
  <c r="S11" i="4"/>
  <c r="U11" i="4"/>
  <c r="V11" i="4"/>
  <c r="X11" i="4"/>
  <c r="Y11" i="4"/>
  <c r="Z11" i="4"/>
  <c r="AA11" i="4"/>
  <c r="AB11" i="4"/>
  <c r="C11" i="4"/>
  <c r="I87" i="4" l="1"/>
  <c r="AA87" i="4"/>
  <c r="O87" i="4"/>
  <c r="C87" i="4"/>
  <c r="R87" i="4"/>
  <c r="Y87" i="4"/>
  <c r="F87" i="4"/>
  <c r="M87" i="4"/>
  <c r="E87" i="4"/>
  <c r="U87" i="4"/>
  <c r="AG25" i="4"/>
  <c r="D87" i="4"/>
  <c r="AD86" i="4"/>
  <c r="AE86" i="4"/>
  <c r="AF86" i="4"/>
  <c r="AD52" i="4"/>
  <c r="AE52" i="4"/>
  <c r="AF52" i="4"/>
  <c r="AF64" i="4"/>
  <c r="AD64" i="4"/>
  <c r="AE64" i="4"/>
  <c r="AG45" i="4"/>
  <c r="AD45" i="4"/>
  <c r="AE45" i="4"/>
  <c r="AF45" i="4"/>
  <c r="AG86" i="4"/>
  <c r="AE11" i="4"/>
  <c r="AF11" i="4"/>
  <c r="AD11" i="4"/>
  <c r="S87" i="4"/>
  <c r="AF40" i="4"/>
  <c r="AD40" i="4"/>
  <c r="AE40" i="4"/>
  <c r="AD70" i="4"/>
  <c r="AE70" i="4"/>
  <c r="AF70" i="4"/>
  <c r="AD25" i="4"/>
  <c r="AF25" i="4"/>
  <c r="AE25" i="4"/>
  <c r="AE59" i="4"/>
  <c r="AD59" i="4"/>
  <c r="AF59" i="4"/>
  <c r="AD78" i="4"/>
  <c r="AF78" i="4"/>
  <c r="AE78" i="4"/>
  <c r="AE33" i="4"/>
  <c r="AD33" i="4"/>
  <c r="AF33" i="4"/>
  <c r="J87" i="4"/>
  <c r="AE17" i="4"/>
  <c r="AD17" i="4"/>
  <c r="AF17" i="4"/>
  <c r="AG64" i="4"/>
  <c r="K87" i="4"/>
  <c r="AG17" i="4"/>
  <c r="AG78" i="4"/>
  <c r="AG52" i="4"/>
  <c r="AG70" i="4"/>
  <c r="AG59" i="4"/>
  <c r="AG40" i="4"/>
  <c r="AG33" i="4"/>
  <c r="H87" i="4"/>
  <c r="G87" i="4"/>
  <c r="AG11" i="4"/>
  <c r="V87" i="4"/>
  <c r="AG80" i="4"/>
  <c r="AG81" i="4"/>
  <c r="AG82" i="4"/>
  <c r="AG83" i="4"/>
  <c r="AG84" i="4"/>
  <c r="AG85" i="4"/>
  <c r="AG79" i="4"/>
  <c r="AG72" i="4"/>
  <c r="AG73" i="4"/>
  <c r="AG74" i="4"/>
  <c r="AG75" i="4"/>
  <c r="AG76" i="4"/>
  <c r="AG77" i="4"/>
  <c r="AG71" i="4"/>
  <c r="AG66" i="4"/>
  <c r="AG67" i="4"/>
  <c r="AG68" i="4"/>
  <c r="AG69" i="4"/>
  <c r="AG65" i="4"/>
  <c r="AG61" i="4"/>
  <c r="AG62" i="4"/>
  <c r="AG63" i="4"/>
  <c r="AG60" i="4"/>
  <c r="AG54" i="4"/>
  <c r="AG55" i="4"/>
  <c r="AG56" i="4"/>
  <c r="AG57" i="4"/>
  <c r="AG58" i="4"/>
  <c r="AG53" i="4"/>
  <c r="AG47" i="4"/>
  <c r="AG48" i="4"/>
  <c r="AG49" i="4"/>
  <c r="AG50" i="4"/>
  <c r="AG51" i="4"/>
  <c r="AG46" i="4"/>
  <c r="AG42" i="4"/>
  <c r="AG43" i="4"/>
  <c r="AG44" i="4"/>
  <c r="AG41" i="4"/>
  <c r="AG35" i="4"/>
  <c r="AG36" i="4"/>
  <c r="AG37" i="4"/>
  <c r="AG38" i="4"/>
  <c r="AG39" i="4"/>
  <c r="AG34" i="4"/>
  <c r="AG27" i="4"/>
  <c r="AG28" i="4"/>
  <c r="AG29" i="4"/>
  <c r="AG30" i="4"/>
  <c r="AG31" i="4"/>
  <c r="AG32" i="4"/>
  <c r="AG26" i="4"/>
  <c r="AG19" i="4"/>
  <c r="AG20" i="4"/>
  <c r="AG21" i="4"/>
  <c r="AG22" i="4"/>
  <c r="AG23" i="4"/>
  <c r="AG24" i="4"/>
  <c r="AG18" i="4"/>
  <c r="AG16" i="4"/>
  <c r="AG13" i="4"/>
  <c r="AG14" i="4"/>
  <c r="AG15" i="4"/>
  <c r="AG12" i="4"/>
  <c r="AG8" i="4"/>
  <c r="AG9" i="4"/>
  <c r="AG10" i="4"/>
  <c r="AG7" i="4"/>
  <c r="AD87" i="4" l="1"/>
  <c r="AE87" i="4"/>
  <c r="AF87" i="4"/>
  <c r="AG87" i="4"/>
  <c r="W8" i="4"/>
  <c r="W9" i="4"/>
  <c r="W10" i="4"/>
  <c r="W14" i="4"/>
  <c r="W15" i="4"/>
  <c r="W18" i="4"/>
  <c r="W19" i="4"/>
  <c r="W20" i="4"/>
  <c r="W21" i="4"/>
  <c r="W22" i="4"/>
  <c r="W23" i="4"/>
  <c r="W24" i="4"/>
  <c r="W26" i="4"/>
  <c r="AJ26" i="4" s="1"/>
  <c r="W27" i="4"/>
  <c r="W28" i="4"/>
  <c r="W29" i="4"/>
  <c r="W30" i="4"/>
  <c r="W31" i="4"/>
  <c r="AJ31" i="4" s="1"/>
  <c r="W32" i="4"/>
  <c r="W34" i="4"/>
  <c r="W35" i="4"/>
  <c r="W36" i="4"/>
  <c r="W38" i="4"/>
  <c r="AJ38" i="4" s="1"/>
  <c r="W39" i="4"/>
  <c r="W41" i="4"/>
  <c r="W42" i="4"/>
  <c r="W44" i="4"/>
  <c r="W46" i="4"/>
  <c r="W47" i="4"/>
  <c r="W48" i="4"/>
  <c r="W50" i="4"/>
  <c r="W53" i="4"/>
  <c r="AJ53" i="4" s="1"/>
  <c r="W54" i="4"/>
  <c r="W60" i="4"/>
  <c r="W61" i="4"/>
  <c r="W62" i="4"/>
  <c r="W63" i="4"/>
  <c r="W67" i="4"/>
  <c r="W68" i="4"/>
  <c r="AJ68" i="4" s="1"/>
  <c r="W69" i="4"/>
  <c r="W72" i="4"/>
  <c r="W73" i="4"/>
  <c r="W74" i="4"/>
  <c r="W75" i="4"/>
  <c r="W77" i="4"/>
  <c r="W79" i="4"/>
  <c r="W80" i="4"/>
  <c r="W81" i="4"/>
  <c r="W82" i="4"/>
  <c r="W83" i="4"/>
  <c r="W85" i="4"/>
  <c r="T8" i="4"/>
  <c r="T9" i="4"/>
  <c r="T10" i="4"/>
  <c r="T12" i="4"/>
  <c r="AJ12" i="4" s="1"/>
  <c r="T13" i="4"/>
  <c r="AJ13" i="4" s="1"/>
  <c r="T14" i="4"/>
  <c r="T15" i="4"/>
  <c r="AJ15" i="4" s="1"/>
  <c r="T16" i="4"/>
  <c r="AJ16" i="4" s="1"/>
  <c r="T18" i="4"/>
  <c r="AJ18" i="4" s="1"/>
  <c r="T19" i="4"/>
  <c r="T20" i="4"/>
  <c r="T21" i="4"/>
  <c r="T22" i="4"/>
  <c r="T23" i="4"/>
  <c r="T24" i="4"/>
  <c r="T27" i="4"/>
  <c r="AJ27" i="4" s="1"/>
  <c r="T28" i="4"/>
  <c r="AJ28" i="4" s="1"/>
  <c r="T29" i="4"/>
  <c r="T30" i="4"/>
  <c r="T32" i="4"/>
  <c r="T34" i="4"/>
  <c r="T35" i="4"/>
  <c r="AJ35" i="4" s="1"/>
  <c r="T36" i="4"/>
  <c r="AJ36" i="4" s="1"/>
  <c r="T39" i="4"/>
  <c r="AJ39" i="4" s="1"/>
  <c r="T41" i="4"/>
  <c r="AJ41" i="4" s="1"/>
  <c r="T42" i="4"/>
  <c r="T43" i="4"/>
  <c r="AJ43" i="4" s="1"/>
  <c r="T44" i="4"/>
  <c r="T46" i="4"/>
  <c r="T47" i="4"/>
  <c r="AJ47" i="4" s="1"/>
  <c r="T48" i="4"/>
  <c r="AJ48" i="4" s="1"/>
  <c r="T49" i="4"/>
  <c r="AJ49" i="4" s="1"/>
  <c r="T50" i="4"/>
  <c r="AJ50" i="4" s="1"/>
  <c r="T54" i="4"/>
  <c r="T55" i="4"/>
  <c r="AJ55" i="4" s="1"/>
  <c r="T56" i="4"/>
  <c r="AJ56" i="4" s="1"/>
  <c r="T57" i="4"/>
  <c r="AJ57" i="4" s="1"/>
  <c r="T58" i="4"/>
  <c r="AJ58" i="4" s="1"/>
  <c r="T60" i="4"/>
  <c r="AJ60" i="4" s="1"/>
  <c r="T61" i="4"/>
  <c r="AJ61" i="4" s="1"/>
  <c r="T62" i="4"/>
  <c r="AJ62" i="4" s="1"/>
  <c r="T63" i="4"/>
  <c r="AJ63" i="4" s="1"/>
  <c r="T67" i="4"/>
  <c r="AJ67" i="4" s="1"/>
  <c r="T69" i="4"/>
  <c r="T72" i="4"/>
  <c r="T73" i="4"/>
  <c r="T74" i="4"/>
  <c r="T75" i="4"/>
  <c r="T76" i="4"/>
  <c r="AJ76" i="4" s="1"/>
  <c r="T77" i="4"/>
  <c r="AJ77" i="4" s="1"/>
  <c r="T79" i="4"/>
  <c r="AJ79" i="4" s="1"/>
  <c r="T80" i="4"/>
  <c r="AJ80" i="4" s="1"/>
  <c r="T81" i="4"/>
  <c r="AJ81" i="4" s="1"/>
  <c r="T82" i="4"/>
  <c r="AJ82" i="4" s="1"/>
  <c r="T83" i="4"/>
  <c r="AJ83" i="4" s="1"/>
  <c r="T84" i="4"/>
  <c r="AJ84" i="4" s="1"/>
  <c r="T85" i="4"/>
  <c r="AJ85" i="4" s="1"/>
  <c r="T7" i="4"/>
  <c r="AJ19" i="4" l="1"/>
  <c r="AJ72" i="4"/>
  <c r="AJ21" i="4"/>
  <c r="AJ74" i="4"/>
  <c r="AJ24" i="4"/>
  <c r="AJ73" i="4"/>
  <c r="AJ23" i="4"/>
  <c r="AJ14" i="4"/>
  <c r="AJ75" i="4"/>
  <c r="AJ34" i="4"/>
  <c r="AJ44" i="4"/>
  <c r="AJ32" i="4"/>
  <c r="AJ30" i="4"/>
  <c r="AJ20" i="4"/>
  <c r="AJ46" i="4"/>
  <c r="AJ22" i="4"/>
  <c r="AJ69" i="4"/>
  <c r="AJ54" i="4"/>
  <c r="AJ42" i="4"/>
  <c r="AJ29" i="4"/>
  <c r="W78" i="4"/>
  <c r="AK81" i="4"/>
  <c r="AI81" i="4"/>
  <c r="AH81" i="4"/>
  <c r="AK72" i="4"/>
  <c r="AI72" i="4"/>
  <c r="AH72" i="4"/>
  <c r="T78" i="4"/>
  <c r="AK57" i="4"/>
  <c r="AI57" i="4"/>
  <c r="AH57" i="4"/>
  <c r="AI46" i="4"/>
  <c r="AH46" i="4"/>
  <c r="AK46" i="4"/>
  <c r="AK34" i="4"/>
  <c r="AI34" i="4"/>
  <c r="AH34" i="4"/>
  <c r="AI22" i="4"/>
  <c r="AH22" i="4"/>
  <c r="AK22" i="4"/>
  <c r="AH13" i="4"/>
  <c r="AK13" i="4"/>
  <c r="AI13" i="4"/>
  <c r="W59" i="4"/>
  <c r="AH53" i="4"/>
  <c r="AK53" i="4"/>
  <c r="AI53" i="4"/>
  <c r="AK80" i="4"/>
  <c r="AI80" i="4"/>
  <c r="AH80" i="4"/>
  <c r="AH69" i="4"/>
  <c r="AK69" i="4"/>
  <c r="AI69" i="4"/>
  <c r="AK56" i="4"/>
  <c r="AI56" i="4"/>
  <c r="AH56" i="4"/>
  <c r="AI44" i="4"/>
  <c r="AK44" i="4"/>
  <c r="AH44" i="4"/>
  <c r="AK32" i="4"/>
  <c r="AI32" i="4"/>
  <c r="AH32" i="4"/>
  <c r="AH21" i="4"/>
  <c r="AK21" i="4"/>
  <c r="AI21" i="4"/>
  <c r="AK12" i="4"/>
  <c r="AI12" i="4"/>
  <c r="AH12" i="4"/>
  <c r="AK68" i="4"/>
  <c r="AI68" i="4"/>
  <c r="AH68" i="4"/>
  <c r="AI38" i="4"/>
  <c r="AH38" i="4"/>
  <c r="AK38" i="4"/>
  <c r="AI79" i="4"/>
  <c r="AH79" i="4"/>
  <c r="AK79" i="4"/>
  <c r="T86" i="4"/>
  <c r="AH67" i="4"/>
  <c r="AK67" i="4"/>
  <c r="AI67" i="4"/>
  <c r="T70" i="4"/>
  <c r="AI55" i="4"/>
  <c r="AH55" i="4"/>
  <c r="AK55" i="4"/>
  <c r="AH43" i="4"/>
  <c r="AK43" i="4"/>
  <c r="AI43" i="4"/>
  <c r="AI30" i="4"/>
  <c r="AH30" i="4"/>
  <c r="AK30" i="4"/>
  <c r="AK20" i="4"/>
  <c r="AI20" i="4"/>
  <c r="AH20" i="4"/>
  <c r="AK10" i="4"/>
  <c r="AJ10" i="4"/>
  <c r="AI10" i="4"/>
  <c r="AH10" i="4"/>
  <c r="W86" i="4"/>
  <c r="W70" i="4"/>
  <c r="AK73" i="4"/>
  <c r="AI73" i="4"/>
  <c r="AH73" i="4"/>
  <c r="AI47" i="4"/>
  <c r="AH47" i="4"/>
  <c r="AK47" i="4"/>
  <c r="AI23" i="4"/>
  <c r="AH23" i="4"/>
  <c r="AK23" i="4"/>
  <c r="AK7" i="4"/>
  <c r="AJ7" i="4"/>
  <c r="AI7" i="4"/>
  <c r="AH7" i="4"/>
  <c r="AH77" i="4"/>
  <c r="AK77" i="4"/>
  <c r="AI77" i="4"/>
  <c r="AI63" i="4"/>
  <c r="AH63" i="4"/>
  <c r="AK63" i="4"/>
  <c r="AI54" i="4"/>
  <c r="AH54" i="4"/>
  <c r="AK54" i="4"/>
  <c r="AK42" i="4"/>
  <c r="AI42" i="4"/>
  <c r="AH42" i="4"/>
  <c r="AH29" i="4"/>
  <c r="AK29" i="4"/>
  <c r="AI29" i="4"/>
  <c r="AH19" i="4"/>
  <c r="AK19" i="4"/>
  <c r="AI19" i="4"/>
  <c r="AK9" i="4"/>
  <c r="AJ9" i="4"/>
  <c r="AI9" i="4"/>
  <c r="AH9" i="4"/>
  <c r="AK26" i="4"/>
  <c r="AI26" i="4"/>
  <c r="AH26" i="4"/>
  <c r="AH85" i="4"/>
  <c r="AK85" i="4"/>
  <c r="AI85" i="4"/>
  <c r="AI76" i="4"/>
  <c r="AK76" i="4"/>
  <c r="AH76" i="4"/>
  <c r="AI62" i="4"/>
  <c r="AH62" i="4"/>
  <c r="AK62" i="4"/>
  <c r="AK50" i="4"/>
  <c r="AI50" i="4"/>
  <c r="AH50" i="4"/>
  <c r="AK41" i="4"/>
  <c r="AI41" i="4"/>
  <c r="AH41" i="4"/>
  <c r="AI28" i="4"/>
  <c r="AK28" i="4"/>
  <c r="AH28" i="4"/>
  <c r="AK18" i="4"/>
  <c r="AI18" i="4"/>
  <c r="AH18" i="4"/>
  <c r="AK8" i="4"/>
  <c r="AJ8" i="4"/>
  <c r="AI8" i="4"/>
  <c r="AH8" i="4"/>
  <c r="AK84" i="4"/>
  <c r="AI84" i="4"/>
  <c r="AH84" i="4"/>
  <c r="AK75" i="4"/>
  <c r="AH75" i="4"/>
  <c r="AI75" i="4"/>
  <c r="AH61" i="4"/>
  <c r="AK61" i="4"/>
  <c r="AI61" i="4"/>
  <c r="AK49" i="4"/>
  <c r="AI49" i="4"/>
  <c r="AH49" i="4"/>
  <c r="AI39" i="4"/>
  <c r="AH39" i="4"/>
  <c r="AK39" i="4"/>
  <c r="AK27" i="4"/>
  <c r="AI27" i="4"/>
  <c r="AH27" i="4"/>
  <c r="AK16" i="4"/>
  <c r="AI16" i="4"/>
  <c r="AH16" i="4"/>
  <c r="AK83" i="4"/>
  <c r="AI83" i="4"/>
  <c r="AH83" i="4"/>
  <c r="AK74" i="4"/>
  <c r="AI74" i="4"/>
  <c r="AH74" i="4"/>
  <c r="AI60" i="4"/>
  <c r="AK60" i="4"/>
  <c r="AH60" i="4"/>
  <c r="T64" i="4"/>
  <c r="AK48" i="4"/>
  <c r="AI48" i="4"/>
  <c r="AH48" i="4"/>
  <c r="AK36" i="4"/>
  <c r="AI36" i="4"/>
  <c r="AH36" i="4"/>
  <c r="AK24" i="4"/>
  <c r="AI24" i="4"/>
  <c r="AH24" i="4"/>
  <c r="AI15" i="4"/>
  <c r="AH15" i="4"/>
  <c r="AK15" i="4"/>
  <c r="W64" i="4"/>
  <c r="AI31" i="4"/>
  <c r="AH31" i="4"/>
  <c r="AK31" i="4"/>
  <c r="AK82" i="4"/>
  <c r="AI82" i="4"/>
  <c r="AH82" i="4"/>
  <c r="AK58" i="4"/>
  <c r="AI58" i="4"/>
  <c r="AH58" i="4"/>
  <c r="AK35" i="4"/>
  <c r="AH35" i="4"/>
  <c r="AI35" i="4"/>
  <c r="AI14" i="4"/>
  <c r="AH14" i="4"/>
  <c r="AK14" i="4"/>
  <c r="T59" i="4"/>
  <c r="T52" i="4"/>
  <c r="W52" i="4"/>
  <c r="T45" i="4"/>
  <c r="W45" i="4"/>
  <c r="W40" i="4"/>
  <c r="T40" i="4"/>
  <c r="W33" i="4"/>
  <c r="T33" i="4"/>
  <c r="T25" i="4"/>
  <c r="W25" i="4"/>
  <c r="W17" i="4"/>
  <c r="T17" i="4"/>
  <c r="W11" i="4"/>
  <c r="T11" i="4"/>
  <c r="AC49" i="4"/>
  <c r="AC29" i="4"/>
  <c r="AC21" i="4"/>
  <c r="AC68" i="4"/>
  <c r="AC38" i="4"/>
  <c r="AC20" i="4"/>
  <c r="AC10" i="4"/>
  <c r="AC53" i="4"/>
  <c r="AC57" i="4"/>
  <c r="AC22" i="4"/>
  <c r="AC67" i="4"/>
  <c r="AC82" i="4"/>
  <c r="AC26" i="4"/>
  <c r="AC84" i="4"/>
  <c r="AC56" i="4"/>
  <c r="AC16" i="4"/>
  <c r="AC85" i="4"/>
  <c r="AC51" i="4"/>
  <c r="AC63" i="4"/>
  <c r="AC71" i="4"/>
  <c r="AC76" i="4"/>
  <c r="AC79" i="4"/>
  <c r="AC50" i="4"/>
  <c r="AC55" i="4"/>
  <c r="AC58" i="4"/>
  <c r="AC61" i="4"/>
  <c r="AC48" i="4"/>
  <c r="AC42" i="4"/>
  <c r="AC23" i="4"/>
  <c r="AC80" i="4"/>
  <c r="AC37" i="4"/>
  <c r="AC28" i="4"/>
  <c r="AC19" i="4"/>
  <c r="AC9" i="4"/>
  <c r="AC47" i="4"/>
  <c r="AC36" i="4"/>
  <c r="AC27" i="4"/>
  <c r="AC18" i="4"/>
  <c r="AC8" i="4"/>
  <c r="AC69" i="4"/>
  <c r="AC60" i="4"/>
  <c r="AC41" i="4"/>
  <c r="AC31" i="4"/>
  <c r="AC24" i="4"/>
  <c r="AC54" i="4"/>
  <c r="AC81" i="4"/>
  <c r="AC32" i="4"/>
  <c r="AC14" i="4"/>
  <c r="AC35" i="4"/>
  <c r="AC73" i="4"/>
  <c r="AC13" i="4"/>
  <c r="AC62" i="4"/>
  <c r="AC39" i="4"/>
  <c r="AC12" i="4"/>
  <c r="AC44" i="4"/>
  <c r="AC15" i="4"/>
  <c r="AC34" i="4"/>
  <c r="AC43" i="4"/>
  <c r="AC72" i="4"/>
  <c r="AC83" i="4"/>
  <c r="AC74" i="4"/>
  <c r="AC65" i="4"/>
  <c r="AC77" i="4"/>
  <c r="AC75" i="4"/>
  <c r="AC66" i="4"/>
  <c r="AC46" i="4"/>
  <c r="AC7" i="4"/>
  <c r="AJ17" i="4" l="1"/>
  <c r="AJ25" i="4"/>
  <c r="AJ52" i="4"/>
  <c r="AJ78" i="4"/>
  <c r="AJ64" i="4"/>
  <c r="AJ70" i="4"/>
  <c r="AJ33" i="4"/>
  <c r="AJ59" i="4"/>
  <c r="AJ45" i="4"/>
  <c r="AJ86" i="4"/>
  <c r="AJ40" i="4"/>
  <c r="W87" i="4"/>
  <c r="AI25" i="4"/>
  <c r="AK25" i="4"/>
  <c r="AH25" i="4"/>
  <c r="AH59" i="4"/>
  <c r="AK59" i="4"/>
  <c r="AI59" i="4"/>
  <c r="AK70" i="4"/>
  <c r="AI70" i="4"/>
  <c r="AH70" i="4"/>
  <c r="AK64" i="4"/>
  <c r="AI64" i="4"/>
  <c r="AH64" i="4"/>
  <c r="T87" i="4"/>
  <c r="AJ11" i="4"/>
  <c r="AK11" i="4"/>
  <c r="AI11" i="4"/>
  <c r="AH11" i="4"/>
  <c r="AI40" i="4"/>
  <c r="AH40" i="4"/>
  <c r="AK40" i="4"/>
  <c r="AI86" i="4"/>
  <c r="AK86" i="4"/>
  <c r="AH86" i="4"/>
  <c r="AK45" i="4"/>
  <c r="AH45" i="4"/>
  <c r="AI45" i="4"/>
  <c r="AC78" i="4"/>
  <c r="AI52" i="4"/>
  <c r="AH52" i="4"/>
  <c r="AK52" i="4"/>
  <c r="AI33" i="4"/>
  <c r="AH33" i="4"/>
  <c r="AK33" i="4"/>
  <c r="AH17" i="4"/>
  <c r="AK17" i="4"/>
  <c r="AI17" i="4"/>
  <c r="AI78" i="4"/>
  <c r="AH78" i="4"/>
  <c r="AK78" i="4"/>
  <c r="AC40" i="4"/>
  <c r="Q85" i="4"/>
  <c r="Q84" i="4"/>
  <c r="Q83" i="4"/>
  <c r="Q82" i="4"/>
  <c r="Q81" i="4"/>
  <c r="Q80" i="4"/>
  <c r="Q79" i="4"/>
  <c r="Q77" i="4"/>
  <c r="Q76" i="4"/>
  <c r="Q75" i="4"/>
  <c r="Q74" i="4"/>
  <c r="Q73" i="4"/>
  <c r="Q72" i="4"/>
  <c r="Q71" i="4"/>
  <c r="Q69" i="4"/>
  <c r="Q68" i="4"/>
  <c r="Q67" i="4"/>
  <c r="Q66" i="4"/>
  <c r="Q65" i="4"/>
  <c r="Q63" i="4"/>
  <c r="Q62" i="4"/>
  <c r="Q61" i="4"/>
  <c r="Q60" i="4"/>
  <c r="Q58" i="4"/>
  <c r="Q57" i="4"/>
  <c r="Q56" i="4"/>
  <c r="Q55" i="4"/>
  <c r="Q54" i="4"/>
  <c r="Q53" i="4"/>
  <c r="Q51" i="4"/>
  <c r="Q50" i="4"/>
  <c r="Q49" i="4"/>
  <c r="Q48" i="4"/>
  <c r="Q47" i="4"/>
  <c r="Q46" i="4"/>
  <c r="Q44" i="4"/>
  <c r="Q43" i="4"/>
  <c r="Q42" i="4"/>
  <c r="Q41" i="4"/>
  <c r="Q39" i="4"/>
  <c r="Q38" i="4"/>
  <c r="Q37" i="4"/>
  <c r="Q36" i="4"/>
  <c r="Q35" i="4"/>
  <c r="Q34" i="4"/>
  <c r="Q32" i="4"/>
  <c r="Q31" i="4"/>
  <c r="Q29" i="4"/>
  <c r="Q28" i="4"/>
  <c r="Q27" i="4"/>
  <c r="Q26" i="4"/>
  <c r="Q24" i="4"/>
  <c r="Q23" i="4"/>
  <c r="Q22" i="4"/>
  <c r="Q21" i="4"/>
  <c r="Q20" i="4"/>
  <c r="Q19" i="4"/>
  <c r="Q18" i="4"/>
  <c r="Q16" i="4"/>
  <c r="Q15" i="4"/>
  <c r="Q14" i="4"/>
  <c r="Q13" i="4"/>
  <c r="Q12" i="4"/>
  <c r="Q10" i="4"/>
  <c r="Q9" i="4"/>
  <c r="Q8" i="4"/>
  <c r="Q7" i="4"/>
  <c r="AJ87" i="4" l="1"/>
  <c r="Q86" i="4"/>
  <c r="Q64" i="4"/>
  <c r="AI87" i="4"/>
  <c r="AH87" i="4"/>
  <c r="AK87" i="4"/>
  <c r="Q78" i="4"/>
  <c r="Q45" i="4"/>
  <c r="Q70" i="4"/>
  <c r="Q59" i="4"/>
  <c r="Q52" i="4"/>
  <c r="Q40" i="4"/>
  <c r="Q33" i="4"/>
  <c r="Q25" i="4"/>
  <c r="Q17" i="4"/>
  <c r="Q11" i="4"/>
  <c r="Q87" i="4" l="1"/>
</calcChain>
</file>

<file path=xl/sharedStrings.xml><?xml version="1.0" encoding="utf-8"?>
<sst xmlns="http://schemas.openxmlformats.org/spreadsheetml/2006/main" count="196" uniqueCount="143">
  <si>
    <t>次分區</t>
    <phoneticPr fontId="2" type="noConversion"/>
  </si>
  <si>
    <t>公立</t>
    <phoneticPr fontId="2" type="noConversion"/>
  </si>
  <si>
    <t>非營利</t>
    <phoneticPr fontId="2" type="noConversion"/>
  </si>
  <si>
    <t>準公共</t>
    <phoneticPr fontId="2" type="noConversion"/>
  </si>
  <si>
    <t>私立</t>
    <phoneticPr fontId="2" type="noConversion"/>
  </si>
  <si>
    <t>行政區</t>
    <phoneticPr fontId="2" type="noConversion"/>
  </si>
  <si>
    <t>三民次分區</t>
    <phoneticPr fontId="2" type="noConversion"/>
  </si>
  <si>
    <t>核定人數</t>
    <phoneticPr fontId="2" type="noConversion"/>
  </si>
  <si>
    <t>松山區</t>
    <phoneticPr fontId="2" type="noConversion"/>
  </si>
  <si>
    <t>中崙次分區</t>
    <phoneticPr fontId="2" type="noConversion"/>
  </si>
  <si>
    <t>本鎮次分區</t>
    <phoneticPr fontId="2" type="noConversion"/>
  </si>
  <si>
    <t>東社次分區</t>
    <phoneticPr fontId="2" type="noConversion"/>
  </si>
  <si>
    <t>園數</t>
    <phoneticPr fontId="2" type="noConversion"/>
  </si>
  <si>
    <t>教育局
幼兒園核定人數</t>
    <phoneticPr fontId="2" type="noConversion"/>
  </si>
  <si>
    <t>信義區</t>
    <phoneticPr fontId="2" type="noConversion"/>
  </si>
  <si>
    <t>三張犂次分區</t>
    <phoneticPr fontId="2" type="noConversion"/>
  </si>
  <si>
    <t>五分埔次分區</t>
    <phoneticPr fontId="2" type="noConversion"/>
  </si>
  <si>
    <t>六張犁次分區</t>
    <phoneticPr fontId="2" type="noConversion"/>
  </si>
  <si>
    <t>吳興次分區</t>
    <phoneticPr fontId="2" type="noConversion"/>
  </si>
  <si>
    <t>福德次分區</t>
    <phoneticPr fontId="2" type="noConversion"/>
  </si>
  <si>
    <t>新生次分區</t>
    <phoneticPr fontId="2" type="noConversion"/>
  </si>
  <si>
    <t>敦南次分區</t>
    <phoneticPr fontId="2" type="noConversion"/>
  </si>
  <si>
    <t>和平次分區</t>
    <phoneticPr fontId="2" type="noConversion"/>
  </si>
  <si>
    <t>瑞安次分區</t>
    <phoneticPr fontId="2" type="noConversion"/>
  </si>
  <si>
    <t>安和次分區</t>
    <phoneticPr fontId="2" type="noConversion"/>
  </si>
  <si>
    <t>學府次分區</t>
    <phoneticPr fontId="2" type="noConversion"/>
  </si>
  <si>
    <t>臥龍次分區</t>
    <phoneticPr fontId="2" type="noConversion"/>
  </si>
  <si>
    <t>大安區</t>
    <phoneticPr fontId="2" type="noConversion"/>
  </si>
  <si>
    <t>中山區</t>
    <phoneticPr fontId="2" type="noConversion"/>
  </si>
  <si>
    <t>大直次分區</t>
    <phoneticPr fontId="2" type="noConversion"/>
  </si>
  <si>
    <t>圓山次分區</t>
    <phoneticPr fontId="2" type="noConversion"/>
  </si>
  <si>
    <t>新庄次分區</t>
    <phoneticPr fontId="2" type="noConversion"/>
  </si>
  <si>
    <t>下埤頭次分區</t>
    <phoneticPr fontId="2" type="noConversion"/>
  </si>
  <si>
    <t>林森次分區</t>
    <phoneticPr fontId="2" type="noConversion"/>
  </si>
  <si>
    <t>長春次分區</t>
    <phoneticPr fontId="2" type="noConversion"/>
  </si>
  <si>
    <t>朱厝崙次分區</t>
    <phoneticPr fontId="2" type="noConversion"/>
  </si>
  <si>
    <t>中正區</t>
    <phoneticPr fontId="2" type="noConversion"/>
  </si>
  <si>
    <t>城內次分區</t>
    <phoneticPr fontId="2" type="noConversion"/>
  </si>
  <si>
    <t>南門次分區</t>
    <phoneticPr fontId="2" type="noConversion"/>
  </si>
  <si>
    <t>東門次分區</t>
    <phoneticPr fontId="2" type="noConversion"/>
  </si>
  <si>
    <t>崁頂次分區</t>
    <phoneticPr fontId="2" type="noConversion"/>
  </si>
  <si>
    <t>古亭次分區</t>
    <phoneticPr fontId="2" type="noConversion"/>
  </si>
  <si>
    <t>公館次分區</t>
    <phoneticPr fontId="2" type="noConversion"/>
  </si>
  <si>
    <t>延平次分區</t>
    <phoneticPr fontId="2" type="noConversion"/>
  </si>
  <si>
    <t>大同區</t>
    <phoneticPr fontId="2" type="noConversion"/>
  </si>
  <si>
    <t>蘭州次分區</t>
    <phoneticPr fontId="2" type="noConversion"/>
  </si>
  <si>
    <t>大龍次分區</t>
    <phoneticPr fontId="2" type="noConversion"/>
  </si>
  <si>
    <t>建誠次分區</t>
    <phoneticPr fontId="2" type="noConversion"/>
  </si>
  <si>
    <t>萬華區</t>
    <phoneticPr fontId="2" type="noConversion"/>
  </si>
  <si>
    <t>西門次分區</t>
    <phoneticPr fontId="2" type="noConversion"/>
  </si>
  <si>
    <t>龍山次分區</t>
    <phoneticPr fontId="2" type="noConversion"/>
  </si>
  <si>
    <t>大理次分區</t>
    <phoneticPr fontId="2" type="noConversion"/>
  </si>
  <si>
    <t>西園次分區</t>
    <phoneticPr fontId="2" type="noConversion"/>
  </si>
  <si>
    <t>東園次分區</t>
    <phoneticPr fontId="2" type="noConversion"/>
  </si>
  <si>
    <t>青年次分區</t>
    <phoneticPr fontId="2" type="noConversion"/>
  </si>
  <si>
    <t>內湖區</t>
    <phoneticPr fontId="2" type="noConversion"/>
  </si>
  <si>
    <t>金龍次分區</t>
    <phoneticPr fontId="2" type="noConversion"/>
  </si>
  <si>
    <t>東湖次分區</t>
    <phoneticPr fontId="2" type="noConversion"/>
  </si>
  <si>
    <t>紫陽次分區</t>
    <phoneticPr fontId="2" type="noConversion"/>
  </si>
  <si>
    <t>灣仔次分區</t>
    <phoneticPr fontId="2" type="noConversion"/>
  </si>
  <si>
    <t>洲尾次分區</t>
    <phoneticPr fontId="2" type="noConversion"/>
  </si>
  <si>
    <t>南港區</t>
    <phoneticPr fontId="2" type="noConversion"/>
  </si>
  <si>
    <t>後山埤次分區</t>
    <phoneticPr fontId="2" type="noConversion"/>
  </si>
  <si>
    <t>新庄仔次分區</t>
    <phoneticPr fontId="2" type="noConversion"/>
  </si>
  <si>
    <t>三重埔次分區</t>
    <phoneticPr fontId="2" type="noConversion"/>
  </si>
  <si>
    <t>中研次分區</t>
    <phoneticPr fontId="2" type="noConversion"/>
  </si>
  <si>
    <t>文山區</t>
    <phoneticPr fontId="2" type="noConversion"/>
  </si>
  <si>
    <t>景美次分區</t>
    <phoneticPr fontId="2" type="noConversion"/>
  </si>
  <si>
    <t>興隆次分區</t>
    <phoneticPr fontId="2" type="noConversion"/>
  </si>
  <si>
    <t>萬芳次分區</t>
    <phoneticPr fontId="2" type="noConversion"/>
  </si>
  <si>
    <t>木柵次分區</t>
    <phoneticPr fontId="2" type="noConversion"/>
  </si>
  <si>
    <t>北投區</t>
    <phoneticPr fontId="2" type="noConversion"/>
  </si>
  <si>
    <t>社子次分區</t>
    <phoneticPr fontId="2" type="noConversion"/>
  </si>
  <si>
    <t>後港次分區</t>
    <phoneticPr fontId="2" type="noConversion"/>
  </si>
  <si>
    <t>街上次分區</t>
    <phoneticPr fontId="2" type="noConversion"/>
  </si>
  <si>
    <t>蘭雅次分區</t>
    <phoneticPr fontId="2" type="noConversion"/>
  </si>
  <si>
    <t>芝山岩次分區</t>
    <phoneticPr fontId="2" type="noConversion"/>
  </si>
  <si>
    <t>天母次分區</t>
    <phoneticPr fontId="2" type="noConversion"/>
  </si>
  <si>
    <t>陽明山次分區</t>
    <phoneticPr fontId="2" type="noConversion"/>
  </si>
  <si>
    <t>士林區</t>
    <phoneticPr fontId="2" type="noConversion"/>
  </si>
  <si>
    <t>關渡次分區</t>
    <phoneticPr fontId="2" type="noConversion"/>
  </si>
  <si>
    <t>大屯次分區</t>
    <phoneticPr fontId="2" type="noConversion"/>
  </si>
  <si>
    <t>新北投次分區</t>
    <phoneticPr fontId="2" type="noConversion"/>
  </si>
  <si>
    <t>舊北投次分區</t>
    <phoneticPr fontId="2" type="noConversion"/>
  </si>
  <si>
    <t>石牌次分區</t>
    <phoneticPr fontId="2" type="noConversion"/>
  </si>
  <si>
    <t>二格山次分區</t>
    <phoneticPr fontId="2" type="noConversion"/>
  </si>
  <si>
    <t>西湖次分區</t>
    <phoneticPr fontId="2" type="noConversion"/>
  </si>
  <si>
    <t>唭哩岸次分區</t>
    <phoneticPr fontId="2" type="noConversion"/>
  </si>
  <si>
    <t>公共化教保服務比例</t>
    <phoneticPr fontId="2" type="noConversion"/>
  </si>
  <si>
    <t>總核定/設籍人數</t>
    <phoneticPr fontId="2" type="noConversion"/>
  </si>
  <si>
    <t>公共化核定/設籍人數</t>
    <phoneticPr fontId="2" type="noConversion"/>
  </si>
  <si>
    <t>2歲班核定人數</t>
    <phoneticPr fontId="2" type="noConversion"/>
  </si>
  <si>
    <t>3-5歲班核定人數</t>
    <phoneticPr fontId="2" type="noConversion"/>
  </si>
  <si>
    <t>覆蓋率</t>
    <phoneticPr fontId="2" type="noConversion"/>
  </si>
  <si>
    <t>2-5歲設籍人數
(111年)</t>
    <phoneticPr fontId="2" type="noConversion"/>
  </si>
  <si>
    <t>職場中心</t>
    <phoneticPr fontId="2" type="noConversion"/>
  </si>
  <si>
    <t>核定人數</t>
    <phoneticPr fontId="2" type="noConversion"/>
  </si>
  <si>
    <t>1-4歲設籍人數
(112年)</t>
    <phoneticPr fontId="2" type="noConversion"/>
  </si>
  <si>
    <t>0-3歲設籍人數
(113年)</t>
    <phoneticPr fontId="2" type="noConversion"/>
  </si>
  <si>
    <t>供需比（111學年度）</t>
    <phoneticPr fontId="2" type="noConversion"/>
  </si>
  <si>
    <t>公共化核定/設籍人數*本市各行政區2-5歲幼兒入園率</t>
    <phoneticPr fontId="2" type="noConversion"/>
  </si>
  <si>
    <t>供給量</t>
    <phoneticPr fontId="2" type="noConversion"/>
  </si>
  <si>
    <t>需求量</t>
    <phoneticPr fontId="2" type="noConversion"/>
  </si>
  <si>
    <t>原核定名額</t>
    <phoneticPr fontId="2" type="noConversion"/>
  </si>
  <si>
    <t>降低師生比後核定名額</t>
    <phoneticPr fontId="2" type="noConversion"/>
  </si>
  <si>
    <t>111學年度設籍人數推估數(扣除出境未歸人數)</t>
    <phoneticPr fontId="2" type="noConversion"/>
  </si>
  <si>
    <t>較111學年度減少人數</t>
    <phoneticPr fontId="2" type="noConversion"/>
  </si>
  <si>
    <r>
      <t xml:space="preserve">入園率
</t>
    </r>
    <r>
      <rPr>
        <b/>
        <sz val="10"/>
        <color theme="1"/>
        <rFont val="標楷體"/>
        <family val="4"/>
        <charset val="136"/>
      </rPr>
      <t>（各類幼兒園就讀數/111學年度設籍人數）</t>
    </r>
    <phoneticPr fontId="2" type="noConversion"/>
  </si>
  <si>
    <t>111學年度公共化教保服務比例</t>
    <phoneticPr fontId="2" type="noConversion"/>
  </si>
  <si>
    <r>
      <t xml:space="preserve">112學年度推估公共化教保服務比例
</t>
    </r>
    <r>
      <rPr>
        <b/>
        <sz val="10"/>
        <color theme="1"/>
        <rFont val="標楷體"/>
        <family val="4"/>
        <charset val="136"/>
      </rPr>
      <t>(降低師生比後核定名額/需求量)</t>
    </r>
    <phoneticPr fontId="2" type="noConversion"/>
  </si>
  <si>
    <t>公共化比例未達7成且比例下降之行政區</t>
    <phoneticPr fontId="2" type="noConversion"/>
  </si>
  <si>
    <t>總計</t>
    <phoneticPr fontId="2" type="noConversion"/>
  </si>
  <si>
    <t>非營</t>
    <phoneticPr fontId="2" type="noConversion"/>
  </si>
  <si>
    <t>公幼減少名額</t>
    <phoneticPr fontId="2" type="noConversion"/>
  </si>
  <si>
    <t>非營利減少名額</t>
    <phoneticPr fontId="2" type="noConversion"/>
  </si>
  <si>
    <t>減少名額</t>
    <phoneticPr fontId="2" type="noConversion"/>
  </si>
  <si>
    <t>合計</t>
    <phoneticPr fontId="2" type="noConversion"/>
  </si>
  <si>
    <t>總核定/設籍人數*本市各行政區2-5歲幼兒入園率</t>
    <phoneticPr fontId="2" type="noConversion"/>
  </si>
  <si>
    <t>註：台北市各行政區推估入園率如下：松山區67%、信義區64%、大安區72%、中山區69%、中正區53%、大同區71%、萬華區81%、文山區79%、南港區85%、內湖區70%、士林區78%、北投區76%</t>
    <phoneticPr fontId="2" type="noConversion"/>
  </si>
  <si>
    <t>註：設籍人口資料取自政府資料開放平台112年3月統計資料（網址：https://data.gov.tw/dataset/136896）</t>
    <phoneticPr fontId="2" type="noConversion"/>
  </si>
  <si>
    <t>供需比（112學年度）</t>
    <phoneticPr fontId="2" type="noConversion"/>
  </si>
  <si>
    <t>松山區總計</t>
    <phoneticPr fontId="2" type="noConversion"/>
  </si>
  <si>
    <t>信義區總計</t>
    <phoneticPr fontId="2" type="noConversion"/>
  </si>
  <si>
    <t>112學年度師生比1：12</t>
    <phoneticPr fontId="2" type="noConversion"/>
  </si>
  <si>
    <t>大安區總計</t>
    <phoneticPr fontId="2" type="noConversion"/>
  </si>
  <si>
    <t>中山區總計</t>
    <phoneticPr fontId="2" type="noConversion"/>
  </si>
  <si>
    <t>中正區總計</t>
    <phoneticPr fontId="2" type="noConversion"/>
  </si>
  <si>
    <t>大同區總計</t>
    <phoneticPr fontId="2" type="noConversion"/>
  </si>
  <si>
    <t>萬華區總計</t>
    <phoneticPr fontId="2" type="noConversion"/>
  </si>
  <si>
    <t>內湖區總計</t>
    <phoneticPr fontId="2" type="noConversion"/>
  </si>
  <si>
    <t>南港區總計</t>
    <phoneticPr fontId="2" type="noConversion"/>
  </si>
  <si>
    <t>文山區總計</t>
    <phoneticPr fontId="2" type="noConversion"/>
  </si>
  <si>
    <t>士林區總計</t>
    <phoneticPr fontId="2" type="noConversion"/>
  </si>
  <si>
    <t>北投區總計</t>
    <phoneticPr fontId="2" type="noConversion"/>
  </si>
  <si>
    <t>全區總計</t>
    <phoneticPr fontId="2" type="noConversion"/>
  </si>
  <si>
    <t>112學年度師生比1：15</t>
    <phoneticPr fontId="2" type="noConversion"/>
  </si>
  <si>
    <t>臺北市各次分區公共化托育盤點統計表</t>
    <phoneticPr fontId="2" type="noConversion"/>
  </si>
  <si>
    <t>註：藍字為所得中位數高於70萬之次分區</t>
    <phoneticPr fontId="2" type="noConversion"/>
  </si>
  <si>
    <t>臺北市112學年度降低師生比各行政區公共化教保服務比例統計表</t>
    <phoneticPr fontId="2" type="noConversion"/>
  </si>
  <si>
    <t>112學年度設籍人數推估數(扣除出境未歸人數)</t>
    <phoneticPr fontId="2" type="noConversion"/>
  </si>
  <si>
    <r>
      <t>112學年度</t>
    </r>
    <r>
      <rPr>
        <b/>
        <sz val="12"/>
        <color rgb="FFFF0000"/>
        <rFont val="標楷體"/>
        <family val="4"/>
        <charset val="136"/>
      </rPr>
      <t>推估</t>
    </r>
    <r>
      <rPr>
        <b/>
        <sz val="12"/>
        <color theme="1"/>
        <rFont val="標楷體"/>
        <family val="4"/>
        <charset val="136"/>
      </rPr>
      <t xml:space="preserve">需求量
</t>
    </r>
    <r>
      <rPr>
        <b/>
        <sz val="10"/>
        <color theme="1"/>
        <rFont val="標楷體"/>
        <family val="4"/>
        <charset val="136"/>
      </rPr>
      <t>(112學年度設籍人數推估數*入園率)</t>
    </r>
    <phoneticPr fontId="2" type="noConversion"/>
  </si>
  <si>
    <t>112.04.19更新</t>
    <phoneticPr fontId="2" type="noConversion"/>
  </si>
  <si>
    <t>112.4.14修正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</si>
</sst>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  <font>
      <sz val="16"/>
      <color theme="1"/>
      <name val="新細明體"/>
      <family val="2"/>
      <charset val="136"/>
      <scheme val="minor"/>
    </font>
    <font>
      <b/>
      <sz val="14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b/>
      <sz val="10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1"/>
      <color rgb="FF202124"/>
      <name val="標楷體"/>
      <family val="4"/>
      <charset val="136"/>
    </font>
    <font>
      <b/>
      <sz val="12"/>
      <color theme="4" tint="-0.499984740745262"/>
      <name val="標楷體"/>
      <family val="4"/>
      <charset val="136"/>
    </font>
    <font>
      <b/>
      <sz val="16"/>
      <color rgb="FFFF0000"/>
      <name val="標楷體"/>
      <family val="4"/>
      <charset val="136"/>
    </font>
    <font>
      <b/>
      <sz val="12"/>
      <color rgb="FFFF0000"/>
      <name val="新細明體"/>
      <family val="2"/>
      <charset val="136"/>
      <scheme val="minor"/>
    </font>
    <font>
      <b/>
      <sz val="16"/>
      <color theme="4" tint="-0.499984740745262"/>
      <name val="標楷體"/>
      <family val="4"/>
      <charset val="136"/>
    </font>
    <font>
      <b/>
      <sz val="12"/>
      <color theme="4" tint="-0.499984740745262"/>
      <name val="新細明體"/>
      <family val="2"/>
      <charset val="136"/>
      <scheme val="minor"/>
    </font>
    <font>
      <b/>
      <sz val="12"/>
      <color rgb="FFC00000"/>
      <name val="標楷體"/>
      <family val="4"/>
      <charset val="136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6" fontId="3" fillId="2" borderId="15" xfId="0" applyNumberFormat="1" applyFont="1" applyFill="1" applyBorder="1" applyAlignment="1">
      <alignment horizontal="center" vertical="center"/>
    </xf>
    <xf numFmtId="176" fontId="3" fillId="2" borderId="4" xfId="0" applyNumberFormat="1" applyFont="1" applyFill="1" applyBorder="1" applyAlignment="1">
      <alignment horizontal="center" vertical="center"/>
    </xf>
    <xf numFmtId="176" fontId="3" fillId="2" borderId="16" xfId="0" applyNumberFormat="1" applyFont="1" applyFill="1" applyBorder="1" applyAlignment="1">
      <alignment horizontal="center" vertical="center"/>
    </xf>
    <xf numFmtId="9" fontId="3" fillId="2" borderId="3" xfId="1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9" fontId="3" fillId="2" borderId="10" xfId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9" fontId="3" fillId="4" borderId="3" xfId="1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9" fontId="3" fillId="4" borderId="10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3" fillId="3" borderId="1" xfId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3" fillId="2" borderId="18" xfId="1" applyFont="1" applyFill="1" applyBorder="1" applyAlignment="1">
      <alignment horizontal="center" vertical="center"/>
    </xf>
    <xf numFmtId="9" fontId="3" fillId="2" borderId="13" xfId="1" applyFont="1" applyFill="1" applyBorder="1" applyAlignment="1">
      <alignment horizontal="center" vertical="center"/>
    </xf>
    <xf numFmtId="9" fontId="3" fillId="2" borderId="14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3" fillId="4" borderId="13" xfId="1" applyFont="1" applyFill="1" applyBorder="1" applyAlignment="1">
      <alignment horizontal="center" vertical="center"/>
    </xf>
    <xf numFmtId="9" fontId="3" fillId="4" borderId="14" xfId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3" fontId="3" fillId="9" borderId="1" xfId="0" applyNumberFormat="1" applyFont="1" applyFill="1" applyBorder="1" applyAlignment="1">
      <alignment horizontal="center" vertical="center"/>
    </xf>
    <xf numFmtId="3" fontId="3" fillId="10" borderId="1" xfId="0" applyNumberFormat="1" applyFont="1" applyFill="1" applyBorder="1" applyAlignment="1">
      <alignment horizontal="center" vertical="center"/>
    </xf>
    <xf numFmtId="3" fontId="11" fillId="10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9" fontId="5" fillId="3" borderId="1" xfId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3" fontId="13" fillId="10" borderId="1" xfId="0" applyNumberFormat="1" applyFont="1" applyFill="1" applyBorder="1" applyAlignment="1">
      <alignment horizontal="center" vertical="center"/>
    </xf>
    <xf numFmtId="3" fontId="13" fillId="3" borderId="1" xfId="0" applyNumberFormat="1" applyFont="1" applyFill="1" applyBorder="1" applyAlignment="1">
      <alignment horizontal="center" vertical="center"/>
    </xf>
    <xf numFmtId="9" fontId="6" fillId="3" borderId="1" xfId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3" fontId="3" fillId="11" borderId="1" xfId="0" applyNumberFormat="1" applyFont="1" applyFill="1" applyBorder="1" applyAlignment="1">
      <alignment horizontal="center" vertical="center"/>
    </xf>
    <xf numFmtId="3" fontId="11" fillId="11" borderId="1" xfId="0" applyNumberFormat="1" applyFont="1" applyFill="1" applyBorder="1" applyAlignment="1">
      <alignment horizontal="center" vertical="center"/>
    </xf>
    <xf numFmtId="9" fontId="3" fillId="11" borderId="1" xfId="1" applyFont="1" applyFill="1" applyBorder="1" applyAlignment="1">
      <alignment horizontal="center" vertical="center"/>
    </xf>
    <xf numFmtId="10" fontId="3" fillId="11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9" fontId="11" fillId="2" borderId="3" xfId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76" fontId="3" fillId="4" borderId="3" xfId="0" applyNumberFormat="1" applyFont="1" applyFill="1" applyBorder="1" applyAlignment="1">
      <alignment horizontal="center" vertical="center"/>
    </xf>
    <xf numFmtId="176" fontId="3" fillId="4" borderId="10" xfId="0" applyNumberFormat="1" applyFont="1" applyFill="1" applyBorder="1" applyAlignment="1">
      <alignment horizontal="center" vertical="center"/>
    </xf>
    <xf numFmtId="9" fontId="3" fillId="2" borderId="19" xfId="1" applyFont="1" applyFill="1" applyBorder="1" applyAlignment="1">
      <alignment horizontal="center" vertical="center"/>
    </xf>
    <xf numFmtId="9" fontId="3" fillId="2" borderId="20" xfId="1" applyFont="1" applyFill="1" applyBorder="1" applyAlignment="1">
      <alignment horizontal="center" vertical="center"/>
    </xf>
    <xf numFmtId="9" fontId="3" fillId="2" borderId="21" xfId="1" applyFont="1" applyFill="1" applyBorder="1" applyAlignment="1">
      <alignment horizontal="center" vertical="center"/>
    </xf>
    <xf numFmtId="9" fontId="11" fillId="2" borderId="19" xfId="1" applyFont="1" applyFill="1" applyBorder="1" applyAlignment="1">
      <alignment horizontal="center" vertical="center"/>
    </xf>
    <xf numFmtId="9" fontId="3" fillId="2" borderId="22" xfId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9" fontId="6" fillId="2" borderId="3" xfId="1" applyFont="1" applyFill="1" applyBorder="1" applyAlignment="1">
      <alignment horizontal="center" vertical="center"/>
    </xf>
    <xf numFmtId="9" fontId="6" fillId="2" borderId="11" xfId="1" applyFont="1" applyFill="1" applyBorder="1" applyAlignment="1">
      <alignment horizontal="center" vertical="center"/>
    </xf>
    <xf numFmtId="9" fontId="6" fillId="2" borderId="19" xfId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9" fontId="3" fillId="2" borderId="24" xfId="1" applyFont="1" applyFill="1" applyBorder="1" applyAlignment="1">
      <alignment horizontal="center" vertical="center"/>
    </xf>
    <xf numFmtId="9" fontId="3" fillId="2" borderId="25" xfId="1" applyFont="1" applyFill="1" applyBorder="1" applyAlignment="1">
      <alignment horizontal="center" vertical="center"/>
    </xf>
    <xf numFmtId="176" fontId="3" fillId="8" borderId="23" xfId="0" applyNumberFormat="1" applyFont="1" applyFill="1" applyBorder="1" applyAlignment="1">
      <alignment horizontal="center" vertical="center"/>
    </xf>
    <xf numFmtId="9" fontId="3" fillId="8" borderId="23" xfId="1" applyFont="1" applyFill="1" applyBorder="1" applyAlignment="1">
      <alignment horizontal="center" vertical="center"/>
    </xf>
    <xf numFmtId="9" fontId="3" fillId="8" borderId="19" xfId="1" applyFont="1" applyFill="1" applyBorder="1" applyAlignment="1">
      <alignment horizontal="center" vertical="center"/>
    </xf>
    <xf numFmtId="9" fontId="3" fillId="8" borderId="20" xfId="1" applyFont="1" applyFill="1" applyBorder="1" applyAlignment="1">
      <alignment horizontal="center" vertical="center"/>
    </xf>
    <xf numFmtId="9" fontId="3" fillId="8" borderId="21" xfId="1" applyFont="1" applyFill="1" applyBorder="1" applyAlignment="1">
      <alignment horizontal="center" vertical="center"/>
    </xf>
    <xf numFmtId="9" fontId="11" fillId="2" borderId="24" xfId="1" applyFont="1" applyFill="1" applyBorder="1" applyAlignment="1">
      <alignment horizontal="center" vertical="center"/>
    </xf>
    <xf numFmtId="9" fontId="3" fillId="2" borderId="28" xfId="1" applyFont="1" applyFill="1" applyBorder="1" applyAlignment="1">
      <alignment horizontal="center" vertical="center"/>
    </xf>
    <xf numFmtId="9" fontId="11" fillId="8" borderId="19" xfId="1" applyFont="1" applyFill="1" applyBorder="1" applyAlignment="1">
      <alignment horizontal="center" vertical="center"/>
    </xf>
    <xf numFmtId="9" fontId="3" fillId="8" borderId="22" xfId="1" applyFont="1" applyFill="1" applyBorder="1" applyAlignment="1">
      <alignment horizontal="center" vertical="center"/>
    </xf>
    <xf numFmtId="9" fontId="11" fillId="8" borderId="11" xfId="1" applyFont="1" applyFill="1" applyBorder="1" applyAlignment="1">
      <alignment horizontal="center" vertical="center"/>
    </xf>
    <xf numFmtId="176" fontId="6" fillId="8" borderId="23" xfId="0" applyNumberFormat="1" applyFont="1" applyFill="1" applyBorder="1" applyAlignment="1">
      <alignment horizontal="center" vertical="center"/>
    </xf>
    <xf numFmtId="9" fontId="6" fillId="8" borderId="23" xfId="1" applyFont="1" applyFill="1" applyBorder="1" applyAlignment="1">
      <alignment horizontal="center" vertical="center"/>
    </xf>
    <xf numFmtId="9" fontId="6" fillId="8" borderId="19" xfId="1" applyFont="1" applyFill="1" applyBorder="1" applyAlignment="1">
      <alignment horizontal="center" vertical="center"/>
    </xf>
    <xf numFmtId="9" fontId="6" fillId="8" borderId="20" xfId="1" applyFont="1" applyFill="1" applyBorder="1" applyAlignment="1">
      <alignment horizontal="center" vertical="center"/>
    </xf>
    <xf numFmtId="9" fontId="6" fillId="8" borderId="22" xfId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30" xfId="0" applyNumberFormat="1" applyFont="1" applyFill="1" applyBorder="1" applyAlignment="1">
      <alignment horizontal="center" vertical="center"/>
    </xf>
    <xf numFmtId="9" fontId="3" fillId="2" borderId="2" xfId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/>
    </xf>
    <xf numFmtId="9" fontId="3" fillId="4" borderId="2" xfId="1" applyFont="1" applyFill="1" applyBorder="1" applyAlignment="1">
      <alignment horizontal="center" vertical="center"/>
    </xf>
    <xf numFmtId="176" fontId="6" fillId="8" borderId="24" xfId="0" applyNumberFormat="1" applyFont="1" applyFill="1" applyBorder="1" applyAlignment="1">
      <alignment horizontal="center" vertical="center"/>
    </xf>
    <xf numFmtId="9" fontId="6" fillId="8" borderId="24" xfId="1" applyFont="1" applyFill="1" applyBorder="1" applyAlignment="1">
      <alignment horizontal="center" vertical="center"/>
    </xf>
    <xf numFmtId="9" fontId="6" fillId="8" borderId="25" xfId="1" applyFont="1" applyFill="1" applyBorder="1" applyAlignment="1">
      <alignment horizontal="center" vertical="center"/>
    </xf>
    <xf numFmtId="9" fontId="11" fillId="8" borderId="24" xfId="1" applyFont="1" applyFill="1" applyBorder="1" applyAlignment="1">
      <alignment horizontal="center" vertical="center"/>
    </xf>
    <xf numFmtId="9" fontId="6" fillId="8" borderId="28" xfId="1" applyFont="1" applyFill="1" applyBorder="1" applyAlignment="1">
      <alignment horizontal="center" vertical="center"/>
    </xf>
    <xf numFmtId="176" fontId="6" fillId="12" borderId="19" xfId="0" applyNumberFormat="1" applyFont="1" applyFill="1" applyBorder="1" applyAlignment="1">
      <alignment horizontal="center" vertical="center"/>
    </xf>
    <xf numFmtId="9" fontId="6" fillId="12" borderId="19" xfId="1" applyFont="1" applyFill="1" applyBorder="1" applyAlignment="1">
      <alignment horizontal="center" vertical="center"/>
    </xf>
    <xf numFmtId="9" fontId="6" fillId="12" borderId="20" xfId="1" applyFont="1" applyFill="1" applyBorder="1" applyAlignment="1">
      <alignment horizontal="center" vertical="center"/>
    </xf>
    <xf numFmtId="9" fontId="6" fillId="12" borderId="22" xfId="1" applyFont="1" applyFill="1" applyBorder="1" applyAlignment="1">
      <alignment horizontal="center" vertical="center"/>
    </xf>
    <xf numFmtId="9" fontId="3" fillId="8" borderId="3" xfId="1" applyFont="1" applyFill="1" applyBorder="1" applyAlignment="1">
      <alignment horizontal="center" vertical="center"/>
    </xf>
    <xf numFmtId="9" fontId="3" fillId="8" borderId="13" xfId="1" applyFont="1" applyFill="1" applyBorder="1" applyAlignment="1">
      <alignment horizontal="center" vertical="center"/>
    </xf>
    <xf numFmtId="9" fontId="6" fillId="8" borderId="3" xfId="1" applyFont="1" applyFill="1" applyBorder="1" applyAlignment="1">
      <alignment horizontal="center" vertical="center"/>
    </xf>
    <xf numFmtId="9" fontId="3" fillId="8" borderId="14" xfId="1" applyFont="1" applyFill="1" applyBorder="1" applyAlignment="1">
      <alignment horizontal="center" vertical="center"/>
    </xf>
    <xf numFmtId="9" fontId="3" fillId="12" borderId="3" xfId="1" applyFont="1" applyFill="1" applyBorder="1" applyAlignment="1">
      <alignment horizontal="center" vertical="center"/>
    </xf>
    <xf numFmtId="9" fontId="3" fillId="12" borderId="13" xfId="1" applyFont="1" applyFill="1" applyBorder="1" applyAlignment="1">
      <alignment horizontal="center" vertical="center"/>
    </xf>
    <xf numFmtId="9" fontId="3" fillId="12" borderId="14" xfId="1" applyFont="1" applyFill="1" applyBorder="1" applyAlignment="1">
      <alignment horizontal="center" vertical="center"/>
    </xf>
    <xf numFmtId="9" fontId="13" fillId="4" borderId="3" xfId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9" fontId="18" fillId="4" borderId="3" xfId="1" applyFont="1" applyFill="1" applyBorder="1" applyAlignment="1">
      <alignment horizontal="center" vertical="center"/>
    </xf>
    <xf numFmtId="9" fontId="18" fillId="8" borderId="3" xfId="1" applyFont="1" applyFill="1" applyBorder="1" applyAlignment="1">
      <alignment horizontal="center" vertical="center"/>
    </xf>
    <xf numFmtId="9" fontId="18" fillId="12" borderId="3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9" fontId="13" fillId="2" borderId="3" xfId="1" applyFont="1" applyFill="1" applyBorder="1" applyAlignment="1">
      <alignment horizontal="center" vertical="center"/>
    </xf>
    <xf numFmtId="9" fontId="18" fillId="2" borderId="17" xfId="1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6" fillId="8" borderId="31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8" borderId="2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90"/>
  <sheetViews>
    <sheetView tabSelected="1" topLeftCell="A49" zoomScaleNormal="100" workbookViewId="0">
      <selection activeCell="W25" sqref="W25"/>
    </sheetView>
  </sheetViews>
  <sheetFormatPr defaultRowHeight="16.5" x14ac:dyDescent="0.25"/>
  <cols>
    <col min="2" max="2" width="15" style="74" bestFit="1" customWidth="1"/>
    <col min="3" max="5" width="9" customWidth="1"/>
    <col min="6" max="6" width="9" hidden="1" customWidth="1"/>
    <col min="7" max="7" width="9" customWidth="1"/>
    <col min="8" max="8" width="10.25" customWidth="1"/>
    <col min="9" max="9" width="9" hidden="1" customWidth="1"/>
    <col min="10" max="10" width="9" customWidth="1"/>
    <col min="11" max="11" width="11" customWidth="1"/>
    <col min="12" max="12" width="10.25" customWidth="1"/>
    <col min="13" max="13" width="9" hidden="1" customWidth="1"/>
    <col min="14" max="14" width="10.125" customWidth="1"/>
    <col min="15" max="15" width="9" hidden="1" customWidth="1"/>
    <col min="16" max="16" width="9" customWidth="1"/>
    <col min="17" max="17" width="9" hidden="1" customWidth="1"/>
    <col min="18" max="18" width="5.5" hidden="1" customWidth="1"/>
    <col min="19" max="19" width="9.75" customWidth="1"/>
    <col min="20" max="20" width="9.125" customWidth="1"/>
    <col min="21" max="21" width="16.625" hidden="1" customWidth="1"/>
    <col min="22" max="24" width="9" customWidth="1"/>
    <col min="25" max="25" width="9" hidden="1" customWidth="1"/>
    <col min="26" max="26" width="9.5" customWidth="1"/>
    <col min="27" max="27" width="10.5" hidden="1" customWidth="1"/>
    <col min="28" max="28" width="16.625" customWidth="1"/>
    <col min="29" max="29" width="9" hidden="1" customWidth="1"/>
    <col min="30" max="30" width="10.75" customWidth="1"/>
    <col min="31" max="31" width="10.25" customWidth="1"/>
    <col min="32" max="32" width="15" style="74" customWidth="1"/>
    <col min="33" max="33" width="14.375" customWidth="1"/>
    <col min="34" max="34" width="11.125" customWidth="1"/>
    <col min="35" max="35" width="9.625" customWidth="1"/>
    <col min="36" max="36" width="14.75" style="116" customWidth="1"/>
    <col min="37" max="37" width="13" customWidth="1"/>
  </cols>
  <sheetData>
    <row r="1" spans="1:37" ht="21" x14ac:dyDescent="0.25">
      <c r="A1" s="154" t="s">
        <v>136</v>
      </c>
      <c r="B1" s="155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5"/>
      <c r="AG1" s="154"/>
      <c r="AH1" s="154"/>
      <c r="AI1" s="154"/>
      <c r="AJ1" s="156"/>
      <c r="AK1" s="154"/>
    </row>
    <row r="2" spans="1:37" x14ac:dyDescent="0.25">
      <c r="A2" s="153" t="s">
        <v>141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</row>
    <row r="3" spans="1:37" ht="21" x14ac:dyDescent="0.25">
      <c r="A3" s="159" t="s">
        <v>5</v>
      </c>
      <c r="B3" s="159" t="s">
        <v>0</v>
      </c>
      <c r="C3" s="161" t="s">
        <v>94</v>
      </c>
      <c r="D3" s="161" t="s">
        <v>97</v>
      </c>
      <c r="E3" s="161" t="s">
        <v>98</v>
      </c>
      <c r="F3" s="31"/>
      <c r="G3" s="157" t="s">
        <v>135</v>
      </c>
      <c r="H3" s="157"/>
      <c r="I3" s="157"/>
      <c r="J3" s="157"/>
      <c r="K3" s="157"/>
      <c r="L3" s="157"/>
      <c r="M3" s="157"/>
      <c r="N3" s="157"/>
      <c r="O3" s="157"/>
      <c r="P3" s="157"/>
      <c r="Q3" s="31"/>
      <c r="R3" s="35"/>
      <c r="S3" s="158" t="s">
        <v>123</v>
      </c>
      <c r="T3" s="158"/>
      <c r="U3" s="158"/>
      <c r="V3" s="158"/>
      <c r="W3" s="158"/>
      <c r="X3" s="158"/>
      <c r="Y3" s="158"/>
      <c r="Z3" s="158"/>
      <c r="AA3" s="158"/>
      <c r="AB3" s="158"/>
      <c r="AC3" s="35"/>
      <c r="AD3" s="163" t="s">
        <v>135</v>
      </c>
      <c r="AE3" s="164"/>
      <c r="AF3" s="164"/>
      <c r="AG3" s="165"/>
      <c r="AH3" s="166" t="s">
        <v>123</v>
      </c>
      <c r="AI3" s="167"/>
      <c r="AJ3" s="167"/>
      <c r="AK3" s="168"/>
    </row>
    <row r="4" spans="1:37" ht="32.25" customHeight="1" x14ac:dyDescent="0.25">
      <c r="A4" s="159"/>
      <c r="B4" s="159"/>
      <c r="C4" s="161"/>
      <c r="D4" s="161"/>
      <c r="E4" s="161"/>
      <c r="F4" s="137" t="s">
        <v>13</v>
      </c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49" t="s">
        <v>13</v>
      </c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37" t="s">
        <v>93</v>
      </c>
      <c r="AE4" s="137"/>
      <c r="AF4" s="137" t="s">
        <v>99</v>
      </c>
      <c r="AG4" s="137"/>
      <c r="AH4" s="149" t="s">
        <v>93</v>
      </c>
      <c r="AI4" s="149"/>
      <c r="AJ4" s="149" t="s">
        <v>120</v>
      </c>
      <c r="AK4" s="149"/>
    </row>
    <row r="5" spans="1:37" x14ac:dyDescent="0.25">
      <c r="A5" s="159"/>
      <c r="B5" s="159"/>
      <c r="C5" s="161"/>
      <c r="D5" s="161"/>
      <c r="E5" s="161"/>
      <c r="F5" s="148" t="s">
        <v>1</v>
      </c>
      <c r="G5" s="148"/>
      <c r="H5" s="148"/>
      <c r="I5" s="148" t="s">
        <v>2</v>
      </c>
      <c r="J5" s="148"/>
      <c r="K5" s="148"/>
      <c r="L5" s="3" t="s">
        <v>95</v>
      </c>
      <c r="M5" s="148" t="s">
        <v>3</v>
      </c>
      <c r="N5" s="148"/>
      <c r="O5" s="148" t="s">
        <v>4</v>
      </c>
      <c r="P5" s="148"/>
      <c r="Q5" s="137" t="s">
        <v>88</v>
      </c>
      <c r="R5" s="151" t="s">
        <v>1</v>
      </c>
      <c r="S5" s="151"/>
      <c r="T5" s="151"/>
      <c r="U5" s="151" t="s">
        <v>2</v>
      </c>
      <c r="V5" s="151"/>
      <c r="W5" s="151"/>
      <c r="X5" s="22" t="s">
        <v>95</v>
      </c>
      <c r="Y5" s="151" t="s">
        <v>3</v>
      </c>
      <c r="Z5" s="151"/>
      <c r="AA5" s="151" t="s">
        <v>4</v>
      </c>
      <c r="AB5" s="151"/>
      <c r="AC5" s="149" t="s">
        <v>88</v>
      </c>
      <c r="AD5" s="137" t="s">
        <v>90</v>
      </c>
      <c r="AE5" s="137" t="s">
        <v>89</v>
      </c>
      <c r="AF5" s="137" t="s">
        <v>100</v>
      </c>
      <c r="AG5" s="137" t="s">
        <v>117</v>
      </c>
      <c r="AH5" s="149" t="s">
        <v>90</v>
      </c>
      <c r="AI5" s="149" t="s">
        <v>89</v>
      </c>
      <c r="AJ5" s="149" t="s">
        <v>100</v>
      </c>
      <c r="AK5" s="149" t="s">
        <v>117</v>
      </c>
    </row>
    <row r="6" spans="1:37" ht="51" customHeight="1" thickBot="1" x14ac:dyDescent="0.3">
      <c r="A6" s="160"/>
      <c r="B6" s="160"/>
      <c r="C6" s="162"/>
      <c r="D6" s="162"/>
      <c r="E6" s="162"/>
      <c r="F6" s="4" t="s">
        <v>12</v>
      </c>
      <c r="G6" s="67" t="s">
        <v>91</v>
      </c>
      <c r="H6" s="67" t="s">
        <v>92</v>
      </c>
      <c r="I6" s="4" t="s">
        <v>12</v>
      </c>
      <c r="J6" s="67" t="s">
        <v>91</v>
      </c>
      <c r="K6" s="67" t="s">
        <v>92</v>
      </c>
      <c r="L6" s="67" t="s">
        <v>96</v>
      </c>
      <c r="M6" s="4" t="s">
        <v>12</v>
      </c>
      <c r="N6" s="4" t="s">
        <v>7</v>
      </c>
      <c r="O6" s="4" t="s">
        <v>12</v>
      </c>
      <c r="P6" s="4" t="s">
        <v>7</v>
      </c>
      <c r="Q6" s="138"/>
      <c r="R6" s="26" t="s">
        <v>12</v>
      </c>
      <c r="S6" s="68" t="s">
        <v>91</v>
      </c>
      <c r="T6" s="68" t="s">
        <v>92</v>
      </c>
      <c r="U6" s="26" t="s">
        <v>12</v>
      </c>
      <c r="V6" s="68" t="s">
        <v>91</v>
      </c>
      <c r="W6" s="68" t="s">
        <v>92</v>
      </c>
      <c r="X6" s="68" t="s">
        <v>96</v>
      </c>
      <c r="Y6" s="26" t="s">
        <v>12</v>
      </c>
      <c r="Z6" s="26" t="s">
        <v>7</v>
      </c>
      <c r="AA6" s="26" t="s">
        <v>12</v>
      </c>
      <c r="AB6" s="26" t="s">
        <v>7</v>
      </c>
      <c r="AC6" s="150"/>
      <c r="AD6" s="138"/>
      <c r="AE6" s="138"/>
      <c r="AF6" s="138"/>
      <c r="AG6" s="138"/>
      <c r="AH6" s="150"/>
      <c r="AI6" s="150"/>
      <c r="AJ6" s="150"/>
      <c r="AK6" s="150"/>
    </row>
    <row r="7" spans="1:37" ht="17.25" thickBot="1" x14ac:dyDescent="0.3">
      <c r="A7" s="139" t="s">
        <v>8</v>
      </c>
      <c r="B7" s="16" t="s">
        <v>6</v>
      </c>
      <c r="C7" s="5">
        <v>1288</v>
      </c>
      <c r="D7" s="5">
        <v>1179</v>
      </c>
      <c r="E7" s="5">
        <v>1054</v>
      </c>
      <c r="F7" s="2">
        <v>2</v>
      </c>
      <c r="G7" s="2">
        <v>32</v>
      </c>
      <c r="H7" s="2">
        <v>300</v>
      </c>
      <c r="I7" s="2">
        <v>2</v>
      </c>
      <c r="J7" s="2">
        <v>56</v>
      </c>
      <c r="K7" s="2">
        <v>220</v>
      </c>
      <c r="L7" s="2">
        <v>0</v>
      </c>
      <c r="M7" s="2">
        <v>5</v>
      </c>
      <c r="N7" s="9">
        <v>360</v>
      </c>
      <c r="O7" s="2">
        <v>4</v>
      </c>
      <c r="P7" s="9">
        <v>314</v>
      </c>
      <c r="Q7" s="12">
        <f t="shared" ref="Q7:Q29" si="0">(G7+H7+J7+K7+N7)/(G7+H7+J7+K7+N7+P7)</f>
        <v>0.75507020280811232</v>
      </c>
      <c r="R7" s="23">
        <v>2</v>
      </c>
      <c r="S7" s="23">
        <v>32</v>
      </c>
      <c r="T7" s="23">
        <f>H7*12/15</f>
        <v>240</v>
      </c>
      <c r="U7" s="23">
        <v>2</v>
      </c>
      <c r="V7" s="23">
        <v>48</v>
      </c>
      <c r="W7" s="23">
        <v>192</v>
      </c>
      <c r="X7" s="23">
        <v>0</v>
      </c>
      <c r="Y7" s="23">
        <v>5</v>
      </c>
      <c r="Z7" s="60">
        <v>360</v>
      </c>
      <c r="AA7" s="23">
        <v>4</v>
      </c>
      <c r="AB7" s="60">
        <v>314</v>
      </c>
      <c r="AC7" s="24">
        <f t="shared" ref="AC7:AC29" si="1">(S7+T7+V7+W7+Z7)/(S7+T7+V7+W7+Z7+AB7)</f>
        <v>0.73524451939291735</v>
      </c>
      <c r="AD7" s="12">
        <f>(G7+H7+J7+K7+L7+N7)/D7</f>
        <v>0.82103477523324853</v>
      </c>
      <c r="AE7" s="33">
        <f>(G7+H7+J7+K7+N7+P7+L7)/C7</f>
        <v>0.99534161490683226</v>
      </c>
      <c r="AF7" s="69">
        <f>(G7+H7+J7+K7+N7+L7)/(C7*0.67)</f>
        <v>1.1217205895985909</v>
      </c>
      <c r="AG7" s="34">
        <f>(G7+H7+J7+K7+N7+P7+L7)/(C7*0.67)</f>
        <v>1.4855844998609438</v>
      </c>
      <c r="AH7" s="24">
        <f>(S7+T7+V7+W7+X7+Z7)/D7</f>
        <v>0.73960983884648002</v>
      </c>
      <c r="AI7" s="36">
        <f>(S7+T7+V7+W7+X7+Z7+AB7)/D7</f>
        <v>1.0059372349448685</v>
      </c>
      <c r="AJ7" s="72">
        <f>(S7+T7+V7+W7+X7+Z7)/(D7*0.67)</f>
        <v>1.103895281860418</v>
      </c>
      <c r="AK7" s="37">
        <f>(S7+T7+V7+W7+X7+Z7+AB7)/(D7*0.67)</f>
        <v>1.5013988581266693</v>
      </c>
    </row>
    <row r="8" spans="1:37" ht="17.25" thickBot="1" x14ac:dyDescent="0.3">
      <c r="A8" s="140"/>
      <c r="B8" s="118" t="s">
        <v>9</v>
      </c>
      <c r="C8" s="6">
        <v>1743</v>
      </c>
      <c r="D8" s="6">
        <v>1608</v>
      </c>
      <c r="E8" s="6">
        <v>1382</v>
      </c>
      <c r="F8" s="3">
        <v>1</v>
      </c>
      <c r="G8" s="3">
        <v>0</v>
      </c>
      <c r="H8" s="3">
        <v>120</v>
      </c>
      <c r="I8" s="3">
        <v>0</v>
      </c>
      <c r="J8" s="3">
        <v>0</v>
      </c>
      <c r="K8" s="3">
        <v>0</v>
      </c>
      <c r="L8" s="3">
        <v>30</v>
      </c>
      <c r="M8" s="3">
        <v>5</v>
      </c>
      <c r="N8" s="10">
        <v>223</v>
      </c>
      <c r="O8" s="3">
        <v>10</v>
      </c>
      <c r="P8" s="10">
        <v>909</v>
      </c>
      <c r="Q8" s="13">
        <f t="shared" si="0"/>
        <v>0.27396166134185301</v>
      </c>
      <c r="R8" s="22">
        <v>1</v>
      </c>
      <c r="S8" s="73">
        <v>0</v>
      </c>
      <c r="T8" s="22">
        <f t="shared" ref="T8:T82" si="2">H8*12/15</f>
        <v>96</v>
      </c>
      <c r="U8" s="22">
        <v>0</v>
      </c>
      <c r="V8" s="22">
        <v>0</v>
      </c>
      <c r="W8" s="22">
        <f t="shared" ref="W8:W82" si="3">K8*12/15</f>
        <v>0</v>
      </c>
      <c r="X8" s="22">
        <v>30</v>
      </c>
      <c r="Y8" s="22">
        <v>5</v>
      </c>
      <c r="Z8" s="30">
        <v>223</v>
      </c>
      <c r="AA8" s="22">
        <v>10</v>
      </c>
      <c r="AB8" s="30">
        <v>909</v>
      </c>
      <c r="AC8" s="25">
        <f t="shared" si="1"/>
        <v>0.25977198697068404</v>
      </c>
      <c r="AD8" s="12">
        <f t="shared" ref="AD8:AD82" si="4">(G8+H8+J8+K8+L8+N8)/C8</f>
        <v>0.21399885255306941</v>
      </c>
      <c r="AE8" s="33">
        <f t="shared" ref="AE8:AE82" si="5">(G8+H8+J8+K8+N8+P8+L8)/C8</f>
        <v>0.73551348250143433</v>
      </c>
      <c r="AF8" s="130">
        <f t="shared" ref="AF8:AF11" si="6">(G8+H8+J8+K8+N8+L8)/(C8*0.67)</f>
        <v>0.31940127246726774</v>
      </c>
      <c r="AG8" s="32">
        <f t="shared" ref="AG8:AG11" si="7">(G8+H8+J8+K8+N8+P8+L8)/(C8*0.67)</f>
        <v>1.0977813171663198</v>
      </c>
      <c r="AH8" s="24">
        <f t="shared" ref="AH8:AH71" si="8">(S8+T8+V8+W8+X8+Z8)/D8</f>
        <v>0.21703980099502487</v>
      </c>
      <c r="AI8" s="36">
        <f t="shared" ref="AI8:AI71" si="9">(S8+T8+V8+W8+X8+Z8+AB8)/D8</f>
        <v>0.78233830845771146</v>
      </c>
      <c r="AJ8" s="125">
        <f t="shared" ref="AJ8:AJ11" si="10">(S8+T8+V8+W8+X8+Z8)/(D8*0.67)</f>
        <v>0.32394000148511171</v>
      </c>
      <c r="AK8" s="37">
        <f t="shared" ref="AK8:AK71" si="11">(S8+T8+V8+W8+X8+Z8+AB8)/(D8*0.67)</f>
        <v>1.1676691171010618</v>
      </c>
    </row>
    <row r="9" spans="1:37" ht="17.25" thickBot="1" x14ac:dyDescent="0.3">
      <c r="A9" s="140"/>
      <c r="B9" s="118" t="s">
        <v>10</v>
      </c>
      <c r="C9" s="6">
        <v>1380</v>
      </c>
      <c r="D9" s="6">
        <v>1338</v>
      </c>
      <c r="E9" s="6">
        <v>1254</v>
      </c>
      <c r="F9" s="3">
        <v>2</v>
      </c>
      <c r="G9" s="3">
        <v>32</v>
      </c>
      <c r="H9" s="3">
        <v>240</v>
      </c>
      <c r="I9" s="3">
        <v>0</v>
      </c>
      <c r="J9" s="3">
        <v>0</v>
      </c>
      <c r="K9" s="3">
        <v>0</v>
      </c>
      <c r="L9" s="3">
        <v>90</v>
      </c>
      <c r="M9" s="3">
        <v>1</v>
      </c>
      <c r="N9" s="10">
        <v>21</v>
      </c>
      <c r="O9" s="3">
        <v>3</v>
      </c>
      <c r="P9" s="10">
        <v>94</v>
      </c>
      <c r="Q9" s="13">
        <f t="shared" si="0"/>
        <v>0.75710594315245483</v>
      </c>
      <c r="R9" s="22">
        <v>2</v>
      </c>
      <c r="S9" s="73">
        <v>32</v>
      </c>
      <c r="T9" s="22">
        <f t="shared" si="2"/>
        <v>192</v>
      </c>
      <c r="U9" s="22">
        <v>0</v>
      </c>
      <c r="V9" s="22">
        <v>0</v>
      </c>
      <c r="W9" s="22">
        <f t="shared" si="3"/>
        <v>0</v>
      </c>
      <c r="X9" s="22">
        <v>90</v>
      </c>
      <c r="Y9" s="22">
        <v>1</v>
      </c>
      <c r="Z9" s="30">
        <v>21</v>
      </c>
      <c r="AA9" s="22">
        <v>3</v>
      </c>
      <c r="AB9" s="30">
        <v>94</v>
      </c>
      <c r="AC9" s="25">
        <f t="shared" si="1"/>
        <v>0.72271386430678464</v>
      </c>
      <c r="AD9" s="12">
        <f t="shared" si="4"/>
        <v>0.27753623188405796</v>
      </c>
      <c r="AE9" s="33">
        <f t="shared" si="5"/>
        <v>0.34565217391304348</v>
      </c>
      <c r="AF9" s="130">
        <f t="shared" si="6"/>
        <v>0.41423318191650443</v>
      </c>
      <c r="AG9" s="32">
        <f t="shared" si="7"/>
        <v>0.51589876703439319</v>
      </c>
      <c r="AH9" s="24">
        <f t="shared" si="8"/>
        <v>0.25037369207772797</v>
      </c>
      <c r="AI9" s="36">
        <f t="shared" si="9"/>
        <v>0.32062780269058294</v>
      </c>
      <c r="AJ9" s="125">
        <f t="shared" si="10"/>
        <v>0.37369207772795215</v>
      </c>
      <c r="AK9" s="37">
        <f t="shared" si="11"/>
        <v>0.47854895923967605</v>
      </c>
    </row>
    <row r="10" spans="1:37" ht="17.25" thickBot="1" x14ac:dyDescent="0.3">
      <c r="A10" s="141"/>
      <c r="B10" s="18" t="s">
        <v>11</v>
      </c>
      <c r="C10" s="7">
        <v>1570</v>
      </c>
      <c r="D10" s="7">
        <v>1389</v>
      </c>
      <c r="E10" s="7">
        <v>1232</v>
      </c>
      <c r="F10" s="4">
        <v>3</v>
      </c>
      <c r="G10" s="4">
        <v>64</v>
      </c>
      <c r="H10" s="4">
        <v>510</v>
      </c>
      <c r="I10" s="4">
        <v>0</v>
      </c>
      <c r="J10" s="4">
        <v>0</v>
      </c>
      <c r="K10" s="4">
        <v>0</v>
      </c>
      <c r="L10" s="4">
        <v>0</v>
      </c>
      <c r="M10" s="4">
        <v>5</v>
      </c>
      <c r="N10" s="11">
        <v>261</v>
      </c>
      <c r="O10" s="4">
        <v>15</v>
      </c>
      <c r="P10" s="11">
        <v>1127</v>
      </c>
      <c r="Q10" s="14">
        <f t="shared" si="0"/>
        <v>0.42558613659531092</v>
      </c>
      <c r="R10" s="26">
        <v>3</v>
      </c>
      <c r="S10" s="26">
        <v>64</v>
      </c>
      <c r="T10" s="26">
        <f t="shared" si="2"/>
        <v>408</v>
      </c>
      <c r="U10" s="26">
        <v>0</v>
      </c>
      <c r="V10" s="26">
        <v>0</v>
      </c>
      <c r="W10" s="26">
        <f t="shared" si="3"/>
        <v>0</v>
      </c>
      <c r="X10" s="26">
        <v>0</v>
      </c>
      <c r="Y10" s="26">
        <v>5</v>
      </c>
      <c r="Z10" s="61">
        <v>261</v>
      </c>
      <c r="AA10" s="26">
        <v>15</v>
      </c>
      <c r="AB10" s="61">
        <v>1127</v>
      </c>
      <c r="AC10" s="27">
        <f t="shared" si="1"/>
        <v>0.39408602150537636</v>
      </c>
      <c r="AD10" s="62">
        <f t="shared" si="4"/>
        <v>0.53184713375796178</v>
      </c>
      <c r="AE10" s="63">
        <f t="shared" si="5"/>
        <v>1.2496815286624203</v>
      </c>
      <c r="AF10" s="70">
        <f t="shared" si="6"/>
        <v>0.79380169217606233</v>
      </c>
      <c r="AG10" s="64">
        <f t="shared" si="7"/>
        <v>1.8651963114364483</v>
      </c>
      <c r="AH10" s="24">
        <f t="shared" si="8"/>
        <v>0.52771778257739377</v>
      </c>
      <c r="AI10" s="36">
        <f t="shared" si="9"/>
        <v>1.3390928725701945</v>
      </c>
      <c r="AJ10" s="72">
        <f t="shared" si="10"/>
        <v>0.78763848145879667</v>
      </c>
      <c r="AK10" s="37">
        <f t="shared" si="11"/>
        <v>1.9986460784629765</v>
      </c>
    </row>
    <row r="11" spans="1:37" ht="17.25" thickBot="1" x14ac:dyDescent="0.3">
      <c r="A11" s="131" t="s">
        <v>121</v>
      </c>
      <c r="B11" s="132"/>
      <c r="C11" s="77">
        <f>SUM(C7:C10)</f>
        <v>5981</v>
      </c>
      <c r="D11" s="77">
        <f t="shared" ref="D11:AB11" si="12">SUM(D7:D10)</f>
        <v>5514</v>
      </c>
      <c r="E11" s="77">
        <f t="shared" si="12"/>
        <v>4922</v>
      </c>
      <c r="F11" s="77">
        <f t="shared" si="12"/>
        <v>8</v>
      </c>
      <c r="G11" s="77">
        <f t="shared" si="12"/>
        <v>128</v>
      </c>
      <c r="H11" s="77">
        <f t="shared" si="12"/>
        <v>1170</v>
      </c>
      <c r="I11" s="77">
        <f t="shared" si="12"/>
        <v>2</v>
      </c>
      <c r="J11" s="77">
        <f t="shared" si="12"/>
        <v>56</v>
      </c>
      <c r="K11" s="77">
        <f t="shared" si="12"/>
        <v>220</v>
      </c>
      <c r="L11" s="77">
        <f t="shared" si="12"/>
        <v>120</v>
      </c>
      <c r="M11" s="77">
        <f t="shared" si="12"/>
        <v>16</v>
      </c>
      <c r="N11" s="77">
        <f t="shared" si="12"/>
        <v>865</v>
      </c>
      <c r="O11" s="77">
        <f t="shared" si="12"/>
        <v>32</v>
      </c>
      <c r="P11" s="77">
        <f t="shared" si="12"/>
        <v>2444</v>
      </c>
      <c r="Q11" s="77">
        <f t="shared" si="12"/>
        <v>2.2117239438977312</v>
      </c>
      <c r="R11" s="77">
        <f t="shared" si="12"/>
        <v>8</v>
      </c>
      <c r="S11" s="77">
        <f t="shared" si="12"/>
        <v>128</v>
      </c>
      <c r="T11" s="77">
        <f t="shared" si="12"/>
        <v>936</v>
      </c>
      <c r="U11" s="77">
        <f t="shared" si="12"/>
        <v>2</v>
      </c>
      <c r="V11" s="77">
        <f t="shared" si="12"/>
        <v>48</v>
      </c>
      <c r="W11" s="77">
        <f t="shared" si="12"/>
        <v>192</v>
      </c>
      <c r="X11" s="77">
        <f t="shared" si="12"/>
        <v>120</v>
      </c>
      <c r="Y11" s="77">
        <f t="shared" si="12"/>
        <v>16</v>
      </c>
      <c r="Z11" s="77">
        <f t="shared" si="12"/>
        <v>865</v>
      </c>
      <c r="AA11" s="77">
        <f t="shared" si="12"/>
        <v>32</v>
      </c>
      <c r="AB11" s="77">
        <f t="shared" si="12"/>
        <v>2444</v>
      </c>
      <c r="AC11" s="78"/>
      <c r="AD11" s="79">
        <f t="shared" si="4"/>
        <v>0.4278548737669286</v>
      </c>
      <c r="AE11" s="80">
        <f t="shared" si="5"/>
        <v>0.83648219361310816</v>
      </c>
      <c r="AF11" s="86">
        <f t="shared" si="6"/>
        <v>0.63858936383123666</v>
      </c>
      <c r="AG11" s="81">
        <f t="shared" si="7"/>
        <v>1.2484808859897136</v>
      </c>
      <c r="AH11" s="108">
        <f t="shared" si="8"/>
        <v>0.41512513601741025</v>
      </c>
      <c r="AI11" s="109">
        <f t="shared" si="9"/>
        <v>0.85836053681537905</v>
      </c>
      <c r="AJ11" s="126">
        <f t="shared" si="10"/>
        <v>0.61958975524986604</v>
      </c>
      <c r="AK11" s="111">
        <f t="shared" si="11"/>
        <v>1.2811351295751925</v>
      </c>
    </row>
    <row r="12" spans="1:37" ht="17.25" thickBot="1" x14ac:dyDescent="0.3">
      <c r="A12" s="139" t="s">
        <v>14</v>
      </c>
      <c r="B12" s="16" t="s">
        <v>15</v>
      </c>
      <c r="C12" s="5">
        <v>1498</v>
      </c>
      <c r="D12" s="5">
        <v>1355</v>
      </c>
      <c r="E12" s="5">
        <v>1200</v>
      </c>
      <c r="F12" s="2">
        <v>3</v>
      </c>
      <c r="G12" s="2">
        <v>48</v>
      </c>
      <c r="H12" s="2">
        <v>420</v>
      </c>
      <c r="I12" s="2">
        <v>1</v>
      </c>
      <c r="J12" s="2">
        <v>30</v>
      </c>
      <c r="K12" s="2">
        <v>90</v>
      </c>
      <c r="L12" s="2">
        <v>40</v>
      </c>
      <c r="M12" s="2">
        <v>4</v>
      </c>
      <c r="N12" s="9">
        <v>286</v>
      </c>
      <c r="O12" s="2">
        <v>4</v>
      </c>
      <c r="P12" s="9">
        <v>267</v>
      </c>
      <c r="Q12" s="12">
        <f t="shared" si="0"/>
        <v>0.76599474145486413</v>
      </c>
      <c r="R12" s="23">
        <v>3</v>
      </c>
      <c r="S12" s="23">
        <v>48</v>
      </c>
      <c r="T12" s="23">
        <f t="shared" si="2"/>
        <v>336</v>
      </c>
      <c r="U12" s="23">
        <v>1</v>
      </c>
      <c r="V12" s="23">
        <v>30</v>
      </c>
      <c r="W12" s="23">
        <v>90</v>
      </c>
      <c r="X12" s="23">
        <v>40</v>
      </c>
      <c r="Y12" s="23">
        <v>4</v>
      </c>
      <c r="Z12" s="60">
        <v>286</v>
      </c>
      <c r="AA12" s="23">
        <v>4</v>
      </c>
      <c r="AB12" s="60">
        <v>267</v>
      </c>
      <c r="AC12" s="24">
        <f t="shared" si="1"/>
        <v>0.7473982970671712</v>
      </c>
      <c r="AD12" s="12">
        <f t="shared" si="4"/>
        <v>0.61014686248331107</v>
      </c>
      <c r="AE12" s="33">
        <f t="shared" si="5"/>
        <v>0.78838451268357812</v>
      </c>
      <c r="AF12" s="69">
        <f>(G12+H12+J12+K12+N12+L12)/(C12*0.64)</f>
        <v>0.95335447263017359</v>
      </c>
      <c r="AG12" s="34">
        <f>(G12+H12+J12+K12+N12+P12+L12)/(C12*0.64)</f>
        <v>1.2318508010680909</v>
      </c>
      <c r="AH12" s="24">
        <f t="shared" si="8"/>
        <v>0.61254612546125464</v>
      </c>
      <c r="AI12" s="36">
        <f t="shared" si="9"/>
        <v>0.80959409594095944</v>
      </c>
      <c r="AJ12" s="72">
        <f>(S12+T12+V12+W12+X12+Z12)/(D12*0.64)</f>
        <v>0.95710332103321027</v>
      </c>
      <c r="AK12" s="37">
        <f t="shared" si="11"/>
        <v>1.2083493969268051</v>
      </c>
    </row>
    <row r="13" spans="1:37" ht="17.25" thickBot="1" x14ac:dyDescent="0.3">
      <c r="A13" s="140"/>
      <c r="B13" s="19" t="s">
        <v>16</v>
      </c>
      <c r="C13" s="6">
        <v>1249</v>
      </c>
      <c r="D13" s="6">
        <v>1189</v>
      </c>
      <c r="E13" s="6">
        <v>1145</v>
      </c>
      <c r="F13" s="3">
        <v>3</v>
      </c>
      <c r="G13" s="3">
        <v>64</v>
      </c>
      <c r="H13" s="3">
        <v>450</v>
      </c>
      <c r="I13" s="3">
        <v>1</v>
      </c>
      <c r="J13" s="3">
        <v>32</v>
      </c>
      <c r="K13" s="3">
        <v>180</v>
      </c>
      <c r="L13" s="3">
        <v>0</v>
      </c>
      <c r="M13" s="3">
        <v>2</v>
      </c>
      <c r="N13" s="10">
        <v>100</v>
      </c>
      <c r="O13" s="3">
        <v>5</v>
      </c>
      <c r="P13" s="10">
        <v>1163</v>
      </c>
      <c r="Q13" s="13">
        <f t="shared" si="0"/>
        <v>0.4152840623428859</v>
      </c>
      <c r="R13" s="22">
        <v>3</v>
      </c>
      <c r="S13" s="73">
        <v>64</v>
      </c>
      <c r="T13" s="22">
        <f t="shared" si="2"/>
        <v>360</v>
      </c>
      <c r="U13" s="22">
        <v>1</v>
      </c>
      <c r="V13" s="22">
        <v>32</v>
      </c>
      <c r="W13" s="22">
        <v>144</v>
      </c>
      <c r="X13" s="22">
        <v>0</v>
      </c>
      <c r="Y13" s="22">
        <v>2</v>
      </c>
      <c r="Z13" s="30">
        <v>100</v>
      </c>
      <c r="AA13" s="22">
        <v>5</v>
      </c>
      <c r="AB13" s="30">
        <v>1163</v>
      </c>
      <c r="AC13" s="25">
        <f t="shared" si="1"/>
        <v>0.37573805689747719</v>
      </c>
      <c r="AD13" s="12">
        <f t="shared" si="4"/>
        <v>0.66132906325060048</v>
      </c>
      <c r="AE13" s="33">
        <f t="shared" si="5"/>
        <v>1.5924739791833467</v>
      </c>
      <c r="AF13" s="69">
        <f t="shared" ref="AF13:AF17" si="13">(G13+H13+J13+K13+N13+L13)/(C13*0.64)</f>
        <v>1.0333266613290633</v>
      </c>
      <c r="AG13" s="34">
        <f t="shared" ref="AG13:AG17" si="14">(G13+H13+J13+K13+N13+P13+L13)/(C13*0.64)</f>
        <v>2.488240592473979</v>
      </c>
      <c r="AH13" s="24">
        <f t="shared" si="8"/>
        <v>0.58873002523128681</v>
      </c>
      <c r="AI13" s="36">
        <f t="shared" si="9"/>
        <v>1.5668629100084104</v>
      </c>
      <c r="AJ13" s="72">
        <f t="shared" ref="AJ13:AJ16" si="15">(S13+T13+V13+W13+X13+Z13)/(D13*0.64)</f>
        <v>0.91989066442388556</v>
      </c>
      <c r="AK13" s="37">
        <f t="shared" si="11"/>
        <v>2.3386013582215082</v>
      </c>
    </row>
    <row r="14" spans="1:37" ht="17.25" thickBot="1" x14ac:dyDescent="0.3">
      <c r="A14" s="140"/>
      <c r="B14" s="118" t="s">
        <v>17</v>
      </c>
      <c r="C14" s="6">
        <v>869</v>
      </c>
      <c r="D14" s="6">
        <v>862</v>
      </c>
      <c r="E14" s="6">
        <v>787</v>
      </c>
      <c r="F14" s="3">
        <v>1</v>
      </c>
      <c r="G14" s="3">
        <v>32</v>
      </c>
      <c r="H14" s="3">
        <v>150</v>
      </c>
      <c r="I14" s="3">
        <v>0</v>
      </c>
      <c r="J14" s="3">
        <v>0</v>
      </c>
      <c r="K14" s="3">
        <v>0</v>
      </c>
      <c r="L14" s="3">
        <v>0</v>
      </c>
      <c r="M14" s="3">
        <v>1</v>
      </c>
      <c r="N14" s="10">
        <v>35</v>
      </c>
      <c r="O14" s="3">
        <v>2</v>
      </c>
      <c r="P14" s="10">
        <v>66</v>
      </c>
      <c r="Q14" s="13">
        <f t="shared" si="0"/>
        <v>0.7667844522968198</v>
      </c>
      <c r="R14" s="22">
        <v>1</v>
      </c>
      <c r="S14" s="73">
        <v>32</v>
      </c>
      <c r="T14" s="22">
        <f t="shared" si="2"/>
        <v>120</v>
      </c>
      <c r="U14" s="22">
        <v>0</v>
      </c>
      <c r="V14" s="22">
        <v>0</v>
      </c>
      <c r="W14" s="22">
        <f t="shared" si="3"/>
        <v>0</v>
      </c>
      <c r="X14" s="22">
        <v>0</v>
      </c>
      <c r="Y14" s="22">
        <v>1</v>
      </c>
      <c r="Z14" s="30">
        <v>35</v>
      </c>
      <c r="AA14" s="22">
        <v>2</v>
      </c>
      <c r="AB14" s="30">
        <v>66</v>
      </c>
      <c r="AC14" s="25">
        <f t="shared" si="1"/>
        <v>0.73913043478260865</v>
      </c>
      <c r="AD14" s="12">
        <f t="shared" si="4"/>
        <v>0.24971231300345226</v>
      </c>
      <c r="AE14" s="33">
        <f t="shared" si="5"/>
        <v>0.32566168009205981</v>
      </c>
      <c r="AF14" s="58">
        <f t="shared" si="13"/>
        <v>0.39017548906789418</v>
      </c>
      <c r="AG14" s="34">
        <f t="shared" si="14"/>
        <v>0.50884637514384357</v>
      </c>
      <c r="AH14" s="24">
        <f t="shared" si="8"/>
        <v>0.21693735498839908</v>
      </c>
      <c r="AI14" s="36">
        <f t="shared" si="9"/>
        <v>0.29350348027842227</v>
      </c>
      <c r="AJ14" s="125">
        <f t="shared" si="15"/>
        <v>0.33896461716937348</v>
      </c>
      <c r="AK14" s="37">
        <f t="shared" si="11"/>
        <v>0.43806489593794362</v>
      </c>
    </row>
    <row r="15" spans="1:37" ht="17.25" thickBot="1" x14ac:dyDescent="0.3">
      <c r="A15" s="140"/>
      <c r="B15" s="19" t="s">
        <v>18</v>
      </c>
      <c r="C15" s="6">
        <v>1057</v>
      </c>
      <c r="D15" s="6">
        <v>1017</v>
      </c>
      <c r="E15" s="6">
        <v>970</v>
      </c>
      <c r="F15" s="3">
        <v>2</v>
      </c>
      <c r="G15" s="3">
        <v>16</v>
      </c>
      <c r="H15" s="3">
        <v>300</v>
      </c>
      <c r="I15" s="3">
        <v>1</v>
      </c>
      <c r="J15" s="3">
        <v>32</v>
      </c>
      <c r="K15" s="3">
        <v>120</v>
      </c>
      <c r="L15" s="3">
        <v>0</v>
      </c>
      <c r="M15" s="3">
        <v>1</v>
      </c>
      <c r="N15" s="10">
        <v>90</v>
      </c>
      <c r="O15" s="3">
        <v>4</v>
      </c>
      <c r="P15" s="10">
        <v>315</v>
      </c>
      <c r="Q15" s="13">
        <f t="shared" si="0"/>
        <v>0.63917525773195871</v>
      </c>
      <c r="R15" s="22">
        <v>2</v>
      </c>
      <c r="S15" s="73">
        <v>16</v>
      </c>
      <c r="T15" s="22">
        <f t="shared" si="2"/>
        <v>240</v>
      </c>
      <c r="U15" s="22">
        <v>1</v>
      </c>
      <c r="V15" s="22">
        <v>32</v>
      </c>
      <c r="W15" s="22">
        <f t="shared" si="3"/>
        <v>96</v>
      </c>
      <c r="X15" s="22">
        <v>0</v>
      </c>
      <c r="Y15" s="22">
        <v>1</v>
      </c>
      <c r="Z15" s="30">
        <v>90</v>
      </c>
      <c r="AA15" s="22">
        <v>4</v>
      </c>
      <c r="AB15" s="30">
        <v>315</v>
      </c>
      <c r="AC15" s="25">
        <f t="shared" si="1"/>
        <v>0.60076045627376429</v>
      </c>
      <c r="AD15" s="12">
        <f t="shared" si="4"/>
        <v>0.52790917691579942</v>
      </c>
      <c r="AE15" s="33">
        <f t="shared" si="5"/>
        <v>0.82592242194891197</v>
      </c>
      <c r="AF15" s="69">
        <f t="shared" si="13"/>
        <v>0.82485808893093659</v>
      </c>
      <c r="AG15" s="34">
        <f t="shared" si="14"/>
        <v>1.290503784295175</v>
      </c>
      <c r="AH15" s="24">
        <f t="shared" si="8"/>
        <v>0.46607669616519176</v>
      </c>
      <c r="AI15" s="36">
        <f t="shared" si="9"/>
        <v>0.77581120943952797</v>
      </c>
      <c r="AJ15" s="72">
        <f t="shared" si="15"/>
        <v>0.72824483775811211</v>
      </c>
      <c r="AK15" s="37">
        <f t="shared" si="11"/>
        <v>1.1579271782679523</v>
      </c>
    </row>
    <row r="16" spans="1:37" ht="17.25" thickBot="1" x14ac:dyDescent="0.3">
      <c r="A16" s="141"/>
      <c r="B16" s="119" t="s">
        <v>19</v>
      </c>
      <c r="C16" s="7">
        <v>1319</v>
      </c>
      <c r="D16" s="7">
        <v>1247</v>
      </c>
      <c r="E16" s="7">
        <v>1169</v>
      </c>
      <c r="F16" s="4">
        <v>1</v>
      </c>
      <c r="G16" s="4">
        <v>32</v>
      </c>
      <c r="H16" s="4">
        <v>120</v>
      </c>
      <c r="I16" s="4">
        <v>2</v>
      </c>
      <c r="J16" s="4">
        <v>64</v>
      </c>
      <c r="K16" s="4">
        <v>330</v>
      </c>
      <c r="L16" s="4">
        <v>0</v>
      </c>
      <c r="M16" s="4">
        <v>2</v>
      </c>
      <c r="N16" s="11">
        <v>68</v>
      </c>
      <c r="O16" s="4">
        <v>3</v>
      </c>
      <c r="P16" s="11">
        <v>109</v>
      </c>
      <c r="Q16" s="14">
        <f t="shared" si="0"/>
        <v>0.84923928077455046</v>
      </c>
      <c r="R16" s="26">
        <v>1</v>
      </c>
      <c r="S16" s="26">
        <v>32</v>
      </c>
      <c r="T16" s="26">
        <f t="shared" si="2"/>
        <v>96</v>
      </c>
      <c r="U16" s="26">
        <v>2</v>
      </c>
      <c r="V16" s="26">
        <v>64</v>
      </c>
      <c r="W16" s="26">
        <v>264</v>
      </c>
      <c r="X16" s="26">
        <v>0</v>
      </c>
      <c r="Y16" s="26">
        <v>2</v>
      </c>
      <c r="Z16" s="61">
        <v>68</v>
      </c>
      <c r="AA16" s="26">
        <v>3</v>
      </c>
      <c r="AB16" s="61">
        <v>109</v>
      </c>
      <c r="AC16" s="27">
        <f t="shared" si="1"/>
        <v>0.82780410742496047</v>
      </c>
      <c r="AD16" s="62">
        <f t="shared" si="4"/>
        <v>0.46550416982562548</v>
      </c>
      <c r="AE16" s="63">
        <f t="shared" si="5"/>
        <v>0.54814253222137987</v>
      </c>
      <c r="AF16" s="71">
        <f t="shared" si="13"/>
        <v>0.72735026535253988</v>
      </c>
      <c r="AG16" s="66">
        <f t="shared" si="14"/>
        <v>0.85647270659590602</v>
      </c>
      <c r="AH16" s="24">
        <f t="shared" si="8"/>
        <v>0.4202085004009623</v>
      </c>
      <c r="AI16" s="36">
        <f t="shared" si="9"/>
        <v>0.50761828388131514</v>
      </c>
      <c r="AJ16" s="125">
        <f t="shared" si="15"/>
        <v>0.65657578187650356</v>
      </c>
      <c r="AK16" s="37">
        <f t="shared" si="11"/>
        <v>0.75763922967360475</v>
      </c>
    </row>
    <row r="17" spans="1:37" ht="17.25" thickBot="1" x14ac:dyDescent="0.3">
      <c r="A17" s="146" t="s">
        <v>122</v>
      </c>
      <c r="B17" s="147"/>
      <c r="C17" s="87">
        <f>SUM(C12:C16)</f>
        <v>5992</v>
      </c>
      <c r="D17" s="87">
        <f t="shared" ref="D17:AB17" si="16">SUM(D12:D16)</f>
        <v>5670</v>
      </c>
      <c r="E17" s="87">
        <f t="shared" si="16"/>
        <v>5271</v>
      </c>
      <c r="F17" s="87">
        <f t="shared" si="16"/>
        <v>10</v>
      </c>
      <c r="G17" s="87">
        <f t="shared" si="16"/>
        <v>192</v>
      </c>
      <c r="H17" s="87">
        <f t="shared" si="16"/>
        <v>1440</v>
      </c>
      <c r="I17" s="87">
        <f t="shared" si="16"/>
        <v>5</v>
      </c>
      <c r="J17" s="87">
        <f t="shared" si="16"/>
        <v>158</v>
      </c>
      <c r="K17" s="87">
        <f t="shared" si="16"/>
        <v>720</v>
      </c>
      <c r="L17" s="87">
        <f t="shared" si="16"/>
        <v>40</v>
      </c>
      <c r="M17" s="87">
        <f t="shared" si="16"/>
        <v>10</v>
      </c>
      <c r="N17" s="87">
        <f t="shared" si="16"/>
        <v>579</v>
      </c>
      <c r="O17" s="87">
        <f t="shared" si="16"/>
        <v>18</v>
      </c>
      <c r="P17" s="87">
        <f t="shared" si="16"/>
        <v>1920</v>
      </c>
      <c r="Q17" s="87">
        <f t="shared" si="16"/>
        <v>3.4364777946010792</v>
      </c>
      <c r="R17" s="87">
        <f t="shared" si="16"/>
        <v>10</v>
      </c>
      <c r="S17" s="87">
        <f t="shared" si="16"/>
        <v>192</v>
      </c>
      <c r="T17" s="87">
        <f t="shared" si="16"/>
        <v>1152</v>
      </c>
      <c r="U17" s="87">
        <f t="shared" si="16"/>
        <v>5</v>
      </c>
      <c r="V17" s="87">
        <f t="shared" si="16"/>
        <v>158</v>
      </c>
      <c r="W17" s="87">
        <f t="shared" si="16"/>
        <v>594</v>
      </c>
      <c r="X17" s="87">
        <f t="shared" si="16"/>
        <v>40</v>
      </c>
      <c r="Y17" s="87">
        <f t="shared" si="16"/>
        <v>10</v>
      </c>
      <c r="Z17" s="87">
        <f t="shared" si="16"/>
        <v>579</v>
      </c>
      <c r="AA17" s="87">
        <f t="shared" si="16"/>
        <v>18</v>
      </c>
      <c r="AB17" s="87">
        <f t="shared" si="16"/>
        <v>1920</v>
      </c>
      <c r="AC17" s="88"/>
      <c r="AD17" s="89">
        <f t="shared" si="4"/>
        <v>0.52219626168224298</v>
      </c>
      <c r="AE17" s="90">
        <f t="shared" si="5"/>
        <v>0.84262349799732972</v>
      </c>
      <c r="AF17" s="89">
        <f t="shared" si="13"/>
        <v>0.81593165887850461</v>
      </c>
      <c r="AG17" s="91">
        <f t="shared" si="14"/>
        <v>1.3165992156208277</v>
      </c>
      <c r="AH17" s="108">
        <f t="shared" si="8"/>
        <v>0.47883597883597884</v>
      </c>
      <c r="AI17" s="109">
        <f t="shared" si="9"/>
        <v>0.81746031746031744</v>
      </c>
      <c r="AJ17" s="110">
        <f>(S17+T17+V17+W17+X17+Z17)/(D17*0.64)</f>
        <v>0.74818121693121686</v>
      </c>
      <c r="AK17" s="111">
        <f t="shared" si="11"/>
        <v>1.2200900260601752</v>
      </c>
    </row>
    <row r="18" spans="1:37" ht="17.25" thickBot="1" x14ac:dyDescent="0.3">
      <c r="A18" s="139" t="s">
        <v>27</v>
      </c>
      <c r="B18" s="16" t="s">
        <v>20</v>
      </c>
      <c r="C18" s="5">
        <v>978</v>
      </c>
      <c r="D18" s="5">
        <v>907</v>
      </c>
      <c r="E18" s="5">
        <v>842</v>
      </c>
      <c r="F18" s="2">
        <v>1</v>
      </c>
      <c r="G18" s="2">
        <v>16</v>
      </c>
      <c r="H18" s="2">
        <v>180</v>
      </c>
      <c r="I18" s="2">
        <v>2</v>
      </c>
      <c r="J18" s="2">
        <v>72</v>
      </c>
      <c r="K18" s="2">
        <v>330</v>
      </c>
      <c r="L18" s="2">
        <v>0</v>
      </c>
      <c r="M18" s="2">
        <v>2</v>
      </c>
      <c r="N18" s="9">
        <v>57</v>
      </c>
      <c r="O18" s="2">
        <v>16</v>
      </c>
      <c r="P18" s="9">
        <v>850</v>
      </c>
      <c r="Q18" s="12">
        <f t="shared" si="0"/>
        <v>0.43521594684385384</v>
      </c>
      <c r="R18" s="23">
        <v>1</v>
      </c>
      <c r="S18" s="23">
        <v>16</v>
      </c>
      <c r="T18" s="23">
        <f t="shared" si="2"/>
        <v>144</v>
      </c>
      <c r="U18" s="23">
        <v>2</v>
      </c>
      <c r="V18" s="23">
        <v>72</v>
      </c>
      <c r="W18" s="23">
        <f t="shared" si="3"/>
        <v>264</v>
      </c>
      <c r="X18" s="23">
        <v>0</v>
      </c>
      <c r="Y18" s="23">
        <v>2</v>
      </c>
      <c r="Z18" s="60">
        <v>57</v>
      </c>
      <c r="AA18" s="23">
        <v>16</v>
      </c>
      <c r="AB18" s="60">
        <v>850</v>
      </c>
      <c r="AC18" s="24">
        <f t="shared" si="1"/>
        <v>0.39415538132573058</v>
      </c>
      <c r="AD18" s="12">
        <f t="shared" si="4"/>
        <v>0.6697341513292433</v>
      </c>
      <c r="AE18" s="33">
        <f t="shared" si="5"/>
        <v>1.5388548057259714</v>
      </c>
      <c r="AF18" s="69">
        <f>(G18+H18+J18+K18+N18+L18)/(C18*0.72)</f>
        <v>0.93018632129061585</v>
      </c>
      <c r="AG18" s="34">
        <f>(G18+H18+J18+K18+N18+P18+L18)/(C18*0.72)</f>
        <v>2.1372983412860713</v>
      </c>
      <c r="AH18" s="24">
        <f t="shared" si="8"/>
        <v>0.6097023153252481</v>
      </c>
      <c r="AI18" s="36">
        <f t="shared" si="9"/>
        <v>1.5468577728776185</v>
      </c>
      <c r="AJ18" s="72">
        <f>(S18+T18+V18+W18+X18+Z18)/(D18*0.72)</f>
        <v>0.84680877128506682</v>
      </c>
      <c r="AK18" s="37">
        <f t="shared" si="11"/>
        <v>2.3087429445934604</v>
      </c>
    </row>
    <row r="19" spans="1:37" ht="17.25" thickBot="1" x14ac:dyDescent="0.3">
      <c r="A19" s="140"/>
      <c r="B19" s="117" t="s">
        <v>21</v>
      </c>
      <c r="C19" s="6">
        <v>1227</v>
      </c>
      <c r="D19" s="6">
        <v>1096</v>
      </c>
      <c r="E19" s="6">
        <v>968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1</v>
      </c>
      <c r="N19" s="10">
        <v>27</v>
      </c>
      <c r="O19" s="3">
        <v>2</v>
      </c>
      <c r="P19" s="10">
        <v>80</v>
      </c>
      <c r="Q19" s="13">
        <f t="shared" si="0"/>
        <v>0.25233644859813081</v>
      </c>
      <c r="R19" s="22">
        <v>0</v>
      </c>
      <c r="S19" s="73">
        <v>0</v>
      </c>
      <c r="T19" s="22">
        <f t="shared" si="2"/>
        <v>0</v>
      </c>
      <c r="U19" s="22">
        <v>0</v>
      </c>
      <c r="V19" s="22">
        <v>0</v>
      </c>
      <c r="W19" s="22">
        <f t="shared" si="3"/>
        <v>0</v>
      </c>
      <c r="X19" s="22">
        <v>0</v>
      </c>
      <c r="Y19" s="22">
        <v>1</v>
      </c>
      <c r="Z19" s="30">
        <v>27</v>
      </c>
      <c r="AA19" s="22">
        <v>2</v>
      </c>
      <c r="AB19" s="30">
        <v>80</v>
      </c>
      <c r="AC19" s="25">
        <f t="shared" si="1"/>
        <v>0.25233644859813081</v>
      </c>
      <c r="AD19" s="12">
        <f t="shared" si="4"/>
        <v>2.2004889975550123E-2</v>
      </c>
      <c r="AE19" s="33">
        <f t="shared" si="5"/>
        <v>8.7204563977180113E-2</v>
      </c>
      <c r="AF19" s="129">
        <f t="shared" ref="AF19:AF25" si="17">(G19+H19+J19+K19+N19+L19)/(C19*0.72)</f>
        <v>3.0562347188264061E-2</v>
      </c>
      <c r="AG19" s="34">
        <f t="shared" ref="AG19:AG25" si="18">(G19+H19+J19+K19+N19+P19+L19)/(C19*0.72)</f>
        <v>0.12111744996830572</v>
      </c>
      <c r="AH19" s="24">
        <f t="shared" si="8"/>
        <v>2.4635036496350366E-2</v>
      </c>
      <c r="AI19" s="36">
        <f t="shared" si="9"/>
        <v>9.7627737226277378E-2</v>
      </c>
      <c r="AJ19" s="115">
        <f t="shared" ref="AJ19:AJ25" si="19">(S19+T19+V19+W19+X19+Z19)/(D19*0.72)</f>
        <v>3.4215328467153285E-2</v>
      </c>
      <c r="AK19" s="37">
        <f t="shared" si="11"/>
        <v>0.14571304063623489</v>
      </c>
    </row>
    <row r="20" spans="1:37" ht="17.25" thickBot="1" x14ac:dyDescent="0.3">
      <c r="A20" s="140"/>
      <c r="B20" s="19" t="s">
        <v>22</v>
      </c>
      <c r="C20" s="6">
        <v>2286</v>
      </c>
      <c r="D20" s="6">
        <v>2066</v>
      </c>
      <c r="E20" s="6">
        <v>1759</v>
      </c>
      <c r="F20" s="3">
        <v>1</v>
      </c>
      <c r="G20" s="3">
        <v>0</v>
      </c>
      <c r="H20" s="3">
        <v>120</v>
      </c>
      <c r="I20" s="3">
        <v>0</v>
      </c>
      <c r="J20" s="3">
        <v>0</v>
      </c>
      <c r="K20" s="3">
        <v>0</v>
      </c>
      <c r="L20" s="3">
        <v>0</v>
      </c>
      <c r="M20" s="3">
        <v>19</v>
      </c>
      <c r="N20" s="10">
        <v>1194</v>
      </c>
      <c r="O20" s="3">
        <v>14</v>
      </c>
      <c r="P20" s="10">
        <v>981</v>
      </c>
      <c r="Q20" s="13">
        <f t="shared" si="0"/>
        <v>0.5725490196078431</v>
      </c>
      <c r="R20" s="22">
        <v>1</v>
      </c>
      <c r="S20" s="73">
        <v>0</v>
      </c>
      <c r="T20" s="22">
        <f t="shared" si="2"/>
        <v>96</v>
      </c>
      <c r="U20" s="22">
        <v>0</v>
      </c>
      <c r="V20" s="22">
        <v>0</v>
      </c>
      <c r="W20" s="22">
        <f t="shared" si="3"/>
        <v>0</v>
      </c>
      <c r="X20" s="22">
        <v>0</v>
      </c>
      <c r="Y20" s="22">
        <v>19</v>
      </c>
      <c r="Z20" s="30">
        <v>1194</v>
      </c>
      <c r="AA20" s="22">
        <v>14</v>
      </c>
      <c r="AB20" s="30">
        <v>981</v>
      </c>
      <c r="AC20" s="25">
        <f t="shared" si="1"/>
        <v>0.56803170409511228</v>
      </c>
      <c r="AD20" s="12">
        <f t="shared" si="4"/>
        <v>0.57480314960629919</v>
      </c>
      <c r="AE20" s="33">
        <f t="shared" si="5"/>
        <v>1.0039370078740157</v>
      </c>
      <c r="AF20" s="69">
        <f t="shared" si="17"/>
        <v>0.7983377077865268</v>
      </c>
      <c r="AG20" s="34">
        <f t="shared" si="18"/>
        <v>1.3943569553805775</v>
      </c>
      <c r="AH20" s="24">
        <f t="shared" si="8"/>
        <v>0.62439496611810263</v>
      </c>
      <c r="AI20" s="36">
        <f t="shared" si="9"/>
        <v>1.0992255566311713</v>
      </c>
      <c r="AJ20" s="72">
        <f t="shared" si="19"/>
        <v>0.86721523071958695</v>
      </c>
      <c r="AK20" s="37">
        <f t="shared" si="11"/>
        <v>1.640635159151002</v>
      </c>
    </row>
    <row r="21" spans="1:37" ht="17.25" thickBot="1" x14ac:dyDescent="0.3">
      <c r="A21" s="140"/>
      <c r="B21" s="117" t="s">
        <v>23</v>
      </c>
      <c r="C21" s="6">
        <v>1301</v>
      </c>
      <c r="D21" s="6">
        <v>1185</v>
      </c>
      <c r="E21" s="6">
        <v>1101</v>
      </c>
      <c r="F21" s="3">
        <v>1</v>
      </c>
      <c r="G21" s="3">
        <v>0</v>
      </c>
      <c r="H21" s="3">
        <v>150</v>
      </c>
      <c r="I21" s="3">
        <v>1</v>
      </c>
      <c r="J21" s="3">
        <v>32</v>
      </c>
      <c r="K21" s="3">
        <v>150</v>
      </c>
      <c r="L21" s="3">
        <v>70</v>
      </c>
      <c r="M21" s="3">
        <v>2</v>
      </c>
      <c r="N21" s="10">
        <v>71</v>
      </c>
      <c r="O21" s="3">
        <v>10</v>
      </c>
      <c r="P21" s="10">
        <v>556</v>
      </c>
      <c r="Q21" s="13">
        <f t="shared" si="0"/>
        <v>0.42022940563086547</v>
      </c>
      <c r="R21" s="22">
        <v>1</v>
      </c>
      <c r="S21" s="73">
        <v>0</v>
      </c>
      <c r="T21" s="22">
        <f t="shared" si="2"/>
        <v>120</v>
      </c>
      <c r="U21" s="22">
        <v>1</v>
      </c>
      <c r="V21" s="22">
        <v>32</v>
      </c>
      <c r="W21" s="22">
        <f t="shared" si="3"/>
        <v>120</v>
      </c>
      <c r="X21" s="22">
        <v>70</v>
      </c>
      <c r="Y21" s="22">
        <v>2</v>
      </c>
      <c r="Z21" s="30">
        <v>71</v>
      </c>
      <c r="AA21" s="22">
        <v>10</v>
      </c>
      <c r="AB21" s="30">
        <v>556</v>
      </c>
      <c r="AC21" s="25">
        <f t="shared" si="1"/>
        <v>0.38153503893214685</v>
      </c>
      <c r="AD21" s="12">
        <f t="shared" si="4"/>
        <v>0.36356648731744812</v>
      </c>
      <c r="AE21" s="33">
        <f t="shared" si="5"/>
        <v>0.79093005380476555</v>
      </c>
      <c r="AF21" s="129">
        <f t="shared" si="17"/>
        <v>0.50495345460756691</v>
      </c>
      <c r="AG21" s="34">
        <f t="shared" si="18"/>
        <v>1.0985139636177301</v>
      </c>
      <c r="AH21" s="24">
        <f t="shared" si="8"/>
        <v>0.34852320675105486</v>
      </c>
      <c r="AI21" s="36">
        <f t="shared" si="9"/>
        <v>0.8177215189873418</v>
      </c>
      <c r="AJ21" s="115">
        <f t="shared" si="19"/>
        <v>0.48406000937646509</v>
      </c>
      <c r="AK21" s="37">
        <f t="shared" si="11"/>
        <v>1.2204798790855846</v>
      </c>
    </row>
    <row r="22" spans="1:37" ht="17.25" thickBot="1" x14ac:dyDescent="0.3">
      <c r="A22" s="140"/>
      <c r="B22" s="118" t="s">
        <v>24</v>
      </c>
      <c r="C22" s="6">
        <v>1533</v>
      </c>
      <c r="D22" s="6">
        <v>1396</v>
      </c>
      <c r="E22" s="6">
        <v>1204</v>
      </c>
      <c r="F22" s="3">
        <v>1</v>
      </c>
      <c r="G22" s="3">
        <v>0</v>
      </c>
      <c r="H22" s="3">
        <v>120</v>
      </c>
      <c r="I22" s="3">
        <v>0</v>
      </c>
      <c r="J22" s="3">
        <v>0</v>
      </c>
      <c r="K22" s="3">
        <v>0</v>
      </c>
      <c r="L22" s="3">
        <v>0</v>
      </c>
      <c r="M22" s="3">
        <v>1</v>
      </c>
      <c r="N22" s="10">
        <v>120</v>
      </c>
      <c r="O22" s="3">
        <v>20</v>
      </c>
      <c r="P22" s="10">
        <v>1992</v>
      </c>
      <c r="Q22" s="13">
        <f t="shared" si="0"/>
        <v>0.10752688172043011</v>
      </c>
      <c r="R22" s="22">
        <v>1</v>
      </c>
      <c r="S22" s="73">
        <v>0</v>
      </c>
      <c r="T22" s="22">
        <f t="shared" si="2"/>
        <v>96</v>
      </c>
      <c r="U22" s="22">
        <v>0</v>
      </c>
      <c r="V22" s="22">
        <v>0</v>
      </c>
      <c r="W22" s="22">
        <f t="shared" si="3"/>
        <v>0</v>
      </c>
      <c r="X22" s="22">
        <v>0</v>
      </c>
      <c r="Y22" s="22">
        <v>1</v>
      </c>
      <c r="Z22" s="30">
        <v>120</v>
      </c>
      <c r="AA22" s="22">
        <v>20</v>
      </c>
      <c r="AB22" s="30">
        <v>1992</v>
      </c>
      <c r="AC22" s="25">
        <f t="shared" si="1"/>
        <v>9.7826086956521743E-2</v>
      </c>
      <c r="AD22" s="12">
        <f t="shared" si="4"/>
        <v>0.15655577299412915</v>
      </c>
      <c r="AE22" s="33">
        <f t="shared" si="5"/>
        <v>1.4559686888454011</v>
      </c>
      <c r="AF22" s="58">
        <f t="shared" si="17"/>
        <v>0.21743857360295715</v>
      </c>
      <c r="AG22" s="34">
        <f t="shared" si="18"/>
        <v>2.0221787345075017</v>
      </c>
      <c r="AH22" s="24">
        <f t="shared" si="8"/>
        <v>0.15472779369627507</v>
      </c>
      <c r="AI22" s="36">
        <f t="shared" si="9"/>
        <v>1.5816618911174785</v>
      </c>
      <c r="AJ22" s="125">
        <f t="shared" si="19"/>
        <v>0.2148997134670487</v>
      </c>
      <c r="AK22" s="37">
        <f t="shared" si="11"/>
        <v>2.3606893897275798</v>
      </c>
    </row>
    <row r="23" spans="1:37" ht="17.25" thickBot="1" x14ac:dyDescent="0.3">
      <c r="A23" s="140"/>
      <c r="B23" s="19" t="s">
        <v>25</v>
      </c>
      <c r="C23" s="6">
        <v>1010</v>
      </c>
      <c r="D23" s="6">
        <v>879</v>
      </c>
      <c r="E23" s="6">
        <v>779</v>
      </c>
      <c r="F23" s="3">
        <v>5</v>
      </c>
      <c r="G23" s="3">
        <v>16</v>
      </c>
      <c r="H23" s="3">
        <v>570</v>
      </c>
      <c r="I23" s="3">
        <v>2</v>
      </c>
      <c r="J23" s="3">
        <v>32</v>
      </c>
      <c r="K23" s="3">
        <v>150</v>
      </c>
      <c r="L23" s="3">
        <v>50</v>
      </c>
      <c r="M23" s="3">
        <v>0</v>
      </c>
      <c r="N23" s="10">
        <v>0</v>
      </c>
      <c r="O23" s="3">
        <v>7</v>
      </c>
      <c r="P23" s="10">
        <v>655</v>
      </c>
      <c r="Q23" s="13">
        <f t="shared" si="0"/>
        <v>0.53970484891075188</v>
      </c>
      <c r="R23" s="22">
        <v>5</v>
      </c>
      <c r="S23" s="73">
        <v>16</v>
      </c>
      <c r="T23" s="22">
        <f t="shared" si="2"/>
        <v>456</v>
      </c>
      <c r="U23" s="22">
        <v>2</v>
      </c>
      <c r="V23" s="22">
        <v>32</v>
      </c>
      <c r="W23" s="22">
        <f t="shared" si="3"/>
        <v>120</v>
      </c>
      <c r="X23" s="22">
        <v>50</v>
      </c>
      <c r="Y23" s="22">
        <v>0</v>
      </c>
      <c r="Z23" s="30">
        <v>0</v>
      </c>
      <c r="AA23" s="22">
        <v>7</v>
      </c>
      <c r="AB23" s="30">
        <v>655</v>
      </c>
      <c r="AC23" s="25">
        <f t="shared" si="1"/>
        <v>0.48788115715402658</v>
      </c>
      <c r="AD23" s="12">
        <f t="shared" si="4"/>
        <v>0.80990099009900995</v>
      </c>
      <c r="AE23" s="33">
        <f t="shared" si="5"/>
        <v>1.4584158415841584</v>
      </c>
      <c r="AF23" s="69">
        <f t="shared" si="17"/>
        <v>1.1248624862486249</v>
      </c>
      <c r="AG23" s="34">
        <f t="shared" si="18"/>
        <v>2.025577557755776</v>
      </c>
      <c r="AH23" s="24">
        <f t="shared" si="8"/>
        <v>0.76678043230944259</v>
      </c>
      <c r="AI23" s="36">
        <f t="shared" si="9"/>
        <v>1.5119453924914676</v>
      </c>
      <c r="AJ23" s="72">
        <f t="shared" si="19"/>
        <v>1.0649728226520034</v>
      </c>
      <c r="AK23" s="37">
        <f t="shared" si="11"/>
        <v>2.2566349141663693</v>
      </c>
    </row>
    <row r="24" spans="1:37" ht="17.25" thickBot="1" x14ac:dyDescent="0.3">
      <c r="A24" s="141"/>
      <c r="B24" s="18" t="s">
        <v>26</v>
      </c>
      <c r="C24" s="7">
        <v>1210</v>
      </c>
      <c r="D24" s="7">
        <v>1177</v>
      </c>
      <c r="E24" s="7">
        <v>1086</v>
      </c>
      <c r="F24" s="4">
        <v>3</v>
      </c>
      <c r="G24" s="4">
        <v>32</v>
      </c>
      <c r="H24" s="4">
        <v>420</v>
      </c>
      <c r="I24" s="4">
        <v>2</v>
      </c>
      <c r="J24" s="4">
        <v>40</v>
      </c>
      <c r="K24" s="4">
        <v>210</v>
      </c>
      <c r="L24" s="4">
        <v>0</v>
      </c>
      <c r="M24" s="4">
        <v>3</v>
      </c>
      <c r="N24" s="11">
        <v>134</v>
      </c>
      <c r="O24" s="4">
        <v>7</v>
      </c>
      <c r="P24" s="11">
        <v>376</v>
      </c>
      <c r="Q24" s="14">
        <f t="shared" si="0"/>
        <v>0.68976897689768979</v>
      </c>
      <c r="R24" s="26">
        <v>3</v>
      </c>
      <c r="S24" s="26">
        <v>32</v>
      </c>
      <c r="T24" s="26">
        <f t="shared" si="2"/>
        <v>336</v>
      </c>
      <c r="U24" s="26">
        <v>2</v>
      </c>
      <c r="V24" s="26">
        <v>40</v>
      </c>
      <c r="W24" s="26">
        <f t="shared" si="3"/>
        <v>168</v>
      </c>
      <c r="X24" s="26">
        <v>0</v>
      </c>
      <c r="Y24" s="26">
        <v>3</v>
      </c>
      <c r="Z24" s="61">
        <v>134</v>
      </c>
      <c r="AA24" s="26">
        <v>7</v>
      </c>
      <c r="AB24" s="61">
        <v>376</v>
      </c>
      <c r="AC24" s="27">
        <f t="shared" si="1"/>
        <v>0.65377532228360957</v>
      </c>
      <c r="AD24" s="62">
        <f t="shared" si="4"/>
        <v>0.69090909090909092</v>
      </c>
      <c r="AE24" s="63">
        <f t="shared" si="5"/>
        <v>1.0016528925619834</v>
      </c>
      <c r="AF24" s="71">
        <f t="shared" si="17"/>
        <v>0.95959595959595967</v>
      </c>
      <c r="AG24" s="66">
        <f t="shared" si="18"/>
        <v>1.391184573002755</v>
      </c>
      <c r="AH24" s="24">
        <f t="shared" si="8"/>
        <v>0.60322854715378083</v>
      </c>
      <c r="AI24" s="36">
        <f t="shared" si="9"/>
        <v>0.92268479184367036</v>
      </c>
      <c r="AJ24" s="72">
        <f t="shared" si="19"/>
        <v>0.83781742660247338</v>
      </c>
      <c r="AK24" s="37">
        <f t="shared" si="11"/>
        <v>1.377141480363687</v>
      </c>
    </row>
    <row r="25" spans="1:37" ht="17.25" thickBot="1" x14ac:dyDescent="0.3">
      <c r="A25" s="131" t="s">
        <v>124</v>
      </c>
      <c r="B25" s="132"/>
      <c r="C25" s="77">
        <f>SUM(C18:C24)</f>
        <v>9545</v>
      </c>
      <c r="D25" s="77">
        <f t="shared" ref="D25:F25" si="20">SUM(D18:D24)</f>
        <v>8706</v>
      </c>
      <c r="E25" s="77">
        <f t="shared" si="20"/>
        <v>7739</v>
      </c>
      <c r="F25" s="77">
        <f t="shared" si="20"/>
        <v>12</v>
      </c>
      <c r="G25" s="77">
        <f t="shared" ref="G25" si="21">SUM(G18:G24)</f>
        <v>64</v>
      </c>
      <c r="H25" s="77">
        <f t="shared" ref="H25:I25" si="22">SUM(H18:H24)</f>
        <v>1560</v>
      </c>
      <c r="I25" s="77">
        <f t="shared" si="22"/>
        <v>7</v>
      </c>
      <c r="J25" s="77">
        <f t="shared" ref="J25" si="23">SUM(J18:J24)</f>
        <v>176</v>
      </c>
      <c r="K25" s="77">
        <f t="shared" ref="K25:L25" si="24">SUM(K18:K24)</f>
        <v>840</v>
      </c>
      <c r="L25" s="77">
        <f t="shared" si="24"/>
        <v>120</v>
      </c>
      <c r="M25" s="77">
        <f t="shared" ref="M25" si="25">SUM(M18:M24)</f>
        <v>28</v>
      </c>
      <c r="N25" s="77">
        <f t="shared" ref="N25:O25" si="26">SUM(N18:N24)</f>
        <v>1603</v>
      </c>
      <c r="O25" s="77">
        <f t="shared" si="26"/>
        <v>76</v>
      </c>
      <c r="P25" s="77">
        <f t="shared" ref="P25" si="27">SUM(P18:P24)</f>
        <v>5490</v>
      </c>
      <c r="Q25" s="77">
        <f t="shared" ref="Q25:R25" si="28">SUM(Q18:Q24)</f>
        <v>3.017331528209565</v>
      </c>
      <c r="R25" s="77">
        <f t="shared" si="28"/>
        <v>12</v>
      </c>
      <c r="S25" s="77">
        <f t="shared" ref="S25" si="29">SUM(S18:S24)</f>
        <v>64</v>
      </c>
      <c r="T25" s="77">
        <f t="shared" ref="T25:U25" si="30">SUM(T18:T24)</f>
        <v>1248</v>
      </c>
      <c r="U25" s="77">
        <f t="shared" si="30"/>
        <v>7</v>
      </c>
      <c r="V25" s="77">
        <f t="shared" ref="V25" si="31">SUM(V18:V24)</f>
        <v>176</v>
      </c>
      <c r="W25" s="77">
        <f t="shared" ref="W25:X25" si="32">SUM(W18:W24)</f>
        <v>672</v>
      </c>
      <c r="X25" s="77">
        <f t="shared" si="32"/>
        <v>120</v>
      </c>
      <c r="Y25" s="77">
        <f t="shared" ref="Y25" si="33">SUM(Y18:Y24)</f>
        <v>28</v>
      </c>
      <c r="Z25" s="77">
        <f t="shared" ref="Z25:AA25" si="34">SUM(Z18:Z24)</f>
        <v>1603</v>
      </c>
      <c r="AA25" s="77">
        <f t="shared" si="34"/>
        <v>76</v>
      </c>
      <c r="AB25" s="77">
        <f t="shared" ref="AB25" si="35">SUM(AB18:AB24)</f>
        <v>5490</v>
      </c>
      <c r="AC25" s="78"/>
      <c r="AD25" s="79">
        <f t="shared" si="4"/>
        <v>0.4570979570455736</v>
      </c>
      <c r="AE25" s="80">
        <f t="shared" si="5"/>
        <v>1.0322682032477737</v>
      </c>
      <c r="AF25" s="84">
        <f t="shared" si="17"/>
        <v>0.63485827367440784</v>
      </c>
      <c r="AG25" s="85">
        <f t="shared" si="18"/>
        <v>1.4337058378441303</v>
      </c>
      <c r="AH25" s="108">
        <f t="shared" si="8"/>
        <v>0.44601424305076959</v>
      </c>
      <c r="AI25" s="109">
        <f t="shared" si="9"/>
        <v>1.076613829542844</v>
      </c>
      <c r="AJ25" s="126">
        <f t="shared" si="19"/>
        <v>0.61946422645940225</v>
      </c>
      <c r="AK25" s="111">
        <f t="shared" si="11"/>
        <v>1.6068863127505133</v>
      </c>
    </row>
    <row r="26" spans="1:37" ht="17.25" thickBot="1" x14ac:dyDescent="0.3">
      <c r="A26" s="143" t="s">
        <v>28</v>
      </c>
      <c r="B26" s="16" t="s">
        <v>29</v>
      </c>
      <c r="C26" s="5">
        <v>1401</v>
      </c>
      <c r="D26" s="5">
        <v>1251</v>
      </c>
      <c r="E26" s="5">
        <v>1083</v>
      </c>
      <c r="F26" s="2">
        <v>4</v>
      </c>
      <c r="G26" s="2">
        <v>128</v>
      </c>
      <c r="H26" s="2">
        <v>540</v>
      </c>
      <c r="I26" s="2">
        <v>2</v>
      </c>
      <c r="J26" s="2">
        <v>48</v>
      </c>
      <c r="K26" s="2">
        <v>270</v>
      </c>
      <c r="L26" s="2">
        <v>0</v>
      </c>
      <c r="M26" s="2">
        <v>2</v>
      </c>
      <c r="N26" s="9">
        <v>138</v>
      </c>
      <c r="O26" s="2">
        <v>10</v>
      </c>
      <c r="P26" s="9">
        <v>766</v>
      </c>
      <c r="Q26" s="12">
        <f t="shared" si="0"/>
        <v>0.59470899470899474</v>
      </c>
      <c r="R26" s="23">
        <v>4</v>
      </c>
      <c r="S26" s="23">
        <v>128</v>
      </c>
      <c r="T26" s="23">
        <v>432</v>
      </c>
      <c r="U26" s="23">
        <v>2</v>
      </c>
      <c r="V26" s="23">
        <v>48</v>
      </c>
      <c r="W26" s="23">
        <f t="shared" si="3"/>
        <v>216</v>
      </c>
      <c r="X26" s="23">
        <v>0</v>
      </c>
      <c r="Y26" s="23">
        <v>2</v>
      </c>
      <c r="Z26" s="60">
        <v>138</v>
      </c>
      <c r="AA26" s="23">
        <v>10</v>
      </c>
      <c r="AB26" s="60">
        <v>766</v>
      </c>
      <c r="AC26" s="24">
        <f t="shared" si="1"/>
        <v>0.55671296296296291</v>
      </c>
      <c r="AD26" s="12">
        <f t="shared" si="4"/>
        <v>0.80228408279800145</v>
      </c>
      <c r="AE26" s="33">
        <f t="shared" si="5"/>
        <v>1.3490364025695931</v>
      </c>
      <c r="AF26" s="69">
        <f>(G26+H26+J26+K26+N26+L26)/(C26*0.69)</f>
        <v>1.1627305547797122</v>
      </c>
      <c r="AG26" s="34">
        <f>(G26+H26+J26+K26+N26+P26+L26)/(C26*0.69)</f>
        <v>1.9551252211153525</v>
      </c>
      <c r="AH26" s="24">
        <f t="shared" si="8"/>
        <v>0.76898481215027981</v>
      </c>
      <c r="AI26" s="36">
        <f t="shared" si="9"/>
        <v>1.3812949640287771</v>
      </c>
      <c r="AJ26" s="72">
        <f>(S26+T26+V26+W26+X26+Z26)/(D26*0.69)</f>
        <v>1.1144707422467823</v>
      </c>
      <c r="AK26" s="37">
        <f t="shared" si="11"/>
        <v>2.0616342746698164</v>
      </c>
    </row>
    <row r="27" spans="1:37" ht="17.25" thickBot="1" x14ac:dyDescent="0.3">
      <c r="A27" s="144"/>
      <c r="B27" s="118" t="s">
        <v>30</v>
      </c>
      <c r="C27" s="6">
        <v>811</v>
      </c>
      <c r="D27" s="6">
        <v>819</v>
      </c>
      <c r="E27" s="6">
        <v>735</v>
      </c>
      <c r="F27" s="3">
        <v>1</v>
      </c>
      <c r="G27" s="3">
        <v>16</v>
      </c>
      <c r="H27" s="3">
        <v>180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10">
        <v>0</v>
      </c>
      <c r="O27" s="3">
        <v>0</v>
      </c>
      <c r="P27" s="10">
        <v>0</v>
      </c>
      <c r="Q27" s="13">
        <f t="shared" si="0"/>
        <v>1</v>
      </c>
      <c r="R27" s="22">
        <v>1</v>
      </c>
      <c r="S27" s="73">
        <v>16</v>
      </c>
      <c r="T27" s="22">
        <f t="shared" si="2"/>
        <v>144</v>
      </c>
      <c r="U27" s="22">
        <v>0</v>
      </c>
      <c r="V27" s="22">
        <v>0</v>
      </c>
      <c r="W27" s="22">
        <f t="shared" si="3"/>
        <v>0</v>
      </c>
      <c r="X27" s="22">
        <v>0</v>
      </c>
      <c r="Y27" s="22">
        <v>0</v>
      </c>
      <c r="Z27" s="30">
        <v>0</v>
      </c>
      <c r="AA27" s="22">
        <v>0</v>
      </c>
      <c r="AB27" s="30">
        <v>0</v>
      </c>
      <c r="AC27" s="25">
        <f t="shared" si="1"/>
        <v>1</v>
      </c>
      <c r="AD27" s="12">
        <f t="shared" si="4"/>
        <v>0.24167694204685575</v>
      </c>
      <c r="AE27" s="33">
        <f t="shared" si="5"/>
        <v>0.24167694204685575</v>
      </c>
      <c r="AF27" s="58">
        <f t="shared" ref="AF27:AF33" si="36">(G27+H27+J27+K27+N27+L27)/(C27*0.69)</f>
        <v>0.35025643774906634</v>
      </c>
      <c r="AG27" s="34">
        <f t="shared" ref="AG27:AG33" si="37">(G27+H27+J27+K27+N27+P27+L27)/(C27*0.69)</f>
        <v>0.35025643774906634</v>
      </c>
      <c r="AH27" s="24">
        <f t="shared" si="8"/>
        <v>0.19536019536019536</v>
      </c>
      <c r="AI27" s="36">
        <f t="shared" si="9"/>
        <v>0.19536019536019536</v>
      </c>
      <c r="AJ27" s="125">
        <f t="shared" ref="AJ27:AJ33" si="38">(S27+T27+V27+W27+X27+Z27)/(D27*0.69)</f>
        <v>0.28313071791332667</v>
      </c>
      <c r="AK27" s="37">
        <f t="shared" si="11"/>
        <v>0.29158238113461993</v>
      </c>
    </row>
    <row r="28" spans="1:37" ht="17.25" thickBot="1" x14ac:dyDescent="0.3">
      <c r="A28" s="144"/>
      <c r="B28" s="118" t="s">
        <v>31</v>
      </c>
      <c r="C28" s="6">
        <v>651</v>
      </c>
      <c r="D28" s="6">
        <v>618</v>
      </c>
      <c r="E28" s="6">
        <v>585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</v>
      </c>
      <c r="N28" s="10">
        <v>38</v>
      </c>
      <c r="O28" s="3">
        <v>5</v>
      </c>
      <c r="P28" s="10">
        <v>1055</v>
      </c>
      <c r="Q28" s="13">
        <f t="shared" si="0"/>
        <v>3.4766697163769442E-2</v>
      </c>
      <c r="R28" s="22">
        <v>0</v>
      </c>
      <c r="S28" s="73">
        <v>0</v>
      </c>
      <c r="T28" s="22">
        <f t="shared" si="2"/>
        <v>0</v>
      </c>
      <c r="U28" s="22">
        <v>0</v>
      </c>
      <c r="V28" s="22">
        <v>0</v>
      </c>
      <c r="W28" s="22">
        <f t="shared" si="3"/>
        <v>0</v>
      </c>
      <c r="X28" s="22">
        <v>0</v>
      </c>
      <c r="Y28" s="22">
        <v>1</v>
      </c>
      <c r="Z28" s="30">
        <v>38</v>
      </c>
      <c r="AA28" s="22">
        <v>5</v>
      </c>
      <c r="AB28" s="30">
        <v>1055</v>
      </c>
      <c r="AC28" s="25">
        <f t="shared" si="1"/>
        <v>3.4766697163769442E-2</v>
      </c>
      <c r="AD28" s="12">
        <f t="shared" si="4"/>
        <v>5.8371735791090631E-2</v>
      </c>
      <c r="AE28" s="33">
        <f t="shared" si="5"/>
        <v>1.6789554531490016</v>
      </c>
      <c r="AF28" s="58">
        <f t="shared" si="36"/>
        <v>8.4596718537812518E-2</v>
      </c>
      <c r="AG28" s="34">
        <f t="shared" si="37"/>
        <v>2.4332687726797126</v>
      </c>
      <c r="AH28" s="24">
        <f t="shared" si="8"/>
        <v>6.1488673139158574E-2</v>
      </c>
      <c r="AI28" s="36">
        <f t="shared" si="9"/>
        <v>1.7686084142394822</v>
      </c>
      <c r="AJ28" s="125">
        <f t="shared" si="38"/>
        <v>8.911401904225881E-2</v>
      </c>
      <c r="AK28" s="37">
        <f t="shared" si="11"/>
        <v>2.6397140511037049</v>
      </c>
    </row>
    <row r="29" spans="1:37" ht="17.25" thickBot="1" x14ac:dyDescent="0.3">
      <c r="A29" s="144"/>
      <c r="B29" s="120" t="s">
        <v>32</v>
      </c>
      <c r="C29" s="6">
        <v>1257</v>
      </c>
      <c r="D29" s="6">
        <v>1235</v>
      </c>
      <c r="E29" s="6">
        <v>1157</v>
      </c>
      <c r="F29" s="3">
        <v>2</v>
      </c>
      <c r="G29" s="3">
        <v>16</v>
      </c>
      <c r="H29" s="3">
        <v>270</v>
      </c>
      <c r="I29" s="3">
        <v>0</v>
      </c>
      <c r="J29" s="3">
        <v>0</v>
      </c>
      <c r="K29" s="3">
        <v>0</v>
      </c>
      <c r="L29" s="3">
        <v>0</v>
      </c>
      <c r="M29" s="3">
        <v>3</v>
      </c>
      <c r="N29" s="10">
        <v>300</v>
      </c>
      <c r="O29" s="3">
        <v>8</v>
      </c>
      <c r="P29" s="10">
        <v>391</v>
      </c>
      <c r="Q29" s="13">
        <f t="shared" si="0"/>
        <v>0.59979529170931423</v>
      </c>
      <c r="R29" s="22">
        <v>2</v>
      </c>
      <c r="S29" s="73">
        <v>16</v>
      </c>
      <c r="T29" s="22">
        <f t="shared" si="2"/>
        <v>216</v>
      </c>
      <c r="U29" s="22">
        <v>0</v>
      </c>
      <c r="V29" s="22">
        <v>0</v>
      </c>
      <c r="W29" s="22">
        <f t="shared" si="3"/>
        <v>0</v>
      </c>
      <c r="X29" s="22">
        <v>0</v>
      </c>
      <c r="Y29" s="22">
        <v>3</v>
      </c>
      <c r="Z29" s="30">
        <v>300</v>
      </c>
      <c r="AA29" s="22">
        <v>8</v>
      </c>
      <c r="AB29" s="30">
        <v>391</v>
      </c>
      <c r="AC29" s="25">
        <f t="shared" si="1"/>
        <v>0.57638136511375948</v>
      </c>
      <c r="AD29" s="12">
        <f t="shared" si="4"/>
        <v>0.46618933969769294</v>
      </c>
      <c r="AE29" s="33">
        <f t="shared" si="5"/>
        <v>0.7772474144789181</v>
      </c>
      <c r="AF29" s="58">
        <f t="shared" si="36"/>
        <v>0.67563672419955501</v>
      </c>
      <c r="AG29" s="34">
        <f t="shared" si="37"/>
        <v>1.1264455282303161</v>
      </c>
      <c r="AH29" s="24">
        <f t="shared" si="8"/>
        <v>0.43076923076923079</v>
      </c>
      <c r="AI29" s="36">
        <f t="shared" si="9"/>
        <v>0.74736842105263157</v>
      </c>
      <c r="AJ29" s="125">
        <f t="shared" si="38"/>
        <v>0.62430323299888524</v>
      </c>
      <c r="AK29" s="37">
        <f t="shared" si="11"/>
        <v>1.1154752553024352</v>
      </c>
    </row>
    <row r="30" spans="1:37" ht="17.25" thickBot="1" x14ac:dyDescent="0.3">
      <c r="A30" s="144"/>
      <c r="B30" s="118" t="s">
        <v>33</v>
      </c>
      <c r="C30" s="6">
        <v>746</v>
      </c>
      <c r="D30" s="6">
        <v>695</v>
      </c>
      <c r="E30" s="6">
        <v>654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55</v>
      </c>
      <c r="M30" s="3">
        <v>0</v>
      </c>
      <c r="N30" s="10">
        <v>0</v>
      </c>
      <c r="O30" s="3">
        <v>0</v>
      </c>
      <c r="P30" s="10">
        <v>0</v>
      </c>
      <c r="Q30" s="13">
        <v>0</v>
      </c>
      <c r="R30" s="22">
        <v>0</v>
      </c>
      <c r="S30" s="73">
        <v>0</v>
      </c>
      <c r="T30" s="22">
        <f t="shared" si="2"/>
        <v>0</v>
      </c>
      <c r="U30" s="22">
        <v>0</v>
      </c>
      <c r="V30" s="22">
        <v>0</v>
      </c>
      <c r="W30" s="22">
        <f t="shared" si="3"/>
        <v>0</v>
      </c>
      <c r="X30" s="22">
        <v>55</v>
      </c>
      <c r="Y30" s="22">
        <v>0</v>
      </c>
      <c r="Z30" s="30">
        <v>0</v>
      </c>
      <c r="AA30" s="22">
        <v>0</v>
      </c>
      <c r="AB30" s="30">
        <v>0</v>
      </c>
      <c r="AC30" s="25">
        <v>0</v>
      </c>
      <c r="AD30" s="12">
        <f t="shared" si="4"/>
        <v>7.3726541554959779E-2</v>
      </c>
      <c r="AE30" s="33">
        <f t="shared" si="5"/>
        <v>7.3726541554959779E-2</v>
      </c>
      <c r="AF30" s="58">
        <f t="shared" si="36"/>
        <v>0.10685006022457939</v>
      </c>
      <c r="AG30" s="34">
        <f t="shared" si="37"/>
        <v>0.10685006022457939</v>
      </c>
      <c r="AH30" s="24">
        <f t="shared" si="8"/>
        <v>7.9136690647482008E-2</v>
      </c>
      <c r="AI30" s="36">
        <f t="shared" si="9"/>
        <v>7.9136690647482008E-2</v>
      </c>
      <c r="AJ30" s="125">
        <f t="shared" si="38"/>
        <v>0.11469085601084351</v>
      </c>
      <c r="AK30" s="37">
        <f t="shared" si="11"/>
        <v>0.11811446365295822</v>
      </c>
    </row>
    <row r="31" spans="1:37" ht="17.25" thickBot="1" x14ac:dyDescent="0.3">
      <c r="A31" s="144"/>
      <c r="B31" s="19" t="s">
        <v>34</v>
      </c>
      <c r="C31" s="6">
        <v>842</v>
      </c>
      <c r="D31" s="6">
        <v>797</v>
      </c>
      <c r="E31" s="6">
        <v>700</v>
      </c>
      <c r="F31" s="3">
        <v>3</v>
      </c>
      <c r="G31" s="3">
        <v>48</v>
      </c>
      <c r="H31" s="3">
        <v>450</v>
      </c>
      <c r="I31" s="3">
        <v>0</v>
      </c>
      <c r="J31" s="3">
        <v>0</v>
      </c>
      <c r="K31" s="3">
        <v>0</v>
      </c>
      <c r="L31" s="3">
        <v>0</v>
      </c>
      <c r="M31" s="3">
        <v>1</v>
      </c>
      <c r="N31" s="10">
        <v>32</v>
      </c>
      <c r="O31" s="3">
        <v>6</v>
      </c>
      <c r="P31" s="10">
        <v>367</v>
      </c>
      <c r="Q31" s="13">
        <f t="shared" ref="Q31:Q85" si="39">(G31+H31+J31+K31+N31)/(G31+H31+J31+K31+N31+P31)</f>
        <v>0.59085841694537344</v>
      </c>
      <c r="R31" s="22">
        <v>3</v>
      </c>
      <c r="S31" s="73">
        <v>48</v>
      </c>
      <c r="T31" s="22">
        <v>360</v>
      </c>
      <c r="U31" s="22">
        <v>0</v>
      </c>
      <c r="V31" s="22">
        <v>0</v>
      </c>
      <c r="W31" s="22">
        <f t="shared" si="3"/>
        <v>0</v>
      </c>
      <c r="X31" s="22">
        <v>0</v>
      </c>
      <c r="Y31" s="22">
        <v>1</v>
      </c>
      <c r="Z31" s="30">
        <v>32</v>
      </c>
      <c r="AA31" s="22">
        <v>6</v>
      </c>
      <c r="AB31" s="30">
        <v>367</v>
      </c>
      <c r="AC31" s="25">
        <f t="shared" ref="AC31:AC85" si="40">(S31+T31+V31+W31+Z31)/(S31+T31+V31+W31+Z31+AB31)</f>
        <v>0.54522924411400253</v>
      </c>
      <c r="AD31" s="12">
        <f t="shared" si="4"/>
        <v>0.62945368171021376</v>
      </c>
      <c r="AE31" s="33">
        <f t="shared" si="5"/>
        <v>1.0653206650831355</v>
      </c>
      <c r="AF31" s="69">
        <f t="shared" si="36"/>
        <v>0.91225171262349836</v>
      </c>
      <c r="AG31" s="34">
        <f t="shared" si="37"/>
        <v>1.5439429928741095</v>
      </c>
      <c r="AH31" s="24">
        <f t="shared" si="8"/>
        <v>0.5520702634880803</v>
      </c>
      <c r="AI31" s="36">
        <f t="shared" si="9"/>
        <v>1.0125470514429109</v>
      </c>
      <c r="AJ31" s="72">
        <f t="shared" si="38"/>
        <v>0.80010183114214539</v>
      </c>
      <c r="AK31" s="37">
        <f t="shared" si="11"/>
        <v>1.5112642558849416</v>
      </c>
    </row>
    <row r="32" spans="1:37" ht="17.25" thickBot="1" x14ac:dyDescent="0.3">
      <c r="A32" s="145"/>
      <c r="B32" s="18" t="s">
        <v>35</v>
      </c>
      <c r="C32" s="7">
        <v>664</v>
      </c>
      <c r="D32" s="7">
        <v>644</v>
      </c>
      <c r="E32" s="7">
        <v>628</v>
      </c>
      <c r="F32" s="4">
        <v>3</v>
      </c>
      <c r="G32" s="4">
        <v>64</v>
      </c>
      <c r="H32" s="4">
        <v>270</v>
      </c>
      <c r="I32" s="4">
        <v>0</v>
      </c>
      <c r="J32" s="4">
        <v>0</v>
      </c>
      <c r="K32" s="4">
        <v>0</v>
      </c>
      <c r="L32" s="4">
        <v>0</v>
      </c>
      <c r="M32" s="4">
        <v>1</v>
      </c>
      <c r="N32" s="11">
        <v>40</v>
      </c>
      <c r="O32" s="4">
        <v>2</v>
      </c>
      <c r="P32" s="11">
        <v>110</v>
      </c>
      <c r="Q32" s="14">
        <f t="shared" si="39"/>
        <v>0.77272727272727271</v>
      </c>
      <c r="R32" s="26">
        <v>3</v>
      </c>
      <c r="S32" s="26">
        <v>64</v>
      </c>
      <c r="T32" s="26">
        <f t="shared" si="2"/>
        <v>216</v>
      </c>
      <c r="U32" s="26">
        <v>0</v>
      </c>
      <c r="V32" s="26">
        <v>0</v>
      </c>
      <c r="W32" s="26">
        <f t="shared" si="3"/>
        <v>0</v>
      </c>
      <c r="X32" s="26">
        <v>0</v>
      </c>
      <c r="Y32" s="26">
        <v>1</v>
      </c>
      <c r="Z32" s="61">
        <v>40</v>
      </c>
      <c r="AA32" s="26">
        <v>2</v>
      </c>
      <c r="AB32" s="61">
        <v>110</v>
      </c>
      <c r="AC32" s="27">
        <f t="shared" si="40"/>
        <v>0.7441860465116279</v>
      </c>
      <c r="AD32" s="62">
        <f t="shared" si="4"/>
        <v>0.56325301204819278</v>
      </c>
      <c r="AE32" s="63">
        <f t="shared" si="5"/>
        <v>0.72891566265060237</v>
      </c>
      <c r="AF32" s="62">
        <f t="shared" si="36"/>
        <v>0.81630871311332287</v>
      </c>
      <c r="AG32" s="66">
        <f t="shared" si="37"/>
        <v>1.0563995110878297</v>
      </c>
      <c r="AH32" s="24">
        <f t="shared" si="8"/>
        <v>0.49689440993788819</v>
      </c>
      <c r="AI32" s="36">
        <f t="shared" si="9"/>
        <v>0.66770186335403725</v>
      </c>
      <c r="AJ32" s="72">
        <f t="shared" si="38"/>
        <v>0.72013682599693951</v>
      </c>
      <c r="AK32" s="37">
        <f t="shared" si="11"/>
        <v>0.99656994530453324</v>
      </c>
    </row>
    <row r="33" spans="1:37" ht="17.25" thickBot="1" x14ac:dyDescent="0.3">
      <c r="A33" s="131" t="s">
        <v>125</v>
      </c>
      <c r="B33" s="132"/>
      <c r="C33" s="77">
        <f>SUM(C26:C32)</f>
        <v>6372</v>
      </c>
      <c r="D33" s="77">
        <f t="shared" ref="D33:E33" si="41">SUM(D26:D32)</f>
        <v>6059</v>
      </c>
      <c r="E33" s="77">
        <f t="shared" si="41"/>
        <v>5542</v>
      </c>
      <c r="F33" s="77">
        <f t="shared" ref="F33" si="42">SUM(F26:F32)</f>
        <v>13</v>
      </c>
      <c r="G33" s="77">
        <f t="shared" ref="G33" si="43">SUM(G26:G32)</f>
        <v>272</v>
      </c>
      <c r="H33" s="77">
        <f t="shared" ref="H33" si="44">SUM(H26:H32)</f>
        <v>1710</v>
      </c>
      <c r="I33" s="77">
        <f t="shared" ref="I33" si="45">SUM(I26:I32)</f>
        <v>2</v>
      </c>
      <c r="J33" s="77">
        <f t="shared" ref="J33" si="46">SUM(J26:J32)</f>
        <v>48</v>
      </c>
      <c r="K33" s="77">
        <f t="shared" ref="K33" si="47">SUM(K26:K32)</f>
        <v>270</v>
      </c>
      <c r="L33" s="77">
        <f t="shared" ref="L33" si="48">SUM(L26:L32)</f>
        <v>55</v>
      </c>
      <c r="M33" s="77">
        <f t="shared" ref="M33" si="49">SUM(M26:M32)</f>
        <v>8</v>
      </c>
      <c r="N33" s="77">
        <f t="shared" ref="N33" si="50">SUM(N26:N32)</f>
        <v>548</v>
      </c>
      <c r="O33" s="77">
        <f t="shared" ref="O33" si="51">SUM(O26:O32)</f>
        <v>31</v>
      </c>
      <c r="P33" s="77">
        <f t="shared" ref="P33" si="52">SUM(P26:P32)</f>
        <v>2689</v>
      </c>
      <c r="Q33" s="77">
        <f t="shared" ref="Q33" si="53">SUM(Q26:Q32)</f>
        <v>3.5928566732547242</v>
      </c>
      <c r="R33" s="77">
        <f t="shared" ref="R33" si="54">SUM(R26:R32)</f>
        <v>13</v>
      </c>
      <c r="S33" s="77">
        <f t="shared" ref="S33" si="55">SUM(S26:S32)</f>
        <v>272</v>
      </c>
      <c r="T33" s="77">
        <f t="shared" ref="T33" si="56">SUM(T26:T32)</f>
        <v>1368</v>
      </c>
      <c r="U33" s="77">
        <f t="shared" ref="U33" si="57">SUM(U26:U32)</f>
        <v>2</v>
      </c>
      <c r="V33" s="77">
        <f t="shared" ref="V33" si="58">SUM(V26:V32)</f>
        <v>48</v>
      </c>
      <c r="W33" s="77">
        <f t="shared" ref="W33" si="59">SUM(W26:W32)</f>
        <v>216</v>
      </c>
      <c r="X33" s="77">
        <f t="shared" ref="X33" si="60">SUM(X26:X32)</f>
        <v>55</v>
      </c>
      <c r="Y33" s="77">
        <f t="shared" ref="Y33" si="61">SUM(Y26:Y32)</f>
        <v>8</v>
      </c>
      <c r="Z33" s="77">
        <f t="shared" ref="Z33" si="62">SUM(Z26:Z32)</f>
        <v>548</v>
      </c>
      <c r="AA33" s="77">
        <f t="shared" ref="AA33" si="63">SUM(AA26:AA32)</f>
        <v>31</v>
      </c>
      <c r="AB33" s="77">
        <f t="shared" ref="AB33" si="64">SUM(AB26:AB32)</f>
        <v>2689</v>
      </c>
      <c r="AC33" s="78"/>
      <c r="AD33" s="79">
        <f t="shared" si="4"/>
        <v>0.45558694287507845</v>
      </c>
      <c r="AE33" s="80">
        <f t="shared" si="5"/>
        <v>0.87758945386064036</v>
      </c>
      <c r="AF33" s="84">
        <f t="shared" si="36"/>
        <v>0.66027093170301232</v>
      </c>
      <c r="AG33" s="85">
        <f t="shared" si="37"/>
        <v>1.271868773711073</v>
      </c>
      <c r="AH33" s="108">
        <f t="shared" si="8"/>
        <v>0.41376464763162241</v>
      </c>
      <c r="AI33" s="109">
        <f t="shared" si="9"/>
        <v>0.85756725532266054</v>
      </c>
      <c r="AJ33" s="126">
        <f t="shared" si="38"/>
        <v>0.59965890961104695</v>
      </c>
      <c r="AK33" s="111">
        <f t="shared" si="11"/>
        <v>1.2799511273472544</v>
      </c>
    </row>
    <row r="34" spans="1:37" ht="17.25" thickBot="1" x14ac:dyDescent="0.3">
      <c r="A34" s="139" t="s">
        <v>36</v>
      </c>
      <c r="B34" s="20" t="s">
        <v>37</v>
      </c>
      <c r="C34" s="5">
        <v>354</v>
      </c>
      <c r="D34" s="5">
        <v>309</v>
      </c>
      <c r="E34" s="5">
        <v>274</v>
      </c>
      <c r="F34" s="2">
        <v>1</v>
      </c>
      <c r="G34" s="2">
        <v>0</v>
      </c>
      <c r="H34" s="2">
        <v>180</v>
      </c>
      <c r="I34" s="2">
        <v>0</v>
      </c>
      <c r="J34" s="2">
        <v>0</v>
      </c>
      <c r="K34" s="2">
        <v>0</v>
      </c>
      <c r="L34" s="2">
        <v>150</v>
      </c>
      <c r="M34" s="2">
        <v>1</v>
      </c>
      <c r="N34" s="9">
        <v>60</v>
      </c>
      <c r="O34" s="2">
        <v>2</v>
      </c>
      <c r="P34" s="9">
        <v>380</v>
      </c>
      <c r="Q34" s="12">
        <f t="shared" si="39"/>
        <v>0.38709677419354838</v>
      </c>
      <c r="R34" s="23">
        <v>1</v>
      </c>
      <c r="S34" s="23">
        <v>0</v>
      </c>
      <c r="T34" s="23">
        <f t="shared" si="2"/>
        <v>144</v>
      </c>
      <c r="U34" s="23">
        <v>0</v>
      </c>
      <c r="V34" s="23">
        <v>0</v>
      </c>
      <c r="W34" s="23">
        <f t="shared" si="3"/>
        <v>0</v>
      </c>
      <c r="X34" s="23">
        <v>150</v>
      </c>
      <c r="Y34" s="23">
        <v>1</v>
      </c>
      <c r="Z34" s="60">
        <v>60</v>
      </c>
      <c r="AA34" s="23">
        <v>2</v>
      </c>
      <c r="AB34" s="60">
        <v>380</v>
      </c>
      <c r="AC34" s="24">
        <f t="shared" si="40"/>
        <v>0.34931506849315069</v>
      </c>
      <c r="AD34" s="12">
        <f t="shared" si="4"/>
        <v>1.1016949152542372</v>
      </c>
      <c r="AE34" s="33">
        <f t="shared" si="5"/>
        <v>2.1751412429378529</v>
      </c>
      <c r="AF34" s="69">
        <f>(G34+H34+J34+K34+N34+L34)/(C34*0.53)</f>
        <v>2.0786696514230893</v>
      </c>
      <c r="AG34" s="34">
        <f>(G34+H34+J34+K34+N34+P34+L34)/(C34*0.53)</f>
        <v>4.1040400810148174</v>
      </c>
      <c r="AH34" s="24">
        <f t="shared" si="8"/>
        <v>1.145631067961165</v>
      </c>
      <c r="AI34" s="36">
        <f t="shared" si="9"/>
        <v>2.3754045307443366</v>
      </c>
      <c r="AJ34" s="72">
        <f>(S34+T34+V34+W34+X34+Z34)/(D34*0.53)</f>
        <v>2.1615680527569152</v>
      </c>
      <c r="AK34" s="37">
        <f t="shared" si="11"/>
        <v>3.5453798966333383</v>
      </c>
    </row>
    <row r="35" spans="1:37" ht="17.25" thickBot="1" x14ac:dyDescent="0.3">
      <c r="A35" s="140"/>
      <c r="B35" s="117" t="s">
        <v>38</v>
      </c>
      <c r="C35" s="6">
        <v>1317</v>
      </c>
      <c r="D35" s="6">
        <v>1141</v>
      </c>
      <c r="E35" s="6">
        <v>980</v>
      </c>
      <c r="F35" s="3">
        <v>2</v>
      </c>
      <c r="G35" s="3">
        <v>0</v>
      </c>
      <c r="H35" s="3">
        <v>240</v>
      </c>
      <c r="I35" s="3">
        <v>0</v>
      </c>
      <c r="J35" s="3">
        <v>0</v>
      </c>
      <c r="K35" s="3">
        <v>0</v>
      </c>
      <c r="L35" s="3">
        <v>60</v>
      </c>
      <c r="M35" s="3">
        <v>1</v>
      </c>
      <c r="N35" s="10">
        <v>90</v>
      </c>
      <c r="O35" s="3">
        <v>5</v>
      </c>
      <c r="P35" s="10">
        <v>204</v>
      </c>
      <c r="Q35" s="13">
        <f t="shared" si="39"/>
        <v>0.6179775280898876</v>
      </c>
      <c r="R35" s="22">
        <v>2</v>
      </c>
      <c r="S35" s="73">
        <v>0</v>
      </c>
      <c r="T35" s="22">
        <f t="shared" si="2"/>
        <v>192</v>
      </c>
      <c r="U35" s="22">
        <v>0</v>
      </c>
      <c r="V35" s="22">
        <v>0</v>
      </c>
      <c r="W35" s="22">
        <f t="shared" si="3"/>
        <v>0</v>
      </c>
      <c r="X35" s="22">
        <v>60</v>
      </c>
      <c r="Y35" s="22">
        <v>1</v>
      </c>
      <c r="Z35" s="30">
        <v>90</v>
      </c>
      <c r="AA35" s="22">
        <v>5</v>
      </c>
      <c r="AB35" s="30">
        <v>204</v>
      </c>
      <c r="AC35" s="25">
        <f t="shared" si="40"/>
        <v>0.58024691358024694</v>
      </c>
      <c r="AD35" s="12">
        <f t="shared" si="4"/>
        <v>0.296127562642369</v>
      </c>
      <c r="AE35" s="33">
        <f t="shared" si="5"/>
        <v>0.45102505694760819</v>
      </c>
      <c r="AF35" s="129">
        <f t="shared" ref="AF35:AF40" si="65">(G35+H35+J35+K35+N35+L35)/(C35*0.53)</f>
        <v>0.5587312502686208</v>
      </c>
      <c r="AG35" s="34">
        <f t="shared" ref="AG35:AG40" si="66">(G35+H35+J35+K35+N35+P35+L35)/(C35*0.53)</f>
        <v>0.85099067348605317</v>
      </c>
      <c r="AH35" s="24">
        <f t="shared" si="8"/>
        <v>0.29973707274320771</v>
      </c>
      <c r="AI35" s="36">
        <f t="shared" si="9"/>
        <v>0.4785276073619632</v>
      </c>
      <c r="AJ35" s="115">
        <f t="shared" ref="AJ35:AJ40" si="67">(S35+T35+V35+W35+X35+Z35)/(D35*0.53)</f>
        <v>0.56554164668529761</v>
      </c>
      <c r="AK35" s="37">
        <f t="shared" si="11"/>
        <v>0.71422030949546744</v>
      </c>
    </row>
    <row r="36" spans="1:37" ht="17.25" thickBot="1" x14ac:dyDescent="0.3">
      <c r="A36" s="140"/>
      <c r="B36" s="17" t="s">
        <v>39</v>
      </c>
      <c r="C36" s="6">
        <v>1290</v>
      </c>
      <c r="D36" s="6">
        <v>1130</v>
      </c>
      <c r="E36" s="6">
        <v>981</v>
      </c>
      <c r="F36" s="3">
        <v>3</v>
      </c>
      <c r="G36" s="3">
        <v>32</v>
      </c>
      <c r="H36" s="3">
        <v>300</v>
      </c>
      <c r="I36" s="3">
        <v>0</v>
      </c>
      <c r="J36" s="3">
        <v>0</v>
      </c>
      <c r="K36" s="3">
        <v>0</v>
      </c>
      <c r="L36" s="3">
        <v>210</v>
      </c>
      <c r="M36" s="3">
        <v>1</v>
      </c>
      <c r="N36" s="10">
        <v>30</v>
      </c>
      <c r="O36" s="3">
        <v>5</v>
      </c>
      <c r="P36" s="10">
        <v>438</v>
      </c>
      <c r="Q36" s="13">
        <f t="shared" si="39"/>
        <v>0.45250000000000001</v>
      </c>
      <c r="R36" s="22">
        <v>3</v>
      </c>
      <c r="S36" s="73">
        <v>32</v>
      </c>
      <c r="T36" s="22">
        <f t="shared" si="2"/>
        <v>240</v>
      </c>
      <c r="U36" s="22">
        <v>0</v>
      </c>
      <c r="V36" s="22">
        <v>0</v>
      </c>
      <c r="W36" s="22">
        <f t="shared" si="3"/>
        <v>0</v>
      </c>
      <c r="X36" s="22">
        <v>210</v>
      </c>
      <c r="Y36" s="22">
        <v>1</v>
      </c>
      <c r="Z36" s="30">
        <v>30</v>
      </c>
      <c r="AA36" s="22">
        <v>5</v>
      </c>
      <c r="AB36" s="30">
        <v>438</v>
      </c>
      <c r="AC36" s="25">
        <f t="shared" si="40"/>
        <v>0.4081081081081081</v>
      </c>
      <c r="AD36" s="12">
        <f t="shared" si="4"/>
        <v>0.44341085271317832</v>
      </c>
      <c r="AE36" s="33">
        <f t="shared" si="5"/>
        <v>0.78294573643410847</v>
      </c>
      <c r="AF36" s="69">
        <f t="shared" si="65"/>
        <v>0.8366242504022231</v>
      </c>
      <c r="AG36" s="34">
        <f t="shared" si="66"/>
        <v>1.47725610647945</v>
      </c>
      <c r="AH36" s="24">
        <f t="shared" si="8"/>
        <v>0.45309734513274336</v>
      </c>
      <c r="AI36" s="36">
        <f t="shared" si="9"/>
        <v>0.84070796460176989</v>
      </c>
      <c r="AJ36" s="72">
        <f t="shared" si="67"/>
        <v>0.85490065119385539</v>
      </c>
      <c r="AK36" s="37">
        <f t="shared" si="11"/>
        <v>1.2547880068683133</v>
      </c>
    </row>
    <row r="37" spans="1:37" ht="17.25" thickBot="1" x14ac:dyDescent="0.3">
      <c r="A37" s="140"/>
      <c r="B37" s="118" t="s">
        <v>40</v>
      </c>
      <c r="C37" s="6">
        <v>1072</v>
      </c>
      <c r="D37" s="6">
        <v>973</v>
      </c>
      <c r="E37" s="6">
        <v>808</v>
      </c>
      <c r="F37" s="3">
        <v>1</v>
      </c>
      <c r="G37" s="3">
        <v>0</v>
      </c>
      <c r="H37" s="3">
        <v>0</v>
      </c>
      <c r="I37" s="3">
        <v>0</v>
      </c>
      <c r="J37" s="3">
        <v>16</v>
      </c>
      <c r="K37" s="3">
        <v>60</v>
      </c>
      <c r="L37" s="3">
        <v>0</v>
      </c>
      <c r="M37" s="3">
        <v>2</v>
      </c>
      <c r="N37" s="10">
        <v>151</v>
      </c>
      <c r="O37" s="3">
        <v>1</v>
      </c>
      <c r="P37" s="10">
        <v>90</v>
      </c>
      <c r="Q37" s="13">
        <f t="shared" si="39"/>
        <v>0.71608832807570977</v>
      </c>
      <c r="R37" s="22">
        <v>1</v>
      </c>
      <c r="S37" s="73">
        <v>0</v>
      </c>
      <c r="T37" s="22">
        <v>0</v>
      </c>
      <c r="U37" s="22">
        <v>0</v>
      </c>
      <c r="V37" s="22">
        <v>16</v>
      </c>
      <c r="W37" s="22">
        <v>48</v>
      </c>
      <c r="X37" s="22">
        <v>0</v>
      </c>
      <c r="Y37" s="22">
        <v>2</v>
      </c>
      <c r="Z37" s="30">
        <v>151</v>
      </c>
      <c r="AA37" s="22">
        <v>1</v>
      </c>
      <c r="AB37" s="30">
        <v>90</v>
      </c>
      <c r="AC37" s="25">
        <f t="shared" si="40"/>
        <v>0.70491803278688525</v>
      </c>
      <c r="AD37" s="12">
        <f t="shared" si="4"/>
        <v>0.21175373134328357</v>
      </c>
      <c r="AE37" s="33">
        <f t="shared" si="5"/>
        <v>0.29570895522388058</v>
      </c>
      <c r="AF37" s="58">
        <f t="shared" si="65"/>
        <v>0.39953534215713876</v>
      </c>
      <c r="AG37" s="34">
        <f t="shared" si="66"/>
        <v>0.55794142495071808</v>
      </c>
      <c r="AH37" s="24">
        <f t="shared" si="8"/>
        <v>0.22096608427543679</v>
      </c>
      <c r="AI37" s="36">
        <f t="shared" si="9"/>
        <v>0.31346351490236385</v>
      </c>
      <c r="AJ37" s="125">
        <f t="shared" si="67"/>
        <v>0.41691714014233355</v>
      </c>
      <c r="AK37" s="37">
        <f t="shared" si="11"/>
        <v>0.46785599239158776</v>
      </c>
    </row>
    <row r="38" spans="1:37" ht="17.25" thickBot="1" x14ac:dyDescent="0.3">
      <c r="A38" s="140"/>
      <c r="B38" s="118" t="s">
        <v>41</v>
      </c>
      <c r="C38" s="6">
        <v>766</v>
      </c>
      <c r="D38" s="6">
        <v>753</v>
      </c>
      <c r="E38" s="6">
        <v>712</v>
      </c>
      <c r="F38" s="3">
        <v>2</v>
      </c>
      <c r="G38" s="3">
        <v>32</v>
      </c>
      <c r="H38" s="3">
        <v>270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10">
        <v>0</v>
      </c>
      <c r="O38" s="3">
        <v>1</v>
      </c>
      <c r="P38" s="10">
        <v>150</v>
      </c>
      <c r="Q38" s="13">
        <f t="shared" si="39"/>
        <v>0.66814159292035402</v>
      </c>
      <c r="R38" s="22">
        <v>2</v>
      </c>
      <c r="S38" s="73">
        <v>32</v>
      </c>
      <c r="T38" s="22">
        <v>216</v>
      </c>
      <c r="U38" s="22">
        <v>0</v>
      </c>
      <c r="V38" s="22">
        <v>0</v>
      </c>
      <c r="W38" s="22">
        <f t="shared" si="3"/>
        <v>0</v>
      </c>
      <c r="X38" s="22">
        <v>0</v>
      </c>
      <c r="Y38" s="22">
        <v>0</v>
      </c>
      <c r="Z38" s="30">
        <v>0</v>
      </c>
      <c r="AA38" s="22">
        <v>1</v>
      </c>
      <c r="AB38" s="30">
        <v>150</v>
      </c>
      <c r="AC38" s="25">
        <f t="shared" si="40"/>
        <v>0.62311557788944727</v>
      </c>
      <c r="AD38" s="12">
        <f t="shared" si="4"/>
        <v>0.39425587467362927</v>
      </c>
      <c r="AE38" s="33">
        <f t="shared" si="5"/>
        <v>0.59007832898172319</v>
      </c>
      <c r="AF38" s="69">
        <f t="shared" si="65"/>
        <v>0.74387900881816837</v>
      </c>
      <c r="AG38" s="34">
        <f t="shared" si="66"/>
        <v>1.1133553377013645</v>
      </c>
      <c r="AH38" s="24">
        <f t="shared" si="8"/>
        <v>0.3293492695883134</v>
      </c>
      <c r="AI38" s="36">
        <f t="shared" si="9"/>
        <v>0.5285524568393094</v>
      </c>
      <c r="AJ38" s="125">
        <f t="shared" si="67"/>
        <v>0.62141371620436492</v>
      </c>
      <c r="AK38" s="37">
        <f t="shared" si="11"/>
        <v>0.78888426393926769</v>
      </c>
    </row>
    <row r="39" spans="1:37" ht="17.25" thickBot="1" x14ac:dyDescent="0.3">
      <c r="A39" s="141"/>
      <c r="B39" s="18" t="s">
        <v>42</v>
      </c>
      <c r="C39" s="7">
        <v>456</v>
      </c>
      <c r="D39" s="7">
        <v>416</v>
      </c>
      <c r="E39" s="7">
        <v>362</v>
      </c>
      <c r="F39" s="4">
        <v>0</v>
      </c>
      <c r="G39" s="4">
        <v>0</v>
      </c>
      <c r="H39" s="4">
        <v>0</v>
      </c>
      <c r="I39" s="4">
        <v>1</v>
      </c>
      <c r="J39" s="4">
        <v>16</v>
      </c>
      <c r="K39" s="4">
        <v>90</v>
      </c>
      <c r="L39" s="4">
        <v>0</v>
      </c>
      <c r="M39" s="4">
        <v>1</v>
      </c>
      <c r="N39" s="11">
        <v>180</v>
      </c>
      <c r="O39" s="4">
        <v>0</v>
      </c>
      <c r="P39" s="11">
        <v>0</v>
      </c>
      <c r="Q39" s="14">
        <f t="shared" si="39"/>
        <v>1</v>
      </c>
      <c r="R39" s="26">
        <v>0</v>
      </c>
      <c r="S39" s="26">
        <v>0</v>
      </c>
      <c r="T39" s="26">
        <f t="shared" si="2"/>
        <v>0</v>
      </c>
      <c r="U39" s="26">
        <v>1</v>
      </c>
      <c r="V39" s="26">
        <v>16</v>
      </c>
      <c r="W39" s="26">
        <f t="shared" si="3"/>
        <v>72</v>
      </c>
      <c r="X39" s="26">
        <v>0</v>
      </c>
      <c r="Y39" s="26">
        <v>1</v>
      </c>
      <c r="Z39" s="61">
        <v>180</v>
      </c>
      <c r="AA39" s="26">
        <v>0</v>
      </c>
      <c r="AB39" s="61">
        <v>0</v>
      </c>
      <c r="AC39" s="27">
        <f t="shared" si="40"/>
        <v>1</v>
      </c>
      <c r="AD39" s="62">
        <f t="shared" si="4"/>
        <v>0.6271929824561403</v>
      </c>
      <c r="AE39" s="63">
        <f t="shared" si="5"/>
        <v>0.6271929824561403</v>
      </c>
      <c r="AF39" s="71">
        <f t="shared" si="65"/>
        <v>1.1833829857663025</v>
      </c>
      <c r="AG39" s="66">
        <f t="shared" si="66"/>
        <v>1.1833829857663025</v>
      </c>
      <c r="AH39" s="24">
        <f t="shared" si="8"/>
        <v>0.64423076923076927</v>
      </c>
      <c r="AI39" s="36">
        <f t="shared" si="9"/>
        <v>0.64423076923076927</v>
      </c>
      <c r="AJ39" s="72">
        <f t="shared" si="67"/>
        <v>1.2155297532656022</v>
      </c>
      <c r="AK39" s="37">
        <f t="shared" si="11"/>
        <v>0.96153846153846145</v>
      </c>
    </row>
    <row r="40" spans="1:37" ht="17.25" thickBot="1" x14ac:dyDescent="0.3">
      <c r="A40" s="131" t="s">
        <v>126</v>
      </c>
      <c r="B40" s="132"/>
      <c r="C40" s="77">
        <f>SUM(C34:C39)</f>
        <v>5255</v>
      </c>
      <c r="D40" s="77">
        <f t="shared" ref="D40:AC40" si="68">SUM(D34:D39)</f>
        <v>4722</v>
      </c>
      <c r="E40" s="77">
        <f t="shared" si="68"/>
        <v>4117</v>
      </c>
      <c r="F40" s="77">
        <f t="shared" si="68"/>
        <v>9</v>
      </c>
      <c r="G40" s="77">
        <f t="shared" si="68"/>
        <v>64</v>
      </c>
      <c r="H40" s="77">
        <f t="shared" si="68"/>
        <v>990</v>
      </c>
      <c r="I40" s="77">
        <f t="shared" si="68"/>
        <v>1</v>
      </c>
      <c r="J40" s="77">
        <f t="shared" si="68"/>
        <v>32</v>
      </c>
      <c r="K40" s="77">
        <f t="shared" si="68"/>
        <v>150</v>
      </c>
      <c r="L40" s="77">
        <f t="shared" si="68"/>
        <v>420</v>
      </c>
      <c r="M40" s="77">
        <f t="shared" si="68"/>
        <v>6</v>
      </c>
      <c r="N40" s="77">
        <f t="shared" si="68"/>
        <v>511</v>
      </c>
      <c r="O40" s="77">
        <f t="shared" si="68"/>
        <v>14</v>
      </c>
      <c r="P40" s="77">
        <f t="shared" si="68"/>
        <v>1262</v>
      </c>
      <c r="Q40" s="77">
        <f t="shared" si="68"/>
        <v>3.8418042232795</v>
      </c>
      <c r="R40" s="77">
        <f t="shared" si="68"/>
        <v>9</v>
      </c>
      <c r="S40" s="77">
        <f t="shared" si="68"/>
        <v>64</v>
      </c>
      <c r="T40" s="77">
        <f t="shared" si="68"/>
        <v>792</v>
      </c>
      <c r="U40" s="77">
        <f t="shared" si="68"/>
        <v>1</v>
      </c>
      <c r="V40" s="77">
        <f t="shared" si="68"/>
        <v>32</v>
      </c>
      <c r="W40" s="77">
        <f t="shared" si="68"/>
        <v>120</v>
      </c>
      <c r="X40" s="77">
        <f t="shared" si="68"/>
        <v>420</v>
      </c>
      <c r="Y40" s="77">
        <f t="shared" si="68"/>
        <v>6</v>
      </c>
      <c r="Z40" s="77">
        <f t="shared" si="68"/>
        <v>511</v>
      </c>
      <c r="AA40" s="77">
        <f t="shared" si="68"/>
        <v>14</v>
      </c>
      <c r="AB40" s="77">
        <f t="shared" si="68"/>
        <v>1262</v>
      </c>
      <c r="AC40" s="77">
        <f t="shared" si="68"/>
        <v>3.6657037008578381</v>
      </c>
      <c r="AD40" s="79">
        <f t="shared" si="4"/>
        <v>0.41236917221693625</v>
      </c>
      <c r="AE40" s="80">
        <f t="shared" si="5"/>
        <v>0.65252140818268312</v>
      </c>
      <c r="AF40" s="89">
        <f t="shared" si="65"/>
        <v>0.77805504191874764</v>
      </c>
      <c r="AG40" s="85">
        <f t="shared" si="66"/>
        <v>1.2311724682692136</v>
      </c>
      <c r="AH40" s="108">
        <f t="shared" si="8"/>
        <v>0.41063108852181279</v>
      </c>
      <c r="AI40" s="109">
        <f t="shared" si="9"/>
        <v>0.67789072426937735</v>
      </c>
      <c r="AJ40" s="110">
        <f t="shared" si="67"/>
        <v>0.77477563872040145</v>
      </c>
      <c r="AK40" s="111">
        <f t="shared" si="11"/>
        <v>1.0117772004020558</v>
      </c>
    </row>
    <row r="41" spans="1:37" ht="17.25" thickBot="1" x14ac:dyDescent="0.3">
      <c r="A41" s="139" t="s">
        <v>44</v>
      </c>
      <c r="B41" s="16" t="s">
        <v>43</v>
      </c>
      <c r="C41" s="5">
        <v>689</v>
      </c>
      <c r="D41" s="5">
        <v>657</v>
      </c>
      <c r="E41" s="5">
        <v>591</v>
      </c>
      <c r="F41" s="2">
        <v>2</v>
      </c>
      <c r="G41" s="2">
        <v>64</v>
      </c>
      <c r="H41" s="2">
        <v>270</v>
      </c>
      <c r="I41" s="2">
        <v>0</v>
      </c>
      <c r="J41" s="2">
        <v>16</v>
      </c>
      <c r="K41" s="2">
        <v>120</v>
      </c>
      <c r="L41" s="2">
        <v>0</v>
      </c>
      <c r="M41" s="2">
        <v>2</v>
      </c>
      <c r="N41" s="9">
        <v>69</v>
      </c>
      <c r="O41" s="2">
        <v>1</v>
      </c>
      <c r="P41" s="9">
        <v>30</v>
      </c>
      <c r="Q41" s="12">
        <f t="shared" si="39"/>
        <v>0.9472759226713533</v>
      </c>
      <c r="R41" s="23">
        <v>2</v>
      </c>
      <c r="S41" s="23">
        <v>64</v>
      </c>
      <c r="T41" s="23">
        <f t="shared" si="2"/>
        <v>216</v>
      </c>
      <c r="U41" s="23">
        <v>0</v>
      </c>
      <c r="V41" s="23">
        <v>16</v>
      </c>
      <c r="W41" s="23">
        <f t="shared" si="3"/>
        <v>96</v>
      </c>
      <c r="X41" s="23">
        <v>0</v>
      </c>
      <c r="Y41" s="23">
        <v>2</v>
      </c>
      <c r="Z41" s="60">
        <v>69</v>
      </c>
      <c r="AA41" s="23">
        <v>1</v>
      </c>
      <c r="AB41" s="60">
        <v>30</v>
      </c>
      <c r="AC41" s="24">
        <f t="shared" si="40"/>
        <v>0.93890020366598781</v>
      </c>
      <c r="AD41" s="12">
        <f t="shared" si="4"/>
        <v>0.78229317851959357</v>
      </c>
      <c r="AE41" s="33">
        <f t="shared" si="5"/>
        <v>0.82583454281567492</v>
      </c>
      <c r="AF41" s="69">
        <f>(G41+H41+J41+K41+N41+L41)/(C41*0.71)</f>
        <v>1.1018213781966106</v>
      </c>
      <c r="AG41" s="34">
        <f>(G41+H41+J41+K41+N41+P41+L41)/(C41*0.71)</f>
        <v>1.1631472434023591</v>
      </c>
      <c r="AH41" s="24">
        <f t="shared" si="8"/>
        <v>0.70167427701674279</v>
      </c>
      <c r="AI41" s="36">
        <f t="shared" si="9"/>
        <v>0.74733637747336379</v>
      </c>
      <c r="AJ41" s="72">
        <f>(S41+T41+V41+W41+X41+Z41)/(D41*0.71)</f>
        <v>0.98827362960104626</v>
      </c>
      <c r="AK41" s="37">
        <f t="shared" si="11"/>
        <v>1.1154274290647219</v>
      </c>
    </row>
    <row r="42" spans="1:37" ht="17.25" thickBot="1" x14ac:dyDescent="0.3">
      <c r="A42" s="140"/>
      <c r="B42" s="120" t="s">
        <v>45</v>
      </c>
      <c r="C42" s="6">
        <v>875</v>
      </c>
      <c r="D42" s="6">
        <v>766</v>
      </c>
      <c r="E42" s="6">
        <v>700</v>
      </c>
      <c r="F42" s="3">
        <v>2</v>
      </c>
      <c r="G42" s="3">
        <v>32</v>
      </c>
      <c r="H42" s="3">
        <v>210</v>
      </c>
      <c r="I42" s="3">
        <v>1</v>
      </c>
      <c r="J42" s="3">
        <v>16</v>
      </c>
      <c r="K42" s="3">
        <v>90</v>
      </c>
      <c r="L42" s="3">
        <v>0</v>
      </c>
      <c r="M42" s="3">
        <v>0</v>
      </c>
      <c r="N42" s="10">
        <v>0</v>
      </c>
      <c r="O42" s="3">
        <v>2</v>
      </c>
      <c r="P42" s="10">
        <v>228</v>
      </c>
      <c r="Q42" s="13">
        <f t="shared" si="39"/>
        <v>0.60416666666666663</v>
      </c>
      <c r="R42" s="22">
        <v>2</v>
      </c>
      <c r="S42" s="73">
        <v>32</v>
      </c>
      <c r="T42" s="22">
        <f t="shared" si="2"/>
        <v>168</v>
      </c>
      <c r="U42" s="22">
        <v>1</v>
      </c>
      <c r="V42" s="22">
        <v>16</v>
      </c>
      <c r="W42" s="22">
        <f t="shared" si="3"/>
        <v>72</v>
      </c>
      <c r="X42" s="22">
        <v>0</v>
      </c>
      <c r="Y42" s="22">
        <v>0</v>
      </c>
      <c r="Z42" s="30">
        <v>0</v>
      </c>
      <c r="AA42" s="22">
        <v>2</v>
      </c>
      <c r="AB42" s="30">
        <v>228</v>
      </c>
      <c r="AC42" s="25">
        <f t="shared" si="40"/>
        <v>0.55813953488372092</v>
      </c>
      <c r="AD42" s="12">
        <f t="shared" si="4"/>
        <v>0.39771428571428569</v>
      </c>
      <c r="AE42" s="33">
        <f t="shared" si="5"/>
        <v>0.65828571428571425</v>
      </c>
      <c r="AF42" s="58">
        <f t="shared" ref="AF42:AF45" si="69">(G42+H42+J42+K42+N42+L42)/(C42*0.71)</f>
        <v>0.56016096579476859</v>
      </c>
      <c r="AG42" s="34">
        <f t="shared" ref="AG42:AG45" si="70">(G42+H42+J42+K42+N42+P42+L42)/(C42*0.71)</f>
        <v>0.92716297786720325</v>
      </c>
      <c r="AH42" s="24">
        <f t="shared" si="8"/>
        <v>0.37597911227154046</v>
      </c>
      <c r="AI42" s="36">
        <f t="shared" si="9"/>
        <v>0.67362924281984338</v>
      </c>
      <c r="AJ42" s="125">
        <f t="shared" ref="AJ42:AJ45" si="71">(S42+T42+V42+W42+X42+Z42)/(D42*0.71)</f>
        <v>0.52954804545287393</v>
      </c>
      <c r="AK42" s="37">
        <f t="shared" si="11"/>
        <v>1.0054167803281244</v>
      </c>
    </row>
    <row r="43" spans="1:37" ht="17.25" thickBot="1" x14ac:dyDescent="0.3">
      <c r="A43" s="140"/>
      <c r="B43" s="19" t="s">
        <v>46</v>
      </c>
      <c r="C43" s="6">
        <v>849</v>
      </c>
      <c r="D43" s="6">
        <v>857</v>
      </c>
      <c r="E43" s="6">
        <v>779</v>
      </c>
      <c r="F43" s="3">
        <v>2</v>
      </c>
      <c r="G43" s="3">
        <v>16</v>
      </c>
      <c r="H43" s="3">
        <v>270</v>
      </c>
      <c r="I43" s="3">
        <v>2</v>
      </c>
      <c r="J43" s="3">
        <v>48</v>
      </c>
      <c r="K43" s="3">
        <v>240</v>
      </c>
      <c r="L43" s="3">
        <v>0</v>
      </c>
      <c r="M43" s="3">
        <v>1</v>
      </c>
      <c r="N43" s="10">
        <v>37</v>
      </c>
      <c r="O43" s="3">
        <v>4</v>
      </c>
      <c r="P43" s="10">
        <v>236</v>
      </c>
      <c r="Q43" s="13">
        <f t="shared" si="39"/>
        <v>0.72136953955135774</v>
      </c>
      <c r="R43" s="22">
        <v>2</v>
      </c>
      <c r="S43" s="73">
        <v>16</v>
      </c>
      <c r="T43" s="22">
        <f t="shared" si="2"/>
        <v>216</v>
      </c>
      <c r="U43" s="22">
        <v>2</v>
      </c>
      <c r="V43" s="22">
        <v>48</v>
      </c>
      <c r="W43" s="22">
        <v>192</v>
      </c>
      <c r="X43" s="22">
        <v>0</v>
      </c>
      <c r="Y43" s="22">
        <v>1</v>
      </c>
      <c r="Z43" s="30">
        <v>37</v>
      </c>
      <c r="AA43" s="22">
        <v>4</v>
      </c>
      <c r="AB43" s="30">
        <v>236</v>
      </c>
      <c r="AC43" s="25">
        <f t="shared" si="40"/>
        <v>0.68322147651006715</v>
      </c>
      <c r="AD43" s="12">
        <f t="shared" si="4"/>
        <v>0.71967020023557127</v>
      </c>
      <c r="AE43" s="33">
        <f t="shared" si="5"/>
        <v>0.99764428739693756</v>
      </c>
      <c r="AF43" s="69">
        <f t="shared" si="69"/>
        <v>1.0136200003317906</v>
      </c>
      <c r="AG43" s="34">
        <f t="shared" si="70"/>
        <v>1.4051327991506164</v>
      </c>
      <c r="AH43" s="24">
        <f t="shared" si="8"/>
        <v>0.59393232205367563</v>
      </c>
      <c r="AI43" s="36">
        <f t="shared" si="9"/>
        <v>0.86931155192532084</v>
      </c>
      <c r="AJ43" s="72">
        <f t="shared" si="71"/>
        <v>0.8365243972586982</v>
      </c>
      <c r="AK43" s="37">
        <f t="shared" si="11"/>
        <v>1.2974799282467475</v>
      </c>
    </row>
    <row r="44" spans="1:37" ht="17.25" thickBot="1" x14ac:dyDescent="0.3">
      <c r="A44" s="141"/>
      <c r="B44" s="21" t="s">
        <v>47</v>
      </c>
      <c r="C44" s="7">
        <v>1366</v>
      </c>
      <c r="D44" s="7">
        <v>1247</v>
      </c>
      <c r="E44" s="7">
        <v>1108</v>
      </c>
      <c r="F44" s="4">
        <v>4</v>
      </c>
      <c r="G44" s="4">
        <v>80</v>
      </c>
      <c r="H44" s="4">
        <v>510</v>
      </c>
      <c r="I44" s="4">
        <v>0</v>
      </c>
      <c r="J44" s="4">
        <v>0</v>
      </c>
      <c r="K44" s="4">
        <v>0</v>
      </c>
      <c r="L44" s="4">
        <v>0</v>
      </c>
      <c r="M44" s="4">
        <v>2</v>
      </c>
      <c r="N44" s="11">
        <v>205</v>
      </c>
      <c r="O44" s="4">
        <v>1</v>
      </c>
      <c r="P44" s="11">
        <v>330</v>
      </c>
      <c r="Q44" s="14">
        <f t="shared" si="39"/>
        <v>0.70666666666666667</v>
      </c>
      <c r="R44" s="26">
        <v>4</v>
      </c>
      <c r="S44" s="26">
        <v>80</v>
      </c>
      <c r="T44" s="26">
        <f t="shared" si="2"/>
        <v>408</v>
      </c>
      <c r="U44" s="26">
        <v>0</v>
      </c>
      <c r="V44" s="26">
        <v>0</v>
      </c>
      <c r="W44" s="26">
        <f t="shared" si="3"/>
        <v>0</v>
      </c>
      <c r="X44" s="26">
        <v>0</v>
      </c>
      <c r="Y44" s="26">
        <v>2</v>
      </c>
      <c r="Z44" s="61">
        <v>205</v>
      </c>
      <c r="AA44" s="26">
        <v>1</v>
      </c>
      <c r="AB44" s="61">
        <v>330</v>
      </c>
      <c r="AC44" s="27">
        <f t="shared" si="40"/>
        <v>0.67741935483870963</v>
      </c>
      <c r="AD44" s="62">
        <f t="shared" si="4"/>
        <v>0.58199121522693997</v>
      </c>
      <c r="AE44" s="63">
        <f t="shared" si="5"/>
        <v>0.82357247437774528</v>
      </c>
      <c r="AF44" s="71">
        <f t="shared" si="69"/>
        <v>0.81970593693935212</v>
      </c>
      <c r="AG44" s="66">
        <f t="shared" si="70"/>
        <v>1.1599612315179513</v>
      </c>
      <c r="AH44" s="24">
        <f t="shared" si="8"/>
        <v>0.55573376102646355</v>
      </c>
      <c r="AI44" s="36">
        <f t="shared" si="9"/>
        <v>0.82036888532477947</v>
      </c>
      <c r="AJ44" s="72">
        <f t="shared" si="71"/>
        <v>0.78272360707952604</v>
      </c>
      <c r="AK44" s="37">
        <f t="shared" si="11"/>
        <v>1.2244311721265364</v>
      </c>
    </row>
    <row r="45" spans="1:37" ht="17.25" thickBot="1" x14ac:dyDescent="0.3">
      <c r="A45" s="131" t="s">
        <v>127</v>
      </c>
      <c r="B45" s="132"/>
      <c r="C45" s="77">
        <f>SUM(C41:C44)</f>
        <v>3779</v>
      </c>
      <c r="D45" s="77">
        <f t="shared" ref="D45:AB45" si="72">SUM(D41:D44)</f>
        <v>3527</v>
      </c>
      <c r="E45" s="77">
        <f t="shared" si="72"/>
        <v>3178</v>
      </c>
      <c r="F45" s="77">
        <f t="shared" si="72"/>
        <v>10</v>
      </c>
      <c r="G45" s="77">
        <f t="shared" si="72"/>
        <v>192</v>
      </c>
      <c r="H45" s="77">
        <f t="shared" si="72"/>
        <v>1260</v>
      </c>
      <c r="I45" s="77">
        <f t="shared" si="72"/>
        <v>3</v>
      </c>
      <c r="J45" s="77">
        <f t="shared" si="72"/>
        <v>80</v>
      </c>
      <c r="K45" s="77">
        <f t="shared" si="72"/>
        <v>450</v>
      </c>
      <c r="L45" s="77">
        <f t="shared" si="72"/>
        <v>0</v>
      </c>
      <c r="M45" s="77">
        <f t="shared" si="72"/>
        <v>5</v>
      </c>
      <c r="N45" s="77">
        <f t="shared" si="72"/>
        <v>311</v>
      </c>
      <c r="O45" s="77">
        <f t="shared" si="72"/>
        <v>8</v>
      </c>
      <c r="P45" s="77">
        <f t="shared" si="72"/>
        <v>824</v>
      </c>
      <c r="Q45" s="77">
        <f t="shared" si="72"/>
        <v>2.979478795556044</v>
      </c>
      <c r="R45" s="77">
        <f t="shared" si="72"/>
        <v>10</v>
      </c>
      <c r="S45" s="77">
        <f t="shared" si="72"/>
        <v>192</v>
      </c>
      <c r="T45" s="77">
        <f t="shared" si="72"/>
        <v>1008</v>
      </c>
      <c r="U45" s="77">
        <f t="shared" si="72"/>
        <v>3</v>
      </c>
      <c r="V45" s="77">
        <f t="shared" si="72"/>
        <v>80</v>
      </c>
      <c r="W45" s="77">
        <f t="shared" si="72"/>
        <v>360</v>
      </c>
      <c r="X45" s="77">
        <f t="shared" si="72"/>
        <v>0</v>
      </c>
      <c r="Y45" s="77">
        <f t="shared" si="72"/>
        <v>5</v>
      </c>
      <c r="Z45" s="77">
        <f t="shared" si="72"/>
        <v>311</v>
      </c>
      <c r="AA45" s="77">
        <f t="shared" si="72"/>
        <v>8</v>
      </c>
      <c r="AB45" s="77">
        <f t="shared" si="72"/>
        <v>824</v>
      </c>
      <c r="AC45" s="78"/>
      <c r="AD45" s="79">
        <f t="shared" si="4"/>
        <v>0.60677427890976454</v>
      </c>
      <c r="AE45" s="80">
        <f t="shared" si="5"/>
        <v>0.82482138131780891</v>
      </c>
      <c r="AF45" s="89">
        <f t="shared" si="69"/>
        <v>0.85461166043628811</v>
      </c>
      <c r="AG45" s="85">
        <f t="shared" si="70"/>
        <v>1.1617202553771959</v>
      </c>
      <c r="AH45" s="108">
        <f t="shared" si="8"/>
        <v>0.5531613269067196</v>
      </c>
      <c r="AI45" s="109">
        <f t="shared" si="9"/>
        <v>0.78678763821944997</v>
      </c>
      <c r="AJ45" s="110">
        <f t="shared" si="71"/>
        <v>0.77910046043199943</v>
      </c>
      <c r="AK45" s="111">
        <f t="shared" si="11"/>
        <v>1.1743099077902237</v>
      </c>
    </row>
    <row r="46" spans="1:37" ht="17.25" thickBot="1" x14ac:dyDescent="0.3">
      <c r="A46" s="139" t="s">
        <v>48</v>
      </c>
      <c r="B46" s="16" t="s">
        <v>49</v>
      </c>
      <c r="C46" s="5">
        <v>653</v>
      </c>
      <c r="D46" s="5">
        <v>611</v>
      </c>
      <c r="E46" s="5">
        <v>558</v>
      </c>
      <c r="F46" s="2">
        <v>2</v>
      </c>
      <c r="G46" s="2">
        <v>16</v>
      </c>
      <c r="H46" s="2">
        <v>300</v>
      </c>
      <c r="I46" s="2">
        <v>0</v>
      </c>
      <c r="J46" s="2">
        <v>0</v>
      </c>
      <c r="K46" s="2">
        <v>0</v>
      </c>
      <c r="L46" s="2">
        <v>60</v>
      </c>
      <c r="M46" s="2">
        <v>1</v>
      </c>
      <c r="N46" s="9">
        <v>49</v>
      </c>
      <c r="O46" s="2">
        <v>0</v>
      </c>
      <c r="P46" s="9">
        <v>0</v>
      </c>
      <c r="Q46" s="12">
        <f t="shared" si="39"/>
        <v>1</v>
      </c>
      <c r="R46" s="23">
        <v>2</v>
      </c>
      <c r="S46" s="23">
        <v>16</v>
      </c>
      <c r="T46" s="23">
        <f t="shared" si="2"/>
        <v>240</v>
      </c>
      <c r="U46" s="23">
        <v>0</v>
      </c>
      <c r="V46" s="23">
        <v>0</v>
      </c>
      <c r="W46" s="23">
        <f t="shared" si="3"/>
        <v>0</v>
      </c>
      <c r="X46" s="23">
        <v>60</v>
      </c>
      <c r="Y46" s="23">
        <v>1</v>
      </c>
      <c r="Z46" s="60">
        <v>49</v>
      </c>
      <c r="AA46" s="23">
        <v>0</v>
      </c>
      <c r="AB46" s="60">
        <v>0</v>
      </c>
      <c r="AC46" s="24">
        <f t="shared" si="40"/>
        <v>1</v>
      </c>
      <c r="AD46" s="12">
        <f t="shared" si="4"/>
        <v>0.65084226646248089</v>
      </c>
      <c r="AE46" s="33">
        <f t="shared" si="5"/>
        <v>0.65084226646248089</v>
      </c>
      <c r="AF46" s="12">
        <f>(G46+H46+J46+K46+N46+L46)/(C46*0.81)</f>
        <v>0.80350897094133433</v>
      </c>
      <c r="AG46" s="34">
        <f>(G46+H46+J46+K46+N46+P46+L46)/(C46*0.81)</f>
        <v>0.80350897094133433</v>
      </c>
      <c r="AH46" s="24">
        <f t="shared" si="8"/>
        <v>0.59738134206219318</v>
      </c>
      <c r="AI46" s="36">
        <f t="shared" si="9"/>
        <v>0.59738134206219318</v>
      </c>
      <c r="AJ46" s="72">
        <f>(S46+T46+V46+W46+X46+Z46)/(D46*0.81)</f>
        <v>0.73750782970641127</v>
      </c>
      <c r="AK46" s="37">
        <f t="shared" si="11"/>
        <v>0.89161394337640765</v>
      </c>
    </row>
    <row r="47" spans="1:37" ht="17.25" thickBot="1" x14ac:dyDescent="0.3">
      <c r="A47" s="140"/>
      <c r="B47" s="19" t="s">
        <v>50</v>
      </c>
      <c r="C47" s="6">
        <v>625</v>
      </c>
      <c r="D47" s="6">
        <v>666</v>
      </c>
      <c r="E47" s="6">
        <v>636</v>
      </c>
      <c r="F47" s="3">
        <v>3</v>
      </c>
      <c r="G47" s="3">
        <v>80</v>
      </c>
      <c r="H47" s="3">
        <v>300</v>
      </c>
      <c r="I47" s="3">
        <v>0</v>
      </c>
      <c r="J47" s="3">
        <v>0</v>
      </c>
      <c r="K47" s="3">
        <v>0</v>
      </c>
      <c r="L47" s="3">
        <v>0</v>
      </c>
      <c r="M47" s="3">
        <v>1</v>
      </c>
      <c r="N47" s="10">
        <v>90</v>
      </c>
      <c r="O47" s="3">
        <v>0</v>
      </c>
      <c r="P47" s="10">
        <v>0</v>
      </c>
      <c r="Q47" s="13">
        <f t="shared" si="39"/>
        <v>1</v>
      </c>
      <c r="R47" s="22">
        <v>3</v>
      </c>
      <c r="S47" s="73">
        <v>80</v>
      </c>
      <c r="T47" s="22">
        <f t="shared" si="2"/>
        <v>240</v>
      </c>
      <c r="U47" s="22">
        <v>0</v>
      </c>
      <c r="V47" s="22">
        <v>0</v>
      </c>
      <c r="W47" s="22">
        <f t="shared" si="3"/>
        <v>0</v>
      </c>
      <c r="X47" s="22">
        <v>0</v>
      </c>
      <c r="Y47" s="22">
        <v>1</v>
      </c>
      <c r="Z47" s="30">
        <v>90</v>
      </c>
      <c r="AA47" s="22">
        <v>0</v>
      </c>
      <c r="AB47" s="30">
        <v>0</v>
      </c>
      <c r="AC47" s="25">
        <f t="shared" si="40"/>
        <v>1</v>
      </c>
      <c r="AD47" s="12">
        <f t="shared" si="4"/>
        <v>0.752</v>
      </c>
      <c r="AE47" s="33">
        <f t="shared" si="5"/>
        <v>0.752</v>
      </c>
      <c r="AF47" s="12">
        <f t="shared" ref="AF47:AF52" si="73">(G47+H47+J47+K47+N47+L47)/(C47*0.81)</f>
        <v>0.92839506172839492</v>
      </c>
      <c r="AG47" s="34">
        <f t="shared" ref="AG47:AG52" si="74">(G47+H47+J47+K47+N47+P47+L47)/(C47*0.81)</f>
        <v>0.92839506172839492</v>
      </c>
      <c r="AH47" s="24">
        <f t="shared" si="8"/>
        <v>0.61561561561561562</v>
      </c>
      <c r="AI47" s="36">
        <f t="shared" si="9"/>
        <v>0.61561561561561562</v>
      </c>
      <c r="AJ47" s="72">
        <f t="shared" ref="AJ47:AJ52" si="75">(S47+T47+V47+W47+X47+Z47)/(D47*0.81)</f>
        <v>0.76001927853779705</v>
      </c>
      <c r="AK47" s="37">
        <f t="shared" si="11"/>
        <v>0.91882927703823225</v>
      </c>
    </row>
    <row r="48" spans="1:37" ht="17.25" thickBot="1" x14ac:dyDescent="0.3">
      <c r="A48" s="140"/>
      <c r="B48" s="19" t="s">
        <v>51</v>
      </c>
      <c r="C48" s="6">
        <v>906</v>
      </c>
      <c r="D48" s="6">
        <v>909</v>
      </c>
      <c r="E48" s="6">
        <v>863</v>
      </c>
      <c r="F48" s="3">
        <v>4</v>
      </c>
      <c r="G48" s="3">
        <v>80</v>
      </c>
      <c r="H48" s="3">
        <v>660</v>
      </c>
      <c r="I48" s="3">
        <v>0</v>
      </c>
      <c r="J48" s="3">
        <v>0</v>
      </c>
      <c r="K48" s="3">
        <v>0</v>
      </c>
      <c r="L48" s="3">
        <v>0</v>
      </c>
      <c r="M48" s="3">
        <v>3</v>
      </c>
      <c r="N48" s="10">
        <v>333</v>
      </c>
      <c r="O48" s="3">
        <v>2</v>
      </c>
      <c r="P48" s="10">
        <v>142</v>
      </c>
      <c r="Q48" s="13">
        <f t="shared" si="39"/>
        <v>0.88312757201646086</v>
      </c>
      <c r="R48" s="22">
        <v>4</v>
      </c>
      <c r="S48" s="73">
        <v>80</v>
      </c>
      <c r="T48" s="22">
        <f t="shared" si="2"/>
        <v>528</v>
      </c>
      <c r="U48" s="22">
        <v>0</v>
      </c>
      <c r="V48" s="22">
        <v>0</v>
      </c>
      <c r="W48" s="22">
        <f t="shared" si="3"/>
        <v>0</v>
      </c>
      <c r="X48" s="22">
        <v>0</v>
      </c>
      <c r="Y48" s="22">
        <v>3</v>
      </c>
      <c r="Z48" s="30">
        <v>333</v>
      </c>
      <c r="AA48" s="22">
        <v>2</v>
      </c>
      <c r="AB48" s="30">
        <v>142</v>
      </c>
      <c r="AC48" s="25">
        <f t="shared" si="40"/>
        <v>0.86888273314866116</v>
      </c>
      <c r="AD48" s="12">
        <f t="shared" si="4"/>
        <v>1.184326710816777</v>
      </c>
      <c r="AE48" s="33">
        <f t="shared" si="5"/>
        <v>1.3410596026490067</v>
      </c>
      <c r="AF48" s="69">
        <f t="shared" si="73"/>
        <v>1.4621317417491075</v>
      </c>
      <c r="AG48" s="34">
        <f t="shared" si="74"/>
        <v>1.6556291390728477</v>
      </c>
      <c r="AH48" s="24">
        <f t="shared" si="8"/>
        <v>1.0352035203520351</v>
      </c>
      <c r="AI48" s="36">
        <f t="shared" si="9"/>
        <v>1.1914191419141915</v>
      </c>
      <c r="AJ48" s="72">
        <f t="shared" si="75"/>
        <v>1.2780290374716483</v>
      </c>
      <c r="AK48" s="37">
        <f t="shared" si="11"/>
        <v>1.7782375252450615</v>
      </c>
    </row>
    <row r="49" spans="1:37" ht="17.25" thickBot="1" x14ac:dyDescent="0.3">
      <c r="A49" s="140"/>
      <c r="B49" s="19" t="s">
        <v>52</v>
      </c>
      <c r="C49" s="6">
        <v>773</v>
      </c>
      <c r="D49" s="6">
        <v>737</v>
      </c>
      <c r="E49" s="6">
        <v>675</v>
      </c>
      <c r="F49" s="3">
        <v>3</v>
      </c>
      <c r="G49" s="3">
        <v>32</v>
      </c>
      <c r="H49" s="3">
        <v>300</v>
      </c>
      <c r="I49" s="3">
        <v>1</v>
      </c>
      <c r="J49" s="3">
        <v>32</v>
      </c>
      <c r="K49" s="3">
        <v>150</v>
      </c>
      <c r="L49" s="3">
        <v>0</v>
      </c>
      <c r="M49" s="3">
        <v>3</v>
      </c>
      <c r="N49" s="10">
        <v>209</v>
      </c>
      <c r="O49" s="3">
        <v>4</v>
      </c>
      <c r="P49" s="10">
        <v>152</v>
      </c>
      <c r="Q49" s="13">
        <f t="shared" si="39"/>
        <v>0.82628571428571429</v>
      </c>
      <c r="R49" s="22">
        <v>3</v>
      </c>
      <c r="S49" s="73">
        <v>32</v>
      </c>
      <c r="T49" s="22">
        <f t="shared" si="2"/>
        <v>240</v>
      </c>
      <c r="U49" s="22">
        <v>1</v>
      </c>
      <c r="V49" s="22">
        <v>32</v>
      </c>
      <c r="W49" s="22">
        <v>120</v>
      </c>
      <c r="X49" s="22">
        <v>0</v>
      </c>
      <c r="Y49" s="22">
        <v>3</v>
      </c>
      <c r="Z49" s="30">
        <v>209</v>
      </c>
      <c r="AA49" s="22">
        <v>4</v>
      </c>
      <c r="AB49" s="30">
        <v>152</v>
      </c>
      <c r="AC49" s="25">
        <f t="shared" si="40"/>
        <v>0.8063694267515924</v>
      </c>
      <c r="AD49" s="12">
        <f t="shared" si="4"/>
        <v>0.93531694695989653</v>
      </c>
      <c r="AE49" s="33">
        <f t="shared" si="5"/>
        <v>1.1319534282018111</v>
      </c>
      <c r="AF49" s="69">
        <f t="shared" si="73"/>
        <v>1.154712280197403</v>
      </c>
      <c r="AG49" s="34">
        <f t="shared" si="74"/>
        <v>1.3974733681503841</v>
      </c>
      <c r="AH49" s="24">
        <f t="shared" si="8"/>
        <v>0.85888738127544095</v>
      </c>
      <c r="AI49" s="36">
        <f t="shared" si="9"/>
        <v>1.0651289009497964</v>
      </c>
      <c r="AJ49" s="72">
        <f t="shared" si="75"/>
        <v>1.0603547916980753</v>
      </c>
      <c r="AK49" s="37">
        <f t="shared" si="11"/>
        <v>1.5897446282832783</v>
      </c>
    </row>
    <row r="50" spans="1:37" ht="17.25" thickBot="1" x14ac:dyDescent="0.3">
      <c r="A50" s="140"/>
      <c r="B50" s="120" t="s">
        <v>53</v>
      </c>
      <c r="C50" s="6">
        <v>646</v>
      </c>
      <c r="D50" s="6">
        <v>644</v>
      </c>
      <c r="E50" s="6">
        <v>622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2</v>
      </c>
      <c r="N50" s="10">
        <v>210</v>
      </c>
      <c r="O50" s="3">
        <v>2</v>
      </c>
      <c r="P50" s="10">
        <v>414</v>
      </c>
      <c r="Q50" s="13">
        <f t="shared" si="39"/>
        <v>0.33653846153846156</v>
      </c>
      <c r="R50" s="22">
        <v>0</v>
      </c>
      <c r="S50" s="73">
        <v>0</v>
      </c>
      <c r="T50" s="22">
        <f t="shared" si="2"/>
        <v>0</v>
      </c>
      <c r="U50" s="22">
        <v>0</v>
      </c>
      <c r="V50" s="22">
        <v>0</v>
      </c>
      <c r="W50" s="22">
        <f t="shared" si="3"/>
        <v>0</v>
      </c>
      <c r="X50" s="22">
        <v>0</v>
      </c>
      <c r="Y50" s="22">
        <v>2</v>
      </c>
      <c r="Z50" s="30">
        <v>210</v>
      </c>
      <c r="AA50" s="22">
        <v>2</v>
      </c>
      <c r="AB50" s="30">
        <v>414</v>
      </c>
      <c r="AC50" s="25">
        <f t="shared" si="40"/>
        <v>0.33653846153846156</v>
      </c>
      <c r="AD50" s="12">
        <f t="shared" si="4"/>
        <v>0.32507739938080493</v>
      </c>
      <c r="AE50" s="33">
        <f t="shared" si="5"/>
        <v>0.96594427244582048</v>
      </c>
      <c r="AF50" s="58">
        <f t="shared" si="73"/>
        <v>0.4013301226923518</v>
      </c>
      <c r="AG50" s="34">
        <f t="shared" si="74"/>
        <v>1.1925237931429882</v>
      </c>
      <c r="AH50" s="24">
        <f t="shared" si="8"/>
        <v>0.32608695652173914</v>
      </c>
      <c r="AI50" s="36">
        <f t="shared" si="9"/>
        <v>0.96894409937888204</v>
      </c>
      <c r="AJ50" s="125">
        <f t="shared" si="75"/>
        <v>0.40257648953301128</v>
      </c>
      <c r="AK50" s="37">
        <f t="shared" si="11"/>
        <v>1.4461852229535552</v>
      </c>
    </row>
    <row r="51" spans="1:37" ht="17.25" thickBot="1" x14ac:dyDescent="0.3">
      <c r="A51" s="141"/>
      <c r="B51" s="119" t="s">
        <v>54</v>
      </c>
      <c r="C51" s="7">
        <v>843</v>
      </c>
      <c r="D51" s="7">
        <v>778</v>
      </c>
      <c r="E51" s="7">
        <v>715</v>
      </c>
      <c r="F51" s="4">
        <v>1</v>
      </c>
      <c r="G51" s="4">
        <v>16</v>
      </c>
      <c r="H51" s="4">
        <v>150</v>
      </c>
      <c r="I51" s="4">
        <v>1</v>
      </c>
      <c r="J51" s="4">
        <v>16</v>
      </c>
      <c r="K51" s="4">
        <v>120</v>
      </c>
      <c r="L51" s="4">
        <v>50</v>
      </c>
      <c r="M51" s="4">
        <v>2</v>
      </c>
      <c r="N51" s="11">
        <v>53</v>
      </c>
      <c r="O51" s="4">
        <v>2</v>
      </c>
      <c r="P51" s="11">
        <v>132</v>
      </c>
      <c r="Q51" s="14">
        <f t="shared" si="39"/>
        <v>0.72895277207392195</v>
      </c>
      <c r="R51" s="26">
        <v>1</v>
      </c>
      <c r="S51" s="26">
        <v>16</v>
      </c>
      <c r="T51" s="26">
        <v>120</v>
      </c>
      <c r="U51" s="26">
        <v>1</v>
      </c>
      <c r="V51" s="26">
        <v>16</v>
      </c>
      <c r="W51" s="26">
        <v>120</v>
      </c>
      <c r="X51" s="26">
        <v>50</v>
      </c>
      <c r="Y51" s="26">
        <v>2</v>
      </c>
      <c r="Z51" s="61">
        <v>53</v>
      </c>
      <c r="AA51" s="26">
        <v>2</v>
      </c>
      <c r="AB51" s="61">
        <v>132</v>
      </c>
      <c r="AC51" s="27">
        <f t="shared" si="40"/>
        <v>0.71115973741794314</v>
      </c>
      <c r="AD51" s="62">
        <f t="shared" si="4"/>
        <v>0.4804270462633452</v>
      </c>
      <c r="AE51" s="63">
        <f t="shared" si="5"/>
        <v>0.63701067615658358</v>
      </c>
      <c r="AF51" s="65">
        <f t="shared" si="73"/>
        <v>0.59311981020166071</v>
      </c>
      <c r="AG51" s="66">
        <f t="shared" si="74"/>
        <v>0.78643293352664645</v>
      </c>
      <c r="AH51" s="24">
        <f t="shared" si="8"/>
        <v>0.4820051413881748</v>
      </c>
      <c r="AI51" s="36">
        <f t="shared" si="9"/>
        <v>0.65167095115681239</v>
      </c>
      <c r="AJ51" s="125">
        <f t="shared" si="75"/>
        <v>0.59506807578787002</v>
      </c>
      <c r="AK51" s="37">
        <f t="shared" si="11"/>
        <v>0.97264321068180948</v>
      </c>
    </row>
    <row r="52" spans="1:37" ht="17.25" thickBot="1" x14ac:dyDescent="0.3">
      <c r="A52" s="146" t="s">
        <v>128</v>
      </c>
      <c r="B52" s="147"/>
      <c r="C52" s="87">
        <f>SUM(C46:C51)</f>
        <v>4446</v>
      </c>
      <c r="D52" s="87">
        <f t="shared" ref="D52:AB52" si="76">SUM(D46:D51)</f>
        <v>4345</v>
      </c>
      <c r="E52" s="87">
        <f t="shared" si="76"/>
        <v>4069</v>
      </c>
      <c r="F52" s="87">
        <f t="shared" si="76"/>
        <v>13</v>
      </c>
      <c r="G52" s="87">
        <f t="shared" si="76"/>
        <v>224</v>
      </c>
      <c r="H52" s="87">
        <f t="shared" si="76"/>
        <v>1710</v>
      </c>
      <c r="I52" s="87">
        <f t="shared" si="76"/>
        <v>2</v>
      </c>
      <c r="J52" s="87">
        <f t="shared" si="76"/>
        <v>48</v>
      </c>
      <c r="K52" s="87">
        <f t="shared" si="76"/>
        <v>270</v>
      </c>
      <c r="L52" s="87">
        <f t="shared" si="76"/>
        <v>110</v>
      </c>
      <c r="M52" s="87">
        <f t="shared" si="76"/>
        <v>12</v>
      </c>
      <c r="N52" s="87">
        <f t="shared" si="76"/>
        <v>944</v>
      </c>
      <c r="O52" s="87">
        <f t="shared" si="76"/>
        <v>10</v>
      </c>
      <c r="P52" s="87">
        <f t="shared" si="76"/>
        <v>840</v>
      </c>
      <c r="Q52" s="87">
        <f t="shared" si="76"/>
        <v>4.7749045199145588</v>
      </c>
      <c r="R52" s="87">
        <f t="shared" si="76"/>
        <v>13</v>
      </c>
      <c r="S52" s="87">
        <f t="shared" si="76"/>
        <v>224</v>
      </c>
      <c r="T52" s="87">
        <f t="shared" si="76"/>
        <v>1368</v>
      </c>
      <c r="U52" s="87">
        <f t="shared" si="76"/>
        <v>2</v>
      </c>
      <c r="V52" s="87">
        <f t="shared" si="76"/>
        <v>48</v>
      </c>
      <c r="W52" s="87">
        <f t="shared" si="76"/>
        <v>240</v>
      </c>
      <c r="X52" s="87">
        <f t="shared" si="76"/>
        <v>110</v>
      </c>
      <c r="Y52" s="87">
        <f t="shared" si="76"/>
        <v>12</v>
      </c>
      <c r="Z52" s="87">
        <f t="shared" si="76"/>
        <v>944</v>
      </c>
      <c r="AA52" s="87">
        <f t="shared" si="76"/>
        <v>10</v>
      </c>
      <c r="AB52" s="87">
        <f t="shared" si="76"/>
        <v>840</v>
      </c>
      <c r="AC52" s="88"/>
      <c r="AD52" s="89">
        <f t="shared" si="4"/>
        <v>0.74358974358974361</v>
      </c>
      <c r="AE52" s="90">
        <f t="shared" si="5"/>
        <v>0.93252361673414308</v>
      </c>
      <c r="AF52" s="89">
        <f t="shared" si="73"/>
        <v>0.91801202912314017</v>
      </c>
      <c r="AG52" s="91">
        <f t="shared" si="74"/>
        <v>1.1512637243631394</v>
      </c>
      <c r="AH52" s="108">
        <f t="shared" si="8"/>
        <v>0.675258918296893</v>
      </c>
      <c r="AI52" s="109">
        <f t="shared" si="9"/>
        <v>0.86858457997698502</v>
      </c>
      <c r="AJ52" s="110">
        <f t="shared" si="75"/>
        <v>0.83365298555171963</v>
      </c>
      <c r="AK52" s="111">
        <f t="shared" si="11"/>
        <v>1.2963948954880373</v>
      </c>
    </row>
    <row r="53" spans="1:37" ht="17.25" thickBot="1" x14ac:dyDescent="0.3">
      <c r="A53" s="139" t="s">
        <v>55</v>
      </c>
      <c r="B53" s="121" t="s">
        <v>86</v>
      </c>
      <c r="C53" s="5">
        <v>1971</v>
      </c>
      <c r="D53" s="5">
        <v>1853</v>
      </c>
      <c r="E53" s="5">
        <v>1691</v>
      </c>
      <c r="F53" s="2">
        <v>4</v>
      </c>
      <c r="G53" s="2">
        <v>64</v>
      </c>
      <c r="H53" s="2">
        <v>540</v>
      </c>
      <c r="I53" s="2">
        <v>1</v>
      </c>
      <c r="J53" s="2">
        <v>32</v>
      </c>
      <c r="K53" s="2">
        <v>120</v>
      </c>
      <c r="L53" s="2">
        <v>0</v>
      </c>
      <c r="M53" s="2">
        <v>2</v>
      </c>
      <c r="N53" s="9">
        <v>180</v>
      </c>
      <c r="O53" s="2">
        <v>7</v>
      </c>
      <c r="P53" s="9">
        <v>460</v>
      </c>
      <c r="Q53" s="12">
        <f t="shared" si="39"/>
        <v>0.67048710601719197</v>
      </c>
      <c r="R53" s="23">
        <v>4</v>
      </c>
      <c r="S53" s="23">
        <v>64</v>
      </c>
      <c r="T53" s="23">
        <v>432</v>
      </c>
      <c r="U53" s="23">
        <v>1</v>
      </c>
      <c r="V53" s="23">
        <v>32</v>
      </c>
      <c r="W53" s="23">
        <f t="shared" si="3"/>
        <v>96</v>
      </c>
      <c r="X53" s="23">
        <v>0</v>
      </c>
      <c r="Y53" s="23">
        <v>2</v>
      </c>
      <c r="Z53" s="60">
        <v>180</v>
      </c>
      <c r="AA53" s="23">
        <v>7</v>
      </c>
      <c r="AB53" s="60">
        <v>460</v>
      </c>
      <c r="AC53" s="24">
        <f t="shared" si="40"/>
        <v>0.63607594936708856</v>
      </c>
      <c r="AD53" s="12">
        <f t="shared" si="4"/>
        <v>0.47488584474885842</v>
      </c>
      <c r="AE53" s="33">
        <f t="shared" si="5"/>
        <v>0.70826991374936576</v>
      </c>
      <c r="AF53" s="58">
        <f>(G53+H53+J53+K53+N53+L53)/(C53*0.7)</f>
        <v>0.67840834964122643</v>
      </c>
      <c r="AG53" s="34">
        <f>(G53+H53+J53+K53+N53+P53+L53)/(C53*0.7)</f>
        <v>1.0118141624990942</v>
      </c>
      <c r="AH53" s="24">
        <f t="shared" si="8"/>
        <v>0.43389098758769562</v>
      </c>
      <c r="AI53" s="36">
        <f t="shared" si="9"/>
        <v>0.68213707501349163</v>
      </c>
      <c r="AJ53" s="125">
        <f>(S53+T53+V53+W53+X53+Z53)/(D53*0.7)</f>
        <v>0.61984426798242243</v>
      </c>
      <c r="AK53" s="37">
        <f t="shared" si="11"/>
        <v>1.0181150373335697</v>
      </c>
    </row>
    <row r="54" spans="1:37" ht="17.25" thickBot="1" x14ac:dyDescent="0.3">
      <c r="A54" s="140"/>
      <c r="B54" s="118" t="s">
        <v>56</v>
      </c>
      <c r="C54" s="6">
        <v>1265</v>
      </c>
      <c r="D54" s="6">
        <v>1228</v>
      </c>
      <c r="E54" s="6">
        <v>1169</v>
      </c>
      <c r="F54" s="3">
        <v>2</v>
      </c>
      <c r="G54" s="3">
        <v>64</v>
      </c>
      <c r="H54" s="3">
        <v>240</v>
      </c>
      <c r="I54" s="3">
        <v>0</v>
      </c>
      <c r="J54" s="3">
        <v>0</v>
      </c>
      <c r="K54" s="3">
        <v>0</v>
      </c>
      <c r="L54" s="3">
        <v>0</v>
      </c>
      <c r="M54" s="3">
        <v>1</v>
      </c>
      <c r="N54" s="10">
        <v>21</v>
      </c>
      <c r="O54" s="3">
        <v>11</v>
      </c>
      <c r="P54" s="10">
        <v>721</v>
      </c>
      <c r="Q54" s="13">
        <f t="shared" si="39"/>
        <v>0.31070745697896751</v>
      </c>
      <c r="R54" s="22">
        <v>2</v>
      </c>
      <c r="S54" s="22">
        <v>64</v>
      </c>
      <c r="T54" s="22">
        <f t="shared" si="2"/>
        <v>192</v>
      </c>
      <c r="U54" s="22">
        <v>0</v>
      </c>
      <c r="V54" s="22">
        <v>0</v>
      </c>
      <c r="W54" s="22">
        <f t="shared" si="3"/>
        <v>0</v>
      </c>
      <c r="X54" s="22">
        <v>0</v>
      </c>
      <c r="Y54" s="22">
        <v>1</v>
      </c>
      <c r="Z54" s="30">
        <v>21</v>
      </c>
      <c r="AA54" s="22">
        <v>11</v>
      </c>
      <c r="AB54" s="30">
        <v>721</v>
      </c>
      <c r="AC54" s="25">
        <f t="shared" si="40"/>
        <v>0.27755511022044088</v>
      </c>
      <c r="AD54" s="12">
        <f t="shared" si="4"/>
        <v>0.25691699604743085</v>
      </c>
      <c r="AE54" s="33">
        <f t="shared" si="5"/>
        <v>0.82687747035573123</v>
      </c>
      <c r="AF54" s="58">
        <f t="shared" ref="AF54:AF59" si="77">(G54+H54+J54+K54+N54+L54)/(C54*0.7)</f>
        <v>0.36702428006775834</v>
      </c>
      <c r="AG54" s="34">
        <f t="shared" ref="AG54:AG59" si="78">(G54+H54+J54+K54+N54+P54+L54)/(C54*0.7)</f>
        <v>1.181253529079616</v>
      </c>
      <c r="AH54" s="24">
        <f t="shared" si="8"/>
        <v>0.22557003257328989</v>
      </c>
      <c r="AI54" s="36">
        <f t="shared" si="9"/>
        <v>0.81270358306188928</v>
      </c>
      <c r="AJ54" s="125">
        <f t="shared" ref="AJ54:AJ59" si="79">(S54+T54+V54+W54+X54+Z54)/(D54*0.7)</f>
        <v>0.32224290367612846</v>
      </c>
      <c r="AK54" s="37">
        <f t="shared" si="11"/>
        <v>1.2129904224804315</v>
      </c>
    </row>
    <row r="55" spans="1:37" ht="17.25" thickBot="1" x14ac:dyDescent="0.3">
      <c r="A55" s="140"/>
      <c r="B55" s="120" t="s">
        <v>57</v>
      </c>
      <c r="C55" s="6">
        <v>3215</v>
      </c>
      <c r="D55" s="6">
        <v>2908</v>
      </c>
      <c r="E55" s="6">
        <v>2531</v>
      </c>
      <c r="F55" s="3">
        <v>4</v>
      </c>
      <c r="G55" s="3">
        <v>64</v>
      </c>
      <c r="H55" s="3">
        <v>600</v>
      </c>
      <c r="I55" s="3">
        <v>2</v>
      </c>
      <c r="J55" s="3">
        <v>32</v>
      </c>
      <c r="K55" s="3">
        <v>264</v>
      </c>
      <c r="L55" s="3">
        <v>0</v>
      </c>
      <c r="M55" s="3">
        <v>7</v>
      </c>
      <c r="N55" s="10">
        <v>389</v>
      </c>
      <c r="O55" s="3">
        <v>18</v>
      </c>
      <c r="P55" s="10">
        <v>1048</v>
      </c>
      <c r="Q55" s="13">
        <f t="shared" si="39"/>
        <v>0.56278681685440135</v>
      </c>
      <c r="R55" s="22">
        <v>4</v>
      </c>
      <c r="S55" s="22">
        <v>64</v>
      </c>
      <c r="T55" s="22">
        <f t="shared" si="2"/>
        <v>480</v>
      </c>
      <c r="U55" s="22">
        <v>2</v>
      </c>
      <c r="V55" s="22">
        <v>32</v>
      </c>
      <c r="W55" s="22">
        <v>216</v>
      </c>
      <c r="X55" s="22">
        <v>0</v>
      </c>
      <c r="Y55" s="22">
        <v>7</v>
      </c>
      <c r="Z55" s="30">
        <v>389</v>
      </c>
      <c r="AA55" s="22">
        <v>18</v>
      </c>
      <c r="AB55" s="30">
        <v>1048</v>
      </c>
      <c r="AC55" s="25">
        <f t="shared" si="40"/>
        <v>0.52983400628084343</v>
      </c>
      <c r="AD55" s="12">
        <f t="shared" si="4"/>
        <v>0.41959564541213062</v>
      </c>
      <c r="AE55" s="33">
        <f t="shared" si="5"/>
        <v>0.74556765163297045</v>
      </c>
      <c r="AF55" s="58">
        <f t="shared" si="77"/>
        <v>0.59942235058875803</v>
      </c>
      <c r="AG55" s="34">
        <f t="shared" si="78"/>
        <v>1.0650966451899577</v>
      </c>
      <c r="AH55" s="24">
        <f t="shared" si="8"/>
        <v>0.40612104539202198</v>
      </c>
      <c r="AI55" s="36">
        <f t="shared" si="9"/>
        <v>0.7665061898211829</v>
      </c>
      <c r="AJ55" s="125">
        <f t="shared" si="79"/>
        <v>0.58017292198860293</v>
      </c>
      <c r="AK55" s="37">
        <f t="shared" si="11"/>
        <v>1.1440390892853476</v>
      </c>
    </row>
    <row r="56" spans="1:37" ht="17.25" thickBot="1" x14ac:dyDescent="0.3">
      <c r="A56" s="140"/>
      <c r="B56" s="120" t="s">
        <v>58</v>
      </c>
      <c r="C56" s="6">
        <v>1266</v>
      </c>
      <c r="D56" s="6">
        <v>1223</v>
      </c>
      <c r="E56" s="6">
        <v>1106</v>
      </c>
      <c r="F56" s="3">
        <v>2</v>
      </c>
      <c r="G56" s="3">
        <v>48</v>
      </c>
      <c r="H56" s="3">
        <v>330</v>
      </c>
      <c r="I56" s="3">
        <v>1</v>
      </c>
      <c r="J56" s="3">
        <v>16</v>
      </c>
      <c r="K56" s="3">
        <v>69</v>
      </c>
      <c r="L56" s="3">
        <v>0</v>
      </c>
      <c r="M56" s="3">
        <v>3</v>
      </c>
      <c r="N56" s="10">
        <v>180</v>
      </c>
      <c r="O56" s="3">
        <v>9</v>
      </c>
      <c r="P56" s="10">
        <v>738</v>
      </c>
      <c r="Q56" s="13">
        <f t="shared" si="39"/>
        <v>0.4656046343229544</v>
      </c>
      <c r="R56" s="22">
        <v>2</v>
      </c>
      <c r="S56" s="22">
        <v>48</v>
      </c>
      <c r="T56" s="22">
        <f t="shared" si="2"/>
        <v>264</v>
      </c>
      <c r="U56" s="22">
        <v>1</v>
      </c>
      <c r="V56" s="22">
        <v>16</v>
      </c>
      <c r="W56" s="22">
        <v>60</v>
      </c>
      <c r="X56" s="22">
        <v>0</v>
      </c>
      <c r="Y56" s="22">
        <v>3</v>
      </c>
      <c r="Z56" s="30">
        <v>180</v>
      </c>
      <c r="AA56" s="22">
        <v>9</v>
      </c>
      <c r="AB56" s="30">
        <v>738</v>
      </c>
      <c r="AC56" s="25">
        <f t="shared" si="40"/>
        <v>0.43491577335375192</v>
      </c>
      <c r="AD56" s="12">
        <f t="shared" si="4"/>
        <v>0.50789889415481837</v>
      </c>
      <c r="AE56" s="33">
        <f t="shared" si="5"/>
        <v>1.0908372827804107</v>
      </c>
      <c r="AF56" s="69">
        <f t="shared" si="77"/>
        <v>0.72556984879259767</v>
      </c>
      <c r="AG56" s="34">
        <f t="shared" si="78"/>
        <v>1.558338975400587</v>
      </c>
      <c r="AH56" s="24">
        <f t="shared" si="8"/>
        <v>0.46443172526574</v>
      </c>
      <c r="AI56" s="36">
        <f t="shared" si="9"/>
        <v>1.0678659035159443</v>
      </c>
      <c r="AJ56" s="125">
        <f t="shared" si="79"/>
        <v>0.66347389323677153</v>
      </c>
      <c r="AK56" s="37">
        <f t="shared" si="11"/>
        <v>1.5938297067402154</v>
      </c>
    </row>
    <row r="57" spans="1:37" ht="17.25" thickBot="1" x14ac:dyDescent="0.3">
      <c r="A57" s="140"/>
      <c r="B57" s="19" t="s">
        <v>59</v>
      </c>
      <c r="C57" s="6">
        <v>1101</v>
      </c>
      <c r="D57" s="6">
        <v>1025</v>
      </c>
      <c r="E57" s="6">
        <v>979</v>
      </c>
      <c r="F57" s="3">
        <v>1</v>
      </c>
      <c r="G57" s="3">
        <v>16</v>
      </c>
      <c r="H57" s="3">
        <v>180</v>
      </c>
      <c r="I57" s="3">
        <v>2</v>
      </c>
      <c r="J57" s="3">
        <v>48</v>
      </c>
      <c r="K57" s="3">
        <v>325</v>
      </c>
      <c r="L57" s="3">
        <v>60</v>
      </c>
      <c r="M57" s="3">
        <v>0</v>
      </c>
      <c r="N57" s="10">
        <v>0</v>
      </c>
      <c r="O57" s="3">
        <v>5</v>
      </c>
      <c r="P57" s="10">
        <v>752</v>
      </c>
      <c r="Q57" s="13">
        <f t="shared" si="39"/>
        <v>0.43073429220287662</v>
      </c>
      <c r="R57" s="22">
        <v>1</v>
      </c>
      <c r="S57" s="22">
        <v>16</v>
      </c>
      <c r="T57" s="22">
        <f t="shared" si="2"/>
        <v>144</v>
      </c>
      <c r="U57" s="22">
        <v>2</v>
      </c>
      <c r="V57" s="22">
        <v>48</v>
      </c>
      <c r="W57" s="22">
        <v>283</v>
      </c>
      <c r="X57" s="22">
        <v>60</v>
      </c>
      <c r="Y57" s="22">
        <v>0</v>
      </c>
      <c r="Z57" s="30">
        <v>0</v>
      </c>
      <c r="AA57" s="22">
        <v>5</v>
      </c>
      <c r="AB57" s="30">
        <v>752</v>
      </c>
      <c r="AC57" s="25">
        <f t="shared" si="40"/>
        <v>0.39501206757843926</v>
      </c>
      <c r="AD57" s="12">
        <f t="shared" si="4"/>
        <v>0.57129881925522252</v>
      </c>
      <c r="AE57" s="33">
        <f t="shared" si="5"/>
        <v>1.254314259763851</v>
      </c>
      <c r="AF57" s="69">
        <f t="shared" si="77"/>
        <v>0.81614117036460365</v>
      </c>
      <c r="AG57" s="34">
        <f t="shared" si="78"/>
        <v>1.7918775139483587</v>
      </c>
      <c r="AH57" s="24">
        <f t="shared" si="8"/>
        <v>0.53756097560975613</v>
      </c>
      <c r="AI57" s="36">
        <f t="shared" si="9"/>
        <v>1.271219512195122</v>
      </c>
      <c r="AJ57" s="72">
        <f t="shared" si="79"/>
        <v>0.76794425087108009</v>
      </c>
      <c r="AK57" s="37">
        <f t="shared" si="11"/>
        <v>1.8973425555151073</v>
      </c>
    </row>
    <row r="58" spans="1:37" ht="17.25" thickBot="1" x14ac:dyDescent="0.3">
      <c r="A58" s="141"/>
      <c r="B58" s="122" t="s">
        <v>60</v>
      </c>
      <c r="C58" s="7">
        <v>769</v>
      </c>
      <c r="D58" s="7">
        <v>698</v>
      </c>
      <c r="E58" s="7">
        <v>624</v>
      </c>
      <c r="F58" s="4">
        <v>1</v>
      </c>
      <c r="G58" s="4">
        <v>16</v>
      </c>
      <c r="H58" s="4">
        <v>60</v>
      </c>
      <c r="I58" s="4">
        <v>3</v>
      </c>
      <c r="J58" s="4">
        <v>30</v>
      </c>
      <c r="K58" s="4">
        <v>119</v>
      </c>
      <c r="L58" s="4">
        <v>0</v>
      </c>
      <c r="M58" s="4">
        <v>0</v>
      </c>
      <c r="N58" s="11">
        <v>0</v>
      </c>
      <c r="O58" s="4">
        <v>0</v>
      </c>
      <c r="P58" s="11">
        <v>0</v>
      </c>
      <c r="Q58" s="14">
        <f t="shared" si="39"/>
        <v>1</v>
      </c>
      <c r="R58" s="26">
        <v>1</v>
      </c>
      <c r="S58" s="26">
        <v>16</v>
      </c>
      <c r="T58" s="26">
        <f t="shared" si="2"/>
        <v>48</v>
      </c>
      <c r="U58" s="26">
        <v>3</v>
      </c>
      <c r="V58" s="26">
        <v>30</v>
      </c>
      <c r="W58" s="26">
        <v>96</v>
      </c>
      <c r="X58" s="26">
        <v>0</v>
      </c>
      <c r="Y58" s="26">
        <v>0</v>
      </c>
      <c r="Z58" s="61">
        <v>0</v>
      </c>
      <c r="AA58" s="26">
        <v>0</v>
      </c>
      <c r="AB58" s="61">
        <v>0</v>
      </c>
      <c r="AC58" s="27">
        <f t="shared" si="40"/>
        <v>1</v>
      </c>
      <c r="AD58" s="62">
        <f t="shared" si="4"/>
        <v>0.2925877763328999</v>
      </c>
      <c r="AE58" s="63">
        <f t="shared" si="5"/>
        <v>0.2925877763328999</v>
      </c>
      <c r="AF58" s="65">
        <f t="shared" si="77"/>
        <v>0.41798253761842841</v>
      </c>
      <c r="AG58" s="66">
        <f t="shared" si="78"/>
        <v>0.41798253761842841</v>
      </c>
      <c r="AH58" s="24">
        <f t="shared" si="8"/>
        <v>0.27220630372492838</v>
      </c>
      <c r="AI58" s="36">
        <f t="shared" si="9"/>
        <v>0.27220630372492838</v>
      </c>
      <c r="AJ58" s="125">
        <f t="shared" si="79"/>
        <v>0.3888661481784691</v>
      </c>
      <c r="AK58" s="37">
        <f t="shared" si="11"/>
        <v>0.40627806526108712</v>
      </c>
    </row>
    <row r="59" spans="1:37" ht="17.25" thickBot="1" x14ac:dyDescent="0.3">
      <c r="A59" s="131" t="s">
        <v>129</v>
      </c>
      <c r="B59" s="132"/>
      <c r="C59" s="77">
        <f>SUM(C53:C58)</f>
        <v>9587</v>
      </c>
      <c r="D59" s="77">
        <f t="shared" ref="D59:AB59" si="80">SUM(D53:D58)</f>
        <v>8935</v>
      </c>
      <c r="E59" s="77">
        <f t="shared" si="80"/>
        <v>8100</v>
      </c>
      <c r="F59" s="77">
        <f t="shared" si="80"/>
        <v>14</v>
      </c>
      <c r="G59" s="77">
        <f t="shared" si="80"/>
        <v>272</v>
      </c>
      <c r="H59" s="77">
        <f t="shared" si="80"/>
        <v>1950</v>
      </c>
      <c r="I59" s="77">
        <f t="shared" si="80"/>
        <v>9</v>
      </c>
      <c r="J59" s="77">
        <f t="shared" si="80"/>
        <v>158</v>
      </c>
      <c r="K59" s="77">
        <f t="shared" si="80"/>
        <v>897</v>
      </c>
      <c r="L59" s="77">
        <f t="shared" si="80"/>
        <v>60</v>
      </c>
      <c r="M59" s="77">
        <f t="shared" si="80"/>
        <v>13</v>
      </c>
      <c r="N59" s="77">
        <f t="shared" si="80"/>
        <v>770</v>
      </c>
      <c r="O59" s="77">
        <f t="shared" si="80"/>
        <v>50</v>
      </c>
      <c r="P59" s="77">
        <f t="shared" si="80"/>
        <v>3719</v>
      </c>
      <c r="Q59" s="77">
        <f t="shared" si="80"/>
        <v>3.4403203063763921</v>
      </c>
      <c r="R59" s="77">
        <f t="shared" si="80"/>
        <v>14</v>
      </c>
      <c r="S59" s="77">
        <f t="shared" si="80"/>
        <v>272</v>
      </c>
      <c r="T59" s="77">
        <f t="shared" si="80"/>
        <v>1560</v>
      </c>
      <c r="U59" s="77">
        <f t="shared" si="80"/>
        <v>9</v>
      </c>
      <c r="V59" s="77">
        <f t="shared" si="80"/>
        <v>158</v>
      </c>
      <c r="W59" s="77">
        <f t="shared" si="80"/>
        <v>751</v>
      </c>
      <c r="X59" s="77">
        <f t="shared" si="80"/>
        <v>60</v>
      </c>
      <c r="Y59" s="77">
        <f t="shared" si="80"/>
        <v>13</v>
      </c>
      <c r="Z59" s="77">
        <f t="shared" si="80"/>
        <v>770</v>
      </c>
      <c r="AA59" s="77">
        <f t="shared" si="80"/>
        <v>50</v>
      </c>
      <c r="AB59" s="77">
        <f t="shared" si="80"/>
        <v>3719</v>
      </c>
      <c r="AC59" s="78"/>
      <c r="AD59" s="79">
        <f t="shared" si="4"/>
        <v>0.42839261499947845</v>
      </c>
      <c r="AE59" s="80">
        <f t="shared" si="5"/>
        <v>0.81631375821424845</v>
      </c>
      <c r="AF59" s="84">
        <f t="shared" si="77"/>
        <v>0.61198944999925498</v>
      </c>
      <c r="AG59" s="85">
        <f t="shared" si="78"/>
        <v>1.1661625117346408</v>
      </c>
      <c r="AH59" s="108">
        <f t="shared" si="8"/>
        <v>0.39966424174594289</v>
      </c>
      <c r="AI59" s="109">
        <f t="shared" si="9"/>
        <v>0.8158925573587017</v>
      </c>
      <c r="AJ59" s="126">
        <f t="shared" si="79"/>
        <v>0.57094891677991844</v>
      </c>
      <c r="AK59" s="111">
        <f t="shared" si="11"/>
        <v>1.2177500856100025</v>
      </c>
    </row>
    <row r="60" spans="1:37" ht="17.25" thickBot="1" x14ac:dyDescent="0.3">
      <c r="A60" s="139" t="s">
        <v>61</v>
      </c>
      <c r="B60" s="16" t="s">
        <v>62</v>
      </c>
      <c r="C60" s="5">
        <v>1131</v>
      </c>
      <c r="D60" s="5">
        <v>1059</v>
      </c>
      <c r="E60" s="5">
        <v>981</v>
      </c>
      <c r="F60" s="2">
        <v>2</v>
      </c>
      <c r="G60" s="2">
        <v>32</v>
      </c>
      <c r="H60" s="2">
        <v>300</v>
      </c>
      <c r="I60" s="2">
        <v>1</v>
      </c>
      <c r="J60" s="2">
        <v>16</v>
      </c>
      <c r="K60" s="2">
        <v>120</v>
      </c>
      <c r="L60" s="2">
        <v>0</v>
      </c>
      <c r="M60" s="2">
        <v>4</v>
      </c>
      <c r="N60" s="9">
        <v>506</v>
      </c>
      <c r="O60" s="2">
        <v>4</v>
      </c>
      <c r="P60" s="9">
        <v>626</v>
      </c>
      <c r="Q60" s="12">
        <f t="shared" si="39"/>
        <v>0.60875000000000001</v>
      </c>
      <c r="R60" s="23">
        <v>2</v>
      </c>
      <c r="S60" s="23">
        <v>32</v>
      </c>
      <c r="T60" s="23">
        <f t="shared" si="2"/>
        <v>240</v>
      </c>
      <c r="U60" s="23">
        <v>1</v>
      </c>
      <c r="V60" s="23">
        <v>16</v>
      </c>
      <c r="W60" s="23">
        <f t="shared" si="3"/>
        <v>96</v>
      </c>
      <c r="X60" s="23">
        <v>0</v>
      </c>
      <c r="Y60" s="23">
        <v>4</v>
      </c>
      <c r="Z60" s="60">
        <v>506</v>
      </c>
      <c r="AA60" s="23">
        <v>4</v>
      </c>
      <c r="AB60" s="60">
        <v>626</v>
      </c>
      <c r="AC60" s="24">
        <f t="shared" si="40"/>
        <v>0.5870712401055409</v>
      </c>
      <c r="AD60" s="12">
        <f t="shared" si="4"/>
        <v>0.86118479221927502</v>
      </c>
      <c r="AE60" s="33">
        <f t="shared" si="5"/>
        <v>1.4146772767462423</v>
      </c>
      <c r="AF60" s="69">
        <f>(G60+H60+J60+K60+N60+L60)/(C60*0.85)</f>
        <v>1.0131585790814999</v>
      </c>
      <c r="AG60" s="34">
        <f>(G60+H60+J60+K60+N60+P60+L60)/(C60*0.85)</f>
        <v>1.6643262079367556</v>
      </c>
      <c r="AH60" s="24">
        <f t="shared" si="8"/>
        <v>0.84041548630783758</v>
      </c>
      <c r="AI60" s="36">
        <f t="shared" si="9"/>
        <v>1.4315391879131256</v>
      </c>
      <c r="AJ60" s="72">
        <f>(S60+T60+V60+W60+X60+Z60)/(D60*0.85)</f>
        <v>0.98872410153863244</v>
      </c>
      <c r="AK60" s="37">
        <f t="shared" si="11"/>
        <v>2.1366256536016799</v>
      </c>
    </row>
    <row r="61" spans="1:37" ht="17.25" thickBot="1" x14ac:dyDescent="0.3">
      <c r="A61" s="140"/>
      <c r="B61" s="120" t="s">
        <v>63</v>
      </c>
      <c r="C61" s="6">
        <v>954</v>
      </c>
      <c r="D61" s="6">
        <v>907</v>
      </c>
      <c r="E61" s="6">
        <v>822</v>
      </c>
      <c r="F61" s="3">
        <v>3</v>
      </c>
      <c r="G61" s="3">
        <v>80</v>
      </c>
      <c r="H61" s="3">
        <v>300</v>
      </c>
      <c r="I61" s="3">
        <v>1</v>
      </c>
      <c r="J61" s="3">
        <v>16</v>
      </c>
      <c r="K61" s="3">
        <v>90</v>
      </c>
      <c r="L61" s="3">
        <v>40</v>
      </c>
      <c r="M61" s="3">
        <v>1</v>
      </c>
      <c r="N61" s="10">
        <v>40</v>
      </c>
      <c r="O61" s="3">
        <v>6</v>
      </c>
      <c r="P61" s="10">
        <v>735</v>
      </c>
      <c r="Q61" s="13">
        <f t="shared" si="39"/>
        <v>0.41712926249008725</v>
      </c>
      <c r="R61" s="22">
        <v>3</v>
      </c>
      <c r="S61" s="22">
        <v>80</v>
      </c>
      <c r="T61" s="22">
        <f t="shared" si="2"/>
        <v>240</v>
      </c>
      <c r="U61" s="22">
        <v>1</v>
      </c>
      <c r="V61" s="22">
        <v>16</v>
      </c>
      <c r="W61" s="22">
        <f t="shared" si="3"/>
        <v>72</v>
      </c>
      <c r="X61" s="22">
        <v>40</v>
      </c>
      <c r="Y61" s="22">
        <v>1</v>
      </c>
      <c r="Z61" s="30">
        <v>40</v>
      </c>
      <c r="AA61" s="22">
        <v>6</v>
      </c>
      <c r="AB61" s="30">
        <v>735</v>
      </c>
      <c r="AC61" s="25">
        <f t="shared" si="40"/>
        <v>0.378698224852071</v>
      </c>
      <c r="AD61" s="12">
        <f t="shared" si="4"/>
        <v>0.59329140461215935</v>
      </c>
      <c r="AE61" s="33">
        <f t="shared" si="5"/>
        <v>1.3637316561844863</v>
      </c>
      <c r="AF61" s="69">
        <f t="shared" ref="AF61:AF64" si="81">(G61+H61+J61+K61+N61+L61)/(C61*0.85)</f>
        <v>0.69798988777901094</v>
      </c>
      <c r="AG61" s="34">
        <f t="shared" ref="AG61:AG64" si="82">(G61+H61+J61+K61+N61+P61+L61)/(C61*0.85)</f>
        <v>1.6043901837464547</v>
      </c>
      <c r="AH61" s="24">
        <f t="shared" si="8"/>
        <v>0.53803748621830205</v>
      </c>
      <c r="AI61" s="36">
        <f t="shared" si="9"/>
        <v>1.348401323042999</v>
      </c>
      <c r="AJ61" s="125">
        <f t="shared" ref="AJ61:AJ64" si="83">(S61+T61+V61+W61+X61+Z61)/(D61*0.85)</f>
        <v>0.63298527790388492</v>
      </c>
      <c r="AK61" s="37">
        <f t="shared" si="11"/>
        <v>2.0125392881238788</v>
      </c>
    </row>
    <row r="62" spans="1:37" ht="17.25" thickBot="1" x14ac:dyDescent="0.3">
      <c r="A62" s="140"/>
      <c r="B62" s="118" t="s">
        <v>64</v>
      </c>
      <c r="C62" s="6">
        <v>887</v>
      </c>
      <c r="D62" s="6">
        <v>793</v>
      </c>
      <c r="E62" s="6">
        <v>720</v>
      </c>
      <c r="F62" s="3">
        <v>1</v>
      </c>
      <c r="G62" s="3">
        <v>16</v>
      </c>
      <c r="H62" s="3">
        <v>90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10">
        <v>0</v>
      </c>
      <c r="O62" s="3">
        <v>2</v>
      </c>
      <c r="P62" s="10">
        <v>330</v>
      </c>
      <c r="Q62" s="13">
        <f t="shared" si="39"/>
        <v>0.24311926605504589</v>
      </c>
      <c r="R62" s="22">
        <v>1</v>
      </c>
      <c r="S62" s="22">
        <v>16</v>
      </c>
      <c r="T62" s="22">
        <f t="shared" si="2"/>
        <v>72</v>
      </c>
      <c r="U62" s="22">
        <v>0</v>
      </c>
      <c r="V62" s="22">
        <v>0</v>
      </c>
      <c r="W62" s="22">
        <f t="shared" si="3"/>
        <v>0</v>
      </c>
      <c r="X62" s="22">
        <v>0</v>
      </c>
      <c r="Y62" s="22">
        <v>0</v>
      </c>
      <c r="Z62" s="30">
        <v>0</v>
      </c>
      <c r="AA62" s="22">
        <v>2</v>
      </c>
      <c r="AB62" s="30">
        <v>330</v>
      </c>
      <c r="AC62" s="25">
        <f t="shared" si="40"/>
        <v>0.21052631578947367</v>
      </c>
      <c r="AD62" s="12">
        <f t="shared" si="4"/>
        <v>0.11950394588500564</v>
      </c>
      <c r="AE62" s="33">
        <f t="shared" si="5"/>
        <v>0.49154453213077792</v>
      </c>
      <c r="AF62" s="58">
        <f t="shared" si="81"/>
        <v>0.14059287751177135</v>
      </c>
      <c r="AG62" s="34">
        <f t="shared" si="82"/>
        <v>0.5782876848597388</v>
      </c>
      <c r="AH62" s="24">
        <f t="shared" si="8"/>
        <v>0.11097099621689786</v>
      </c>
      <c r="AI62" s="36">
        <f t="shared" si="9"/>
        <v>0.5271122320302648</v>
      </c>
      <c r="AJ62" s="125">
        <f t="shared" si="83"/>
        <v>0.13055411319635044</v>
      </c>
      <c r="AK62" s="37">
        <f t="shared" si="11"/>
        <v>0.78673467467203695</v>
      </c>
    </row>
    <row r="63" spans="1:37" ht="17.25" thickBot="1" x14ac:dyDescent="0.3">
      <c r="A63" s="141"/>
      <c r="B63" s="119" t="s">
        <v>65</v>
      </c>
      <c r="C63" s="7">
        <v>876</v>
      </c>
      <c r="D63" s="7">
        <v>785</v>
      </c>
      <c r="E63" s="7">
        <v>684</v>
      </c>
      <c r="F63" s="4">
        <v>1</v>
      </c>
      <c r="G63" s="4">
        <v>16</v>
      </c>
      <c r="H63" s="4">
        <v>150</v>
      </c>
      <c r="I63" s="4">
        <v>1</v>
      </c>
      <c r="J63" s="4">
        <v>0</v>
      </c>
      <c r="K63" s="4">
        <v>90</v>
      </c>
      <c r="L63" s="4">
        <v>0</v>
      </c>
      <c r="M63" s="4">
        <v>3</v>
      </c>
      <c r="N63" s="11">
        <v>198</v>
      </c>
      <c r="O63" s="4">
        <v>4</v>
      </c>
      <c r="P63" s="11">
        <v>270</v>
      </c>
      <c r="Q63" s="14">
        <f t="shared" si="39"/>
        <v>0.6270718232044199</v>
      </c>
      <c r="R63" s="26">
        <v>1</v>
      </c>
      <c r="S63" s="26">
        <v>16</v>
      </c>
      <c r="T63" s="26">
        <f t="shared" si="2"/>
        <v>120</v>
      </c>
      <c r="U63" s="26">
        <v>1</v>
      </c>
      <c r="V63" s="26">
        <v>0</v>
      </c>
      <c r="W63" s="26">
        <f t="shared" si="3"/>
        <v>72</v>
      </c>
      <c r="X63" s="26">
        <v>0</v>
      </c>
      <c r="Y63" s="26">
        <v>3</v>
      </c>
      <c r="Z63" s="61">
        <v>198</v>
      </c>
      <c r="AA63" s="26">
        <v>4</v>
      </c>
      <c r="AB63" s="61">
        <v>270</v>
      </c>
      <c r="AC63" s="27">
        <f t="shared" si="40"/>
        <v>0.60059171597633132</v>
      </c>
      <c r="AD63" s="62">
        <f t="shared" si="4"/>
        <v>0.5182648401826484</v>
      </c>
      <c r="AE63" s="63">
        <f t="shared" si="5"/>
        <v>0.82648401826484019</v>
      </c>
      <c r="AF63" s="65">
        <f t="shared" si="81"/>
        <v>0.60972334139135109</v>
      </c>
      <c r="AG63" s="66">
        <f t="shared" si="82"/>
        <v>0.97233413913510602</v>
      </c>
      <c r="AH63" s="24">
        <f t="shared" si="8"/>
        <v>0.51719745222929936</v>
      </c>
      <c r="AI63" s="36">
        <f t="shared" si="9"/>
        <v>0.86114649681528666</v>
      </c>
      <c r="AJ63" s="125">
        <f t="shared" si="83"/>
        <v>0.60846759085799929</v>
      </c>
      <c r="AK63" s="37">
        <f t="shared" si="11"/>
        <v>1.2852932788287859</v>
      </c>
    </row>
    <row r="64" spans="1:37" ht="17.25" thickBot="1" x14ac:dyDescent="0.3">
      <c r="A64" s="131" t="s">
        <v>130</v>
      </c>
      <c r="B64" s="132"/>
      <c r="C64" s="77">
        <f>SUM(C60:C63)</f>
        <v>3848</v>
      </c>
      <c r="D64" s="77">
        <f t="shared" ref="D64:AB64" si="84">SUM(D60:D63)</f>
        <v>3544</v>
      </c>
      <c r="E64" s="77">
        <f t="shared" si="84"/>
        <v>3207</v>
      </c>
      <c r="F64" s="77">
        <f t="shared" si="84"/>
        <v>7</v>
      </c>
      <c r="G64" s="77">
        <f t="shared" si="84"/>
        <v>144</v>
      </c>
      <c r="H64" s="77">
        <f t="shared" si="84"/>
        <v>840</v>
      </c>
      <c r="I64" s="77">
        <f t="shared" si="84"/>
        <v>3</v>
      </c>
      <c r="J64" s="77">
        <f t="shared" si="84"/>
        <v>32</v>
      </c>
      <c r="K64" s="77">
        <f t="shared" si="84"/>
        <v>300</v>
      </c>
      <c r="L64" s="77">
        <f t="shared" si="84"/>
        <v>40</v>
      </c>
      <c r="M64" s="77">
        <f t="shared" si="84"/>
        <v>8</v>
      </c>
      <c r="N64" s="77">
        <f t="shared" si="84"/>
        <v>744</v>
      </c>
      <c r="O64" s="77">
        <f t="shared" si="84"/>
        <v>16</v>
      </c>
      <c r="P64" s="77">
        <f t="shared" si="84"/>
        <v>1961</v>
      </c>
      <c r="Q64" s="77">
        <f t="shared" si="84"/>
        <v>1.896070351749553</v>
      </c>
      <c r="R64" s="77">
        <f t="shared" si="84"/>
        <v>7</v>
      </c>
      <c r="S64" s="77">
        <f t="shared" si="84"/>
        <v>144</v>
      </c>
      <c r="T64" s="77">
        <f t="shared" si="84"/>
        <v>672</v>
      </c>
      <c r="U64" s="77">
        <f t="shared" si="84"/>
        <v>3</v>
      </c>
      <c r="V64" s="77">
        <f t="shared" si="84"/>
        <v>32</v>
      </c>
      <c r="W64" s="77">
        <f t="shared" si="84"/>
        <v>240</v>
      </c>
      <c r="X64" s="77">
        <f t="shared" si="84"/>
        <v>40</v>
      </c>
      <c r="Y64" s="77">
        <f t="shared" si="84"/>
        <v>8</v>
      </c>
      <c r="Z64" s="77">
        <f t="shared" si="84"/>
        <v>744</v>
      </c>
      <c r="AA64" s="77">
        <f t="shared" si="84"/>
        <v>16</v>
      </c>
      <c r="AB64" s="77">
        <f t="shared" si="84"/>
        <v>1961</v>
      </c>
      <c r="AC64" s="78"/>
      <c r="AD64" s="79">
        <f t="shared" si="4"/>
        <v>0.54573804573804574</v>
      </c>
      <c r="AE64" s="80">
        <f t="shared" si="5"/>
        <v>1.0553534303534304</v>
      </c>
      <c r="AF64" s="84">
        <f t="shared" si="81"/>
        <v>0.64204475969181862</v>
      </c>
      <c r="AG64" s="85">
        <f t="shared" si="82"/>
        <v>1.2415922710040359</v>
      </c>
      <c r="AH64" s="108">
        <f t="shared" si="8"/>
        <v>0.52821670428893908</v>
      </c>
      <c r="AI64" s="109">
        <f t="shared" si="9"/>
        <v>1.0815462753950338</v>
      </c>
      <c r="AJ64" s="126">
        <f t="shared" si="83"/>
        <v>0.6214314168105165</v>
      </c>
      <c r="AK64" s="111">
        <f t="shared" si="11"/>
        <v>1.6142481722313937</v>
      </c>
    </row>
    <row r="65" spans="1:37" ht="17.25" thickBot="1" x14ac:dyDescent="0.3">
      <c r="A65" s="139" t="s">
        <v>66</v>
      </c>
      <c r="B65" s="16" t="s">
        <v>67</v>
      </c>
      <c r="C65" s="5">
        <v>2143</v>
      </c>
      <c r="D65" s="5">
        <v>1965</v>
      </c>
      <c r="E65" s="5">
        <v>1755</v>
      </c>
      <c r="F65" s="2">
        <v>5</v>
      </c>
      <c r="G65" s="2">
        <v>48</v>
      </c>
      <c r="H65" s="2">
        <v>540</v>
      </c>
      <c r="I65" s="2">
        <v>3</v>
      </c>
      <c r="J65" s="2">
        <v>62</v>
      </c>
      <c r="K65" s="2">
        <v>390</v>
      </c>
      <c r="L65" s="2">
        <v>20</v>
      </c>
      <c r="M65" s="2">
        <v>4</v>
      </c>
      <c r="N65" s="9">
        <v>536</v>
      </c>
      <c r="O65" s="2">
        <v>6</v>
      </c>
      <c r="P65" s="9">
        <v>499</v>
      </c>
      <c r="Q65" s="12">
        <f t="shared" si="39"/>
        <v>0.75951807228915658</v>
      </c>
      <c r="R65" s="23">
        <v>5</v>
      </c>
      <c r="S65" s="23">
        <v>48</v>
      </c>
      <c r="T65" s="23">
        <v>432</v>
      </c>
      <c r="U65" s="23">
        <v>3</v>
      </c>
      <c r="V65" s="23">
        <v>56</v>
      </c>
      <c r="W65" s="23">
        <v>318</v>
      </c>
      <c r="X65" s="23">
        <v>20</v>
      </c>
      <c r="Y65" s="23">
        <v>4</v>
      </c>
      <c r="Z65" s="60">
        <v>536</v>
      </c>
      <c r="AA65" s="23">
        <v>6</v>
      </c>
      <c r="AB65" s="60">
        <v>499</v>
      </c>
      <c r="AC65" s="24">
        <f t="shared" si="40"/>
        <v>0.7358390682901006</v>
      </c>
      <c r="AD65" s="12">
        <f t="shared" si="4"/>
        <v>0.74475034997666822</v>
      </c>
      <c r="AE65" s="33">
        <f t="shared" si="5"/>
        <v>0.97760149323378442</v>
      </c>
      <c r="AF65" s="69">
        <f>(G65+H65+J65+K65+N65+L65)/(C65*0.79)</f>
        <v>0.94272196199578251</v>
      </c>
      <c r="AG65" s="34">
        <f>(G65+H65+J65+K65+N65+P65+L65)/(C65*0.79)</f>
        <v>1.237470244599727</v>
      </c>
      <c r="AH65" s="24">
        <f t="shared" si="8"/>
        <v>0.71755725190839692</v>
      </c>
      <c r="AI65" s="36">
        <f t="shared" si="9"/>
        <v>0.97150127226463101</v>
      </c>
      <c r="AJ65" s="72">
        <f>(S65+T65+V65+W65+X65+Z65)/(D65*0.79)</f>
        <v>0.90830031887138851</v>
      </c>
      <c r="AK65" s="37">
        <f t="shared" si="11"/>
        <v>1.4500018989024341</v>
      </c>
    </row>
    <row r="66" spans="1:37" ht="17.25" thickBot="1" x14ac:dyDescent="0.3">
      <c r="A66" s="140"/>
      <c r="B66" s="19" t="s">
        <v>68</v>
      </c>
      <c r="C66" s="6">
        <v>1833</v>
      </c>
      <c r="D66" s="6">
        <v>1776</v>
      </c>
      <c r="E66" s="6">
        <v>1614</v>
      </c>
      <c r="F66" s="3">
        <v>5</v>
      </c>
      <c r="G66" s="3">
        <v>96</v>
      </c>
      <c r="H66" s="3">
        <v>420</v>
      </c>
      <c r="I66" s="3">
        <v>2</v>
      </c>
      <c r="J66" s="3">
        <v>80</v>
      </c>
      <c r="K66" s="3">
        <v>405</v>
      </c>
      <c r="L66" s="3">
        <v>0</v>
      </c>
      <c r="M66" s="3">
        <v>6</v>
      </c>
      <c r="N66" s="10">
        <v>401</v>
      </c>
      <c r="O66" s="3">
        <v>6</v>
      </c>
      <c r="P66" s="10">
        <v>820</v>
      </c>
      <c r="Q66" s="13">
        <f t="shared" si="39"/>
        <v>0.63096309630963099</v>
      </c>
      <c r="R66" s="22">
        <v>5</v>
      </c>
      <c r="S66" s="22">
        <v>96</v>
      </c>
      <c r="T66" s="22">
        <v>336</v>
      </c>
      <c r="U66" s="22">
        <v>2</v>
      </c>
      <c r="V66" s="22">
        <v>80</v>
      </c>
      <c r="W66" s="22">
        <v>336</v>
      </c>
      <c r="X66" s="22">
        <v>0</v>
      </c>
      <c r="Y66" s="22">
        <v>6</v>
      </c>
      <c r="Z66" s="30">
        <v>401</v>
      </c>
      <c r="AA66" s="22">
        <v>6</v>
      </c>
      <c r="AB66" s="30">
        <v>820</v>
      </c>
      <c r="AC66" s="25">
        <f t="shared" si="40"/>
        <v>0.60367327211213151</v>
      </c>
      <c r="AD66" s="12">
        <f t="shared" si="4"/>
        <v>0.76486633933442449</v>
      </c>
      <c r="AE66" s="33">
        <f t="shared" si="5"/>
        <v>1.2122204037097655</v>
      </c>
      <c r="AF66" s="69">
        <f t="shared" ref="AF66:AF70" si="85">(G66+H66+J66+K66+N66+L66)/(C66*0.79)</f>
        <v>0.9681852396638283</v>
      </c>
      <c r="AG66" s="34">
        <f t="shared" ref="AG66:AG70" si="86">(G66+H66+J66+K66+N66+P66+L66)/(C66*0.79)</f>
        <v>1.5344562072275509</v>
      </c>
      <c r="AH66" s="24">
        <f t="shared" si="8"/>
        <v>0.70326576576576572</v>
      </c>
      <c r="AI66" s="36">
        <f t="shared" si="9"/>
        <v>1.1649774774774775</v>
      </c>
      <c r="AJ66" s="72">
        <f t="shared" ref="AJ66:AJ70" si="87">(S66+T66+V66+W66+X66+Z66)/(D66*0.79)</f>
        <v>0.89020983008324783</v>
      </c>
      <c r="AK66" s="37">
        <f t="shared" si="11"/>
        <v>1.7387723544439961</v>
      </c>
    </row>
    <row r="67" spans="1:37" ht="17.25" thickBot="1" x14ac:dyDescent="0.3">
      <c r="A67" s="140"/>
      <c r="B67" s="120" t="s">
        <v>69</v>
      </c>
      <c r="C67" s="6">
        <v>626</v>
      </c>
      <c r="D67" s="6">
        <v>597</v>
      </c>
      <c r="E67" s="6">
        <v>538</v>
      </c>
      <c r="F67" s="3">
        <v>2</v>
      </c>
      <c r="G67" s="3">
        <v>16</v>
      </c>
      <c r="H67" s="3">
        <v>270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10">
        <v>0</v>
      </c>
      <c r="O67" s="3">
        <v>1</v>
      </c>
      <c r="P67" s="10">
        <v>53</v>
      </c>
      <c r="Q67" s="13">
        <f t="shared" si="39"/>
        <v>0.84365781710914456</v>
      </c>
      <c r="R67" s="22">
        <v>2</v>
      </c>
      <c r="S67" s="22">
        <v>16</v>
      </c>
      <c r="T67" s="22">
        <f t="shared" si="2"/>
        <v>216</v>
      </c>
      <c r="U67" s="22">
        <v>0</v>
      </c>
      <c r="V67" s="22">
        <v>0</v>
      </c>
      <c r="W67" s="22">
        <f t="shared" si="3"/>
        <v>0</v>
      </c>
      <c r="X67" s="22">
        <v>0</v>
      </c>
      <c r="Y67" s="22">
        <v>0</v>
      </c>
      <c r="Z67" s="30">
        <v>0</v>
      </c>
      <c r="AA67" s="22">
        <v>1</v>
      </c>
      <c r="AB67" s="30">
        <v>53</v>
      </c>
      <c r="AC67" s="25">
        <f t="shared" si="40"/>
        <v>0.81403508771929822</v>
      </c>
      <c r="AD67" s="12">
        <f t="shared" si="4"/>
        <v>0.45686900958466453</v>
      </c>
      <c r="AE67" s="33">
        <f t="shared" si="5"/>
        <v>0.54153354632587858</v>
      </c>
      <c r="AF67" s="58">
        <f t="shared" si="85"/>
        <v>0.57831520200590447</v>
      </c>
      <c r="AG67" s="34">
        <f t="shared" si="86"/>
        <v>0.68548550167832734</v>
      </c>
      <c r="AH67" s="24">
        <f t="shared" si="8"/>
        <v>0.38860971524288107</v>
      </c>
      <c r="AI67" s="36">
        <f t="shared" si="9"/>
        <v>0.47738693467336685</v>
      </c>
      <c r="AJ67" s="125">
        <f t="shared" si="87"/>
        <v>0.491911031953014</v>
      </c>
      <c r="AK67" s="37">
        <f t="shared" si="11"/>
        <v>0.71251781294532357</v>
      </c>
    </row>
    <row r="68" spans="1:37" ht="17.25" thickBot="1" x14ac:dyDescent="0.3">
      <c r="A68" s="140"/>
      <c r="B68" s="19" t="s">
        <v>70</v>
      </c>
      <c r="C68" s="6">
        <v>2474</v>
      </c>
      <c r="D68" s="6">
        <v>2296</v>
      </c>
      <c r="E68" s="6">
        <v>2084</v>
      </c>
      <c r="F68" s="3">
        <v>4</v>
      </c>
      <c r="G68" s="3">
        <v>80</v>
      </c>
      <c r="H68" s="3">
        <v>450</v>
      </c>
      <c r="I68" s="3">
        <v>4</v>
      </c>
      <c r="J68" s="3">
        <v>96</v>
      </c>
      <c r="K68" s="3">
        <v>570</v>
      </c>
      <c r="L68" s="3">
        <v>0</v>
      </c>
      <c r="M68" s="3">
        <v>9</v>
      </c>
      <c r="N68" s="10">
        <v>708</v>
      </c>
      <c r="O68" s="3">
        <v>9</v>
      </c>
      <c r="P68" s="10">
        <v>1201</v>
      </c>
      <c r="Q68" s="13">
        <f t="shared" si="39"/>
        <v>0.61320450885668276</v>
      </c>
      <c r="R68" s="22">
        <v>4</v>
      </c>
      <c r="S68" s="22">
        <v>80</v>
      </c>
      <c r="T68" s="22">
        <v>360</v>
      </c>
      <c r="U68" s="22">
        <v>4</v>
      </c>
      <c r="V68" s="22">
        <v>80</v>
      </c>
      <c r="W68" s="22">
        <f t="shared" si="3"/>
        <v>456</v>
      </c>
      <c r="X68" s="22">
        <v>0</v>
      </c>
      <c r="Y68" s="22">
        <v>9</v>
      </c>
      <c r="Z68" s="30">
        <v>708</v>
      </c>
      <c r="AA68" s="22">
        <v>9</v>
      </c>
      <c r="AB68" s="30">
        <v>1201</v>
      </c>
      <c r="AC68" s="25">
        <f t="shared" si="40"/>
        <v>0.58370883882149049</v>
      </c>
      <c r="AD68" s="12">
        <f t="shared" si="4"/>
        <v>0.76960388035569927</v>
      </c>
      <c r="AE68" s="33">
        <f t="shared" si="5"/>
        <v>1.2550525464834277</v>
      </c>
      <c r="AF68" s="69">
        <f t="shared" si="85"/>
        <v>0.97418212703253071</v>
      </c>
      <c r="AG68" s="34">
        <f t="shared" si="86"/>
        <v>1.5886741094726933</v>
      </c>
      <c r="AH68" s="24">
        <f t="shared" si="8"/>
        <v>0.73344947735191635</v>
      </c>
      <c r="AI68" s="36">
        <f t="shared" si="9"/>
        <v>1.2565331010452963</v>
      </c>
      <c r="AJ68" s="72">
        <f t="shared" si="87"/>
        <v>0.92841705993913459</v>
      </c>
      <c r="AK68" s="37">
        <f t="shared" si="11"/>
        <v>1.8754225388735761</v>
      </c>
    </row>
    <row r="69" spans="1:37" ht="17.25" thickBot="1" x14ac:dyDescent="0.3">
      <c r="A69" s="141"/>
      <c r="B69" s="18" t="s">
        <v>85</v>
      </c>
      <c r="C69" s="7">
        <v>607</v>
      </c>
      <c r="D69" s="7">
        <v>550</v>
      </c>
      <c r="E69" s="7">
        <v>496</v>
      </c>
      <c r="F69" s="4">
        <v>3</v>
      </c>
      <c r="G69" s="4">
        <v>0</v>
      </c>
      <c r="H69" s="4">
        <v>180</v>
      </c>
      <c r="I69" s="4">
        <v>0</v>
      </c>
      <c r="J69" s="4">
        <v>0</v>
      </c>
      <c r="K69" s="4">
        <v>0</v>
      </c>
      <c r="L69" s="4">
        <v>0</v>
      </c>
      <c r="M69" s="4">
        <v>1</v>
      </c>
      <c r="N69" s="11">
        <v>235</v>
      </c>
      <c r="O69" s="4">
        <v>1</v>
      </c>
      <c r="P69" s="11">
        <v>280</v>
      </c>
      <c r="Q69" s="14">
        <f t="shared" si="39"/>
        <v>0.59712230215827333</v>
      </c>
      <c r="R69" s="26">
        <v>3</v>
      </c>
      <c r="S69" s="26">
        <v>0</v>
      </c>
      <c r="T69" s="26">
        <f t="shared" si="2"/>
        <v>144</v>
      </c>
      <c r="U69" s="26">
        <v>0</v>
      </c>
      <c r="V69" s="26">
        <v>0</v>
      </c>
      <c r="W69" s="26">
        <f t="shared" si="3"/>
        <v>0</v>
      </c>
      <c r="X69" s="26">
        <v>0</v>
      </c>
      <c r="Y69" s="26">
        <v>1</v>
      </c>
      <c r="Z69" s="61">
        <v>235</v>
      </c>
      <c r="AA69" s="26">
        <v>1</v>
      </c>
      <c r="AB69" s="61">
        <v>280</v>
      </c>
      <c r="AC69" s="27">
        <f t="shared" si="40"/>
        <v>0.57511380880121399</v>
      </c>
      <c r="AD69" s="62">
        <f t="shared" si="4"/>
        <v>0.68369028006589783</v>
      </c>
      <c r="AE69" s="63">
        <f t="shared" si="5"/>
        <v>1.1449752883031301</v>
      </c>
      <c r="AF69" s="71">
        <f t="shared" si="85"/>
        <v>0.86543073426063011</v>
      </c>
      <c r="AG69" s="66">
        <f t="shared" si="86"/>
        <v>1.4493358079786456</v>
      </c>
      <c r="AH69" s="24">
        <f t="shared" si="8"/>
        <v>0.68909090909090909</v>
      </c>
      <c r="AI69" s="36">
        <f t="shared" si="9"/>
        <v>1.1981818181818182</v>
      </c>
      <c r="AJ69" s="72">
        <f t="shared" si="87"/>
        <v>0.87226697353279636</v>
      </c>
      <c r="AK69" s="37">
        <f t="shared" si="11"/>
        <v>1.7883310719131615</v>
      </c>
    </row>
    <row r="70" spans="1:37" ht="17.25" thickBot="1" x14ac:dyDescent="0.3">
      <c r="A70" s="131" t="s">
        <v>131</v>
      </c>
      <c r="B70" s="132"/>
      <c r="C70" s="77">
        <f>SUM(C65:C69)</f>
        <v>7683</v>
      </c>
      <c r="D70" s="77">
        <f t="shared" ref="D70:AB70" si="88">SUM(D65:D69)</f>
        <v>7184</v>
      </c>
      <c r="E70" s="77">
        <f t="shared" si="88"/>
        <v>6487</v>
      </c>
      <c r="F70" s="77">
        <f t="shared" si="88"/>
        <v>19</v>
      </c>
      <c r="G70" s="77">
        <f t="shared" si="88"/>
        <v>240</v>
      </c>
      <c r="H70" s="77">
        <f t="shared" si="88"/>
        <v>1860</v>
      </c>
      <c r="I70" s="77">
        <f t="shared" si="88"/>
        <v>9</v>
      </c>
      <c r="J70" s="77">
        <f t="shared" si="88"/>
        <v>238</v>
      </c>
      <c r="K70" s="77">
        <f t="shared" si="88"/>
        <v>1365</v>
      </c>
      <c r="L70" s="77">
        <f t="shared" si="88"/>
        <v>20</v>
      </c>
      <c r="M70" s="77">
        <f t="shared" si="88"/>
        <v>20</v>
      </c>
      <c r="N70" s="77">
        <f t="shared" si="88"/>
        <v>1880</v>
      </c>
      <c r="O70" s="77">
        <f t="shared" si="88"/>
        <v>23</v>
      </c>
      <c r="P70" s="77">
        <f t="shared" si="88"/>
        <v>2853</v>
      </c>
      <c r="Q70" s="77">
        <f t="shared" si="88"/>
        <v>3.4444657967228882</v>
      </c>
      <c r="R70" s="77">
        <f t="shared" si="88"/>
        <v>19</v>
      </c>
      <c r="S70" s="77">
        <f t="shared" si="88"/>
        <v>240</v>
      </c>
      <c r="T70" s="77">
        <f t="shared" si="88"/>
        <v>1488</v>
      </c>
      <c r="U70" s="77">
        <f t="shared" si="88"/>
        <v>9</v>
      </c>
      <c r="V70" s="77">
        <f t="shared" si="88"/>
        <v>216</v>
      </c>
      <c r="W70" s="77">
        <f t="shared" si="88"/>
        <v>1110</v>
      </c>
      <c r="X70" s="77">
        <f t="shared" si="88"/>
        <v>20</v>
      </c>
      <c r="Y70" s="77">
        <f t="shared" si="88"/>
        <v>20</v>
      </c>
      <c r="Z70" s="77">
        <f t="shared" si="88"/>
        <v>1880</v>
      </c>
      <c r="AA70" s="77">
        <f t="shared" si="88"/>
        <v>23</v>
      </c>
      <c r="AB70" s="77">
        <f t="shared" si="88"/>
        <v>2853</v>
      </c>
      <c r="AC70" s="78"/>
      <c r="AD70" s="79">
        <f t="shared" si="4"/>
        <v>0.72927241962774958</v>
      </c>
      <c r="AE70" s="80">
        <f t="shared" si="5"/>
        <v>1.1006117402056488</v>
      </c>
      <c r="AF70" s="89">
        <f t="shared" si="85"/>
        <v>0.92312964509841711</v>
      </c>
      <c r="AG70" s="85">
        <f t="shared" si="86"/>
        <v>1.3931794179818338</v>
      </c>
      <c r="AH70" s="108">
        <f t="shared" si="8"/>
        <v>0.68958797327394206</v>
      </c>
      <c r="AI70" s="109">
        <f t="shared" si="9"/>
        <v>1.0867204899777283</v>
      </c>
      <c r="AJ70" s="110">
        <f t="shared" si="87"/>
        <v>0.87289616870119247</v>
      </c>
      <c r="AK70" s="111">
        <f t="shared" si="11"/>
        <v>1.6219708805637734</v>
      </c>
    </row>
    <row r="71" spans="1:37" ht="17.25" thickBot="1" x14ac:dyDescent="0.3">
      <c r="A71" s="139" t="s">
        <v>79</v>
      </c>
      <c r="B71" s="121" t="s">
        <v>72</v>
      </c>
      <c r="C71" s="5">
        <v>1768</v>
      </c>
      <c r="D71" s="5">
        <v>1723</v>
      </c>
      <c r="E71" s="5">
        <v>1626</v>
      </c>
      <c r="F71" s="2">
        <v>3</v>
      </c>
      <c r="G71" s="2">
        <v>64</v>
      </c>
      <c r="H71" s="2">
        <v>390</v>
      </c>
      <c r="I71" s="2">
        <v>1</v>
      </c>
      <c r="J71" s="2">
        <v>32</v>
      </c>
      <c r="K71" s="2">
        <v>113</v>
      </c>
      <c r="L71" s="2">
        <v>0</v>
      </c>
      <c r="M71" s="2">
        <v>7</v>
      </c>
      <c r="N71" s="9">
        <v>370</v>
      </c>
      <c r="O71" s="2">
        <v>3</v>
      </c>
      <c r="P71" s="9">
        <v>277</v>
      </c>
      <c r="Q71" s="12">
        <f t="shared" si="39"/>
        <v>0.7776886035313002</v>
      </c>
      <c r="R71" s="23">
        <v>3</v>
      </c>
      <c r="S71" s="23">
        <v>64</v>
      </c>
      <c r="T71" s="23">
        <v>312</v>
      </c>
      <c r="U71" s="23">
        <v>1</v>
      </c>
      <c r="V71" s="23">
        <v>30</v>
      </c>
      <c r="W71" s="23">
        <v>92</v>
      </c>
      <c r="X71" s="23">
        <v>0</v>
      </c>
      <c r="Y71" s="23">
        <v>7</v>
      </c>
      <c r="Z71" s="60">
        <v>370</v>
      </c>
      <c r="AA71" s="23">
        <v>3</v>
      </c>
      <c r="AB71" s="60">
        <v>277</v>
      </c>
      <c r="AC71" s="24">
        <f t="shared" si="40"/>
        <v>0.75807860262008731</v>
      </c>
      <c r="AD71" s="12">
        <f t="shared" si="4"/>
        <v>0.54807692307692313</v>
      </c>
      <c r="AE71" s="33">
        <f t="shared" si="5"/>
        <v>0.70475113122171951</v>
      </c>
      <c r="AF71" s="12">
        <f>(G71+H71+J71+K71+N71+L71)/(C71*0.78)</f>
        <v>0.7026627218934911</v>
      </c>
      <c r="AG71" s="34">
        <f>(G71+H71+J71+K71+N71+P71+L71)/(C71*0.78)</f>
        <v>0.90352709130989672</v>
      </c>
      <c r="AH71" s="24">
        <f t="shared" si="8"/>
        <v>0.50377248984329659</v>
      </c>
      <c r="AI71" s="36">
        <f t="shared" si="9"/>
        <v>0.66453859547301219</v>
      </c>
      <c r="AJ71" s="125">
        <f>(S71+T71+V71+W71+X71+Z71)/(D71*0.78)</f>
        <v>0.64586216646576478</v>
      </c>
      <c r="AK71" s="37">
        <f t="shared" si="11"/>
        <v>0.99184864995971966</v>
      </c>
    </row>
    <row r="72" spans="1:37" ht="17.25" thickBot="1" x14ac:dyDescent="0.3">
      <c r="A72" s="140"/>
      <c r="B72" s="19" t="s">
        <v>73</v>
      </c>
      <c r="C72" s="6">
        <v>1236</v>
      </c>
      <c r="D72" s="6">
        <v>1166</v>
      </c>
      <c r="E72" s="6">
        <v>1060</v>
      </c>
      <c r="F72" s="3">
        <v>3</v>
      </c>
      <c r="G72" s="3">
        <v>64</v>
      </c>
      <c r="H72" s="3">
        <v>420</v>
      </c>
      <c r="I72" s="3">
        <v>0</v>
      </c>
      <c r="J72" s="3">
        <v>0</v>
      </c>
      <c r="K72" s="3">
        <v>0</v>
      </c>
      <c r="L72" s="3">
        <v>0</v>
      </c>
      <c r="M72" s="3">
        <v>4</v>
      </c>
      <c r="N72" s="10">
        <v>257</v>
      </c>
      <c r="O72" s="3">
        <v>3</v>
      </c>
      <c r="P72" s="10">
        <v>668</v>
      </c>
      <c r="Q72" s="13">
        <f t="shared" si="39"/>
        <v>0.52590489709013488</v>
      </c>
      <c r="R72" s="22">
        <v>3</v>
      </c>
      <c r="S72" s="22">
        <v>64</v>
      </c>
      <c r="T72" s="22">
        <f t="shared" si="2"/>
        <v>336</v>
      </c>
      <c r="U72" s="22">
        <v>0</v>
      </c>
      <c r="V72" s="22">
        <v>0</v>
      </c>
      <c r="W72" s="22">
        <f t="shared" si="3"/>
        <v>0</v>
      </c>
      <c r="X72" s="22">
        <v>0</v>
      </c>
      <c r="Y72" s="22">
        <v>4</v>
      </c>
      <c r="Z72" s="30">
        <v>257</v>
      </c>
      <c r="AA72" s="22">
        <v>3</v>
      </c>
      <c r="AB72" s="30">
        <v>668</v>
      </c>
      <c r="AC72" s="25">
        <f t="shared" si="40"/>
        <v>0.4958490566037736</v>
      </c>
      <c r="AD72" s="12">
        <f t="shared" si="4"/>
        <v>0.59951456310679607</v>
      </c>
      <c r="AE72" s="33">
        <f t="shared" si="5"/>
        <v>1.139967637540453</v>
      </c>
      <c r="AF72" s="69">
        <f t="shared" ref="AF72:AF78" si="89">(G72+H72+J72+K72+N72+L72)/(C72*0.78)</f>
        <v>0.76860841423948212</v>
      </c>
      <c r="AG72" s="34">
        <f t="shared" ref="AG72:AG78" si="90">(G72+H72+J72+K72+N72+P72+L72)/(C72*0.78)</f>
        <v>1.4614969712057091</v>
      </c>
      <c r="AH72" s="24">
        <f t="shared" ref="AH72:AH87" si="91">(S72+T72+V72+W72+X72+Z72)/D72</f>
        <v>0.56346483704974271</v>
      </c>
      <c r="AI72" s="36">
        <f t="shared" ref="AI72:AI87" si="92">(S72+T72+V72+W72+X72+Z72+AB72)/D72</f>
        <v>1.1363636363636365</v>
      </c>
      <c r="AJ72" s="72">
        <f t="shared" ref="AJ72:AJ78" si="93">(S72+T72+V72+W72+X72+Z72)/(D72*0.78)</f>
        <v>0.72239081673043937</v>
      </c>
      <c r="AK72" s="37">
        <f t="shared" ref="AK72:AK87" si="94">(S72+T72+V72+W72+X72+Z72+AB72)/(D72*0.67)</f>
        <v>1.6960651289009498</v>
      </c>
    </row>
    <row r="73" spans="1:37" ht="17.25" thickBot="1" x14ac:dyDescent="0.3">
      <c r="A73" s="140"/>
      <c r="B73" s="19" t="s">
        <v>74</v>
      </c>
      <c r="C73" s="6">
        <v>988</v>
      </c>
      <c r="D73" s="6">
        <v>934</v>
      </c>
      <c r="E73" s="6">
        <v>865</v>
      </c>
      <c r="F73" s="3">
        <v>2</v>
      </c>
      <c r="G73" s="3">
        <v>48</v>
      </c>
      <c r="H73" s="3">
        <v>210</v>
      </c>
      <c r="I73" s="3">
        <v>1</v>
      </c>
      <c r="J73" s="3">
        <v>16</v>
      </c>
      <c r="K73" s="3">
        <v>90</v>
      </c>
      <c r="L73" s="3">
        <v>0</v>
      </c>
      <c r="M73" s="3">
        <v>3</v>
      </c>
      <c r="N73" s="10">
        <v>308</v>
      </c>
      <c r="O73" s="3">
        <v>2</v>
      </c>
      <c r="P73" s="10">
        <v>240</v>
      </c>
      <c r="Q73" s="13">
        <f t="shared" si="39"/>
        <v>0.73684210526315785</v>
      </c>
      <c r="R73" s="22">
        <v>2</v>
      </c>
      <c r="S73" s="22">
        <v>48</v>
      </c>
      <c r="T73" s="22">
        <f t="shared" si="2"/>
        <v>168</v>
      </c>
      <c r="U73" s="22">
        <v>1</v>
      </c>
      <c r="V73" s="22">
        <v>16</v>
      </c>
      <c r="W73" s="22">
        <f t="shared" si="3"/>
        <v>72</v>
      </c>
      <c r="X73" s="22">
        <v>0</v>
      </c>
      <c r="Y73" s="22">
        <v>3</v>
      </c>
      <c r="Z73" s="30">
        <v>308</v>
      </c>
      <c r="AA73" s="22">
        <v>2</v>
      </c>
      <c r="AB73" s="30">
        <v>240</v>
      </c>
      <c r="AC73" s="25">
        <f t="shared" si="40"/>
        <v>0.71830985915492962</v>
      </c>
      <c r="AD73" s="12">
        <f t="shared" si="4"/>
        <v>0.68016194331983804</v>
      </c>
      <c r="AE73" s="33">
        <f t="shared" si="5"/>
        <v>0.92307692307692313</v>
      </c>
      <c r="AF73" s="69">
        <f t="shared" si="89"/>
        <v>0.87200249143568986</v>
      </c>
      <c r="AG73" s="34">
        <f t="shared" si="90"/>
        <v>1.1834319526627219</v>
      </c>
      <c r="AH73" s="24">
        <f t="shared" si="91"/>
        <v>0.65524625267665948</v>
      </c>
      <c r="AI73" s="36">
        <f t="shared" si="92"/>
        <v>0.91220556745182013</v>
      </c>
      <c r="AJ73" s="72">
        <f t="shared" si="93"/>
        <v>0.84005929830340964</v>
      </c>
      <c r="AK73" s="37">
        <f t="shared" si="94"/>
        <v>1.361500846943015</v>
      </c>
    </row>
    <row r="74" spans="1:37" ht="17.25" thickBot="1" x14ac:dyDescent="0.3">
      <c r="A74" s="140"/>
      <c r="B74" s="19" t="s">
        <v>75</v>
      </c>
      <c r="C74" s="6">
        <v>976</v>
      </c>
      <c r="D74" s="6">
        <v>858</v>
      </c>
      <c r="E74" s="6">
        <v>806</v>
      </c>
      <c r="F74" s="3">
        <v>2</v>
      </c>
      <c r="G74" s="3">
        <v>32</v>
      </c>
      <c r="H74" s="3">
        <v>240</v>
      </c>
      <c r="I74" s="3">
        <v>0</v>
      </c>
      <c r="J74" s="3">
        <v>0</v>
      </c>
      <c r="K74" s="3">
        <v>0</v>
      </c>
      <c r="L74" s="3">
        <v>0</v>
      </c>
      <c r="M74" s="3">
        <v>4</v>
      </c>
      <c r="N74" s="10">
        <v>348</v>
      </c>
      <c r="O74" s="3">
        <v>7</v>
      </c>
      <c r="P74" s="10">
        <v>512</v>
      </c>
      <c r="Q74" s="13">
        <f t="shared" si="39"/>
        <v>0.54770318021201414</v>
      </c>
      <c r="R74" s="22">
        <v>2</v>
      </c>
      <c r="S74" s="22">
        <v>32</v>
      </c>
      <c r="T74" s="22">
        <f t="shared" si="2"/>
        <v>192</v>
      </c>
      <c r="U74" s="22">
        <v>0</v>
      </c>
      <c r="V74" s="22">
        <v>0</v>
      </c>
      <c r="W74" s="22">
        <f t="shared" si="3"/>
        <v>0</v>
      </c>
      <c r="X74" s="22">
        <v>0</v>
      </c>
      <c r="Y74" s="22">
        <v>4</v>
      </c>
      <c r="Z74" s="30">
        <v>348</v>
      </c>
      <c r="AA74" s="22">
        <v>7</v>
      </c>
      <c r="AB74" s="30">
        <v>512</v>
      </c>
      <c r="AC74" s="25">
        <f t="shared" si="40"/>
        <v>0.52767527675276749</v>
      </c>
      <c r="AD74" s="12">
        <f t="shared" si="4"/>
        <v>0.63524590163934425</v>
      </c>
      <c r="AE74" s="33">
        <f t="shared" si="5"/>
        <v>1.1598360655737705</v>
      </c>
      <c r="AF74" s="69">
        <f t="shared" si="89"/>
        <v>0.81441782261454398</v>
      </c>
      <c r="AG74" s="34">
        <f t="shared" si="90"/>
        <v>1.4869693148381673</v>
      </c>
      <c r="AH74" s="24">
        <f t="shared" si="91"/>
        <v>0.66666666666666663</v>
      </c>
      <c r="AI74" s="36">
        <f t="shared" si="92"/>
        <v>1.2634032634032635</v>
      </c>
      <c r="AJ74" s="72">
        <f t="shared" si="93"/>
        <v>0.85470085470085466</v>
      </c>
      <c r="AK74" s="37">
        <f t="shared" si="94"/>
        <v>1.8856765125421842</v>
      </c>
    </row>
    <row r="75" spans="1:37" ht="17.25" thickBot="1" x14ac:dyDescent="0.3">
      <c r="A75" s="140"/>
      <c r="B75" s="19" t="s">
        <v>76</v>
      </c>
      <c r="C75" s="6">
        <v>848</v>
      </c>
      <c r="D75" s="6">
        <v>789</v>
      </c>
      <c r="E75" s="6">
        <v>718</v>
      </c>
      <c r="F75" s="3">
        <v>3</v>
      </c>
      <c r="G75" s="3">
        <v>64</v>
      </c>
      <c r="H75" s="3">
        <v>420</v>
      </c>
      <c r="I75" s="3">
        <v>0</v>
      </c>
      <c r="J75" s="3">
        <v>0</v>
      </c>
      <c r="K75" s="3">
        <v>0</v>
      </c>
      <c r="L75" s="3">
        <v>0</v>
      </c>
      <c r="M75" s="3">
        <v>3</v>
      </c>
      <c r="N75" s="10">
        <v>107</v>
      </c>
      <c r="O75" s="3">
        <v>4</v>
      </c>
      <c r="P75" s="10">
        <v>255</v>
      </c>
      <c r="Q75" s="13">
        <f t="shared" si="39"/>
        <v>0.6985815602836879</v>
      </c>
      <c r="R75" s="22">
        <v>3</v>
      </c>
      <c r="S75" s="22">
        <v>64</v>
      </c>
      <c r="T75" s="22">
        <f t="shared" si="2"/>
        <v>336</v>
      </c>
      <c r="U75" s="22">
        <v>0</v>
      </c>
      <c r="V75" s="22">
        <v>0</v>
      </c>
      <c r="W75" s="22">
        <f t="shared" si="3"/>
        <v>0</v>
      </c>
      <c r="X75" s="22">
        <v>0</v>
      </c>
      <c r="Y75" s="22">
        <v>3</v>
      </c>
      <c r="Z75" s="30">
        <v>107</v>
      </c>
      <c r="AA75" s="22">
        <v>4</v>
      </c>
      <c r="AB75" s="30">
        <v>255</v>
      </c>
      <c r="AC75" s="25">
        <f t="shared" si="40"/>
        <v>0.66535433070866146</v>
      </c>
      <c r="AD75" s="12">
        <f t="shared" si="4"/>
        <v>0.69693396226415094</v>
      </c>
      <c r="AE75" s="33">
        <f t="shared" si="5"/>
        <v>0.99764150943396224</v>
      </c>
      <c r="AF75" s="69">
        <f t="shared" si="89"/>
        <v>0.89350507982583449</v>
      </c>
      <c r="AG75" s="34">
        <f t="shared" si="90"/>
        <v>1.2790275761973875</v>
      </c>
      <c r="AH75" s="24">
        <f t="shared" si="91"/>
        <v>0.64258555133079853</v>
      </c>
      <c r="AI75" s="36">
        <f t="shared" si="92"/>
        <v>0.96577946768060841</v>
      </c>
      <c r="AJ75" s="72">
        <f t="shared" si="93"/>
        <v>0.82382762991128</v>
      </c>
      <c r="AK75" s="37">
        <f t="shared" si="94"/>
        <v>1.4414618920606095</v>
      </c>
    </row>
    <row r="76" spans="1:37" ht="17.25" thickBot="1" x14ac:dyDescent="0.3">
      <c r="A76" s="140"/>
      <c r="B76" s="120" t="s">
        <v>77</v>
      </c>
      <c r="C76" s="6">
        <v>1706</v>
      </c>
      <c r="D76" s="6">
        <v>1577</v>
      </c>
      <c r="E76" s="6">
        <v>1386</v>
      </c>
      <c r="F76" s="3">
        <v>1</v>
      </c>
      <c r="G76" s="3">
        <v>0</v>
      </c>
      <c r="H76" s="3">
        <v>90</v>
      </c>
      <c r="I76" s="3">
        <v>3</v>
      </c>
      <c r="J76" s="3">
        <v>64</v>
      </c>
      <c r="K76" s="3">
        <v>390</v>
      </c>
      <c r="L76" s="3">
        <v>77</v>
      </c>
      <c r="M76" s="3">
        <v>1</v>
      </c>
      <c r="N76" s="10">
        <v>99</v>
      </c>
      <c r="O76" s="3">
        <v>11</v>
      </c>
      <c r="P76" s="10">
        <v>1176</v>
      </c>
      <c r="Q76" s="13">
        <f t="shared" si="39"/>
        <v>0.35349092908191315</v>
      </c>
      <c r="R76" s="22">
        <v>1</v>
      </c>
      <c r="S76" s="22">
        <v>0</v>
      </c>
      <c r="T76" s="22">
        <f t="shared" si="2"/>
        <v>72</v>
      </c>
      <c r="U76" s="22">
        <v>3</v>
      </c>
      <c r="V76" s="22">
        <v>64</v>
      </c>
      <c r="W76" s="22">
        <v>336</v>
      </c>
      <c r="X76" s="22">
        <v>77</v>
      </c>
      <c r="Y76" s="22">
        <v>1</v>
      </c>
      <c r="Z76" s="30">
        <v>99</v>
      </c>
      <c r="AA76" s="22">
        <v>11</v>
      </c>
      <c r="AB76" s="30">
        <v>1176</v>
      </c>
      <c r="AC76" s="25">
        <f t="shared" si="40"/>
        <v>0.32684602175157412</v>
      </c>
      <c r="AD76" s="12">
        <f t="shared" si="4"/>
        <v>0.4220398593200469</v>
      </c>
      <c r="AE76" s="33">
        <f t="shared" si="5"/>
        <v>1.1113716295427902</v>
      </c>
      <c r="AF76" s="58">
        <f t="shared" si="89"/>
        <v>0.54107674271800876</v>
      </c>
      <c r="AG76" s="34">
        <f t="shared" si="90"/>
        <v>1.4248354224907565</v>
      </c>
      <c r="AH76" s="24">
        <f t="shared" si="91"/>
        <v>0.41090678503487632</v>
      </c>
      <c r="AI76" s="36">
        <f t="shared" si="92"/>
        <v>1.1566265060240963</v>
      </c>
      <c r="AJ76" s="125">
        <f t="shared" si="93"/>
        <v>0.5268035705575338</v>
      </c>
      <c r="AK76" s="37">
        <f t="shared" si="94"/>
        <v>1.7263082179464122</v>
      </c>
    </row>
    <row r="77" spans="1:37" ht="17.25" thickBot="1" x14ac:dyDescent="0.3">
      <c r="A77" s="141"/>
      <c r="B77" s="122" t="s">
        <v>78</v>
      </c>
      <c r="C77" s="7">
        <v>382</v>
      </c>
      <c r="D77" s="7">
        <v>378</v>
      </c>
      <c r="E77" s="7">
        <v>351</v>
      </c>
      <c r="F77" s="4">
        <v>4</v>
      </c>
      <c r="G77" s="4">
        <v>16</v>
      </c>
      <c r="H77" s="4">
        <v>150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11">
        <v>0</v>
      </c>
      <c r="O77" s="4">
        <v>2</v>
      </c>
      <c r="P77" s="11">
        <v>360</v>
      </c>
      <c r="Q77" s="14">
        <f t="shared" si="39"/>
        <v>0.31558935361216728</v>
      </c>
      <c r="R77" s="26">
        <v>4</v>
      </c>
      <c r="S77" s="26">
        <v>16</v>
      </c>
      <c r="T77" s="26">
        <f t="shared" si="2"/>
        <v>120</v>
      </c>
      <c r="U77" s="26">
        <v>0</v>
      </c>
      <c r="V77" s="26">
        <v>0</v>
      </c>
      <c r="W77" s="26">
        <f t="shared" si="3"/>
        <v>0</v>
      </c>
      <c r="X77" s="26">
        <v>0</v>
      </c>
      <c r="Y77" s="26">
        <v>0</v>
      </c>
      <c r="Z77" s="61">
        <v>0</v>
      </c>
      <c r="AA77" s="26">
        <v>2</v>
      </c>
      <c r="AB77" s="61">
        <v>360</v>
      </c>
      <c r="AC77" s="27">
        <f t="shared" si="40"/>
        <v>0.27419354838709675</v>
      </c>
      <c r="AD77" s="62">
        <f t="shared" si="4"/>
        <v>0.43455497382198954</v>
      </c>
      <c r="AE77" s="63">
        <f t="shared" si="5"/>
        <v>1.3769633507853403</v>
      </c>
      <c r="AF77" s="65">
        <f t="shared" si="89"/>
        <v>0.55712176131024294</v>
      </c>
      <c r="AG77" s="66">
        <f t="shared" si="90"/>
        <v>1.7653376292119745</v>
      </c>
      <c r="AH77" s="24">
        <f t="shared" si="91"/>
        <v>0.35978835978835977</v>
      </c>
      <c r="AI77" s="36">
        <f t="shared" si="92"/>
        <v>1.3121693121693121</v>
      </c>
      <c r="AJ77" s="125">
        <f t="shared" si="93"/>
        <v>0.46126712793379454</v>
      </c>
      <c r="AK77" s="37">
        <f t="shared" si="94"/>
        <v>1.9584616599541971</v>
      </c>
    </row>
    <row r="78" spans="1:37" ht="17.25" thickBot="1" x14ac:dyDescent="0.3">
      <c r="A78" s="131" t="s">
        <v>132</v>
      </c>
      <c r="B78" s="132"/>
      <c r="C78" s="77">
        <f>SUM(C71:C77)</f>
        <v>7904</v>
      </c>
      <c r="D78" s="77">
        <f t="shared" ref="D78:AC78" si="95">SUM(D71:D77)</f>
        <v>7425</v>
      </c>
      <c r="E78" s="77">
        <f t="shared" si="95"/>
        <v>6812</v>
      </c>
      <c r="F78" s="77">
        <f t="shared" si="95"/>
        <v>18</v>
      </c>
      <c r="G78" s="77">
        <f t="shared" si="95"/>
        <v>288</v>
      </c>
      <c r="H78" s="77">
        <f t="shared" si="95"/>
        <v>1920</v>
      </c>
      <c r="I78" s="77">
        <f t="shared" si="95"/>
        <v>5</v>
      </c>
      <c r="J78" s="77">
        <f t="shared" si="95"/>
        <v>112</v>
      </c>
      <c r="K78" s="77">
        <f t="shared" si="95"/>
        <v>593</v>
      </c>
      <c r="L78" s="77">
        <f t="shared" si="95"/>
        <v>77</v>
      </c>
      <c r="M78" s="77">
        <f t="shared" si="95"/>
        <v>22</v>
      </c>
      <c r="N78" s="77">
        <f t="shared" si="95"/>
        <v>1489</v>
      </c>
      <c r="O78" s="77">
        <f t="shared" si="95"/>
        <v>32</v>
      </c>
      <c r="P78" s="77">
        <f t="shared" si="95"/>
        <v>3488</v>
      </c>
      <c r="Q78" s="77">
        <f t="shared" si="95"/>
        <v>3.9558006290743752</v>
      </c>
      <c r="R78" s="77">
        <f t="shared" si="95"/>
        <v>18</v>
      </c>
      <c r="S78" s="77">
        <f t="shared" si="95"/>
        <v>288</v>
      </c>
      <c r="T78" s="77">
        <f t="shared" si="95"/>
        <v>1536</v>
      </c>
      <c r="U78" s="77">
        <f t="shared" si="95"/>
        <v>5</v>
      </c>
      <c r="V78" s="77">
        <f t="shared" si="95"/>
        <v>110</v>
      </c>
      <c r="W78" s="77">
        <f t="shared" si="95"/>
        <v>500</v>
      </c>
      <c r="X78" s="77">
        <f t="shared" si="95"/>
        <v>77</v>
      </c>
      <c r="Y78" s="77">
        <f t="shared" si="95"/>
        <v>22</v>
      </c>
      <c r="Z78" s="77">
        <f t="shared" si="95"/>
        <v>1489</v>
      </c>
      <c r="AA78" s="77">
        <f t="shared" si="95"/>
        <v>32</v>
      </c>
      <c r="AB78" s="77">
        <f t="shared" si="95"/>
        <v>3488</v>
      </c>
      <c r="AC78" s="77">
        <f t="shared" si="95"/>
        <v>3.7663066959788907</v>
      </c>
      <c r="AD78" s="79">
        <f t="shared" si="4"/>
        <v>0.56667510121457487</v>
      </c>
      <c r="AE78" s="80">
        <f t="shared" si="5"/>
        <v>1.0079706477732793</v>
      </c>
      <c r="AF78" s="89">
        <f t="shared" si="89"/>
        <v>0.72650654001868575</v>
      </c>
      <c r="AG78" s="85">
        <f t="shared" si="90"/>
        <v>1.292270061247794</v>
      </c>
      <c r="AH78" s="108">
        <f t="shared" si="91"/>
        <v>0.53872053872053871</v>
      </c>
      <c r="AI78" s="109">
        <f t="shared" si="92"/>
        <v>1.0084848484848485</v>
      </c>
      <c r="AJ78" s="126">
        <f t="shared" si="93"/>
        <v>0.69066735733402396</v>
      </c>
      <c r="AK78" s="111">
        <f t="shared" si="94"/>
        <v>1.5052012663952963</v>
      </c>
    </row>
    <row r="79" spans="1:37" ht="17.25" thickBot="1" x14ac:dyDescent="0.3">
      <c r="A79" s="139" t="s">
        <v>71</v>
      </c>
      <c r="B79" s="123" t="s">
        <v>80</v>
      </c>
      <c r="C79" s="5">
        <v>1241</v>
      </c>
      <c r="D79" s="5">
        <v>1118</v>
      </c>
      <c r="E79" s="5">
        <v>1012</v>
      </c>
      <c r="F79" s="2">
        <v>2</v>
      </c>
      <c r="G79" s="2">
        <v>16</v>
      </c>
      <c r="H79" s="2">
        <v>210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9">
        <v>0</v>
      </c>
      <c r="O79" s="2">
        <v>7</v>
      </c>
      <c r="P79" s="9">
        <v>967</v>
      </c>
      <c r="Q79" s="12">
        <f t="shared" si="39"/>
        <v>0.18943839061190276</v>
      </c>
      <c r="R79" s="23">
        <v>2</v>
      </c>
      <c r="S79" s="23">
        <v>16</v>
      </c>
      <c r="T79" s="23">
        <f t="shared" si="2"/>
        <v>168</v>
      </c>
      <c r="U79" s="23">
        <v>0</v>
      </c>
      <c r="V79" s="23">
        <v>0</v>
      </c>
      <c r="W79" s="23">
        <f t="shared" si="3"/>
        <v>0</v>
      </c>
      <c r="X79" s="23">
        <v>0</v>
      </c>
      <c r="Y79" s="23">
        <v>0</v>
      </c>
      <c r="Z79" s="60">
        <v>0</v>
      </c>
      <c r="AA79" s="23">
        <v>7</v>
      </c>
      <c r="AB79" s="60">
        <v>967</v>
      </c>
      <c r="AC79" s="24">
        <f t="shared" si="40"/>
        <v>0.15986099044309296</v>
      </c>
      <c r="AD79" s="12">
        <f t="shared" si="4"/>
        <v>0.18211120064464142</v>
      </c>
      <c r="AE79" s="33">
        <f t="shared" si="5"/>
        <v>0.96132151490733275</v>
      </c>
      <c r="AF79" s="58">
        <f>(G79+H79+J79+K79+N79+L79)/(C79*0.76)</f>
        <v>0.23962000084821239</v>
      </c>
      <c r="AG79" s="34">
        <f>(G79+H79+J79+K79+N79+P79+L79)/(C79*0.76)</f>
        <v>1.2648967301412275</v>
      </c>
      <c r="AH79" s="24">
        <f t="shared" si="91"/>
        <v>0.16457960644007155</v>
      </c>
      <c r="AI79" s="36">
        <f t="shared" si="92"/>
        <v>1.0295169946332736</v>
      </c>
      <c r="AJ79" s="125">
        <f>(S79+T79+V79+W79+X79+Z79)/(D79*0.76)</f>
        <v>0.21655211373693625</v>
      </c>
      <c r="AK79" s="37">
        <f t="shared" si="94"/>
        <v>1.5365925293033935</v>
      </c>
    </row>
    <row r="80" spans="1:37" ht="17.25" thickBot="1" x14ac:dyDescent="0.3">
      <c r="A80" s="140"/>
      <c r="B80" s="17" t="s">
        <v>81</v>
      </c>
      <c r="C80" s="6">
        <v>825</v>
      </c>
      <c r="D80" s="6">
        <v>784</v>
      </c>
      <c r="E80" s="6">
        <v>705</v>
      </c>
      <c r="F80" s="3">
        <v>3</v>
      </c>
      <c r="G80" s="3">
        <v>16</v>
      </c>
      <c r="H80" s="3">
        <v>180</v>
      </c>
      <c r="I80" s="3">
        <v>0</v>
      </c>
      <c r="J80" s="3">
        <v>0</v>
      </c>
      <c r="K80" s="3">
        <v>0</v>
      </c>
      <c r="L80" s="3">
        <v>0</v>
      </c>
      <c r="M80" s="3">
        <v>5</v>
      </c>
      <c r="N80" s="10">
        <v>413</v>
      </c>
      <c r="O80" s="3">
        <v>2</v>
      </c>
      <c r="P80" s="10">
        <v>52</v>
      </c>
      <c r="Q80" s="13">
        <f t="shared" si="39"/>
        <v>0.92133131618759456</v>
      </c>
      <c r="R80" s="22">
        <v>3</v>
      </c>
      <c r="S80" s="22">
        <v>16</v>
      </c>
      <c r="T80" s="22">
        <f t="shared" si="2"/>
        <v>144</v>
      </c>
      <c r="U80" s="22">
        <v>0</v>
      </c>
      <c r="V80" s="22">
        <v>0</v>
      </c>
      <c r="W80" s="22">
        <f t="shared" si="3"/>
        <v>0</v>
      </c>
      <c r="X80" s="22">
        <v>0</v>
      </c>
      <c r="Y80" s="22">
        <v>5</v>
      </c>
      <c r="Z80" s="30">
        <v>413</v>
      </c>
      <c r="AA80" s="22">
        <v>2</v>
      </c>
      <c r="AB80" s="30">
        <v>52</v>
      </c>
      <c r="AC80" s="25">
        <f t="shared" si="40"/>
        <v>0.91679999999999995</v>
      </c>
      <c r="AD80" s="12">
        <f t="shared" si="4"/>
        <v>0.73818181818181816</v>
      </c>
      <c r="AE80" s="33">
        <f t="shared" si="5"/>
        <v>0.80121212121212126</v>
      </c>
      <c r="AF80" s="69">
        <f t="shared" ref="AF80:AF86" si="96">(G80+H80+J80+K80+N80+L80)/(C80*0.76)</f>
        <v>0.9712918660287081</v>
      </c>
      <c r="AG80" s="34">
        <f t="shared" ref="AG80:AG87" si="97">(G80+H80+J80+K80+N80+P80+L80)/(C80*0.76)</f>
        <v>1.0542264752791068</v>
      </c>
      <c r="AH80" s="24">
        <f t="shared" si="91"/>
        <v>0.73086734693877553</v>
      </c>
      <c r="AI80" s="36">
        <f t="shared" si="92"/>
        <v>0.79719387755102045</v>
      </c>
      <c r="AJ80" s="72">
        <f t="shared" ref="AJ80:AJ86" si="98">(S80+T80+V80+W80+X80+Z80)/(D80*0.76)</f>
        <v>0.96166756176154666</v>
      </c>
      <c r="AK80" s="37">
        <f t="shared" si="94"/>
        <v>1.1898416082851049</v>
      </c>
    </row>
    <row r="81" spans="1:37" ht="17.25" thickBot="1" x14ac:dyDescent="0.3">
      <c r="A81" s="140"/>
      <c r="B81" s="118" t="s">
        <v>78</v>
      </c>
      <c r="C81" s="6">
        <v>470</v>
      </c>
      <c r="D81" s="6">
        <v>459</v>
      </c>
      <c r="E81" s="6">
        <v>431</v>
      </c>
      <c r="F81" s="3">
        <v>3</v>
      </c>
      <c r="G81" s="3">
        <v>0</v>
      </c>
      <c r="H81" s="3">
        <v>90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10">
        <v>0</v>
      </c>
      <c r="O81" s="3">
        <v>0</v>
      </c>
      <c r="P81" s="10">
        <v>0</v>
      </c>
      <c r="Q81" s="13">
        <f t="shared" si="39"/>
        <v>1</v>
      </c>
      <c r="R81" s="22">
        <v>3</v>
      </c>
      <c r="S81" s="22">
        <v>0</v>
      </c>
      <c r="T81" s="22">
        <f t="shared" si="2"/>
        <v>72</v>
      </c>
      <c r="U81" s="22">
        <v>0</v>
      </c>
      <c r="V81" s="22">
        <v>0</v>
      </c>
      <c r="W81" s="22">
        <f t="shared" si="3"/>
        <v>0</v>
      </c>
      <c r="X81" s="22">
        <v>0</v>
      </c>
      <c r="Y81" s="22">
        <v>0</v>
      </c>
      <c r="Z81" s="30">
        <v>0</v>
      </c>
      <c r="AA81" s="22">
        <v>0</v>
      </c>
      <c r="AB81" s="30">
        <v>0</v>
      </c>
      <c r="AC81" s="25">
        <f t="shared" si="40"/>
        <v>1</v>
      </c>
      <c r="AD81" s="12">
        <f t="shared" si="4"/>
        <v>0.19148936170212766</v>
      </c>
      <c r="AE81" s="33">
        <f t="shared" si="5"/>
        <v>0.19148936170212766</v>
      </c>
      <c r="AF81" s="58">
        <f t="shared" si="96"/>
        <v>0.25195968645016797</v>
      </c>
      <c r="AG81" s="34">
        <f t="shared" si="97"/>
        <v>0.25195968645016797</v>
      </c>
      <c r="AH81" s="24">
        <f t="shared" si="91"/>
        <v>0.15686274509803921</v>
      </c>
      <c r="AI81" s="36">
        <f t="shared" si="92"/>
        <v>0.15686274509803921</v>
      </c>
      <c r="AJ81" s="125">
        <f t="shared" si="98"/>
        <v>0.20639834881320948</v>
      </c>
      <c r="AK81" s="37">
        <f t="shared" si="94"/>
        <v>0.23412350014632716</v>
      </c>
    </row>
    <row r="82" spans="1:37" ht="17.25" thickBot="1" x14ac:dyDescent="0.3">
      <c r="A82" s="140"/>
      <c r="B82" s="118" t="s">
        <v>82</v>
      </c>
      <c r="C82" s="6">
        <v>678</v>
      </c>
      <c r="D82" s="6">
        <v>654</v>
      </c>
      <c r="E82" s="6">
        <v>606</v>
      </c>
      <c r="F82" s="3">
        <v>1</v>
      </c>
      <c r="G82" s="3">
        <v>32</v>
      </c>
      <c r="H82" s="3">
        <v>150</v>
      </c>
      <c r="I82" s="3">
        <v>0</v>
      </c>
      <c r="J82" s="3">
        <v>16</v>
      </c>
      <c r="K82" s="3">
        <v>120</v>
      </c>
      <c r="L82" s="3">
        <v>50</v>
      </c>
      <c r="M82" s="3">
        <v>1</v>
      </c>
      <c r="N82" s="10">
        <v>30</v>
      </c>
      <c r="O82" s="3">
        <v>4</v>
      </c>
      <c r="P82" s="10">
        <v>686</v>
      </c>
      <c r="Q82" s="13">
        <f t="shared" si="39"/>
        <v>0.3365570599613153</v>
      </c>
      <c r="R82" s="22">
        <v>1</v>
      </c>
      <c r="S82" s="22">
        <v>32</v>
      </c>
      <c r="T82" s="22">
        <f t="shared" si="2"/>
        <v>120</v>
      </c>
      <c r="U82" s="22">
        <v>0</v>
      </c>
      <c r="V82" s="22">
        <v>16</v>
      </c>
      <c r="W82" s="22">
        <f t="shared" si="3"/>
        <v>96</v>
      </c>
      <c r="X82" s="22">
        <v>50</v>
      </c>
      <c r="Y82" s="22">
        <v>1</v>
      </c>
      <c r="Z82" s="30">
        <v>30</v>
      </c>
      <c r="AA82" s="22">
        <v>4</v>
      </c>
      <c r="AB82" s="30">
        <v>686</v>
      </c>
      <c r="AC82" s="25">
        <f t="shared" si="40"/>
        <v>0.3</v>
      </c>
      <c r="AD82" s="12">
        <f t="shared" si="4"/>
        <v>0.58702064896755157</v>
      </c>
      <c r="AE82" s="33">
        <f t="shared" si="5"/>
        <v>1.59882005899705</v>
      </c>
      <c r="AF82" s="69">
        <f t="shared" si="96"/>
        <v>0.77239559074677844</v>
      </c>
      <c r="AG82" s="34">
        <f t="shared" si="97"/>
        <v>2.1037106039434872</v>
      </c>
      <c r="AH82" s="24">
        <f t="shared" si="91"/>
        <v>0.52599388379204892</v>
      </c>
      <c r="AI82" s="36">
        <f t="shared" si="92"/>
        <v>1.5749235474006116</v>
      </c>
      <c r="AJ82" s="125">
        <f t="shared" si="98"/>
        <v>0.69209721551585379</v>
      </c>
      <c r="AK82" s="37">
        <f t="shared" si="94"/>
        <v>2.3506321602994205</v>
      </c>
    </row>
    <row r="83" spans="1:37" ht="17.25" thickBot="1" x14ac:dyDescent="0.3">
      <c r="A83" s="140"/>
      <c r="B83" s="120" t="s">
        <v>83</v>
      </c>
      <c r="C83" s="6">
        <v>1020</v>
      </c>
      <c r="D83" s="6">
        <v>970</v>
      </c>
      <c r="E83" s="6">
        <v>929</v>
      </c>
      <c r="F83" s="3">
        <v>2</v>
      </c>
      <c r="G83" s="3">
        <v>48</v>
      </c>
      <c r="H83" s="3">
        <v>300</v>
      </c>
      <c r="I83" s="3">
        <v>0</v>
      </c>
      <c r="J83" s="3">
        <v>0</v>
      </c>
      <c r="K83" s="3">
        <v>0</v>
      </c>
      <c r="L83" s="3">
        <v>0</v>
      </c>
      <c r="M83" s="3">
        <v>1</v>
      </c>
      <c r="N83" s="10">
        <v>62</v>
      </c>
      <c r="O83" s="3">
        <v>2</v>
      </c>
      <c r="P83" s="10">
        <v>67</v>
      </c>
      <c r="Q83" s="13">
        <f t="shared" si="39"/>
        <v>0.85953878406708595</v>
      </c>
      <c r="R83" s="22">
        <v>2</v>
      </c>
      <c r="S83" s="22">
        <v>48</v>
      </c>
      <c r="T83" s="22">
        <f t="shared" ref="T83:T85" si="99">H83*12/15</f>
        <v>240</v>
      </c>
      <c r="U83" s="22">
        <v>0</v>
      </c>
      <c r="V83" s="22">
        <v>0</v>
      </c>
      <c r="W83" s="22">
        <f t="shared" ref="W83:W85" si="100">K83*12/15</f>
        <v>0</v>
      </c>
      <c r="X83" s="22">
        <v>0</v>
      </c>
      <c r="Y83" s="22">
        <v>1</v>
      </c>
      <c r="Z83" s="30">
        <v>62</v>
      </c>
      <c r="AA83" s="22">
        <v>2</v>
      </c>
      <c r="AB83" s="30">
        <v>67</v>
      </c>
      <c r="AC83" s="25">
        <f t="shared" si="40"/>
        <v>0.83932853717026379</v>
      </c>
      <c r="AD83" s="12">
        <f t="shared" ref="AD83:AD87" si="101">(G83+H83+J83+K83+L83+N83)/C83</f>
        <v>0.40196078431372551</v>
      </c>
      <c r="AE83" s="33">
        <f t="shared" ref="AE83:AE87" si="102">(G83+H83+J83+K83+N83+P83+L83)/C83</f>
        <v>0.46764705882352942</v>
      </c>
      <c r="AF83" s="58">
        <f t="shared" si="96"/>
        <v>0.52889576883384926</v>
      </c>
      <c r="AG83" s="34">
        <f t="shared" si="97"/>
        <v>0.6153250773993808</v>
      </c>
      <c r="AH83" s="24">
        <f t="shared" si="91"/>
        <v>0.36082474226804123</v>
      </c>
      <c r="AI83" s="36">
        <f t="shared" si="92"/>
        <v>0.42989690721649487</v>
      </c>
      <c r="AJ83" s="125">
        <f t="shared" si="98"/>
        <v>0.47476939772110688</v>
      </c>
      <c r="AK83" s="37">
        <f t="shared" si="94"/>
        <v>0.64163717494999217</v>
      </c>
    </row>
    <row r="84" spans="1:37" ht="17.25" thickBot="1" x14ac:dyDescent="0.3">
      <c r="A84" s="140"/>
      <c r="B84" s="19" t="s">
        <v>87</v>
      </c>
      <c r="C84" s="6">
        <v>1399</v>
      </c>
      <c r="D84" s="6">
        <v>1233</v>
      </c>
      <c r="E84" s="6">
        <v>1096</v>
      </c>
      <c r="F84" s="3">
        <v>2</v>
      </c>
      <c r="G84" s="3">
        <v>0</v>
      </c>
      <c r="H84" s="3">
        <v>330</v>
      </c>
      <c r="I84" s="3">
        <v>1</v>
      </c>
      <c r="J84" s="3">
        <v>16</v>
      </c>
      <c r="K84" s="3">
        <v>131</v>
      </c>
      <c r="L84" s="3">
        <v>60</v>
      </c>
      <c r="M84" s="3">
        <v>4</v>
      </c>
      <c r="N84" s="10">
        <v>274</v>
      </c>
      <c r="O84" s="3">
        <v>5</v>
      </c>
      <c r="P84" s="10">
        <v>1346</v>
      </c>
      <c r="Q84" s="13">
        <f t="shared" si="39"/>
        <v>0.35813066285169287</v>
      </c>
      <c r="R84" s="22">
        <v>2</v>
      </c>
      <c r="S84" s="22">
        <v>0</v>
      </c>
      <c r="T84" s="22">
        <f t="shared" si="99"/>
        <v>264</v>
      </c>
      <c r="U84" s="22">
        <v>1</v>
      </c>
      <c r="V84" s="22">
        <v>16</v>
      </c>
      <c r="W84" s="22">
        <v>108</v>
      </c>
      <c r="X84" s="22">
        <v>60</v>
      </c>
      <c r="Y84" s="22">
        <v>4</v>
      </c>
      <c r="Z84" s="30">
        <v>274</v>
      </c>
      <c r="AA84" s="22">
        <v>5</v>
      </c>
      <c r="AB84" s="30">
        <v>1346</v>
      </c>
      <c r="AC84" s="25">
        <f t="shared" si="40"/>
        <v>0.32968127490039839</v>
      </c>
      <c r="AD84" s="12">
        <f t="shared" si="101"/>
        <v>0.57969978556111512</v>
      </c>
      <c r="AE84" s="33">
        <f t="shared" si="102"/>
        <v>1.5418155825589708</v>
      </c>
      <c r="AF84" s="69">
        <f t="shared" si="96"/>
        <v>0.76276287573830936</v>
      </c>
      <c r="AG84" s="34">
        <f t="shared" si="97"/>
        <v>2.0287047138933825</v>
      </c>
      <c r="AH84" s="24">
        <f t="shared" si="91"/>
        <v>0.58556366585563668</v>
      </c>
      <c r="AI84" s="36">
        <f t="shared" si="92"/>
        <v>1.6772100567721007</v>
      </c>
      <c r="AJ84" s="72">
        <f t="shared" si="98"/>
        <v>0.7704785077047851</v>
      </c>
      <c r="AK84" s="37">
        <f t="shared" si="94"/>
        <v>2.5032985921971651</v>
      </c>
    </row>
    <row r="85" spans="1:37" ht="17.25" thickBot="1" x14ac:dyDescent="0.3">
      <c r="A85" s="142"/>
      <c r="B85" s="124" t="s">
        <v>84</v>
      </c>
      <c r="C85" s="92">
        <v>2259</v>
      </c>
      <c r="D85" s="92">
        <v>2101</v>
      </c>
      <c r="E85" s="92">
        <v>1962</v>
      </c>
      <c r="F85" s="93">
        <v>3</v>
      </c>
      <c r="G85" s="93">
        <v>80</v>
      </c>
      <c r="H85" s="93">
        <v>360</v>
      </c>
      <c r="I85" s="93">
        <v>0</v>
      </c>
      <c r="J85" s="93">
        <v>0</v>
      </c>
      <c r="K85" s="93">
        <v>0</v>
      </c>
      <c r="L85" s="93">
        <v>20</v>
      </c>
      <c r="M85" s="93">
        <v>6</v>
      </c>
      <c r="N85" s="94">
        <v>491</v>
      </c>
      <c r="O85" s="93">
        <v>9</v>
      </c>
      <c r="P85" s="94">
        <v>656</v>
      </c>
      <c r="Q85" s="95">
        <f t="shared" si="39"/>
        <v>0.58664146187775679</v>
      </c>
      <c r="R85" s="96">
        <v>3</v>
      </c>
      <c r="S85" s="96">
        <v>80</v>
      </c>
      <c r="T85" s="96">
        <f t="shared" si="99"/>
        <v>288</v>
      </c>
      <c r="U85" s="96">
        <v>0</v>
      </c>
      <c r="V85" s="96">
        <v>0</v>
      </c>
      <c r="W85" s="96">
        <f t="shared" si="100"/>
        <v>0</v>
      </c>
      <c r="X85" s="96">
        <v>20</v>
      </c>
      <c r="Y85" s="96">
        <v>6</v>
      </c>
      <c r="Z85" s="97">
        <v>491</v>
      </c>
      <c r="AA85" s="96">
        <v>9</v>
      </c>
      <c r="AB85" s="97">
        <v>656</v>
      </c>
      <c r="AC85" s="98">
        <f t="shared" si="40"/>
        <v>0.56699669966996702</v>
      </c>
      <c r="AD85" s="75">
        <f t="shared" si="101"/>
        <v>0.4209827357237716</v>
      </c>
      <c r="AE85" s="76">
        <f t="shared" si="102"/>
        <v>0.71137671536077907</v>
      </c>
      <c r="AF85" s="82">
        <f t="shared" si="96"/>
        <v>0.55392465226812049</v>
      </c>
      <c r="AG85" s="83">
        <f t="shared" si="97"/>
        <v>0.93602199389576202</v>
      </c>
      <c r="AH85" s="24">
        <f t="shared" si="91"/>
        <v>0.41837220371251788</v>
      </c>
      <c r="AI85" s="36">
        <f t="shared" si="92"/>
        <v>0.73060447405997142</v>
      </c>
      <c r="AJ85" s="125">
        <f t="shared" si="98"/>
        <v>0.55048974172699716</v>
      </c>
      <c r="AK85" s="37">
        <f t="shared" si="94"/>
        <v>1.0904544388954798</v>
      </c>
    </row>
    <row r="86" spans="1:37" ht="17.25" thickBot="1" x14ac:dyDescent="0.3">
      <c r="A86" s="133" t="s">
        <v>133</v>
      </c>
      <c r="B86" s="134"/>
      <c r="C86" s="99">
        <f>SUM(C79:C85)</f>
        <v>7892</v>
      </c>
      <c r="D86" s="99">
        <f t="shared" ref="D86:AB86" si="103">SUM(D79:D85)</f>
        <v>7319</v>
      </c>
      <c r="E86" s="99">
        <f t="shared" si="103"/>
        <v>6741</v>
      </c>
      <c r="F86" s="99">
        <f t="shared" si="103"/>
        <v>16</v>
      </c>
      <c r="G86" s="99">
        <f t="shared" si="103"/>
        <v>192</v>
      </c>
      <c r="H86" s="99">
        <f t="shared" si="103"/>
        <v>1620</v>
      </c>
      <c r="I86" s="99">
        <f t="shared" si="103"/>
        <v>1</v>
      </c>
      <c r="J86" s="99">
        <f t="shared" si="103"/>
        <v>32</v>
      </c>
      <c r="K86" s="99">
        <f t="shared" si="103"/>
        <v>251</v>
      </c>
      <c r="L86" s="99">
        <f t="shared" si="103"/>
        <v>130</v>
      </c>
      <c r="M86" s="99">
        <f t="shared" si="103"/>
        <v>17</v>
      </c>
      <c r="N86" s="99">
        <f t="shared" si="103"/>
        <v>1270</v>
      </c>
      <c r="O86" s="99">
        <f t="shared" si="103"/>
        <v>29</v>
      </c>
      <c r="P86" s="99">
        <f t="shared" si="103"/>
        <v>3774</v>
      </c>
      <c r="Q86" s="99">
        <f t="shared" si="103"/>
        <v>4.2516376755573484</v>
      </c>
      <c r="R86" s="99">
        <f t="shared" si="103"/>
        <v>16</v>
      </c>
      <c r="S86" s="99">
        <f t="shared" si="103"/>
        <v>192</v>
      </c>
      <c r="T86" s="99">
        <f t="shared" si="103"/>
        <v>1296</v>
      </c>
      <c r="U86" s="99">
        <f t="shared" si="103"/>
        <v>1</v>
      </c>
      <c r="V86" s="99">
        <f t="shared" si="103"/>
        <v>32</v>
      </c>
      <c r="W86" s="99">
        <f t="shared" si="103"/>
        <v>204</v>
      </c>
      <c r="X86" s="99">
        <f t="shared" si="103"/>
        <v>130</v>
      </c>
      <c r="Y86" s="99">
        <f t="shared" si="103"/>
        <v>17</v>
      </c>
      <c r="Z86" s="99">
        <f t="shared" si="103"/>
        <v>1270</v>
      </c>
      <c r="AA86" s="99">
        <f t="shared" si="103"/>
        <v>29</v>
      </c>
      <c r="AB86" s="99">
        <f t="shared" si="103"/>
        <v>3774</v>
      </c>
      <c r="AC86" s="100"/>
      <c r="AD86" s="100">
        <f t="shared" si="101"/>
        <v>0.44285352255448557</v>
      </c>
      <c r="AE86" s="101">
        <f t="shared" si="102"/>
        <v>0.92105930055752661</v>
      </c>
      <c r="AF86" s="102">
        <f t="shared" si="96"/>
        <v>0.58270200336116518</v>
      </c>
      <c r="AG86" s="103">
        <f t="shared" si="97"/>
        <v>1.211920132312535</v>
      </c>
      <c r="AH86" s="108">
        <f t="shared" si="91"/>
        <v>0.4268342669763629</v>
      </c>
      <c r="AI86" s="109">
        <f t="shared" si="92"/>
        <v>0.94247848066675777</v>
      </c>
      <c r="AJ86" s="126">
        <f t="shared" si="98"/>
        <v>0.56162403549521422</v>
      </c>
      <c r="AK86" s="111">
        <f t="shared" si="94"/>
        <v>1.4066842995026234</v>
      </c>
    </row>
    <row r="87" spans="1:37" ht="17.25" thickBot="1" x14ac:dyDescent="0.3">
      <c r="A87" s="135" t="s">
        <v>134</v>
      </c>
      <c r="B87" s="136"/>
      <c r="C87" s="104">
        <f>SUM(C86,C78,C70,C64,C59,C52,C45,C40,C33,C25,C17,C11)</f>
        <v>78284</v>
      </c>
      <c r="D87" s="104">
        <f t="shared" ref="D87:AA87" si="104">SUM(D86,D78,D70,D64,D59,D52,D45,D40,D33,D25,D17,D11)</f>
        <v>72950</v>
      </c>
      <c r="E87" s="104">
        <f t="shared" si="104"/>
        <v>66185</v>
      </c>
      <c r="F87" s="104">
        <f t="shared" si="104"/>
        <v>149</v>
      </c>
      <c r="G87" s="104">
        <f t="shared" si="104"/>
        <v>2272</v>
      </c>
      <c r="H87" s="104">
        <f t="shared" si="104"/>
        <v>18030</v>
      </c>
      <c r="I87" s="104">
        <f t="shared" si="104"/>
        <v>49</v>
      </c>
      <c r="J87" s="104">
        <f t="shared" si="104"/>
        <v>1170</v>
      </c>
      <c r="K87" s="104">
        <f t="shared" si="104"/>
        <v>6326</v>
      </c>
      <c r="L87" s="104">
        <v>1113</v>
      </c>
      <c r="M87" s="104">
        <f t="shared" si="104"/>
        <v>165</v>
      </c>
      <c r="N87" s="104">
        <v>10813</v>
      </c>
      <c r="O87" s="104">
        <f t="shared" si="104"/>
        <v>339</v>
      </c>
      <c r="P87" s="104">
        <v>30005</v>
      </c>
      <c r="Q87" s="104">
        <f t="shared" si="104"/>
        <v>40.842872238193763</v>
      </c>
      <c r="R87" s="104">
        <f t="shared" si="104"/>
        <v>149</v>
      </c>
      <c r="S87" s="104">
        <f t="shared" si="104"/>
        <v>2272</v>
      </c>
      <c r="T87" s="104">
        <f t="shared" si="104"/>
        <v>14424</v>
      </c>
      <c r="U87" s="104">
        <f t="shared" si="104"/>
        <v>49</v>
      </c>
      <c r="V87" s="104">
        <f t="shared" si="104"/>
        <v>1138</v>
      </c>
      <c r="W87" s="104">
        <f t="shared" si="104"/>
        <v>5199</v>
      </c>
      <c r="X87" s="104">
        <v>1113</v>
      </c>
      <c r="Y87" s="104">
        <f t="shared" si="104"/>
        <v>165</v>
      </c>
      <c r="Z87" s="104">
        <v>10813</v>
      </c>
      <c r="AA87" s="104">
        <f t="shared" si="104"/>
        <v>339</v>
      </c>
      <c r="AB87" s="104">
        <v>30005</v>
      </c>
      <c r="AC87" s="105"/>
      <c r="AD87" s="105">
        <f t="shared" si="101"/>
        <v>0.50743446936794234</v>
      </c>
      <c r="AE87" s="106">
        <f t="shared" si="102"/>
        <v>0.89071840989218742</v>
      </c>
      <c r="AF87" s="105">
        <f>(G87+H87+J87+K87+N87+L87)/(C87*0.724)</f>
        <v>0.70087633890599776</v>
      </c>
      <c r="AG87" s="107">
        <f t="shared" si="97"/>
        <v>1.1719979077528782</v>
      </c>
      <c r="AH87" s="112">
        <f t="shared" si="91"/>
        <v>0.47921864290610006</v>
      </c>
      <c r="AI87" s="113">
        <f t="shared" si="92"/>
        <v>0.89052775873886225</v>
      </c>
      <c r="AJ87" s="127">
        <f>(S87+T87+V87+W87+X87+Z87)/(D87*0.724)</f>
        <v>0.661904202908978</v>
      </c>
      <c r="AK87" s="114">
        <f t="shared" si="94"/>
        <v>1.329145908565466</v>
      </c>
    </row>
    <row r="88" spans="1:37" ht="18.75" customHeight="1" x14ac:dyDescent="0.25">
      <c r="A88" s="152" t="s">
        <v>119</v>
      </c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AF88"/>
      <c r="AJ88"/>
    </row>
    <row r="89" spans="1:37" ht="13.5" customHeight="1" x14ac:dyDescent="0.25">
      <c r="A89" s="59" t="s">
        <v>118</v>
      </c>
      <c r="B89" s="59"/>
      <c r="C89" s="59"/>
      <c r="D89" s="59"/>
      <c r="E89" s="59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T89" s="8"/>
      <c r="AF89"/>
      <c r="AJ89"/>
    </row>
    <row r="90" spans="1:37" x14ac:dyDescent="0.25">
      <c r="A90" s="15" t="s">
        <v>137</v>
      </c>
      <c r="B90" s="15"/>
      <c r="C90" s="15"/>
      <c r="D90" s="15"/>
      <c r="E90" s="15"/>
      <c r="F90" s="15"/>
      <c r="G90" s="15"/>
      <c r="H90" s="15"/>
      <c r="I90" s="8"/>
      <c r="J90" s="8"/>
      <c r="AF90"/>
      <c r="AJ90"/>
    </row>
  </sheetData>
  <autoFilter ref="AF1:AF90"/>
  <mergeCells count="61">
    <mergeCell ref="A88:X88"/>
    <mergeCell ref="A2:AK2"/>
    <mergeCell ref="A1:AK1"/>
    <mergeCell ref="G3:P3"/>
    <mergeCell ref="S3:AB3"/>
    <mergeCell ref="A3:A6"/>
    <mergeCell ref="B3:B6"/>
    <mergeCell ref="C3:C6"/>
    <mergeCell ref="D3:D6"/>
    <mergeCell ref="E3:E6"/>
    <mergeCell ref="AD3:AG3"/>
    <mergeCell ref="AH3:AK3"/>
    <mergeCell ref="AH4:AI4"/>
    <mergeCell ref="AJ4:AK4"/>
    <mergeCell ref="AH5:AH6"/>
    <mergeCell ref="AI5:AI6"/>
    <mergeCell ref="AJ5:AJ6"/>
    <mergeCell ref="AK5:AK6"/>
    <mergeCell ref="A53:A58"/>
    <mergeCell ref="R4:AC4"/>
    <mergeCell ref="R5:T5"/>
    <mergeCell ref="U5:W5"/>
    <mergeCell ref="Y5:Z5"/>
    <mergeCell ref="AA5:AB5"/>
    <mergeCell ref="AC5:AC6"/>
    <mergeCell ref="AG5:AG6"/>
    <mergeCell ref="A7:A10"/>
    <mergeCell ref="A12:A16"/>
    <mergeCell ref="F4:Q4"/>
    <mergeCell ref="AD4:AE4"/>
    <mergeCell ref="AF4:AG4"/>
    <mergeCell ref="F5:H5"/>
    <mergeCell ref="A40:B40"/>
    <mergeCell ref="A45:B45"/>
    <mergeCell ref="A52:B52"/>
    <mergeCell ref="A59:B59"/>
    <mergeCell ref="A64:B64"/>
    <mergeCell ref="AF5:AF6"/>
    <mergeCell ref="A11:B11"/>
    <mergeCell ref="A17:B17"/>
    <mergeCell ref="I5:K5"/>
    <mergeCell ref="M5:N5"/>
    <mergeCell ref="O5:P5"/>
    <mergeCell ref="Q5:Q6"/>
    <mergeCell ref="AD5:AD6"/>
    <mergeCell ref="A70:B70"/>
    <mergeCell ref="A78:B78"/>
    <mergeCell ref="A86:B86"/>
    <mergeCell ref="A87:B87"/>
    <mergeCell ref="AE5:AE6"/>
    <mergeCell ref="A60:A63"/>
    <mergeCell ref="A65:A69"/>
    <mergeCell ref="A71:A77"/>
    <mergeCell ref="A79:A85"/>
    <mergeCell ref="A18:A24"/>
    <mergeCell ref="A26:A32"/>
    <mergeCell ref="A41:A44"/>
    <mergeCell ref="A46:A51"/>
    <mergeCell ref="A34:A39"/>
    <mergeCell ref="A25:B25"/>
    <mergeCell ref="A33:B33"/>
  </mergeCells>
  <phoneticPr fontId="2" type="noConversion"/>
  <pageMargins left="0.25" right="0.25" top="0.75" bottom="0.75" header="0.3" footer="0.3"/>
  <pageSetup paperSize="8" scale="7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Y9" sqref="Y9"/>
    </sheetView>
  </sheetViews>
  <sheetFormatPr defaultRowHeight="16.5" x14ac:dyDescent="0.25"/>
  <cols>
    <col min="15" max="15" width="14.125" customWidth="1"/>
    <col min="16" max="16" width="12.875" customWidth="1"/>
    <col min="18" max="18" width="16.125" customWidth="1"/>
    <col min="19" max="19" width="17.5" customWidth="1"/>
  </cols>
  <sheetData>
    <row r="1" spans="1:22" ht="21" x14ac:dyDescent="0.25">
      <c r="A1" s="169" t="s">
        <v>138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</row>
    <row r="2" spans="1:22" x14ac:dyDescent="0.25">
      <c r="A2" s="153" t="s">
        <v>142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</row>
    <row r="3" spans="1:22" ht="19.5" x14ac:dyDescent="0.25">
      <c r="A3" s="171" t="s">
        <v>101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2" t="s">
        <v>102</v>
      </c>
      <c r="P3" s="173"/>
      <c r="Q3" s="173"/>
      <c r="R3" s="173"/>
      <c r="S3" s="173"/>
      <c r="T3" s="173"/>
      <c r="U3" s="173"/>
      <c r="V3" s="174"/>
    </row>
    <row r="4" spans="1:22" x14ac:dyDescent="0.25">
      <c r="A4" s="175" t="s">
        <v>103</v>
      </c>
      <c r="B4" s="176"/>
      <c r="C4" s="176"/>
      <c r="D4" s="176"/>
      <c r="E4" s="176"/>
      <c r="F4" s="177"/>
      <c r="G4" s="178" t="s">
        <v>104</v>
      </c>
      <c r="H4" s="178"/>
      <c r="I4" s="178"/>
      <c r="J4" s="178"/>
      <c r="K4" s="178"/>
      <c r="L4" s="178"/>
      <c r="M4" s="178"/>
      <c r="N4" s="178"/>
      <c r="O4" s="179" t="s">
        <v>105</v>
      </c>
      <c r="P4" s="181" t="s">
        <v>139</v>
      </c>
      <c r="Q4" s="179" t="s">
        <v>106</v>
      </c>
      <c r="R4" s="181" t="s">
        <v>107</v>
      </c>
      <c r="S4" s="181" t="s">
        <v>140</v>
      </c>
      <c r="T4" s="181" t="s">
        <v>108</v>
      </c>
      <c r="U4" s="181" t="s">
        <v>109</v>
      </c>
      <c r="V4" s="181" t="s">
        <v>110</v>
      </c>
    </row>
    <row r="5" spans="1:22" ht="49.5" x14ac:dyDescent="0.25">
      <c r="A5" s="38" t="s">
        <v>5</v>
      </c>
      <c r="B5" s="38" t="s">
        <v>1</v>
      </c>
      <c r="C5" s="38" t="s">
        <v>2</v>
      </c>
      <c r="D5" s="38" t="s">
        <v>95</v>
      </c>
      <c r="E5" s="38" t="s">
        <v>3</v>
      </c>
      <c r="F5" s="38" t="s">
        <v>111</v>
      </c>
      <c r="G5" s="128" t="s">
        <v>1</v>
      </c>
      <c r="H5" s="128" t="s">
        <v>112</v>
      </c>
      <c r="I5" s="128" t="s">
        <v>95</v>
      </c>
      <c r="J5" s="128" t="s">
        <v>3</v>
      </c>
      <c r="K5" s="39" t="s">
        <v>113</v>
      </c>
      <c r="L5" s="39" t="s">
        <v>114</v>
      </c>
      <c r="M5" s="128" t="s">
        <v>111</v>
      </c>
      <c r="N5" s="128" t="s">
        <v>115</v>
      </c>
      <c r="O5" s="180"/>
      <c r="P5" s="182"/>
      <c r="Q5" s="180"/>
      <c r="R5" s="182"/>
      <c r="S5" s="182"/>
      <c r="T5" s="182"/>
      <c r="U5" s="182"/>
      <c r="V5" s="182"/>
    </row>
    <row r="6" spans="1:22" x14ac:dyDescent="0.25">
      <c r="A6" s="40" t="s">
        <v>8</v>
      </c>
      <c r="B6" s="41">
        <v>1298</v>
      </c>
      <c r="C6" s="41">
        <v>276</v>
      </c>
      <c r="D6" s="41">
        <v>160</v>
      </c>
      <c r="E6" s="41">
        <v>960</v>
      </c>
      <c r="F6" s="41">
        <f>B6+C6+D6+E6</f>
        <v>2694</v>
      </c>
      <c r="G6" s="42">
        <v>1220</v>
      </c>
      <c r="H6" s="42">
        <v>269</v>
      </c>
      <c r="I6" s="42">
        <v>160</v>
      </c>
      <c r="J6" s="42">
        <v>960</v>
      </c>
      <c r="K6" s="43">
        <f>G6-B6</f>
        <v>-78</v>
      </c>
      <c r="L6" s="43">
        <f>H6-C6</f>
        <v>-7</v>
      </c>
      <c r="M6" s="42">
        <f>G6+H6+I6+J6</f>
        <v>2609</v>
      </c>
      <c r="N6" s="43">
        <f>M6-F6</f>
        <v>-85</v>
      </c>
      <c r="O6" s="44">
        <v>6068</v>
      </c>
      <c r="P6" s="44">
        <v>5413</v>
      </c>
      <c r="Q6" s="45">
        <f t="shared" ref="Q6:Q18" si="0">P6-O6</f>
        <v>-655</v>
      </c>
      <c r="R6" s="29">
        <f>4084/6068</f>
        <v>0.67303889255108762</v>
      </c>
      <c r="S6" s="44">
        <f t="shared" ref="S6:S18" si="1">P6*R6</f>
        <v>3643.1595253790374</v>
      </c>
      <c r="T6" s="46">
        <v>0.66700000000000004</v>
      </c>
      <c r="U6" s="29">
        <f t="shared" ref="U6:U18" si="2">M6/S6</f>
        <v>0.71613663410156525</v>
      </c>
      <c r="V6" s="48"/>
    </row>
    <row r="7" spans="1:22" x14ac:dyDescent="0.25">
      <c r="A7" s="40" t="s">
        <v>14</v>
      </c>
      <c r="B7" s="41">
        <v>1632</v>
      </c>
      <c r="C7" s="41">
        <v>878</v>
      </c>
      <c r="D7" s="41">
        <v>40</v>
      </c>
      <c r="E7" s="41">
        <v>559</v>
      </c>
      <c r="F7" s="41">
        <f t="shared" ref="F7:F17" si="3">B7+C7+D7+E7</f>
        <v>3109</v>
      </c>
      <c r="G7" s="42">
        <v>1536</v>
      </c>
      <c r="H7" s="42">
        <v>805</v>
      </c>
      <c r="I7" s="42">
        <v>40</v>
      </c>
      <c r="J7" s="42">
        <v>559</v>
      </c>
      <c r="K7" s="43">
        <f t="shared" ref="K7:L18" si="4">G7-B7</f>
        <v>-96</v>
      </c>
      <c r="L7" s="43">
        <v>-73</v>
      </c>
      <c r="M7" s="42">
        <f t="shared" ref="M7:M17" si="5">G7+H7+I7+J7</f>
        <v>2940</v>
      </c>
      <c r="N7" s="43">
        <f t="shared" ref="N7:N17" si="6">M7-F7</f>
        <v>-169</v>
      </c>
      <c r="O7" s="44">
        <v>5969</v>
      </c>
      <c r="P7" s="44">
        <v>5571</v>
      </c>
      <c r="Q7" s="45">
        <f t="shared" si="0"/>
        <v>-398</v>
      </c>
      <c r="R7" s="29">
        <f>3813/5969</f>
        <v>0.63880046909029986</v>
      </c>
      <c r="S7" s="44">
        <f t="shared" si="1"/>
        <v>3558.7574133020607</v>
      </c>
      <c r="T7" s="46">
        <v>0.80379999999999996</v>
      </c>
      <c r="U7" s="29">
        <f t="shared" si="2"/>
        <v>0.82613105040842472</v>
      </c>
      <c r="V7" s="28"/>
    </row>
    <row r="8" spans="1:22" x14ac:dyDescent="0.25">
      <c r="A8" s="40" t="s">
        <v>27</v>
      </c>
      <c r="B8" s="41">
        <v>1624</v>
      </c>
      <c r="C8" s="41">
        <v>1016</v>
      </c>
      <c r="D8" s="41">
        <v>78</v>
      </c>
      <c r="E8" s="41">
        <v>766</v>
      </c>
      <c r="F8" s="41">
        <f t="shared" si="3"/>
        <v>3484</v>
      </c>
      <c r="G8" s="42">
        <v>1520</v>
      </c>
      <c r="H8" s="42">
        <v>933</v>
      </c>
      <c r="I8" s="42">
        <v>78</v>
      </c>
      <c r="J8" s="42">
        <v>766</v>
      </c>
      <c r="K8" s="43">
        <f t="shared" si="4"/>
        <v>-104</v>
      </c>
      <c r="L8" s="43">
        <v>-83</v>
      </c>
      <c r="M8" s="42">
        <f t="shared" si="5"/>
        <v>3297</v>
      </c>
      <c r="N8" s="43">
        <f t="shared" si="6"/>
        <v>-187</v>
      </c>
      <c r="O8" s="44">
        <v>9813</v>
      </c>
      <c r="P8" s="44">
        <v>8771</v>
      </c>
      <c r="Q8" s="45">
        <f t="shared" si="0"/>
        <v>-1042</v>
      </c>
      <c r="R8" s="29">
        <f>7042/9813</f>
        <v>0.71761948435748502</v>
      </c>
      <c r="S8" s="44">
        <f t="shared" si="1"/>
        <v>6294.2404972995009</v>
      </c>
      <c r="T8" s="46">
        <v>0.497</v>
      </c>
      <c r="U8" s="47">
        <f t="shared" si="2"/>
        <v>0.52381220600238498</v>
      </c>
      <c r="V8" s="28"/>
    </row>
    <row r="9" spans="1:22" x14ac:dyDescent="0.25">
      <c r="A9" s="40" t="s">
        <v>28</v>
      </c>
      <c r="B9" s="41">
        <v>1982</v>
      </c>
      <c r="C9" s="41">
        <v>318</v>
      </c>
      <c r="D9" s="41">
        <v>55</v>
      </c>
      <c r="E9" s="41">
        <v>548</v>
      </c>
      <c r="F9" s="41">
        <f t="shared" si="3"/>
        <v>2903</v>
      </c>
      <c r="G9" s="42">
        <v>1868</v>
      </c>
      <c r="H9" s="42">
        <v>270</v>
      </c>
      <c r="I9" s="42">
        <v>55</v>
      </c>
      <c r="J9" s="42">
        <v>548</v>
      </c>
      <c r="K9" s="43">
        <f t="shared" si="4"/>
        <v>-114</v>
      </c>
      <c r="L9" s="43">
        <f t="shared" si="4"/>
        <v>-48</v>
      </c>
      <c r="M9" s="42">
        <f t="shared" si="5"/>
        <v>2741</v>
      </c>
      <c r="N9" s="43">
        <f t="shared" si="6"/>
        <v>-162</v>
      </c>
      <c r="O9" s="44">
        <v>6391</v>
      </c>
      <c r="P9" s="44">
        <v>5919</v>
      </c>
      <c r="Q9" s="45">
        <f t="shared" si="0"/>
        <v>-472</v>
      </c>
      <c r="R9" s="29">
        <f>4434/6391</f>
        <v>0.69378813957127206</v>
      </c>
      <c r="S9" s="44">
        <f t="shared" si="1"/>
        <v>4106.5319981223593</v>
      </c>
      <c r="T9" s="46">
        <v>0.66910000000000003</v>
      </c>
      <c r="U9" s="47">
        <f t="shared" si="2"/>
        <v>0.66747318692592061</v>
      </c>
      <c r="V9" s="48"/>
    </row>
    <row r="10" spans="1:22" x14ac:dyDescent="0.25">
      <c r="A10" s="40" t="s">
        <v>36</v>
      </c>
      <c r="B10" s="41">
        <v>1054</v>
      </c>
      <c r="C10" s="41">
        <v>182</v>
      </c>
      <c r="D10" s="41">
        <v>460</v>
      </c>
      <c r="E10" s="41">
        <v>511</v>
      </c>
      <c r="F10" s="41">
        <f t="shared" si="3"/>
        <v>2207</v>
      </c>
      <c r="G10" s="42">
        <v>988</v>
      </c>
      <c r="H10" s="42">
        <v>164</v>
      </c>
      <c r="I10" s="42">
        <v>460</v>
      </c>
      <c r="J10" s="42">
        <v>511</v>
      </c>
      <c r="K10" s="43">
        <f t="shared" si="4"/>
        <v>-66</v>
      </c>
      <c r="L10" s="43">
        <f t="shared" si="4"/>
        <v>-18</v>
      </c>
      <c r="M10" s="42">
        <f t="shared" si="5"/>
        <v>2123</v>
      </c>
      <c r="N10" s="43">
        <f t="shared" si="6"/>
        <v>-84</v>
      </c>
      <c r="O10" s="44">
        <v>5311</v>
      </c>
      <c r="P10" s="44">
        <v>4649</v>
      </c>
      <c r="Q10" s="45">
        <f t="shared" si="0"/>
        <v>-662</v>
      </c>
      <c r="R10" s="29">
        <f>2831/5311</f>
        <v>0.53304462436452649</v>
      </c>
      <c r="S10" s="44">
        <f t="shared" si="1"/>
        <v>2478.1244586706835</v>
      </c>
      <c r="T10" s="46">
        <v>0.75129999999999997</v>
      </c>
      <c r="U10" s="29">
        <f t="shared" si="2"/>
        <v>0.8566962779338454</v>
      </c>
      <c r="V10" s="28"/>
    </row>
    <row r="11" spans="1:22" x14ac:dyDescent="0.25">
      <c r="A11" s="40" t="s">
        <v>44</v>
      </c>
      <c r="B11" s="41">
        <v>1452</v>
      </c>
      <c r="C11" s="41">
        <v>530</v>
      </c>
      <c r="D11" s="41">
        <v>0</v>
      </c>
      <c r="E11" s="41">
        <v>316</v>
      </c>
      <c r="F11" s="41">
        <f t="shared" si="3"/>
        <v>2298</v>
      </c>
      <c r="G11" s="42">
        <v>1368</v>
      </c>
      <c r="H11" s="42">
        <v>476</v>
      </c>
      <c r="I11" s="42">
        <v>0</v>
      </c>
      <c r="J11" s="42">
        <v>316</v>
      </c>
      <c r="K11" s="43">
        <f t="shared" si="4"/>
        <v>-84</v>
      </c>
      <c r="L11" s="43">
        <v>-54</v>
      </c>
      <c r="M11" s="42">
        <f t="shared" si="5"/>
        <v>2160</v>
      </c>
      <c r="N11" s="49">
        <f t="shared" si="6"/>
        <v>-138</v>
      </c>
      <c r="O11" s="44">
        <v>3642</v>
      </c>
      <c r="P11" s="44">
        <v>3305</v>
      </c>
      <c r="Q11" s="50">
        <f t="shared" si="0"/>
        <v>-337</v>
      </c>
      <c r="R11" s="29">
        <f>2575/3642</f>
        <v>0.70702910488742454</v>
      </c>
      <c r="S11" s="44">
        <f t="shared" si="1"/>
        <v>2336.7311916529379</v>
      </c>
      <c r="T11" s="46">
        <v>0.91110000000000002</v>
      </c>
      <c r="U11" s="29">
        <f t="shared" si="2"/>
        <v>0.92436819764111455</v>
      </c>
      <c r="V11" s="28"/>
    </row>
    <row r="12" spans="1:22" x14ac:dyDescent="0.25">
      <c r="A12" s="40" t="s">
        <v>48</v>
      </c>
      <c r="B12" s="41">
        <v>1934</v>
      </c>
      <c r="C12" s="41">
        <v>318</v>
      </c>
      <c r="D12" s="41">
        <v>110</v>
      </c>
      <c r="E12" s="41">
        <v>910</v>
      </c>
      <c r="F12" s="41">
        <f t="shared" si="3"/>
        <v>3272</v>
      </c>
      <c r="G12" s="42">
        <v>1834</v>
      </c>
      <c r="H12" s="42">
        <v>288</v>
      </c>
      <c r="I12" s="42">
        <v>110</v>
      </c>
      <c r="J12" s="42">
        <v>910</v>
      </c>
      <c r="K12" s="43">
        <f t="shared" si="4"/>
        <v>-100</v>
      </c>
      <c r="L12" s="43">
        <f t="shared" si="4"/>
        <v>-30</v>
      </c>
      <c r="M12" s="42">
        <f t="shared" si="5"/>
        <v>3142</v>
      </c>
      <c r="N12" s="49">
        <f t="shared" si="6"/>
        <v>-130</v>
      </c>
      <c r="O12" s="44">
        <v>4342</v>
      </c>
      <c r="P12" s="44">
        <v>4144</v>
      </c>
      <c r="Q12" s="50">
        <f t="shared" si="0"/>
        <v>-198</v>
      </c>
      <c r="R12" s="29">
        <f>3526/4342</f>
        <v>0.81206817134960851</v>
      </c>
      <c r="S12" s="44">
        <f t="shared" si="1"/>
        <v>3365.2105020727777</v>
      </c>
      <c r="T12" s="46">
        <v>0.91090000000000004</v>
      </c>
      <c r="U12" s="29">
        <f t="shared" si="2"/>
        <v>0.93367116204609113</v>
      </c>
      <c r="V12" s="28"/>
    </row>
    <row r="13" spans="1:22" x14ac:dyDescent="0.25">
      <c r="A13" s="40" t="s">
        <v>66</v>
      </c>
      <c r="B13" s="41">
        <v>2100</v>
      </c>
      <c r="C13" s="41">
        <v>1603</v>
      </c>
      <c r="D13" s="41">
        <v>70</v>
      </c>
      <c r="E13" s="41">
        <v>1800</v>
      </c>
      <c r="F13" s="41">
        <f t="shared" si="3"/>
        <v>5573</v>
      </c>
      <c r="G13" s="42">
        <v>1972</v>
      </c>
      <c r="H13" s="42">
        <v>1370</v>
      </c>
      <c r="I13" s="42">
        <v>70</v>
      </c>
      <c r="J13" s="42">
        <v>1800</v>
      </c>
      <c r="K13" s="43">
        <f t="shared" si="4"/>
        <v>-128</v>
      </c>
      <c r="L13" s="43">
        <v>-233</v>
      </c>
      <c r="M13" s="42">
        <f t="shared" si="5"/>
        <v>5212</v>
      </c>
      <c r="N13" s="43">
        <f t="shared" si="6"/>
        <v>-361</v>
      </c>
      <c r="O13" s="44">
        <v>7992</v>
      </c>
      <c r="P13" s="44">
        <v>7219</v>
      </c>
      <c r="Q13" s="45">
        <f t="shared" si="0"/>
        <v>-773</v>
      </c>
      <c r="R13" s="29">
        <f>6344/7992</f>
        <v>0.79379379379379378</v>
      </c>
      <c r="S13" s="44">
        <f t="shared" si="1"/>
        <v>5730.3973973973971</v>
      </c>
      <c r="T13" s="46">
        <v>0.87590000000000001</v>
      </c>
      <c r="U13" s="29">
        <f t="shared" si="2"/>
        <v>0.9095355240750248</v>
      </c>
      <c r="V13" s="28"/>
    </row>
    <row r="14" spans="1:22" x14ac:dyDescent="0.25">
      <c r="A14" s="40" t="s">
        <v>61</v>
      </c>
      <c r="B14" s="41">
        <v>984</v>
      </c>
      <c r="C14" s="41">
        <v>332</v>
      </c>
      <c r="D14" s="41">
        <v>40</v>
      </c>
      <c r="E14" s="41">
        <v>698</v>
      </c>
      <c r="F14" s="41">
        <f t="shared" si="3"/>
        <v>2054</v>
      </c>
      <c r="G14" s="42">
        <v>928</v>
      </c>
      <c r="H14" s="42">
        <v>278</v>
      </c>
      <c r="I14" s="42">
        <v>40</v>
      </c>
      <c r="J14" s="42">
        <v>698</v>
      </c>
      <c r="K14" s="43">
        <f t="shared" si="4"/>
        <v>-56</v>
      </c>
      <c r="L14" s="43">
        <v>-54</v>
      </c>
      <c r="M14" s="42">
        <f t="shared" si="5"/>
        <v>1944</v>
      </c>
      <c r="N14" s="49">
        <f t="shared" si="6"/>
        <v>-110</v>
      </c>
      <c r="O14" s="44">
        <v>3640</v>
      </c>
      <c r="P14" s="44">
        <v>3372</v>
      </c>
      <c r="Q14" s="50">
        <f t="shared" si="0"/>
        <v>-268</v>
      </c>
      <c r="R14" s="29">
        <f>3085/3640</f>
        <v>0.84752747252747251</v>
      </c>
      <c r="S14" s="44">
        <f t="shared" si="1"/>
        <v>2857.8626373626375</v>
      </c>
      <c r="T14" s="46">
        <v>0.66579999999999995</v>
      </c>
      <c r="U14" s="47">
        <f t="shared" si="2"/>
        <v>0.68022863470933281</v>
      </c>
      <c r="V14" s="48"/>
    </row>
    <row r="15" spans="1:22" x14ac:dyDescent="0.25">
      <c r="A15" s="40" t="s">
        <v>55</v>
      </c>
      <c r="B15" s="41">
        <v>2222</v>
      </c>
      <c r="C15" s="41">
        <v>1055</v>
      </c>
      <c r="D15" s="41">
        <v>0</v>
      </c>
      <c r="E15" s="41">
        <v>849</v>
      </c>
      <c r="F15" s="41">
        <f t="shared" si="3"/>
        <v>4126</v>
      </c>
      <c r="G15" s="42">
        <v>2092</v>
      </c>
      <c r="H15" s="42">
        <v>956</v>
      </c>
      <c r="I15" s="42">
        <v>0</v>
      </c>
      <c r="J15" s="42">
        <v>849</v>
      </c>
      <c r="K15" s="43">
        <f t="shared" si="4"/>
        <v>-130</v>
      </c>
      <c r="L15" s="43">
        <v>-99</v>
      </c>
      <c r="M15" s="42">
        <f t="shared" si="5"/>
        <v>3897</v>
      </c>
      <c r="N15" s="43">
        <f t="shared" si="6"/>
        <v>-229</v>
      </c>
      <c r="O15" s="44">
        <v>9807</v>
      </c>
      <c r="P15" s="44">
        <v>9022</v>
      </c>
      <c r="Q15" s="45">
        <f t="shared" si="0"/>
        <v>-785</v>
      </c>
      <c r="R15" s="29">
        <f>6906/9807</f>
        <v>0.70419088406240438</v>
      </c>
      <c r="S15" s="44">
        <f t="shared" si="1"/>
        <v>6353.2101560110123</v>
      </c>
      <c r="T15" s="46">
        <v>0.59889999999999999</v>
      </c>
      <c r="U15" s="47">
        <f t="shared" si="2"/>
        <v>0.61339069608973995</v>
      </c>
      <c r="V15" s="48"/>
    </row>
    <row r="16" spans="1:22" x14ac:dyDescent="0.25">
      <c r="A16" s="40" t="s">
        <v>79</v>
      </c>
      <c r="B16" s="41">
        <v>2208</v>
      </c>
      <c r="C16" s="41">
        <v>705</v>
      </c>
      <c r="D16" s="41">
        <v>20</v>
      </c>
      <c r="E16" s="41">
        <v>1799</v>
      </c>
      <c r="F16" s="41">
        <f t="shared" si="3"/>
        <v>4732</v>
      </c>
      <c r="G16" s="42">
        <v>2082</v>
      </c>
      <c r="H16" s="42">
        <v>666</v>
      </c>
      <c r="I16" s="42">
        <v>20</v>
      </c>
      <c r="J16" s="42">
        <v>1799</v>
      </c>
      <c r="K16" s="43">
        <f t="shared" si="4"/>
        <v>-126</v>
      </c>
      <c r="L16" s="43">
        <v>-39</v>
      </c>
      <c r="M16" s="42">
        <f t="shared" si="5"/>
        <v>4567</v>
      </c>
      <c r="N16" s="43">
        <f t="shared" si="6"/>
        <v>-165</v>
      </c>
      <c r="O16" s="44">
        <v>8053</v>
      </c>
      <c r="P16" s="44">
        <v>7472</v>
      </c>
      <c r="Q16" s="45">
        <f t="shared" si="0"/>
        <v>-581</v>
      </c>
      <c r="R16" s="29">
        <f>6249/8053</f>
        <v>0.77598410530237183</v>
      </c>
      <c r="S16" s="44">
        <f t="shared" si="1"/>
        <v>5798.1532348193223</v>
      </c>
      <c r="T16" s="46">
        <v>0.76749999999999996</v>
      </c>
      <c r="U16" s="51">
        <f t="shared" si="2"/>
        <v>0.78766459164515568</v>
      </c>
      <c r="V16" s="28"/>
    </row>
    <row r="17" spans="1:22" x14ac:dyDescent="0.25">
      <c r="A17" s="40" t="s">
        <v>71</v>
      </c>
      <c r="B17" s="41">
        <v>1812</v>
      </c>
      <c r="C17" s="41">
        <v>283</v>
      </c>
      <c r="D17" s="41">
        <v>130</v>
      </c>
      <c r="E17" s="41">
        <v>1097</v>
      </c>
      <c r="F17" s="41">
        <f t="shared" si="3"/>
        <v>3322</v>
      </c>
      <c r="G17" s="42">
        <v>1706</v>
      </c>
      <c r="H17" s="42">
        <v>236</v>
      </c>
      <c r="I17" s="42">
        <v>130</v>
      </c>
      <c r="J17" s="42">
        <v>1097</v>
      </c>
      <c r="K17" s="43">
        <f t="shared" si="4"/>
        <v>-106</v>
      </c>
      <c r="L17" s="43">
        <f t="shared" si="4"/>
        <v>-47</v>
      </c>
      <c r="M17" s="42">
        <f t="shared" si="5"/>
        <v>3169</v>
      </c>
      <c r="N17" s="43">
        <f t="shared" si="6"/>
        <v>-153</v>
      </c>
      <c r="O17" s="44">
        <v>7564</v>
      </c>
      <c r="P17" s="44">
        <v>6933</v>
      </c>
      <c r="Q17" s="45">
        <f t="shared" si="0"/>
        <v>-631</v>
      </c>
      <c r="R17" s="29">
        <f>5743/7564</f>
        <v>0.75925436277102065</v>
      </c>
      <c r="S17" s="44">
        <f t="shared" si="1"/>
        <v>5263.9104970914859</v>
      </c>
      <c r="T17" s="46">
        <v>0.58260000000000001</v>
      </c>
      <c r="U17" s="47">
        <f t="shared" si="2"/>
        <v>0.6020239139231176</v>
      </c>
      <c r="V17" s="48"/>
    </row>
    <row r="18" spans="1:22" x14ac:dyDescent="0.25">
      <c r="A18" s="52" t="s">
        <v>116</v>
      </c>
      <c r="B18" s="53">
        <f>SUM(B6:B17)</f>
        <v>20302</v>
      </c>
      <c r="C18" s="53">
        <f t="shared" ref="C18:J18" si="7">SUM(C6:C17)</f>
        <v>7496</v>
      </c>
      <c r="D18" s="53">
        <f t="shared" si="7"/>
        <v>1163</v>
      </c>
      <c r="E18" s="53">
        <f t="shared" si="7"/>
        <v>10813</v>
      </c>
      <c r="F18" s="53">
        <f t="shared" si="7"/>
        <v>39774</v>
      </c>
      <c r="G18" s="53">
        <f t="shared" si="7"/>
        <v>19114</v>
      </c>
      <c r="H18" s="53">
        <f t="shared" si="7"/>
        <v>6711</v>
      </c>
      <c r="I18" s="53">
        <f t="shared" si="7"/>
        <v>1163</v>
      </c>
      <c r="J18" s="53">
        <f t="shared" si="7"/>
        <v>10813</v>
      </c>
      <c r="K18" s="54">
        <f t="shared" si="4"/>
        <v>-1188</v>
      </c>
      <c r="L18" s="54">
        <f>H18-C18</f>
        <v>-785</v>
      </c>
      <c r="M18" s="53">
        <f t="shared" ref="M18:N18" si="8">SUM(M6:M17)</f>
        <v>37801</v>
      </c>
      <c r="N18" s="54">
        <f t="shared" si="8"/>
        <v>-1973</v>
      </c>
      <c r="O18" s="53">
        <v>78592</v>
      </c>
      <c r="P18" s="53">
        <v>71790</v>
      </c>
      <c r="Q18" s="54">
        <f t="shared" si="0"/>
        <v>-6802</v>
      </c>
      <c r="R18" s="55">
        <f>56632/78592</f>
        <v>0.72058224755700329</v>
      </c>
      <c r="S18" s="53">
        <f t="shared" si="1"/>
        <v>51730.599552117266</v>
      </c>
      <c r="T18" s="56">
        <v>0.70330000000000004</v>
      </c>
      <c r="U18" s="55">
        <f t="shared" si="2"/>
        <v>0.73072804737003771</v>
      </c>
      <c r="V18" s="57"/>
    </row>
  </sheetData>
  <mergeCells count="14">
    <mergeCell ref="A1:V1"/>
    <mergeCell ref="A2:V2"/>
    <mergeCell ref="A3:N3"/>
    <mergeCell ref="O3:V3"/>
    <mergeCell ref="A4:F4"/>
    <mergeCell ref="G4:N4"/>
    <mergeCell ref="O4:O5"/>
    <mergeCell ref="P4:P5"/>
    <mergeCell ref="Q4:Q5"/>
    <mergeCell ref="R4:R5"/>
    <mergeCell ref="S4:S5"/>
    <mergeCell ref="T4:T5"/>
    <mergeCell ref="U4:U5"/>
    <mergeCell ref="V4:V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臺北市各次分區托育盤點統計表</vt:lpstr>
      <vt:lpstr>臺北市降低師生比各行政區公共化教保服務比例統計表</vt:lpstr>
      <vt:lpstr>臺北市各次分區托育盤點統計表!Print_Titles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AEAA-60480</dc:creator>
  <cp:lastModifiedBy>賴于靜</cp:lastModifiedBy>
  <cp:lastPrinted>2023-04-17T06:53:18Z</cp:lastPrinted>
  <dcterms:created xsi:type="dcterms:W3CDTF">2022-06-15T06:12:28Z</dcterms:created>
  <dcterms:modified xsi:type="dcterms:W3CDTF">2023-05-01T02:08:06Z</dcterms:modified>
</cp:coreProperties>
</file>