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7"/>
  <workbookPr codeName="ThisWorkbook" autoCompressPictures="0"/>
  <mc:AlternateContent xmlns:mc="http://schemas.openxmlformats.org/markup-compatibility/2006">
    <mc:Choice Requires="x15">
      <x15ac:absPath xmlns:x15ac="http://schemas.microsoft.com/office/spreadsheetml/2010/11/ac" url="https://onevmw-my.sharepoint.com/personal/haudah_vmware_com/Documents/"/>
    </mc:Choice>
  </mc:AlternateContent>
  <xr:revisionPtr revIDLastSave="397" documentId="13_ncr:1_{6AB63D1C-E9DF-4CEC-835B-1ABBFE20F833}" xr6:coauthVersionLast="45" xr6:coauthVersionMax="45" xr10:uidLastSave="{6905B5EA-4396-462C-850C-FD81A1245461}"/>
  <bookViews>
    <workbookView xWindow="-108" yWindow="-108" windowWidth="23256" windowHeight="12576" tabRatio="833" firstSheet="2" activeTab="7" xr2:uid="{00000000-000D-0000-FFFF-FFFF00000000}"/>
  </bookViews>
  <sheets>
    <sheet name="Title" sheetId="42" r:id="rId1"/>
    <sheet name="Servers &amp; Environment" sheetId="37" r:id="rId2"/>
    <sheet name="Change Log &amp; Support (Hide)" sheetId="41" r:id="rId3"/>
    <sheet name="Values (Hide)" sheetId="38" r:id="rId4"/>
    <sheet name="Sizing (Hide)" sheetId="39" r:id="rId5"/>
    <sheet name="UEM Console - DB (On-Premises)" sheetId="7" r:id="rId6"/>
    <sheet name="DS-AWCM-API (On-Premises)" sheetId="22" r:id="rId7"/>
    <sheet name="Access (On-Premises)" sheetId="27" r:id="rId8"/>
    <sheet name="Devices on Internet or Wi-Fi" sheetId="10" r:id="rId9"/>
    <sheet name="ACC  - Access Connector" sheetId="1" r:id="rId10"/>
    <sheet name="Tunnel &amp; Content Gateway" sheetId="14" r:id="rId11"/>
    <sheet name="SEG-Powershell" sheetId="6" r:id="rId12"/>
    <sheet name="ENS" sheetId="33" r:id="rId13"/>
    <sheet name="Intelligence Connector" sheetId="35" r:id="rId14"/>
    <sheet name="Memcache" sheetId="36" r:id="rId15"/>
    <sheet name="Citrix Integration Broker" sheetId="28" r:id="rId16"/>
    <sheet name="Workspace ONE Assist" sheetId="32" r:id="rId17"/>
    <sheet name=" Relay Pull Service" sheetId="20" r:id="rId18"/>
  </sheets>
  <externalReferences>
    <externalReference r:id="rId19"/>
  </externalReferences>
  <definedNames>
    <definedName name="_xlnm._FilterDatabase" localSheetId="17" hidden="1">' Relay Pull Service'!$L$4:$L$25</definedName>
    <definedName name="_xlnm._FilterDatabase" localSheetId="9" hidden="1">'ACC  - Access Connector'!$L$4:$L$29</definedName>
    <definedName name="_xlnm._FilterDatabase" localSheetId="7" hidden="1">'Access (On-Premises)'!$L$4:$L$43</definedName>
    <definedName name="_xlnm._FilterDatabase" localSheetId="15" hidden="1">'Citrix Integration Broker'!$L$4:$L$18</definedName>
    <definedName name="_xlnm._FilterDatabase" localSheetId="8" hidden="1">'Devices on Internet or Wi-Fi'!$J$5:$J$23</definedName>
    <definedName name="_xlnm._FilterDatabase" localSheetId="6" hidden="1">'DS-AWCM-API (On-Premises)'!$L$4:$L$67</definedName>
    <definedName name="_xlnm._FilterDatabase" localSheetId="11" hidden="1">'SEG-Powershell'!$L$4:$L$43</definedName>
    <definedName name="_xlnm._FilterDatabase" localSheetId="10" hidden="1">'Tunnel &amp; Content Gateway'!$L$4:$L$49</definedName>
    <definedName name="_xlnm._FilterDatabase" localSheetId="5" hidden="1">'UEM Console - DB (On-Premises)'!$L$4:$L$74</definedName>
    <definedName name="AccDNS">'Servers &amp; Environment'!$E$69</definedName>
    <definedName name="ACCDNSIP">'Servers &amp; Environment'!$F$69</definedName>
    <definedName name="AccessConnectorDNS">'Servers &amp; Environment'!$E$70</definedName>
    <definedName name="AccessConnectorDnsIp">'Servers &amp; Environment'!$F$70</definedName>
    <definedName name="AccessConnectorIp">'Servers &amp; Environment'!$D$70</definedName>
    <definedName name="AccessConnectorOS">'Servers &amp; Environment'!$M$70</definedName>
    <definedName name="AccessConnectorServername">'Servers &amp; Environment'!$C$70</definedName>
    <definedName name="AccessDatabase">'Servers &amp; Environment'!$E$59</definedName>
    <definedName name="AccessDatabaseIp">'Servers &amp; Environment'!$F$59</definedName>
    <definedName name="AccessDNS">'Servers &amp; Environment'!$E$67</definedName>
    <definedName name="AccessDnsIp">'Servers &amp; Environment'!$F$67</definedName>
    <definedName name="AccessIP">'Servers &amp; Environment'!$D$67</definedName>
    <definedName name="AccessSaaSIP">'Servers &amp; Environment'!$F$13</definedName>
    <definedName name="AccessSaaSURL">'Servers &amp; Environment'!$C$13</definedName>
    <definedName name="AccessServerName">'Servers &amp; Environment'!$C$67</definedName>
    <definedName name="ACCIp">'Servers &amp; Environment'!$D$69</definedName>
    <definedName name="ACCOS">'Servers &amp; Environment'!$M$69</definedName>
    <definedName name="ACCServerName">'Servers &amp; Environment'!$C$69</definedName>
    <definedName name="ADIp">'Servers &amp; Environment'!$E$44</definedName>
    <definedName name="ADServerName">'Servers &amp; Environment'!$D$44</definedName>
    <definedName name="apidns">'Servers &amp; Environment'!$E$66</definedName>
    <definedName name="apidnsip">'Servers &amp; Environment'!$F$66</definedName>
    <definedName name="apiip">'Servers &amp; Environment'!$D$66</definedName>
    <definedName name="apiservername">'Servers &amp; Environment'!$C$66</definedName>
    <definedName name="Assist_Boolean">'Values (Hide)'!$A$15:$A$17</definedName>
    <definedName name="AssistDatabase">'Servers &amp; Environment'!$E$61</definedName>
    <definedName name="AssistDatabaseIp">'Servers &amp; Environment'!$F$61</definedName>
    <definedName name="AssistDNS">'Servers &amp; Environment'!$E$77</definedName>
    <definedName name="AssistDnsIp">'Servers &amp; Environment'!$F$77</definedName>
    <definedName name="AssistIP">'Servers &amp; Environment'!$D$77</definedName>
    <definedName name="AssistOS">'Servers &amp; Environment'!$M$77</definedName>
    <definedName name="AssistProctorDNS">'Servers &amp; Environment'!$E$78</definedName>
    <definedName name="AssistProctorDnsIp">'Servers &amp; Environment'!$F$78</definedName>
    <definedName name="AssistProctorIP">'Servers &amp; Environment'!$D$78</definedName>
    <definedName name="AssistProctorServerName">'Servers &amp; Environment'!$C$78</definedName>
    <definedName name="AssistServerName">'Servers &amp; Environment'!$C$77</definedName>
    <definedName name="awcmdns">'Servers &amp; Environment'!$E$65</definedName>
    <definedName name="awcmdnsip">'Servers &amp; Environment'!$F$65</definedName>
    <definedName name="awcmip">'Servers &amp; Environment'!$D$65</definedName>
    <definedName name="awcmservername">'Servers &amp; Environment'!$C$65</definedName>
    <definedName name="Boolean">'Values (Hide)'!$A$6:$A$7</definedName>
    <definedName name="CibDNS">'Servers &amp; Environment'!$E$80</definedName>
    <definedName name="CibDNSIp">'Servers &amp; Environment'!$F$80</definedName>
    <definedName name="CibIp">'Servers &amp; Environment'!$D$80</definedName>
    <definedName name="CibServerName">'Servers &amp; Environment'!$C$80</definedName>
    <definedName name="CitrixFarmIp">'Servers &amp; Environment'!$E$54</definedName>
    <definedName name="CitrixFarmServerName">'Servers &amp; Environment'!$D$54</definedName>
    <definedName name="cloudkdc">'Servers &amp; Environment'!$D$13</definedName>
    <definedName name="cndns">'Servers &amp; Environment'!$E$63</definedName>
    <definedName name="cndnsip">'Servers &amp; Environment'!$F$63</definedName>
    <definedName name="cnip">'Servers &amp; Environment'!$D$63</definedName>
    <definedName name="CNSaaSURL">'Servers &amp; Environment'!$C$11</definedName>
    <definedName name="cnservername">'Servers &amp; Environment'!$C$63</definedName>
    <definedName name="ComAcc">'Servers &amp; Environment'!$B$17</definedName>
    <definedName name="ComAccess">'Servers &amp; Environment'!$B$36</definedName>
    <definedName name="ComAccessDB">'Servers &amp; Environment'!$B$30</definedName>
    <definedName name="ComAssistDatabase">'Servers &amp; Environment'!$B$37</definedName>
    <definedName name="ComAssistPortal">'Servers &amp; Environment'!#REF!</definedName>
    <definedName name="ComAssistProctor">'Servers &amp; Environment'!$B$39</definedName>
    <definedName name="ComAssistServer">'Servers &amp; Environment'!$B$38</definedName>
    <definedName name="ComBlackberry">'Servers &amp; Environment'!$B$53</definedName>
    <definedName name="ComBrowser">"Browser (for admin access)"</definedName>
    <definedName name="ComCIB">'Servers &amp; Environment'!$B$27</definedName>
    <definedName name="ComCitrixFarm">'Servers &amp; Environment'!$B$54</definedName>
    <definedName name="ComDNS">'Servers &amp; Environment'!$B$48</definedName>
    <definedName name="ComENS2">'Servers &amp; Environment'!$B$20</definedName>
    <definedName name="ComENS2DB">'Servers &amp; Environment'!$B$21</definedName>
    <definedName name="ComFTP">'Servers &amp; Environment'!$B$26</definedName>
    <definedName name="ComHorizon">'Servers &amp; Environment'!$B$50</definedName>
    <definedName name="ComIDMConnector">'Servers &amp; Environment'!$B$18</definedName>
    <definedName name="ComLDAP">'Servers &amp; Environment'!$B$44</definedName>
    <definedName name="ComMailServer">'Servers &amp; Environment'!$B$47</definedName>
    <definedName name="ComMemcache">'Servers &amp; Environment'!$B$31</definedName>
    <definedName name="ComPKI">'Servers &amp; Environment'!$B$46</definedName>
    <definedName name="ComRadius">'Servers &amp; Environment'!$B$51</definedName>
    <definedName name="ComRSA">'Servers &amp; Environment'!$B$52</definedName>
    <definedName name="ComSEG">'Servers &amp; Environment'!$B$19</definedName>
    <definedName name="ComSMTP">'Servers &amp; Environment'!$B$45</definedName>
    <definedName name="ComSyslog">'Servers &amp; Environment'!$B$49</definedName>
    <definedName name="ComUAGEndContent">'Servers &amp; Environment'!$B$25</definedName>
    <definedName name="ComUAGEndTunnel">'Servers &amp; Environment'!$B$24</definedName>
    <definedName name="ComUAGRelayContent">'Servers &amp; Environment'!$B$23</definedName>
    <definedName name="ComUAGRelayTunnel">'Servers &amp; Environment'!$B$22</definedName>
    <definedName name="ComUEMAPI">'Servers &amp; Environment'!$B$66</definedName>
    <definedName name="ComUEMAWCM">'Servers &amp; Environment'!$B$65</definedName>
    <definedName name="ComUEMCN">'Servers &amp; Environment'!$B$32</definedName>
    <definedName name="ComUemDatabase">'Servers &amp; Environment'!$B$29</definedName>
    <definedName name="ComUEMDS">'Servers &amp; Environment'!$B$33</definedName>
    <definedName name="ComWS1IntelCon">'Servers &amp; Environment'!$B$40</definedName>
    <definedName name="DB_Boolean">'Values (Hide)'!$A$20:$A$22</definedName>
    <definedName name="dbdns">'Servers &amp; Environment'!#REF!</definedName>
    <definedName name="dbdnsip">'Servers &amp; Environment'!#REF!</definedName>
    <definedName name="dbip">'Servers &amp; Environment'!#REF!</definedName>
    <definedName name="dbservername">'Servers &amp; Environment'!#REF!</definedName>
    <definedName name="deploymenttype">'Servers &amp; Environment'!$C$6</definedName>
    <definedName name="Device_Services_Name" comment="The name of the Device Services Server component">'Servers &amp; Environment'!$B$33</definedName>
    <definedName name="DeviceCount">'[1]Lookup Value'!$B$12:$B$15</definedName>
    <definedName name="Devices_Internet_Name">"Devices on Internet or Wi-Fi"</definedName>
    <definedName name="DNSIP">'Servers &amp; Environment'!$E$48</definedName>
    <definedName name="DNSServerName">'Servers &amp; Environment'!$D$48</definedName>
    <definedName name="dpip">'Servers &amp; Environment'!#REF!</definedName>
    <definedName name="dsdns">'Servers &amp; Environment'!$E$64</definedName>
    <definedName name="dsdnsip">'Servers &amp; Environment'!$F$64</definedName>
    <definedName name="dsip">'Servers &amp; Environment'!$D$64</definedName>
    <definedName name="DSSaaSURL">'Servers &amp; Environment'!$D$11</definedName>
    <definedName name="dsservername">'Servers &amp; Environment'!$C$64</definedName>
    <definedName name="ENSAPI">Table4[#All]</definedName>
    <definedName name="EnsDatabase">'Servers &amp; Environment'!$E$60</definedName>
    <definedName name="EnsDatabaseIp">'Servers &amp; Environment'!$F$60</definedName>
    <definedName name="ensdns">'Servers &amp; Environment'!$E$72</definedName>
    <definedName name="ensdnsip">'Servers &amp; Environment'!$F$72</definedName>
    <definedName name="ensip">'Servers &amp; Environment'!$D$72</definedName>
    <definedName name="ENSIPRange">'Servers &amp; Environment'!$G$11</definedName>
    <definedName name="ensOS">'Servers &amp; Environment'!$M$72</definedName>
    <definedName name="ensservername">'Servers &amp; Environment'!$C$72</definedName>
    <definedName name="environment">'Values (Hide)'!$A$2:$A$3</definedName>
    <definedName name="Environments">[1]Questionaire!$A$10:$A$14</definedName>
    <definedName name="FtpDNS">'Servers &amp; Environment'!$E$79</definedName>
    <definedName name="FtpDnsIp">'Servers &amp; Environment'!$F$79</definedName>
    <definedName name="FtpServerIp">'Servers &amp; Environment'!$D$79</definedName>
    <definedName name="FtpServerName">'Servers &amp; Environment'!$C$79</definedName>
    <definedName name="hzncnip">'Servers &amp; Environment'!$E$50</definedName>
    <definedName name="hzncnservername">'Servers &amp; Environment'!$D$50</definedName>
    <definedName name="IntelligentConnectorDNS">'Servers &amp; Environment'!$E$68</definedName>
    <definedName name="IntelligentConnectorDnsIp">'Servers &amp; Environment'!$F$68</definedName>
    <definedName name="IntelligentConnectorIP">'Servers &amp; Environment'!$D$68</definedName>
    <definedName name="IntelligentConnectorServername">'Servers &amp; Environment'!$C$68</definedName>
    <definedName name="InternalPKIIp">'Servers &amp; Environment'!$E$46</definedName>
    <definedName name="InternalPKIServerName">'Servers &amp; Environment'!$D$46</definedName>
    <definedName name="LDAP_Port" comment="The port number used for communication with LDAP">'Servers &amp; Environment'!$F$44</definedName>
    <definedName name="Mail_Port">'Servers &amp; Environment'!$F$47</definedName>
    <definedName name="MailServerIp">'Servers &amp; Environment'!$E$47</definedName>
    <definedName name="MailServerName">'Servers &amp; Environment'!$D$47</definedName>
    <definedName name="memcachedns">'Servers &amp; Environment'!$E$62</definedName>
    <definedName name="memcachednsip">'Servers &amp; Environment'!$F$62</definedName>
    <definedName name="memcacheip">'Servers &amp; Environment'!$D$62</definedName>
    <definedName name="memcacheservername">'Servers &amp; Environment'!$C$62</definedName>
    <definedName name="_xlnm.Print_Area" localSheetId="9">'ACC  - Access Connector'!$B$2:$K$47</definedName>
    <definedName name="_xlnm.Print_Area" localSheetId="7">'Access (On-Premises)'!$B$2:$K$53</definedName>
    <definedName name="_xlnm.Print_Area" localSheetId="15">'Citrix Integration Broker'!$B$2:$K$36</definedName>
    <definedName name="_xlnm.Print_Area" localSheetId="6">'DS-AWCM-API (On-Premises)'!$B$2:$K$67</definedName>
    <definedName name="_xlnm.Print_Area" localSheetId="11">'SEG-Powershell'!$B$2:$K$11</definedName>
    <definedName name="_xlnm.Print_Area" localSheetId="10">'Tunnel &amp; Content Gateway'!#REF!</definedName>
    <definedName name="_xlnm.Print_Area" localSheetId="5">'UEM Console - DB (On-Premises)'!$B$2:$K$74</definedName>
    <definedName name="RadiusPort">'Servers &amp; Environment'!$F$51</definedName>
    <definedName name="RadiusServerIP">'Servers &amp; Environment'!$E$51</definedName>
    <definedName name="RadiusServerName">'Servers &amp; Environment'!$D$51</definedName>
    <definedName name="Region">Table4[Region]</definedName>
    <definedName name="RSAPort">'Servers &amp; Environment'!$F$52</definedName>
    <definedName name="RSAServerIP">'Servers &amp; Environment'!$E$52</definedName>
    <definedName name="RSAServerName">'Servers &amp; Environment'!$D$52</definedName>
    <definedName name="SEG_Server_Count">'Servers &amp; Environment'!$O$71</definedName>
    <definedName name="SegDNS">'Servers &amp; Environment'!$E$71</definedName>
    <definedName name="SegDNSIp">'Servers &amp; Environment'!$F$71</definedName>
    <definedName name="SegIp">'Servers &amp; Environment'!$D$71</definedName>
    <definedName name="SegServerName">'Servers &amp; Environment'!$C$71</definedName>
    <definedName name="ServerAccountName">Table5[Service Account Name]</definedName>
    <definedName name="ServerComp" localSheetId="1">#REF!</definedName>
    <definedName name="ServerComp">#REF!</definedName>
    <definedName name="ServiceAccountName">Table5[Service Account Name]</definedName>
    <definedName name="ServiceAccountType">Table5[Service Account Type]</definedName>
    <definedName name="SMTP_Port">'Servers &amp; Environment'!$F$45</definedName>
    <definedName name="SMTPIp">'Servers &amp; Environment'!$E$45</definedName>
    <definedName name="SMTPServerName">'Servers &amp; Environment'!$D$45</definedName>
    <definedName name="SSL_Handling">'Values (Hide)'!$A$25:$A$28</definedName>
    <definedName name="syslogip">'Servers &amp; Environment'!$E$49</definedName>
    <definedName name="syslogservername">'Servers &amp; Environment'!$D$49</definedName>
    <definedName name="Type">'[1]Lookup Value'!$B$8:$B$9</definedName>
    <definedName name="UAG_Boolean">'Values (Hide)'!$A$10:$A$12</definedName>
    <definedName name="UagConfig">'Servers &amp; Environment'!$C$106</definedName>
    <definedName name="UAGEndpointContentDNS">'Servers &amp; Environment'!$E$76</definedName>
    <definedName name="UAGEndpointContentDNSIP">'Servers &amp; Environment'!$F$76</definedName>
    <definedName name="UAGEndpointContentServerIP">'Servers &amp; Environment'!$D$76</definedName>
    <definedName name="UAGEndpointContentServerName">'Servers &amp; Environment'!$C$76</definedName>
    <definedName name="UAGEndpointTunnelDNS">'Servers &amp; Environment'!$E$75</definedName>
    <definedName name="UAGEndpointTunnelDNSIP">'Servers &amp; Environment'!$F$75</definedName>
    <definedName name="UAGEndpointTunnelServerIP">'Servers &amp; Environment'!$D$75</definedName>
    <definedName name="UAGEndpointTunnelServerName">'Servers &amp; Environment'!$C$75</definedName>
    <definedName name="UAGRelayContentDNS">'Servers &amp; Environment'!$E$74</definedName>
    <definedName name="UAGRelayContentDNSIP">'Servers &amp; Environment'!$F$74</definedName>
    <definedName name="UAGRelayContentServerIP">'Servers &amp; Environment'!$D$74</definedName>
    <definedName name="UAGRelayContentServerName">'Servers &amp; Environment'!$C$74</definedName>
    <definedName name="UAGRelayTunnelDNS">'Servers &amp; Environment'!$E$73</definedName>
    <definedName name="UAGRelayTunnelDNSIP">'Servers &amp; Environment'!$F$73</definedName>
    <definedName name="UAGRelayTunnelServerIP">'Servers &amp; Environment'!$D$73</definedName>
    <definedName name="UAGRelayTunnelServerName">'Servers &amp; Environment'!$C$73</definedName>
    <definedName name="UemDatabase">'Servers &amp; Environment'!$E$58</definedName>
    <definedName name="UemDatabaseIp">'Servers &amp; Environment'!$F$58</definedName>
    <definedName name="UEMIPSaaS">'Servers &amp; Environment'!$F$11</definedName>
    <definedName name="UsingAD">'Servers &amp; Environment'!$C$44</definedName>
    <definedName name="UsingAssist">'Servers &amp; Environment'!$C$38</definedName>
    <definedName name="UsingAssistPortal">'Servers &amp; Environment'!#REF!</definedName>
    <definedName name="UsingAssistProctor">'Servers &amp; Environment'!$C$39</definedName>
    <definedName name="UsingBlackberry">'Servers &amp; Environment'!$C$53</definedName>
    <definedName name="UsingEns">'Servers &amp; Environment'!$C$20</definedName>
    <definedName name="UsingFtp">'Servers &amp; Environment'!$C$26</definedName>
    <definedName name="UsingHorizon">'Servers &amp; Environment'!$C$50</definedName>
    <definedName name="UsingIntegrationBroker">'Servers &amp; Environment'!$C$27</definedName>
    <definedName name="UsingIntelligent">'Servers &amp; Environment'!$C$40</definedName>
    <definedName name="UsingMail">'Servers &amp; Environment'!$C$47</definedName>
    <definedName name="UsingMemcached">'Servers &amp; Environment'!$C$31</definedName>
    <definedName name="UsingPKI">'Servers &amp; Environment'!$C$46</definedName>
    <definedName name="UsingPublicConsole">'Servers &amp; Environment'!$C$105</definedName>
    <definedName name="UsingRadius">'Servers &amp; Environment'!$C$51</definedName>
    <definedName name="UsingRSA">'Servers &amp; Environment'!$C$52</definedName>
    <definedName name="UsingSeparateAPI">'Servers &amp; Environment'!$C$35</definedName>
    <definedName name="UsingSeparateAwcm">'Servers &amp; Environment'!$C$34</definedName>
    <definedName name="UsingSMTP">'Servers &amp; Environment'!$C$45</definedName>
    <definedName name="UsingSyslog">'Servers &amp; Environment'!$C$49</definedName>
    <definedName name="UsingVmwareVerify">'Servers &amp; Environment'!$C$107</definedName>
    <definedName name="UsingWSONEAutoUpdate">'Servers &amp; Environment'!$C$104</definedName>
    <definedName name="ws1accesssaas">'Values (Hide)'!$A$35:$A$44</definedName>
    <definedName name="ws1uemsaas">'Values (Hide)'!$A$31:$A$32</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4" i="22" l="1"/>
  <c r="B43" i="22"/>
  <c r="B42" i="22"/>
  <c r="B41" i="22"/>
  <c r="P80" i="37" l="1"/>
  <c r="P79" i="37"/>
  <c r="P78" i="37"/>
  <c r="P77" i="37"/>
  <c r="P76" i="37"/>
  <c r="P75" i="37"/>
  <c r="P74" i="37"/>
  <c r="P73" i="37"/>
  <c r="P72" i="37"/>
  <c r="P71" i="37"/>
  <c r="P68" i="37"/>
  <c r="P67" i="37"/>
  <c r="P66" i="37"/>
  <c r="P65" i="37"/>
  <c r="P64" i="37"/>
  <c r="P63" i="37"/>
  <c r="P62" i="37"/>
  <c r="E32" i="14" l="1"/>
  <c r="E43" i="14"/>
  <c r="C80" i="37" l="1"/>
  <c r="C26" i="14" l="1"/>
  <c r="C32" i="14"/>
  <c r="C31" i="14"/>
  <c r="B31" i="14"/>
  <c r="C30" i="14"/>
  <c r="C29" i="14"/>
  <c r="F30" i="14"/>
  <c r="B30" i="14"/>
  <c r="J29" i="14"/>
  <c r="F29" i="14"/>
  <c r="B29" i="14"/>
  <c r="C28" i="14"/>
  <c r="C27" i="14"/>
  <c r="F26" i="14"/>
  <c r="F25" i="14"/>
  <c r="F24" i="14"/>
  <c r="F23" i="14"/>
  <c r="F22" i="14"/>
  <c r="F21" i="14"/>
  <c r="F34" i="14"/>
  <c r="F33" i="14"/>
  <c r="C33" i="14"/>
  <c r="B33" i="14"/>
  <c r="L76" i="37"/>
  <c r="K76" i="37"/>
  <c r="J76" i="37"/>
  <c r="I76" i="37"/>
  <c r="O76" i="37" s="1"/>
  <c r="N76" i="37" s="1"/>
  <c r="H76" i="37"/>
  <c r="G76" i="37"/>
  <c r="I75" i="37"/>
  <c r="O75" i="37" s="1"/>
  <c r="H75" i="37"/>
  <c r="G75" i="37"/>
  <c r="L74" i="37"/>
  <c r="K74" i="37"/>
  <c r="J74" i="37"/>
  <c r="I74" i="37"/>
  <c r="O74" i="37" s="1"/>
  <c r="N74" i="37" s="1"/>
  <c r="H74" i="37"/>
  <c r="G74" i="37"/>
  <c r="I73" i="37"/>
  <c r="O73" i="37" s="1"/>
  <c r="N73" i="37" s="1"/>
  <c r="H73" i="37"/>
  <c r="G73" i="37"/>
  <c r="L61" i="37"/>
  <c r="K61" i="37"/>
  <c r="J61" i="37"/>
  <c r="I61" i="37"/>
  <c r="H61" i="37"/>
  <c r="G61" i="37"/>
  <c r="F61" i="37"/>
  <c r="E61" i="37"/>
  <c r="D61" i="37"/>
  <c r="C61" i="37"/>
  <c r="H59" i="37"/>
  <c r="G59" i="37"/>
  <c r="D59" i="37"/>
  <c r="C59" i="37"/>
  <c r="O59" i="37"/>
  <c r="N59" i="37"/>
  <c r="L59" i="37"/>
  <c r="K59" i="37"/>
  <c r="J59" i="37"/>
  <c r="I59" i="37"/>
  <c r="O60" i="37"/>
  <c r="N60" i="37"/>
  <c r="L60" i="37"/>
  <c r="K60" i="37"/>
  <c r="J60" i="37"/>
  <c r="I60" i="37"/>
  <c r="H60" i="37"/>
  <c r="G60" i="37"/>
  <c r="F60" i="37"/>
  <c r="E60" i="37"/>
  <c r="D60" i="37"/>
  <c r="C60" i="37"/>
  <c r="F59" i="37"/>
  <c r="E59" i="37"/>
  <c r="A68" i="38"/>
  <c r="L58" i="37"/>
  <c r="K58" i="37"/>
  <c r="J58" i="37"/>
  <c r="I58" i="37" l="1"/>
  <c r="A3" i="39"/>
  <c r="A4" i="39"/>
  <c r="A5" i="39"/>
  <c r="A6" i="39"/>
  <c r="A2" i="39"/>
  <c r="H58" i="37"/>
  <c r="G58" i="37"/>
  <c r="N58" i="37"/>
  <c r="B60" i="37"/>
  <c r="B28" i="20" l="1"/>
  <c r="B27" i="20"/>
  <c r="B25" i="20"/>
  <c r="B24" i="20"/>
  <c r="F24" i="20"/>
  <c r="F28" i="20"/>
  <c r="F27" i="20"/>
  <c r="C25" i="20"/>
  <c r="F79" i="37"/>
  <c r="H27" i="20" s="1"/>
  <c r="E79" i="37"/>
  <c r="G24" i="20" s="1"/>
  <c r="D79" i="37"/>
  <c r="E25" i="20" s="1"/>
  <c r="C79" i="37"/>
  <c r="D25" i="20" s="1"/>
  <c r="G79" i="37"/>
  <c r="B79" i="37"/>
  <c r="F25" i="20"/>
  <c r="C28" i="20"/>
  <c r="C27" i="20"/>
  <c r="C24" i="20"/>
  <c r="F17" i="35"/>
  <c r="C42" i="27"/>
  <c r="F38" i="22"/>
  <c r="F40" i="7"/>
  <c r="B58" i="37"/>
  <c r="C45" i="1"/>
  <c r="B25" i="10"/>
  <c r="H24" i="20" l="1"/>
  <c r="G27" i="20"/>
  <c r="H28" i="20"/>
  <c r="G28" i="20"/>
  <c r="F42" i="22"/>
  <c r="F41" i="22"/>
  <c r="B61" i="37"/>
  <c r="N77" i="37"/>
  <c r="A87" i="38"/>
  <c r="M78" i="37"/>
  <c r="L78" i="37"/>
  <c r="K78" i="37"/>
  <c r="J78" i="37"/>
  <c r="I78" i="37"/>
  <c r="A86" i="38"/>
  <c r="L77" i="37"/>
  <c r="K77" i="37"/>
  <c r="J77" i="37"/>
  <c r="I77" i="37"/>
  <c r="F34" i="27"/>
  <c r="H34" i="27"/>
  <c r="G34" i="27"/>
  <c r="F42" i="32"/>
  <c r="H42" i="32"/>
  <c r="G42" i="32"/>
  <c r="F41" i="32"/>
  <c r="C41" i="32"/>
  <c r="B41" i="32"/>
  <c r="F39" i="32"/>
  <c r="C39" i="32"/>
  <c r="B39" i="32"/>
  <c r="B44" i="32"/>
  <c r="B78" i="37"/>
  <c r="F37" i="32"/>
  <c r="C37" i="32"/>
  <c r="B37" i="32"/>
  <c r="F44" i="32"/>
  <c r="F43" i="32"/>
  <c r="B38" i="32"/>
  <c r="B40" i="32"/>
  <c r="B42" i="32"/>
  <c r="B43" i="32"/>
  <c r="B45" i="32"/>
  <c r="B36" i="32"/>
  <c r="B77" i="37"/>
  <c r="E78" i="37"/>
  <c r="G37" i="32" s="1"/>
  <c r="D78" i="37"/>
  <c r="H39" i="32" s="1"/>
  <c r="C78" i="37"/>
  <c r="F78" i="37"/>
  <c r="G78" i="37"/>
  <c r="H78" i="37"/>
  <c r="F77" i="37"/>
  <c r="G45" i="32"/>
  <c r="H44" i="32" l="1"/>
  <c r="H37" i="32"/>
  <c r="G39" i="32"/>
  <c r="G44" i="32"/>
  <c r="C62" i="37"/>
  <c r="F45" i="32"/>
  <c r="C40" i="32"/>
  <c r="C38" i="32"/>
  <c r="H77" i="37"/>
  <c r="G77" i="37"/>
  <c r="E77" i="37"/>
  <c r="G41" i="32" s="1"/>
  <c r="D77" i="37"/>
  <c r="H41" i="32" s="1"/>
  <c r="C77" i="37"/>
  <c r="D45" i="32" s="1"/>
  <c r="C67" i="37"/>
  <c r="D45" i="1" s="1"/>
  <c r="C36" i="32"/>
  <c r="F35" i="27"/>
  <c r="F42" i="7"/>
  <c r="F37" i="22"/>
  <c r="F36" i="22"/>
  <c r="F53" i="33"/>
  <c r="F72" i="37"/>
  <c r="E72" i="37"/>
  <c r="E44" i="32" l="1"/>
  <c r="H40" i="32"/>
  <c r="H43" i="32"/>
  <c r="H36" i="32"/>
  <c r="H38" i="32"/>
  <c r="G38" i="32"/>
  <c r="G36" i="32"/>
  <c r="G40" i="32"/>
  <c r="G43" i="32"/>
  <c r="E43" i="32"/>
  <c r="D42" i="32"/>
  <c r="D44" i="32"/>
  <c r="D43" i="32"/>
  <c r="E42" i="32"/>
  <c r="E45" i="32"/>
  <c r="B51" i="33"/>
  <c r="B52" i="33"/>
  <c r="B53" i="33"/>
  <c r="B54" i="33"/>
  <c r="B50" i="33"/>
  <c r="F19" i="28"/>
  <c r="C19" i="28"/>
  <c r="B19" i="28"/>
  <c r="B18" i="35"/>
  <c r="B19" i="35"/>
  <c r="B20" i="35"/>
  <c r="B21" i="35"/>
  <c r="B22" i="35"/>
  <c r="B17" i="35"/>
  <c r="C18" i="35"/>
  <c r="C19" i="35"/>
  <c r="C20" i="35"/>
  <c r="C21" i="35"/>
  <c r="C22" i="35"/>
  <c r="C17" i="35"/>
  <c r="C35" i="1"/>
  <c r="B37" i="14"/>
  <c r="B38" i="14"/>
  <c r="B39" i="14"/>
  <c r="B40" i="14"/>
  <c r="B41" i="14"/>
  <c r="B42" i="14"/>
  <c r="B43" i="14"/>
  <c r="B44" i="14"/>
  <c r="B45" i="14"/>
  <c r="B46" i="14"/>
  <c r="B47" i="14"/>
  <c r="B48" i="14"/>
  <c r="B49" i="14"/>
  <c r="B50" i="14"/>
  <c r="B51" i="14"/>
  <c r="B52" i="14"/>
  <c r="B53" i="14"/>
  <c r="B54" i="14"/>
  <c r="B55" i="14"/>
  <c r="B56" i="14"/>
  <c r="B36" i="14"/>
  <c r="B22" i="14"/>
  <c r="B23" i="14"/>
  <c r="B24" i="14"/>
  <c r="B25" i="14"/>
  <c r="B26" i="14"/>
  <c r="B27" i="14"/>
  <c r="B28" i="14"/>
  <c r="B32" i="14"/>
  <c r="B34" i="14"/>
  <c r="B21" i="14"/>
  <c r="B68" i="7"/>
  <c r="B69" i="7"/>
  <c r="B75" i="7"/>
  <c r="F75" i="7"/>
  <c r="C34" i="14"/>
  <c r="C56" i="14"/>
  <c r="C55" i="14"/>
  <c r="C38" i="6" l="1"/>
  <c r="C39" i="6"/>
  <c r="B39" i="27"/>
  <c r="B41" i="27"/>
  <c r="F37" i="27"/>
  <c r="F36" i="27"/>
  <c r="F28" i="14"/>
  <c r="F43" i="22"/>
  <c r="F11" i="36"/>
  <c r="F10" i="36"/>
  <c r="B11" i="36"/>
  <c r="B10" i="36"/>
  <c r="C11" i="36"/>
  <c r="C10" i="36"/>
  <c r="F44" i="6"/>
  <c r="F42" i="6"/>
  <c r="F55" i="14"/>
  <c r="C42" i="6"/>
  <c r="F41" i="6"/>
  <c r="F38" i="6"/>
  <c r="F39" i="6"/>
  <c r="F37" i="6"/>
  <c r="F43" i="6"/>
  <c r="C41" i="6"/>
  <c r="C40" i="6"/>
  <c r="C43" i="6"/>
  <c r="F40" i="6"/>
  <c r="F54" i="33"/>
  <c r="C54" i="33"/>
  <c r="C52" i="33"/>
  <c r="C53" i="33"/>
  <c r="C51" i="33"/>
  <c r="H51" i="33"/>
  <c r="G51" i="33"/>
  <c r="F51" i="33"/>
  <c r="F50" i="33"/>
  <c r="C17" i="33"/>
  <c r="F14" i="33"/>
  <c r="F15" i="33"/>
  <c r="C50" i="33"/>
  <c r="C14" i="33"/>
  <c r="F39" i="1"/>
  <c r="H40" i="1"/>
  <c r="G40" i="1"/>
  <c r="F40" i="1"/>
  <c r="B40" i="1"/>
  <c r="J40" i="1"/>
  <c r="H42" i="1"/>
  <c r="G42" i="1"/>
  <c r="F42" i="1"/>
  <c r="C42" i="1"/>
  <c r="B42" i="1"/>
  <c r="H41" i="1"/>
  <c r="G41" i="1"/>
  <c r="F41" i="1"/>
  <c r="B41" i="1"/>
  <c r="C41" i="1"/>
  <c r="B43" i="1"/>
  <c r="C43" i="1"/>
  <c r="F43" i="1"/>
  <c r="F29" i="1"/>
  <c r="F26" i="1"/>
  <c r="F25" i="1"/>
  <c r="F22" i="1"/>
  <c r="F23" i="1"/>
  <c r="F21" i="1"/>
  <c r="F40" i="22"/>
  <c r="C22" i="1"/>
  <c r="C23" i="1"/>
  <c r="C24" i="1"/>
  <c r="C25" i="1"/>
  <c r="C26" i="1"/>
  <c r="C27" i="1"/>
  <c r="C28" i="1"/>
  <c r="C29" i="1"/>
  <c r="C21" i="1"/>
  <c r="C44" i="1"/>
  <c r="F38" i="1"/>
  <c r="C37" i="6"/>
  <c r="F44" i="22"/>
  <c r="J38" i="1"/>
  <c r="F34" i="1"/>
  <c r="F37" i="1"/>
  <c r="F36" i="1"/>
  <c r="F35" i="1"/>
  <c r="C40" i="1"/>
  <c r="C39" i="1"/>
  <c r="C38" i="1"/>
  <c r="C34" i="1"/>
  <c r="J27" i="14"/>
  <c r="J52" i="14"/>
  <c r="J50" i="14"/>
  <c r="J47" i="14"/>
  <c r="J45" i="14"/>
  <c r="C53" i="14"/>
  <c r="C54" i="14"/>
  <c r="C52" i="14"/>
  <c r="C51" i="14"/>
  <c r="C50" i="14"/>
  <c r="F53" i="14"/>
  <c r="F52" i="14"/>
  <c r="F51" i="14"/>
  <c r="F50" i="14"/>
  <c r="F37" i="14"/>
  <c r="F40" i="14"/>
  <c r="F36" i="14"/>
  <c r="F39" i="14"/>
  <c r="F38" i="14"/>
  <c r="F56" i="14"/>
  <c r="F46" i="14"/>
  <c r="F48" i="14"/>
  <c r="C49" i="14"/>
  <c r="C48" i="14"/>
  <c r="C47" i="14"/>
  <c r="C46" i="14"/>
  <c r="F47" i="14"/>
  <c r="F45" i="14"/>
  <c r="F44" i="14"/>
  <c r="F41" i="14"/>
  <c r="F43" i="14"/>
  <c r="F42" i="14"/>
  <c r="C43" i="14"/>
  <c r="C45" i="14"/>
  <c r="C44" i="14"/>
  <c r="C42" i="14"/>
  <c r="C24" i="14"/>
  <c r="C40" i="14"/>
  <c r="C39" i="14"/>
  <c r="F76" i="37"/>
  <c r="H44" i="14" s="1"/>
  <c r="E76" i="37"/>
  <c r="G44" i="14" s="1"/>
  <c r="D76" i="37"/>
  <c r="E53" i="14" s="1"/>
  <c r="C76" i="37"/>
  <c r="D54" i="14" s="1"/>
  <c r="F74" i="37"/>
  <c r="E74" i="37"/>
  <c r="D74" i="37"/>
  <c r="C74" i="37"/>
  <c r="C25" i="14"/>
  <c r="C41" i="14"/>
  <c r="C37" i="14"/>
  <c r="C38" i="14"/>
  <c r="C36" i="14"/>
  <c r="C22" i="14"/>
  <c r="C23" i="14"/>
  <c r="C21" i="14"/>
  <c r="F33" i="27"/>
  <c r="F32" i="27"/>
  <c r="F27" i="27"/>
  <c r="F42" i="27"/>
  <c r="F28" i="27"/>
  <c r="F30" i="27"/>
  <c r="C64" i="7"/>
  <c r="F27" i="14"/>
  <c r="F44" i="1"/>
  <c r="F29" i="27"/>
  <c r="C43" i="27"/>
  <c r="C32" i="27"/>
  <c r="C33" i="27"/>
  <c r="C34" i="27"/>
  <c r="C35" i="27"/>
  <c r="C36" i="27"/>
  <c r="C37" i="27"/>
  <c r="C38" i="27"/>
  <c r="C39" i="27"/>
  <c r="C40" i="27"/>
  <c r="C41" i="27"/>
  <c r="C31" i="27"/>
  <c r="J53" i="33"/>
  <c r="I53" i="33"/>
  <c r="J15" i="33"/>
  <c r="I15" i="33"/>
  <c r="J43" i="6"/>
  <c r="I43" i="6"/>
  <c r="J29" i="1"/>
  <c r="I29" i="1"/>
  <c r="I44" i="22"/>
  <c r="J44" i="22"/>
  <c r="C6" i="10"/>
  <c r="C7" i="10"/>
  <c r="C8" i="10"/>
  <c r="C9" i="10"/>
  <c r="C10" i="10"/>
  <c r="C11" i="10"/>
  <c r="C12" i="10"/>
  <c r="C13" i="10"/>
  <c r="C14" i="10"/>
  <c r="C15" i="10"/>
  <c r="C16" i="10"/>
  <c r="C17" i="10"/>
  <c r="C18" i="10"/>
  <c r="C19" i="10"/>
  <c r="C20" i="10"/>
  <c r="C21" i="10"/>
  <c r="C22" i="10"/>
  <c r="C23" i="10"/>
  <c r="C24" i="10"/>
  <c r="C25" i="10"/>
  <c r="C30" i="27"/>
  <c r="C29" i="27"/>
  <c r="C28" i="27"/>
  <c r="C27" i="27"/>
  <c r="C39" i="22"/>
  <c r="C40" i="22"/>
  <c r="C41" i="22"/>
  <c r="C42" i="22"/>
  <c r="C43" i="22"/>
  <c r="C44" i="22"/>
  <c r="C45" i="22"/>
  <c r="C46" i="22"/>
  <c r="C47" i="22"/>
  <c r="C48" i="22"/>
  <c r="C49" i="22"/>
  <c r="C50" i="22"/>
  <c r="C51" i="22"/>
  <c r="C52" i="22"/>
  <c r="C53" i="22"/>
  <c r="C54" i="22"/>
  <c r="C55" i="22"/>
  <c r="C56" i="22"/>
  <c r="C57" i="22"/>
  <c r="C58" i="22"/>
  <c r="C59" i="22"/>
  <c r="C60" i="22"/>
  <c r="C61" i="22"/>
  <c r="C62" i="22"/>
  <c r="C63" i="22"/>
  <c r="C64" i="22"/>
  <c r="C65" i="22"/>
  <c r="C66" i="22"/>
  <c r="C67" i="22"/>
  <c r="C68" i="22"/>
  <c r="C69" i="22"/>
  <c r="C70" i="22"/>
  <c r="C71" i="22"/>
  <c r="C38" i="22"/>
  <c r="C41" i="7"/>
  <c r="C42" i="7"/>
  <c r="C43" i="7"/>
  <c r="C44" i="7"/>
  <c r="C45" i="7"/>
  <c r="C46" i="7"/>
  <c r="C47" i="7"/>
  <c r="C48" i="7"/>
  <c r="C49" i="7"/>
  <c r="C50" i="7"/>
  <c r="C51" i="7"/>
  <c r="C52" i="7"/>
  <c r="C53" i="7"/>
  <c r="C54" i="7"/>
  <c r="C55" i="7"/>
  <c r="C56" i="7"/>
  <c r="C57" i="7"/>
  <c r="C58" i="7"/>
  <c r="C59" i="7"/>
  <c r="C60" i="7"/>
  <c r="C61" i="7"/>
  <c r="C62" i="7"/>
  <c r="C63" i="7"/>
  <c r="C65" i="7"/>
  <c r="C66" i="7"/>
  <c r="C67" i="7"/>
  <c r="C68" i="7"/>
  <c r="C69" i="7"/>
  <c r="C70" i="7"/>
  <c r="C71" i="7"/>
  <c r="C72" i="7"/>
  <c r="C73" i="7"/>
  <c r="C74" i="7"/>
  <c r="C75" i="7"/>
  <c r="C40" i="7"/>
  <c r="J25" i="1"/>
  <c r="J42" i="22"/>
  <c r="J41" i="22"/>
  <c r="C37" i="22"/>
  <c r="C36" i="22"/>
  <c r="D51" i="14" l="1"/>
  <c r="D29" i="14"/>
  <c r="G34" i="14"/>
  <c r="D31" i="14"/>
  <c r="D30" i="14"/>
  <c r="E51" i="14"/>
  <c r="E30" i="14"/>
  <c r="E31" i="14"/>
  <c r="E29" i="14"/>
  <c r="H34" i="14"/>
  <c r="G41" i="14"/>
  <c r="G24" i="14"/>
  <c r="G25" i="14"/>
  <c r="G23" i="14"/>
  <c r="H40" i="14"/>
  <c r="H23" i="14"/>
  <c r="H24" i="14"/>
  <c r="H25" i="14"/>
  <c r="E54" i="14"/>
  <c r="G40" i="14"/>
  <c r="E52" i="14"/>
  <c r="G37" i="14"/>
  <c r="D53" i="14"/>
  <c r="E44" i="14"/>
  <c r="H37" i="14"/>
  <c r="D44" i="14"/>
  <c r="D50" i="14"/>
  <c r="E50" i="14"/>
  <c r="H41" i="14"/>
  <c r="D52" i="14"/>
  <c r="B80" i="37"/>
  <c r="B76" i="37"/>
  <c r="B75" i="37"/>
  <c r="B74" i="37"/>
  <c r="B73" i="37"/>
  <c r="B71" i="37"/>
  <c r="B70" i="37"/>
  <c r="B69" i="37"/>
  <c r="B68" i="37"/>
  <c r="B67" i="37"/>
  <c r="B64" i="37"/>
  <c r="B63" i="37"/>
  <c r="B59" i="37"/>
  <c r="A14" i="39"/>
  <c r="A13" i="39"/>
  <c r="A12" i="39"/>
  <c r="A11" i="39"/>
  <c r="A10" i="39"/>
  <c r="A9" i="39"/>
  <c r="A8" i="39"/>
  <c r="A7" i="39"/>
  <c r="A19" i="39"/>
  <c r="A18" i="39"/>
  <c r="A17" i="39"/>
  <c r="A16" i="39"/>
  <c r="A15" i="39"/>
  <c r="A24" i="39"/>
  <c r="A23" i="39"/>
  <c r="A22" i="39"/>
  <c r="A21" i="39"/>
  <c r="A20" i="39"/>
  <c r="A26" i="39"/>
  <c r="A25" i="39"/>
  <c r="A28" i="39"/>
  <c r="A27" i="39"/>
  <c r="A29" i="39"/>
  <c r="A30" i="39"/>
  <c r="A31" i="39"/>
  <c r="A32" i="39"/>
  <c r="A33" i="39"/>
  <c r="A40" i="39"/>
  <c r="A39" i="39"/>
  <c r="A38" i="39"/>
  <c r="A37" i="39"/>
  <c r="A36" i="39"/>
  <c r="A35" i="39"/>
  <c r="A34" i="39"/>
  <c r="A42" i="39"/>
  <c r="A41" i="39"/>
  <c r="A47" i="39"/>
  <c r="A46" i="39"/>
  <c r="A45" i="39"/>
  <c r="A44" i="39"/>
  <c r="A43" i="39"/>
  <c r="A52" i="39"/>
  <c r="A51" i="39"/>
  <c r="A50" i="39"/>
  <c r="A49" i="39"/>
  <c r="A48" i="39"/>
  <c r="A57" i="39"/>
  <c r="A56" i="39"/>
  <c r="A55" i="39"/>
  <c r="A54" i="39"/>
  <c r="A53" i="39"/>
  <c r="A62" i="39"/>
  <c r="A61" i="39"/>
  <c r="A60" i="39"/>
  <c r="A59" i="39"/>
  <c r="A58" i="39"/>
  <c r="A68" i="39"/>
  <c r="A67" i="39"/>
  <c r="A66" i="39"/>
  <c r="A65" i="39"/>
  <c r="A64" i="39"/>
  <c r="A63" i="39"/>
  <c r="A74" i="39"/>
  <c r="A73" i="39"/>
  <c r="A72" i="39"/>
  <c r="A71" i="39"/>
  <c r="A70" i="39"/>
  <c r="A69" i="39"/>
  <c r="A79" i="39"/>
  <c r="A78" i="39"/>
  <c r="A77" i="39"/>
  <c r="A76" i="39"/>
  <c r="A75" i="39"/>
  <c r="A81" i="39"/>
  <c r="A80" i="39"/>
  <c r="A83" i="39"/>
  <c r="A82" i="39"/>
  <c r="A88" i="38"/>
  <c r="A85" i="38"/>
  <c r="A84" i="38"/>
  <c r="A83" i="38"/>
  <c r="A82" i="38"/>
  <c r="A81" i="38"/>
  <c r="A80" i="38"/>
  <c r="A79" i="38"/>
  <c r="A78" i="38"/>
  <c r="A77" i="38"/>
  <c r="A76" i="38"/>
  <c r="A74" i="38"/>
  <c r="A73" i="38"/>
  <c r="A72" i="38"/>
  <c r="A71" i="38"/>
  <c r="A70" i="38"/>
  <c r="A69" i="38"/>
  <c r="A75" i="38"/>
  <c r="D11" i="37"/>
  <c r="C11" i="37"/>
  <c r="C13" i="37"/>
  <c r="M74" i="37" l="1"/>
  <c r="M76" i="37"/>
  <c r="M58" i="37"/>
  <c r="M60" i="37"/>
  <c r="M59" i="37"/>
  <c r="M77" i="37"/>
  <c r="C15" i="32" s="1"/>
  <c r="M62" i="37"/>
  <c r="N66" i="37"/>
  <c r="N68" i="37"/>
  <c r="F68" i="37"/>
  <c r="E68" i="37"/>
  <c r="D68" i="37"/>
  <c r="C68" i="37"/>
  <c r="M72" i="37"/>
  <c r="C36" i="33" s="1"/>
  <c r="H72" i="37"/>
  <c r="G72" i="37"/>
  <c r="L72" i="37"/>
  <c r="K72" i="37"/>
  <c r="J72" i="37"/>
  <c r="I72" i="37"/>
  <c r="O72" i="37" s="1"/>
  <c r="N72" i="37" s="1"/>
  <c r="M68" i="37"/>
  <c r="H68" i="37"/>
  <c r="G68" i="37"/>
  <c r="L68" i="37"/>
  <c r="K68" i="37"/>
  <c r="J68" i="37"/>
  <c r="I68" i="37"/>
  <c r="O68" i="37" s="1"/>
  <c r="M67" i="37"/>
  <c r="H67" i="37"/>
  <c r="G67" i="37"/>
  <c r="L67" i="37"/>
  <c r="K67" i="37"/>
  <c r="J67" i="37"/>
  <c r="I67" i="37"/>
  <c r="O67" i="37" s="1"/>
  <c r="N67" i="37" s="1"/>
  <c r="M66" i="37"/>
  <c r="H66" i="37"/>
  <c r="G66" i="37"/>
  <c r="L66" i="37"/>
  <c r="K66" i="37"/>
  <c r="J66" i="37"/>
  <c r="O66" i="37"/>
  <c r="I66" i="37"/>
  <c r="M65" i="37"/>
  <c r="H65" i="37"/>
  <c r="G65" i="37"/>
  <c r="L65" i="37"/>
  <c r="K65" i="37"/>
  <c r="J65" i="37"/>
  <c r="I65" i="37"/>
  <c r="O65" i="37" s="1"/>
  <c r="N65" i="37" s="1"/>
  <c r="M64" i="37"/>
  <c r="H64" i="37"/>
  <c r="G64" i="37"/>
  <c r="L64" i="37"/>
  <c r="K64" i="37"/>
  <c r="J64" i="37"/>
  <c r="I64" i="37"/>
  <c r="O64" i="37" s="1"/>
  <c r="N64" i="37" s="1"/>
  <c r="M63" i="37"/>
  <c r="H63" i="37"/>
  <c r="G63" i="37"/>
  <c r="L63" i="37"/>
  <c r="K63" i="37"/>
  <c r="J63" i="37"/>
  <c r="I63" i="37"/>
  <c r="O63" i="37" s="1"/>
  <c r="N63" i="37" s="1"/>
  <c r="H62" i="37"/>
  <c r="G62" i="37"/>
  <c r="N62" i="37"/>
  <c r="L62" i="37"/>
  <c r="K62" i="37"/>
  <c r="J62" i="37"/>
  <c r="I62" i="37"/>
  <c r="O62" i="37" s="1"/>
  <c r="O58" i="37" l="1"/>
  <c r="D72" i="37"/>
  <c r="C72" i="37"/>
  <c r="E66" i="37"/>
  <c r="G30" i="14" s="1"/>
  <c r="E65" i="37"/>
  <c r="G29" i="14" s="1"/>
  <c r="G52" i="14" l="1"/>
  <c r="G50" i="14"/>
  <c r="G53" i="14"/>
  <c r="G51" i="14"/>
  <c r="I80" i="37"/>
  <c r="O80" i="37" s="1"/>
  <c r="J80" i="37"/>
  <c r="K80" i="37"/>
  <c r="L80" i="37"/>
  <c r="J75" i="37"/>
  <c r="K75" i="37"/>
  <c r="L75" i="37"/>
  <c r="J73" i="37"/>
  <c r="K73" i="37"/>
  <c r="L73" i="37"/>
  <c r="I71" i="37"/>
  <c r="O71" i="37" s="1"/>
  <c r="J71" i="37"/>
  <c r="K71" i="37"/>
  <c r="L71" i="37"/>
  <c r="I70" i="37"/>
  <c r="O70" i="37" s="1"/>
  <c r="J70" i="37"/>
  <c r="K70" i="37"/>
  <c r="L70" i="37"/>
  <c r="N80" i="37"/>
  <c r="G80" i="37"/>
  <c r="G71" i="37"/>
  <c r="G70" i="37"/>
  <c r="H80" i="37"/>
  <c r="H71" i="37"/>
  <c r="H70" i="37"/>
  <c r="M80" i="37"/>
  <c r="M75" i="37"/>
  <c r="M73" i="37"/>
  <c r="M71" i="37"/>
  <c r="M70" i="37"/>
  <c r="M69" i="37"/>
  <c r="C14" i="1" s="1"/>
  <c r="H69" i="37"/>
  <c r="G69" i="37"/>
  <c r="N69" i="37"/>
  <c r="K69" i="37"/>
  <c r="L69" i="37"/>
  <c r="J69" i="37"/>
  <c r="I69" i="37"/>
  <c r="O69" i="37" s="1"/>
  <c r="D80" i="37"/>
  <c r="E80" i="37"/>
  <c r="F80" i="37"/>
  <c r="D75" i="37"/>
  <c r="E75" i="37"/>
  <c r="F75" i="37"/>
  <c r="C75" i="37"/>
  <c r="C73" i="37"/>
  <c r="D73" i="37"/>
  <c r="E73" i="37"/>
  <c r="F73" i="37"/>
  <c r="D71" i="37"/>
  <c r="E71" i="37"/>
  <c r="F71" i="37"/>
  <c r="C71" i="37"/>
  <c r="D70" i="37"/>
  <c r="E70" i="37"/>
  <c r="F70" i="37"/>
  <c r="C70" i="37"/>
  <c r="D69" i="37"/>
  <c r="C69" i="37"/>
  <c r="G22" i="14" l="1"/>
  <c r="G26" i="14"/>
  <c r="G21" i="14"/>
  <c r="E27" i="14"/>
  <c r="H33" i="14"/>
  <c r="E28" i="14"/>
  <c r="H26" i="14"/>
  <c r="H22" i="14"/>
  <c r="H21" i="14"/>
  <c r="D28" i="14"/>
  <c r="D27" i="14"/>
  <c r="G33" i="14"/>
  <c r="D32" i="14"/>
  <c r="N71" i="37"/>
  <c r="B42" i="6"/>
  <c r="G36" i="14"/>
  <c r="G39" i="14"/>
  <c r="G38" i="14"/>
  <c r="H56" i="14"/>
  <c r="E48" i="14"/>
  <c r="E47" i="14"/>
  <c r="E49" i="14"/>
  <c r="E42" i="14"/>
  <c r="H55" i="14"/>
  <c r="E46" i="14"/>
  <c r="E45" i="14"/>
  <c r="H42" i="14"/>
  <c r="H43" i="14"/>
  <c r="D43" i="14"/>
  <c r="D42" i="14"/>
  <c r="G55" i="14"/>
  <c r="D46" i="14"/>
  <c r="D45" i="14"/>
  <c r="D48" i="14"/>
  <c r="G56" i="14"/>
  <c r="D47" i="14"/>
  <c r="D49" i="14"/>
  <c r="G42" i="14"/>
  <c r="G43" i="14"/>
  <c r="H36" i="14"/>
  <c r="H39" i="14"/>
  <c r="H38" i="14"/>
  <c r="N70" i="37"/>
  <c r="C58" i="37" l="1"/>
  <c r="D58" i="37" l="1"/>
  <c r="E58" i="37"/>
  <c r="F58" i="37"/>
  <c r="G48" i="14"/>
  <c r="H54" i="33"/>
  <c r="H38" i="6"/>
  <c r="G14" i="33"/>
  <c r="D68" i="6"/>
  <c r="G68" i="6"/>
  <c r="H68" i="6"/>
  <c r="G69" i="6"/>
  <c r="H69" i="6"/>
  <c r="H45" i="32"/>
  <c r="H19" i="28"/>
  <c r="G19" i="28"/>
  <c r="H79" i="33"/>
  <c r="G79" i="33"/>
  <c r="E80" i="33"/>
  <c r="D80" i="33"/>
  <c r="H53" i="33"/>
  <c r="G53" i="33"/>
  <c r="E54" i="33"/>
  <c r="D54" i="33"/>
  <c r="E17" i="33"/>
  <c r="D17" i="33"/>
  <c r="H15" i="33"/>
  <c r="G15" i="33"/>
  <c r="G80" i="33"/>
  <c r="H43" i="6"/>
  <c r="G43" i="6"/>
  <c r="K43" i="6" s="1"/>
  <c r="H39" i="1"/>
  <c r="G39" i="1"/>
  <c r="H44" i="1"/>
  <c r="G44" i="1"/>
  <c r="H38" i="1"/>
  <c r="G38" i="1"/>
  <c r="H29" i="1"/>
  <c r="G29" i="1"/>
  <c r="H28" i="1"/>
  <c r="G28" i="1"/>
  <c r="H27" i="1"/>
  <c r="G27" i="1"/>
  <c r="H26" i="1"/>
  <c r="G26" i="1"/>
  <c r="H25" i="1"/>
  <c r="G25" i="1"/>
  <c r="H37" i="27"/>
  <c r="G37" i="27"/>
  <c r="H36" i="27"/>
  <c r="G36" i="27"/>
  <c r="E67" i="37"/>
  <c r="H44" i="22"/>
  <c r="G44" i="22"/>
  <c r="H43" i="22"/>
  <c r="G43" i="22"/>
  <c r="H42" i="22"/>
  <c r="G42" i="22"/>
  <c r="H41" i="22"/>
  <c r="G41" i="22"/>
  <c r="F66" i="37"/>
  <c r="H30" i="14" s="1"/>
  <c r="F65" i="37"/>
  <c r="H29" i="14" s="1"/>
  <c r="G37" i="22"/>
  <c r="G11" i="36"/>
  <c r="F63" i="37"/>
  <c r="H22" i="1" s="1"/>
  <c r="F64" i="37"/>
  <c r="C65" i="37"/>
  <c r="D65" i="37"/>
  <c r="C66" i="37"/>
  <c r="D66" i="37"/>
  <c r="E29" i="1"/>
  <c r="F67" i="37"/>
  <c r="H42" i="27" s="1"/>
  <c r="E19" i="28"/>
  <c r="D19" i="28"/>
  <c r="E69" i="6"/>
  <c r="G16" i="33"/>
  <c r="D28" i="1"/>
  <c r="E22" i="35"/>
  <c r="D22" i="35"/>
  <c r="D67" i="37"/>
  <c r="D40" i="27"/>
  <c r="E79" i="33"/>
  <c r="D79" i="33"/>
  <c r="D64" i="37"/>
  <c r="E47" i="22" s="1"/>
  <c r="C64" i="37"/>
  <c r="D47" i="22" s="1"/>
  <c r="D63" i="37"/>
  <c r="C63" i="37"/>
  <c r="F62" i="37"/>
  <c r="E62" i="37"/>
  <c r="D62" i="37"/>
  <c r="H11" i="36" s="1"/>
  <c r="E63" i="37"/>
  <c r="G22" i="1" s="1"/>
  <c r="K22" i="1" s="1"/>
  <c r="E64" i="37"/>
  <c r="G36" i="22" s="1"/>
  <c r="H17" i="33"/>
  <c r="E15" i="33"/>
  <c r="E16" i="33"/>
  <c r="E51" i="33"/>
  <c r="E52" i="33"/>
  <c r="E53" i="33"/>
  <c r="H50" i="33"/>
  <c r="E77" i="33"/>
  <c r="E78" i="33"/>
  <c r="D15" i="33"/>
  <c r="D16" i="33"/>
  <c r="D51" i="33"/>
  <c r="D52" i="33"/>
  <c r="D53" i="33"/>
  <c r="D77" i="33"/>
  <c r="D78" i="33"/>
  <c r="E19" i="39"/>
  <c r="D19" i="39"/>
  <c r="E18" i="39"/>
  <c r="D18" i="39"/>
  <c r="D24" i="39"/>
  <c r="D13" i="35"/>
  <c r="F20" i="35" s="1"/>
  <c r="I15" i="20"/>
  <c r="E40" i="27" l="1"/>
  <c r="E45" i="1"/>
  <c r="H40" i="7"/>
  <c r="H17" i="35"/>
  <c r="H38" i="22"/>
  <c r="G17" i="35"/>
  <c r="G40" i="7"/>
  <c r="G38" i="22"/>
  <c r="E28" i="20"/>
  <c r="E41" i="32"/>
  <c r="D74" i="7"/>
  <c r="D41" i="32"/>
  <c r="H47" i="14"/>
  <c r="H52" i="14"/>
  <c r="H50" i="14"/>
  <c r="H78" i="33"/>
  <c r="H53" i="14"/>
  <c r="H51" i="14"/>
  <c r="G42" i="27"/>
  <c r="G30" i="27"/>
  <c r="E61" i="22"/>
  <c r="E53" i="22"/>
  <c r="D58" i="7"/>
  <c r="D58" i="22"/>
  <c r="H42" i="7"/>
  <c r="D41" i="22"/>
  <c r="D41" i="14"/>
  <c r="E46" i="22"/>
  <c r="D68" i="7"/>
  <c r="D52" i="7"/>
  <c r="H45" i="14"/>
  <c r="D50" i="22"/>
  <c r="D65" i="22"/>
  <c r="E22" i="1"/>
  <c r="E26" i="1"/>
  <c r="E24" i="1"/>
  <c r="E28" i="1"/>
  <c r="H37" i="6"/>
  <c r="E40" i="1"/>
  <c r="H37" i="1"/>
  <c r="E44" i="1"/>
  <c r="E54" i="22"/>
  <c r="E38" i="22"/>
  <c r="H37" i="22"/>
  <c r="E43" i="22"/>
  <c r="G10" i="36"/>
  <c r="H40" i="22"/>
  <c r="H21" i="1"/>
  <c r="H40" i="6"/>
  <c r="G44" i="6"/>
  <c r="D45" i="22"/>
  <c r="D54" i="22"/>
  <c r="D61" i="22"/>
  <c r="D69" i="22"/>
  <c r="H35" i="1"/>
  <c r="E39" i="1"/>
  <c r="E42" i="1"/>
  <c r="H16" i="33"/>
  <c r="E58" i="7"/>
  <c r="E75" i="7"/>
  <c r="E69" i="22"/>
  <c r="E58" i="22"/>
  <c r="E50" i="22"/>
  <c r="E42" i="22"/>
  <c r="E64" i="22"/>
  <c r="E57" i="22"/>
  <c r="E49" i="22"/>
  <c r="E39" i="22"/>
  <c r="H48" i="14"/>
  <c r="E61" i="7"/>
  <c r="E54" i="7"/>
  <c r="E10" i="36"/>
  <c r="D32" i="27"/>
  <c r="D66" i="7"/>
  <c r="D53" i="7"/>
  <c r="D46" i="7"/>
  <c r="D39" i="22"/>
  <c r="D43" i="22"/>
  <c r="D48" i="22"/>
  <c r="D52" i="22"/>
  <c r="D56" i="22"/>
  <c r="D60" i="22"/>
  <c r="D63" i="22"/>
  <c r="D67" i="22"/>
  <c r="D71" i="22"/>
  <c r="H28" i="14"/>
  <c r="H35" i="27"/>
  <c r="E34" i="1"/>
  <c r="H36" i="1"/>
  <c r="E38" i="1"/>
  <c r="E41" i="1"/>
  <c r="E43" i="1"/>
  <c r="D34" i="27"/>
  <c r="D64" i="7"/>
  <c r="D42" i="7"/>
  <c r="D60" i="7"/>
  <c r="D50" i="7"/>
  <c r="G21" i="1"/>
  <c r="K21" i="1" s="1"/>
  <c r="D42" i="6"/>
  <c r="E50" i="7"/>
  <c r="D51" i="7"/>
  <c r="G45" i="14"/>
  <c r="G40" i="22"/>
  <c r="D59" i="7"/>
  <c r="E45" i="7"/>
  <c r="D40" i="1"/>
  <c r="H27" i="14"/>
  <c r="G40" i="6"/>
  <c r="D70" i="7"/>
  <c r="D57" i="7"/>
  <c r="D44" i="7"/>
  <c r="D65" i="7"/>
  <c r="E68" i="7"/>
  <c r="D35" i="27"/>
  <c r="D23" i="1"/>
  <c r="D43" i="27"/>
  <c r="D63" i="7"/>
  <c r="D56" i="7"/>
  <c r="D40" i="7"/>
  <c r="D49" i="7"/>
  <c r="D31" i="27"/>
  <c r="E43" i="6"/>
  <c r="D25" i="1"/>
  <c r="E65" i="22"/>
  <c r="D75" i="7"/>
  <c r="D62" i="7"/>
  <c r="D55" i="7"/>
  <c r="E41" i="7"/>
  <c r="G37" i="6"/>
  <c r="D26" i="14"/>
  <c r="E68" i="22"/>
  <c r="D72" i="7"/>
  <c r="D47" i="7"/>
  <c r="D27" i="1"/>
  <c r="D39" i="27"/>
  <c r="D41" i="27"/>
  <c r="D73" i="7"/>
  <c r="D61" i="7"/>
  <c r="D54" i="7"/>
  <c r="D48" i="7"/>
  <c r="G39" i="6"/>
  <c r="D39" i="14"/>
  <c r="D69" i="7"/>
  <c r="D43" i="7"/>
  <c r="D29" i="1"/>
  <c r="D38" i="27"/>
  <c r="E33" i="27"/>
  <c r="D36" i="27"/>
  <c r="H33" i="27"/>
  <c r="D21" i="1"/>
  <c r="E71" i="22"/>
  <c r="E67" i="22"/>
  <c r="E63" i="22"/>
  <c r="E60" i="22"/>
  <c r="E56" i="22"/>
  <c r="E52" i="22"/>
  <c r="E48" i="22"/>
  <c r="E44" i="22"/>
  <c r="E40" i="22"/>
  <c r="E47" i="7"/>
  <c r="E43" i="7"/>
  <c r="G42" i="7"/>
  <c r="G27" i="14"/>
  <c r="G47" i="14"/>
  <c r="H27" i="27"/>
  <c r="G37" i="1"/>
  <c r="D44" i="1"/>
  <c r="E70" i="22"/>
  <c r="E66" i="22"/>
  <c r="E62" i="22"/>
  <c r="E59" i="22"/>
  <c r="E55" i="22"/>
  <c r="E51" i="22"/>
  <c r="E45" i="22"/>
  <c r="E41" i="22"/>
  <c r="E49" i="7"/>
  <c r="E63" i="7"/>
  <c r="E59" i="7"/>
  <c r="E56" i="7"/>
  <c r="E52" i="7"/>
  <c r="E46" i="7"/>
  <c r="E42" i="7"/>
  <c r="H23" i="1"/>
  <c r="H46" i="14"/>
  <c r="H41" i="6"/>
  <c r="H36" i="22"/>
  <c r="H42" i="6"/>
  <c r="E41" i="6"/>
  <c r="E64" i="7"/>
  <c r="E39" i="14"/>
  <c r="D38" i="22"/>
  <c r="D40" i="22"/>
  <c r="D42" i="22"/>
  <c r="D44" i="22"/>
  <c r="D46" i="22"/>
  <c r="D49" i="22"/>
  <c r="D51" i="22"/>
  <c r="D53" i="22"/>
  <c r="D55" i="22"/>
  <c r="D57" i="22"/>
  <c r="D59" i="22"/>
  <c r="D62" i="22"/>
  <c r="D64" i="22"/>
  <c r="D66" i="22"/>
  <c r="D68" i="22"/>
  <c r="D70" i="22"/>
  <c r="D25" i="14"/>
  <c r="D39" i="6"/>
  <c r="D24" i="14"/>
  <c r="D40" i="14"/>
  <c r="D38" i="6"/>
  <c r="G33" i="27"/>
  <c r="D37" i="27"/>
  <c r="D33" i="27"/>
  <c r="D71" i="7"/>
  <c r="D67" i="7"/>
  <c r="D45" i="7"/>
  <c r="D41" i="7"/>
  <c r="D40" i="32"/>
  <c r="D10" i="36"/>
  <c r="E62" i="7"/>
  <c r="E60" i="7"/>
  <c r="E57" i="7"/>
  <c r="E55" i="7"/>
  <c r="E53" i="7"/>
  <c r="E51" i="7"/>
  <c r="E48" i="7"/>
  <c r="E44" i="7"/>
  <c r="E40" i="7"/>
  <c r="E37" i="27"/>
  <c r="E41" i="14"/>
  <c r="E66" i="7"/>
  <c r="E70" i="7"/>
  <c r="E73" i="7"/>
  <c r="E26" i="14"/>
  <c r="E40" i="32"/>
  <c r="E18" i="35"/>
  <c r="E68" i="6"/>
  <c r="G35" i="1"/>
  <c r="D39" i="1"/>
  <c r="D42" i="1"/>
  <c r="D22" i="1"/>
  <c r="D24" i="1"/>
  <c r="D26" i="1"/>
  <c r="D34" i="1"/>
  <c r="G36" i="1"/>
  <c r="D38" i="1"/>
  <c r="D41" i="1"/>
  <c r="D43" i="1"/>
  <c r="D20" i="35"/>
  <c r="E25" i="14"/>
  <c r="E39" i="6"/>
  <c r="E65" i="7"/>
  <c r="E67" i="7"/>
  <c r="E69" i="7"/>
  <c r="E71" i="7"/>
  <c r="E72" i="7"/>
  <c r="E74" i="7"/>
  <c r="E24" i="14"/>
  <c r="E40" i="14"/>
  <c r="E38" i="6"/>
  <c r="H10" i="36"/>
  <c r="D28" i="20"/>
  <c r="D18" i="35"/>
  <c r="D11" i="36"/>
  <c r="E11" i="36"/>
  <c r="G35" i="27"/>
  <c r="G23" i="1"/>
  <c r="G41" i="6"/>
  <c r="K41" i="6" s="1"/>
  <c r="G78" i="33"/>
  <c r="H28" i="27"/>
  <c r="G43" i="1"/>
  <c r="D40" i="6"/>
  <c r="G46" i="14"/>
  <c r="H44" i="6"/>
  <c r="E40" i="6"/>
  <c r="E42" i="6"/>
  <c r="H39" i="6"/>
  <c r="E31" i="27"/>
  <c r="E35" i="27"/>
  <c r="E39" i="27"/>
  <c r="E20" i="35"/>
  <c r="D69" i="6"/>
  <c r="E21" i="1"/>
  <c r="E23" i="1"/>
  <c r="E25" i="1"/>
  <c r="E27" i="1"/>
  <c r="H43" i="1"/>
  <c r="G38" i="6"/>
  <c r="G42" i="6"/>
  <c r="D43" i="6"/>
  <c r="D41" i="6"/>
  <c r="G28" i="14"/>
  <c r="E32" i="27"/>
  <c r="E34" i="27"/>
  <c r="E36" i="27"/>
  <c r="E38" i="27"/>
  <c r="E41" i="27"/>
  <c r="E43" i="27"/>
  <c r="E21" i="35"/>
  <c r="E19" i="35"/>
  <c r="E17" i="35"/>
  <c r="G25" i="20"/>
  <c r="D21" i="35"/>
  <c r="D19" i="35"/>
  <c r="D17" i="35"/>
  <c r="G50" i="33"/>
  <c r="G17" i="33"/>
  <c r="G54" i="33"/>
  <c r="H14" i="33"/>
  <c r="F19" i="35"/>
  <c r="F18" i="35"/>
  <c r="G34" i="1"/>
  <c r="H32" i="27"/>
  <c r="G29" i="27"/>
  <c r="G27" i="27"/>
  <c r="H34" i="1"/>
  <c r="G32" i="27"/>
  <c r="G28" i="27"/>
  <c r="G46" i="1"/>
  <c r="H30" i="27"/>
  <c r="H29" i="27"/>
  <c r="H46" i="1"/>
  <c r="H25" i="20"/>
  <c r="F36" i="32" l="1"/>
  <c r="C42" i="32"/>
  <c r="C43" i="32"/>
  <c r="C44" i="32"/>
  <c r="F38" i="32"/>
  <c r="C45" i="32"/>
  <c r="F40" i="32"/>
  <c r="N75" i="3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Hani Audah</author>
    <author>tc={C4FC59C7-F6EE-4517-B324-9701BBD36BFB}</author>
    <author>tc={AE85C9B4-53DB-4A23-899C-C56946707AB8}</author>
  </authors>
  <commentList>
    <comment ref="D16" authorId="0" shapeId="0" xr:uid="{AF805170-2FB4-9E4A-8653-5EE8420FDEF3}">
      <text>
        <r>
          <rPr>
            <b/>
            <sz val="10"/>
            <color rgb="FF000000"/>
            <rFont val="Tahoma"/>
            <family val="2"/>
          </rPr>
          <t>Enter the Server Names that will be associated with each component.  If there are multiple servers in an HA setup add each server on an individual line (Alt+Enter)</t>
        </r>
      </text>
    </comment>
    <comment ref="E16" authorId="0" shapeId="0" xr:uid="{7054CD3F-6A4D-5943-90E2-314C17ECC750}">
      <text>
        <r>
          <rPr>
            <sz val="10"/>
            <color rgb="FF000000"/>
            <rFont val="Calibri"/>
            <family val="2"/>
            <scheme val="minor"/>
          </rPr>
          <t xml:space="preserve">Cells in the Server IP column should be populated to with the Server IP that is assigned or will be assigned to this server.  </t>
        </r>
        <r>
          <rPr>
            <sz val="10"/>
            <color rgb="FF000000"/>
            <rFont val="Calibri"/>
            <family val="2"/>
            <scheme val="minor"/>
          </rPr>
          <t xml:space="preserve">
</t>
        </r>
      </text>
    </comment>
    <comment ref="F16" authorId="0" shapeId="0" xr:uid="{D4B70A81-4676-1143-BE8C-07E2D7632CA3}">
      <text>
        <r>
          <rPr>
            <sz val="10"/>
            <color rgb="FF000000"/>
            <rFont val="Calibri"/>
            <family val="2"/>
            <scheme val="minor"/>
          </rPr>
          <t xml:space="preserve">Some AirWatch Components require inbound connections.  The DNS record column is for the hostname that devices and/or servers would reach out to resolve to this server.   </t>
        </r>
        <r>
          <rPr>
            <sz val="10"/>
            <color rgb="FF000000"/>
            <rFont val="Calibri"/>
            <family val="2"/>
            <scheme val="minor"/>
          </rPr>
          <t xml:space="preserve">
</t>
        </r>
        <r>
          <rPr>
            <sz val="10"/>
            <color rgb="FF000000"/>
            <rFont val="Calibri"/>
            <family val="2"/>
            <scheme val="minor"/>
          </rPr>
          <t>This DNS record can point to a loadbalancer or VIP but should  ultimately resolve to the server</t>
        </r>
        <r>
          <rPr>
            <sz val="10"/>
            <color rgb="FF000000"/>
            <rFont val="Calibri"/>
            <family val="2"/>
            <scheme val="minor"/>
          </rPr>
          <t xml:space="preserve">
</t>
        </r>
      </text>
    </comment>
    <comment ref="G16" authorId="0" shapeId="0" xr:uid="{89361A2D-A4A0-0747-896E-18CEA19D149E}">
      <text>
        <r>
          <rPr>
            <sz val="10"/>
            <color rgb="FF000000"/>
            <rFont val="Calibri"/>
            <family val="2"/>
            <scheme val="minor"/>
          </rPr>
          <t xml:space="preserve">The IP of DNS Record Column corresponds to the IP address of the DNS record listed in the prior column. The IP addresses of the DNS record will often be a VIP, firewall IP, or load balancer IP rather than the IP of the server itself.  </t>
        </r>
        <r>
          <rPr>
            <sz val="10"/>
            <color rgb="FF000000"/>
            <rFont val="Calibri"/>
            <family val="2"/>
            <scheme val="minor"/>
          </rPr>
          <t xml:space="preserve">
</t>
        </r>
      </text>
    </comment>
    <comment ref="H16" authorId="0" shapeId="0" xr:uid="{7085D6FE-FFC1-428C-85E6-AAC462776A03}">
      <text>
        <r>
          <rPr>
            <sz val="11"/>
            <color theme="1"/>
            <rFont val="Calibri"/>
            <family val="2"/>
            <scheme val="minor"/>
          </rPr>
          <t xml:space="preserve">The FQDN of the compute node that will host the validation appliance
</t>
        </r>
      </text>
    </comment>
    <comment ref="I16" authorId="0" shapeId="0" xr:uid="{5FCB504F-5272-420D-ABE7-8945B597BEB7}">
      <text>
        <r>
          <rPr>
            <sz val="11"/>
            <color theme="1"/>
            <rFont val="Calibri"/>
            <family val="2"/>
            <scheme val="minor"/>
          </rPr>
          <t xml:space="preserve">The gateway IP address that the validation appliance will be configured with
</t>
        </r>
      </text>
    </comment>
    <comment ref="J16" authorId="0" shapeId="0" xr:uid="{2E4F548D-D4F7-42AC-817D-E2F72BCB2EBE}">
      <text>
        <r>
          <rPr>
            <sz val="11"/>
            <color theme="1"/>
            <rFont val="Calibri"/>
            <family val="2"/>
            <scheme val="minor"/>
          </rPr>
          <t xml:space="preserve">The subnet mask that the validation appliance will be configured with
</t>
        </r>
      </text>
    </comment>
    <comment ref="K16" authorId="0" shapeId="0" xr:uid="{422E982E-EB7C-42E4-B58F-24C30552C751}">
      <text>
        <r>
          <rPr>
            <sz val="11"/>
            <color theme="1"/>
            <rFont val="Calibri"/>
            <family val="2"/>
            <scheme val="minor"/>
          </rPr>
          <t xml:space="preserve">The name of the VSphere VM network to be used when deploying validation appliances
</t>
        </r>
      </text>
    </comment>
    <comment ref="L16" authorId="0" shapeId="0" xr:uid="{74CD8287-E0F7-4677-949B-3076CEA093A2}">
      <text>
        <r>
          <rPr>
            <sz val="11"/>
            <color theme="1"/>
            <rFont val="Calibri"/>
            <family val="2"/>
            <scheme val="minor"/>
          </rPr>
          <t xml:space="preserve">The name of the datastore on which the validation appliance will be stored
</t>
        </r>
      </text>
    </comment>
    <comment ref="B29" authorId="1" shapeId="0" xr:uid="{4DA5B6E8-F5FF-4952-95CE-E6CF3467D52B}">
      <text>
        <r>
          <rPr>
            <b/>
            <sz val="9"/>
            <color indexed="81"/>
            <rFont val="Tahoma"/>
            <charset val="1"/>
          </rPr>
          <t xml:space="preserve">The UEM DB will also server as the DB for any components for which the DB is specified as not required.
</t>
        </r>
      </text>
    </comment>
    <comment ref="I56" authorId="0" shapeId="0" xr:uid="{4D7E3366-800B-F24C-AE97-21899D6614AA}">
      <text>
        <r>
          <rPr>
            <b/>
            <sz val="10"/>
            <color rgb="FF000000"/>
            <rFont val="Tahoma"/>
            <family val="2"/>
          </rPr>
          <t>Sizing Guidelines are based  off of the Recommended Architecture Guide which can be found in docs.vmware.com</t>
        </r>
        <r>
          <rPr>
            <sz val="10"/>
            <color rgb="FF000000"/>
            <rFont val="Tahoma"/>
            <family val="2"/>
          </rPr>
          <t xml:space="preserve">
</t>
        </r>
      </text>
    </comment>
    <comment ref="B101" authorId="0" shapeId="0" xr:uid="{8028B5C0-8F01-2C4C-8B1A-0DA170DD7A7D}">
      <text>
        <r>
          <rPr>
            <sz val="10"/>
            <color rgb="FF000000"/>
            <rFont val="Calibri"/>
            <family val="2"/>
            <scheme val="minor"/>
          </rPr>
          <t xml:space="preserve">Note on HA: </t>
        </r>
        <r>
          <rPr>
            <sz val="10"/>
            <color rgb="FF000000"/>
            <rFont val="Calibri"/>
            <family val="2"/>
            <scheme val="minor"/>
          </rPr>
          <t xml:space="preserve">
</t>
        </r>
        <r>
          <rPr>
            <sz val="10"/>
            <color rgb="FF000000"/>
            <rFont val="Calibri"/>
            <family val="2"/>
            <scheme val="minor"/>
          </rPr>
          <t xml:space="preserve">When there are multiple servers  for a component in an HA setup, then the FQDN and IP can be manually entered in a comma centered list.  The DNS record and the IP of DNS Record (when applicable to the component) should be the same for these servers and be associated with a VIP or load balancer. 
</t>
        </r>
        <r>
          <rPr>
            <sz val="10"/>
            <color rgb="FF000000"/>
            <rFont val="Calibri"/>
            <family val="2"/>
            <scheme val="minor"/>
          </rPr>
          <t xml:space="preserve">
</t>
        </r>
        <r>
          <rPr>
            <sz val="10"/>
            <color rgb="FF000000"/>
            <rFont val="Calibri"/>
            <family val="2"/>
            <scheme val="minor"/>
          </rPr>
          <t xml:space="preserve">Note on DR: </t>
        </r>
        <r>
          <rPr>
            <sz val="10"/>
            <color rgb="FF000000"/>
            <rFont val="Calibri"/>
            <family val="2"/>
            <scheme val="minor"/>
          </rPr>
          <t xml:space="preserve">
</t>
        </r>
        <r>
          <rPr>
            <sz val="10"/>
            <color rgb="FF000000"/>
            <rFont val="Calibri"/>
            <family val="2"/>
            <scheme val="minor"/>
          </rPr>
          <t>The networking requirements for this document is not designed to included both the Production and DR in the same tables.  A separate Pre-Install Requirement worksheet should be completed to ensure correct networking rules for the DR environment</t>
        </r>
        <r>
          <rPr>
            <sz val="10"/>
            <color rgb="FF000000"/>
            <rFont val="Calibri"/>
            <family val="2"/>
            <scheme val="minor"/>
          </rPr>
          <t xml:space="preserve">
</t>
        </r>
      </text>
    </comment>
    <comment ref="B102" authorId="2" shapeId="0" xr:uid="{C4FC59C7-F6EE-4517-B324-9701BBD36BFB}">
      <text>
        <t xml:space="preserve">[Threaded comment]
Your version of Excel allows you to read this threaded comment; however, any edits to it will get removed if the file is opened in a newer version of Excel. Learn more: https://go.microsoft.com/fwlink/?linkid=870924
Comment:
    When selecting yes, VIP will be required for all components which support high-availability
</t>
      </text>
    </comment>
    <comment ref="B103" authorId="3" shapeId="0" xr:uid="{AE85C9B4-53DB-4A23-899C-C56946707AB8}">
      <text>
        <t xml:space="preserve">[Threaded comment]
Your version of Excel allows you to read this threaded comment; however, any edits to it will get removed if the file is opened in a newer version of Excel. Learn more: https://go.microsoft.com/fwlink/?linkid=870924
Comment:
    When selecting yes, for required servers and components an additional server will be added to accomplish high availablity (N+1)?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3" authorId="0" shapeId="0" xr:uid="{00000000-0006-0000-0B00-000001000000}">
      <text>
        <r>
          <rPr>
            <sz val="10"/>
            <color rgb="FF000000"/>
            <rFont val="Calibri"/>
            <family val="2"/>
          </rPr>
          <t>Both SaaS and On-Premise AirWatch customers can use the Cloud Hosted ENSv2  assuming the below requirements are met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20" authorId="0" shapeId="0" xr:uid="{805E13CF-C59F-A044-BE23-10BA3F16EA71}">
      <text>
        <r>
          <rPr>
            <sz val="10"/>
            <color rgb="FF000000"/>
            <rFont val="Calibri"/>
            <family val="2"/>
          </rPr>
          <t>The status of some rows in this table default to N/A based on the assumption the ESC (ACC) component  will handle the communication requirement.  If the ESC component is not part of the server architecture,  the status should be updated appropriately.</t>
        </r>
      </text>
    </comment>
  </commentList>
</comments>
</file>

<file path=xl/sharedStrings.xml><?xml version="1.0" encoding="utf-8"?>
<sst xmlns="http://schemas.openxmlformats.org/spreadsheetml/2006/main" count="2220" uniqueCount="803">
  <si>
    <t>VMware and Customer Confidential</t>
  </si>
  <si>
    <t xml:space="preserve">Disclaimer: This document makes a best effort to accurately reflect the pre-install requirements of the various Workspace ONE components.  The official source of requirements can be referenced from the component's corresponding guide from docs.vmware.com </t>
  </si>
  <si>
    <t>Deployment</t>
  </si>
  <si>
    <t>Select deployment type - On-Premise or SaaS</t>
  </si>
  <si>
    <t>Enter the number (##) for your SaaS Environment</t>
  </si>
  <si>
    <t>Enter your SaaS Domain</t>
  </si>
  <si>
    <t xml:space="preserve">Deployment Type </t>
  </si>
  <si>
    <t>On-Premise</t>
  </si>
  <si>
    <t>Workspace ONE UEM</t>
  </si>
  <si>
    <t>.awmdm.com</t>
  </si>
  <si>
    <t>Enter the device count for your deployment as this will help calculate the hardware sizing for required servers and components</t>
  </si>
  <si>
    <t>Enter the subdomain  for your Workspace ONE Access tenant and select the correct domain for your deployment?</t>
  </si>
  <si>
    <t># of Devices</t>
  </si>
  <si>
    <t>Workspace ONE Access Environment</t>
  </si>
  <si>
    <t>test</t>
  </si>
  <si>
    <t>.workspaceoneaccess.com</t>
  </si>
  <si>
    <t>CN</t>
  </si>
  <si>
    <t>DS</t>
  </si>
  <si>
    <t>UEM IP</t>
  </si>
  <si>
    <t>ENS IP</t>
  </si>
  <si>
    <t>UEM IP Range</t>
  </si>
  <si>
    <t>ENS IP Range</t>
  </si>
  <si>
    <t>Workspace ONE Access</t>
  </si>
  <si>
    <t>Cloud KDC</t>
  </si>
  <si>
    <t>Access IP</t>
  </si>
  <si>
    <t>kdc.vmwareidentity.com</t>
  </si>
  <si>
    <t>Access IP Range</t>
  </si>
  <si>
    <t>Environment</t>
  </si>
  <si>
    <t>Components</t>
  </si>
  <si>
    <t>Required</t>
  </si>
  <si>
    <t>Server Hostname(s)</t>
  </si>
  <si>
    <t>Server IP(s)</t>
  </si>
  <si>
    <t>DNS (VIP) Record</t>
  </si>
  <si>
    <t>IP of DNS (VIP) Record</t>
  </si>
  <si>
    <t>SSL Handling</t>
  </si>
  <si>
    <t>Gateway IP Address</t>
  </si>
  <si>
    <t>Subnet Mask</t>
  </si>
  <si>
    <t>VM Network</t>
  </si>
  <si>
    <t>Datastore</t>
  </si>
  <si>
    <t>Compute Node</t>
  </si>
  <si>
    <t>AirWatch Cloud Connector</t>
  </si>
  <si>
    <t>Yes</t>
  </si>
  <si>
    <t>acc1.haramco.xyz
acc2.haramco.xyz</t>
  </si>
  <si>
    <t>192.168.1.59
192.168.1.60</t>
  </si>
  <si>
    <t>N/A</t>
  </si>
  <si>
    <t>Passthrough</t>
  </si>
  <si>
    <t>192.168.1.1
192.168.1.1</t>
  </si>
  <si>
    <t>255.255.255.0
255.255.255.0</t>
  </si>
  <si>
    <t>MainPortGroup
MainPortGroup</t>
  </si>
  <si>
    <t>ClusterDatastore
ClusterDatastore</t>
  </si>
  <si>
    <t>192.168.1.207
192.168.1.207</t>
  </si>
  <si>
    <t>Access Connector</t>
  </si>
  <si>
    <t>idmcon1.haramco.xyz
idmcon2.haramco.xyz</t>
  </si>
  <si>
    <t>192.168.1.61
192.168.1.62</t>
  </si>
  <si>
    <t>idmcon.haramco.xyz</t>
  </si>
  <si>
    <t>192.168.1.30</t>
  </si>
  <si>
    <t>Secure Email Gateway</t>
  </si>
  <si>
    <t>seg1.haramco.xyz
seg2.haramco.xyz</t>
  </si>
  <si>
    <t>192.168.1.64
192.168.1.65</t>
  </si>
  <si>
    <t>seg.haramco.xyz</t>
  </si>
  <si>
    <t>ENSv2 (On Premise)</t>
  </si>
  <si>
    <t>ens1.haramco.xyz
ens2.haramco.xyz</t>
  </si>
  <si>
    <t>192.168.1.67
192.168.1.58</t>
  </si>
  <si>
    <t>ens.haramco.xyz</t>
  </si>
  <si>
    <t>ENSv2 [DB] (On Premise)</t>
  </si>
  <si>
    <t>ensdb.haramco.xyz</t>
  </si>
  <si>
    <t>UAG Relay for Tunnel</t>
  </si>
  <si>
    <t>uagr1.haramco.xyz
uagr2.haramco.xyz</t>
  </si>
  <si>
    <t>192.168.1.70
192.168.1.71</t>
  </si>
  <si>
    <t>uagr.haramco.xyz</t>
  </si>
  <si>
    <t>UAG Relay for Content</t>
  </si>
  <si>
    <t>Same as Tunnel</t>
  </si>
  <si>
    <t>UAG Endpoint for Tunnel</t>
  </si>
  <si>
    <t>uage1.harmco.xyz
uage2.haramco.xyz</t>
  </si>
  <si>
    <t>192.168.1.74
192.168.1.75</t>
  </si>
  <si>
    <t>uage.haramco.xyz</t>
  </si>
  <si>
    <t xml:space="preserve">UAG Endpoint for Content </t>
  </si>
  <si>
    <t>FTP Relay Server</t>
  </si>
  <si>
    <t>ftpr.haramco.xyz</t>
  </si>
  <si>
    <t>192.168.1.77</t>
  </si>
  <si>
    <t>192.168.1.1</t>
  </si>
  <si>
    <t>255.255.255.0</t>
  </si>
  <si>
    <t>MainPortGroup</t>
  </si>
  <si>
    <t>ClusterDatastore</t>
  </si>
  <si>
    <t>192.168.1.207</t>
  </si>
  <si>
    <t>Citrix Integration Broker</t>
  </si>
  <si>
    <t>No</t>
  </si>
  <si>
    <t>Workspace ONE UEM [DB]</t>
  </si>
  <si>
    <t>database.haramco.xyz</t>
  </si>
  <si>
    <t>Workspace ONE Access [DB]</t>
  </si>
  <si>
    <t>Same as UEM Database</t>
  </si>
  <si>
    <t>Memcache Server</t>
  </si>
  <si>
    <t>UEM Console Server</t>
  </si>
  <si>
    <t>uemc1.haramco.xyz</t>
  </si>
  <si>
    <t>192.168.1.80</t>
  </si>
  <si>
    <t>uemc.haramco.xyz</t>
  </si>
  <si>
    <t>UEM Device Services Server</t>
  </si>
  <si>
    <t>uds1.haramco.xyz</t>
  </si>
  <si>
    <t>192.168.1.82</t>
  </si>
  <si>
    <t>tcuds.haramco.xyz</t>
  </si>
  <si>
    <t>Separate AWCM Server</t>
  </si>
  <si>
    <t>Separate API Server</t>
  </si>
  <si>
    <t>access1.haramco.xyz</t>
  </si>
  <si>
    <t>192.168.1.84</t>
  </si>
  <si>
    <t>access.haramco.xyz</t>
  </si>
  <si>
    <t>Workspace ONE Assist [DB]</t>
  </si>
  <si>
    <t>assistdb.haramco.xyz</t>
  </si>
  <si>
    <t>Ws1 Assist Core/App Server</t>
  </si>
  <si>
    <t>assist1.haramco.xyz</t>
  </si>
  <si>
    <t>192.168.1.87</t>
  </si>
  <si>
    <t>assist.haramco.xyz</t>
  </si>
  <si>
    <t>Ws1 Assist Connection Proctor</t>
  </si>
  <si>
    <t>Same as Core/App Server</t>
  </si>
  <si>
    <t>Intelligent Connector</t>
  </si>
  <si>
    <t>Internal Resources</t>
  </si>
  <si>
    <t>Present</t>
  </si>
  <si>
    <t>Port(s)</t>
  </si>
  <si>
    <t>Domain Controller / AD</t>
  </si>
  <si>
    <t>haramco.xyz</t>
  </si>
  <si>
    <t>192.168.77.211</t>
  </si>
  <si>
    <t>SMTP Mail Relay</t>
  </si>
  <si>
    <t>smtp.fqdn.com</t>
  </si>
  <si>
    <t>#.#.#.#</t>
  </si>
  <si>
    <t>Internal PKI</t>
  </si>
  <si>
    <t>pki.fqdn.com</t>
  </si>
  <si>
    <t>Mail Server</t>
  </si>
  <si>
    <t>mail.fqdn.com</t>
  </si>
  <si>
    <t>DNS Server</t>
  </si>
  <si>
    <t>dns.fqdn.com</t>
  </si>
  <si>
    <t>192.168.1.31</t>
  </si>
  <si>
    <t>Syslog Server</t>
  </si>
  <si>
    <t>syslog.haramco.xyz</t>
  </si>
  <si>
    <t>192.168.1.170</t>
  </si>
  <si>
    <t>Horizon Connection Servers</t>
  </si>
  <si>
    <t>RADIUS Server</t>
  </si>
  <si>
    <t>RSA SecurID System</t>
  </si>
  <si>
    <t>Blackberry Enterprise Server</t>
  </si>
  <si>
    <t>Citrix Server Farm
Provisioning Server</t>
  </si>
  <si>
    <t>citrixfarm.fqdn.com</t>
  </si>
  <si>
    <t>Final Workspace ONE Components</t>
  </si>
  <si>
    <t>Zone and Certs</t>
  </si>
  <si>
    <t>Sizing  Guidelines</t>
  </si>
  <si>
    <t>Other</t>
  </si>
  <si>
    <t>Location (DMZ | INT)</t>
  </si>
  <si>
    <t>Require Public SSL</t>
  </si>
  <si>
    <t># of Servers (Per Sizing)</t>
  </si>
  <si>
    <t>CPU Cores 
(Intel Processor Required)</t>
  </si>
  <si>
    <t>RAM</t>
  </si>
  <si>
    <t>Disc Space (GB)</t>
  </si>
  <si>
    <t>Operating System / Package</t>
  </si>
  <si>
    <t>Require VIP</t>
  </si>
  <si>
    <t>Final # of Servers (N+1)</t>
  </si>
  <si>
    <t>Memcache</t>
  </si>
  <si>
    <t>UEM AWCM Server</t>
  </si>
  <si>
    <t>UEM API Server</t>
  </si>
  <si>
    <t>ENSv2</t>
  </si>
  <si>
    <t>Service Accounts</t>
  </si>
  <si>
    <t>#</t>
  </si>
  <si>
    <t>Name</t>
  </si>
  <si>
    <t>Description</t>
  </si>
  <si>
    <t>Username</t>
  </si>
  <si>
    <t>Password</t>
  </si>
  <si>
    <t>Active Directory Binding Account</t>
  </si>
  <si>
    <t>This is an AD Binding Account to enable A/D Integration</t>
  </si>
  <si>
    <t>Google Account</t>
  </si>
  <si>
    <t>This generic google account is required to enable Android Management.</t>
  </si>
  <si>
    <t>Apple ID</t>
  </si>
  <si>
    <t>An apple ID associated to your corporate email to generate an APNS certifcate. APNS Certificate is required to enroll iOS devices.</t>
  </si>
  <si>
    <t xml:space="preserve">Apple Business Manager </t>
  </si>
  <si>
    <t>This account requires access to Apple Business Manager in order to configure VPP and DEP.</t>
  </si>
  <si>
    <t>Questionnaire</t>
  </si>
  <si>
    <t>Question</t>
  </si>
  <si>
    <t>Answer</t>
  </si>
  <si>
    <t>See cell note on HA and DR</t>
  </si>
  <si>
    <t>High Availability?</t>
  </si>
  <si>
    <t>Additional Server (N+1) for HA?</t>
  </si>
  <si>
    <t>Workspace ONE auto-update?</t>
  </si>
  <si>
    <t>Console Publicly Accessible?</t>
  </si>
  <si>
    <t>Unified Access Gateway Configuration</t>
  </si>
  <si>
    <t>Relay-Endpoint</t>
  </si>
  <si>
    <t>Using VMware Verify?</t>
  </si>
  <si>
    <t>Appliance Auto-Preparation</t>
  </si>
  <si>
    <t>vCenter FQDN</t>
  </si>
  <si>
    <t>Version</t>
  </si>
  <si>
    <t>Date</t>
  </si>
  <si>
    <t>Author</t>
  </si>
  <si>
    <t>Support ID References</t>
  </si>
  <si>
    <t>Mahmood Ramzan</t>
  </si>
  <si>
    <t>Updated the spreadsheet by doing the following:
- New Pre-reqs spreadsheet has a new questionnaire / wizard layout on the first sheet to make intuitive for PSO Consultant. All the green cells will require user input. Also, we have the option to lock the first spreadsheet to prevent users to override information in any other cells besides “Green” cells. 
- Added “Sizing” to the pre-reqs. Currently, this requires major manually effort as our components have increased and can sometimes create a room for user error. 
- Defined cell names (i.e. “dbservername” instead of !Sheetname!C46) for cells that serve as lookup values. By doing this, maintaining the networking pre-reqs will much easier for future updates.
- Updated the look and feel across for all sheets to ensure consistency (i.e. formatting)</t>
  </si>
  <si>
    <t>Hani Audah</t>
  </si>
  <si>
    <t>Updated the spreadsheet as follows:
-Some internal resources have port choices that need to be made. Since all input should go into the first sheet, the Internal Resources table now has a port column for these choices (referenced through variables in other sheets).
-Removed all entries on the "Devices on Internet or Wi-Fi" sheet except those that point to Internet URLs. These entries are redundant since they are included
 in the corresponding component sheet (a few weren't, so they've been added).
-Some network requirements had [OPTIONAL] in the name. Again, the requirements should entirely be based on input from the first sheet. If the requirement does not apply,
 the Status should automatically change to N/A
-Component names in all sheets now point to name variables COMxxxxx.
-Some multi-line URL entries weren't really multi-line.
-Standard port format is now as follows:
    -AND: comma-separated with single space
    -OR: no longer applicable since all choices made in first sheet
-AWCM Port adjusts to SaaS/on-Prem selection
-The UAG Content and Tunnel components were entered individually, then one was ignored for all sheets. Now they are still entered individually but with an additional choice of "Same as Tunnel" for the Content components that causes the settings for CG to be duplicates. Also, other sheets now reference the correct setting.
-For destination components where the individual servers are intended, "(Servers)" is appended to the name.
-Added RSA component to Internal Resources, which raised the question: some of these aren't required and may not be present. So I've added the "Present" column. These are conditionally formatted based on Present column</t>
  </si>
  <si>
    <t>w</t>
  </si>
  <si>
    <t>Updated spreadsheet as follows:
-Change wording on components to no longer be questions. That's what the required column is for.
-Network requirements to external URLs should have the URL in the destination component, and the destination server/IP blank. If you
 need to put a description of the URL, use the comment column.
-Moved questions to bottom of server tab
-Server tab renamed to 'Servers &amp; Environment'
-UAG configuration (basic vs relay-endpoint) now added to list of questions, and the network requirements reflect the choice of configuration.
-Added questions related to optional network requirements so that other sheets need no manual modification. Added internal resources (BES, radius...) for the same reason.
-Fixed ENS DNS reference
-UEM AWCM Component name in all sheets will be set to DS server if separate AWCM server not used.
-UEM API Component name in all sheets will be set to DS server if separate API server not used.
-Added WS1 Assist to servers sheet and completely replaced Advanced Remote Management Sheet. Sizing also follows docs.vmware.com recommendation. Supports both single-server and multi-server mode.
-All Databases will revert to UEM database if they are listed as not required.
-Operating system fields in all sheets point to main sheet
-Removed all Workspace ONE Access requirements that look like they belong to the Access Connector (Domain Controller, Active Directory, RSA SecurID system, VMware ThinApp repository, View server, Integration Broker, Citrix Farm, Syslog Server)
-Removed all Workspace ONE UEM requirements that look like they belong to the AirWatch Cloud Connector (Domain Controller / AD, SMTP Mail Relay, Internal PKI, Mail Server)
-Pruned all internet URLs to just the hostname (I don't see a use case for the full path).
-Removed any URLs specific to Windows Phone or Windows 8:
*.windowsphone.com</t>
  </si>
  <si>
    <t>-Added fields for auto-prepare of validation appliances
-Removed port 80 from URL has.spserv.microsoft.com as it's no longer active</t>
  </si>
  <si>
    <t>Support (Internal)</t>
  </si>
  <si>
    <t>If you have feedback for this spreadsheet, click on the button below. Feedback can include but not limited to the following:
- Missing Pre-Reqs
- Wrong Pre-Reqs
- Pre-Reqs which are no longer applicable or supported
- Formatting</t>
  </si>
  <si>
    <t>Submit Feedback</t>
  </si>
  <si>
    <t>Password for Locked Spreadsheet is "airwatch"</t>
  </si>
  <si>
    <t>SaaS</t>
  </si>
  <si>
    <t>Boolean</t>
  </si>
  <si>
    <t>UAG Boolean</t>
  </si>
  <si>
    <t>WS1 Assist Boolean</t>
  </si>
  <si>
    <t>WS1 Database Boolean</t>
  </si>
  <si>
    <t>Bridging</t>
  </si>
  <si>
    <t>Offloading</t>
  </si>
  <si>
    <t>WS1 UEM SaaS Environment</t>
  </si>
  <si>
    <t>WS1 Access SaaS Environment</t>
  </si>
  <si>
    <t>.vmwareidentity.com</t>
  </si>
  <si>
    <t>.workspaceair.com</t>
  </si>
  <si>
    <t>.vmwareidentity.eu</t>
  </si>
  <si>
    <t>.vmwareidentity.asia</t>
  </si>
  <si>
    <t>.vmwareidentity.com.au</t>
  </si>
  <si>
    <t>.vmwareidentity.co.uk</t>
  </si>
  <si>
    <t>.vmwareidentity.de</t>
  </si>
  <si>
    <t>.vmwareidentity.ca</t>
  </si>
  <si>
    <t>.vidmpreview.com</t>
  </si>
  <si>
    <t>IP Ranges</t>
  </si>
  <si>
    <t>WSONE Access IP Range</t>
  </si>
  <si>
    <t>ENS</t>
  </si>
  <si>
    <t>Region</t>
  </si>
  <si>
    <t>API Endpoint</t>
  </si>
  <si>
    <t>Column1</t>
  </si>
  <si>
    <t>North America</t>
  </si>
  <si>
    <t>ens.getboxer.com</t>
  </si>
  <si>
    <t>52.204.159.41
107.23.52.83</t>
  </si>
  <si>
    <t>Asian-Pacific</t>
  </si>
  <si>
    <t>ens-apj.getboxer.om</t>
  </si>
  <si>
    <t>52.69.186.14
52.196.212.232</t>
  </si>
  <si>
    <t>European Union (EU)</t>
  </si>
  <si>
    <t>ens-eu.getboxer.com</t>
  </si>
  <si>
    <t>3.120.17.75
18.196.83.52</t>
  </si>
  <si>
    <t>Service Account Type</t>
  </si>
  <si>
    <t>Service Account Name</t>
  </si>
  <si>
    <t xml:space="preserve">Workspace ONE UEM </t>
  </si>
  <si>
    <t>Administrator</t>
  </si>
  <si>
    <t>UEM DB Service Account</t>
  </si>
  <si>
    <t>root</t>
  </si>
  <si>
    <t>vIDM DB Service Account</t>
  </si>
  <si>
    <t>admin</t>
  </si>
  <si>
    <t>ENS DB Service Account</t>
  </si>
  <si>
    <t>sshuser</t>
  </si>
  <si>
    <t>Unified Access Gateway</t>
  </si>
  <si>
    <t>Domain Service Account (Accessing Windows Servers)</t>
  </si>
  <si>
    <t>VLOOKUP VALUES FOR OS</t>
  </si>
  <si>
    <t>Server</t>
  </si>
  <si>
    <t>Last Updated</t>
  </si>
  <si>
    <t>Link</t>
  </si>
  <si>
    <t>SQL Server 2012, SQL Server 2014, or SQL Server 2016 (64-bit)</t>
  </si>
  <si>
    <t>SQL Server 2017 or SQL Server 2019 (64-bit)</t>
  </si>
  <si>
    <t>Windows Server 2008 R2 SP1, Windows Server 2012 R2, or Windows Server 2016</t>
  </si>
  <si>
    <t>Virtual Appliance</t>
  </si>
  <si>
    <t>Windows Server 2008 R2 or Windows Server 2012 R2 or Windows Server 2016</t>
  </si>
  <si>
    <t>Windows Server 2012 R2, Windows Server 2016, Windows Server 2019</t>
  </si>
  <si>
    <t>Windows Server 2008 R2, Windows Server 2012, Windows Server 2012 R2, Windows Server 2016</t>
  </si>
  <si>
    <t>Windows Server 2012 R2, or Windows Server 2016</t>
  </si>
  <si>
    <t>CentOS/RHEL 7.x</t>
  </si>
  <si>
    <t>Services</t>
  </si>
  <si>
    <t># Servers</t>
  </si>
  <si>
    <t>CPU Cores (Intel Processor Required)</t>
  </si>
  <si>
    <t>Trans Log Size (GB)</t>
  </si>
  <si>
    <t>Tem DB (GB)</t>
  </si>
  <si>
    <t>Avg IOPS</t>
  </si>
  <si>
    <t>Peak IOPS</t>
  </si>
  <si>
    <t>https://docs.vmware.com/en/VMware-Workspace-ONE-UEM/2001/UEM_-Recommended_Architecture/GUID-AWT-SIZING-UP-TO-25K.html</t>
  </si>
  <si>
    <t>https://docs.vmware.com/en/VMware-Workspace-ONE-UEM/2001/UEM_-Recommended_Architecture/GUID-AWT-SIZING-UP-TO-50K.html</t>
  </si>
  <si>
    <t>https://docs.vmware.com/en/VMware-Workspace-ONE-UEM/2001/UEM_-Recommended_Architecture/GUID-AWT-SIZING-UP-TO-100K.html</t>
  </si>
  <si>
    <t>https://docs.vmware.com/en/VMware-Workspace-ONE-UEM/2001/UEM_-Recommended_Architecture/GUID-AWT-HW-ASSUMPTIONS.html#GUID-AWT-HW-ASSUMPTIONS__GUID-FCF89B48-F9D2-43CB-80F6-54B108946F1C</t>
  </si>
  <si>
    <t>Ws1 Assist DB</t>
  </si>
  <si>
    <t>https://docs.vmware.com/en/VMware-Workspace-ONE-UEM/2001/WS1_Assist/GUID-AWT-RMV4-REQUIREMENTS.html</t>
  </si>
  <si>
    <t>Console / Database 
Pre-Requisites</t>
  </si>
  <si>
    <t>Hardware Requirements</t>
  </si>
  <si>
    <t>Status</t>
  </si>
  <si>
    <t>Requirement</t>
  </si>
  <si>
    <t>Notes</t>
  </si>
  <si>
    <t>Version Added</t>
  </si>
  <si>
    <t>Pending</t>
  </si>
  <si>
    <t xml:space="preserve">VM or Physical Server for Console </t>
  </si>
  <si>
    <t>Please refer to the Server &amp; Account Tab for sizing related information</t>
  </si>
  <si>
    <t xml:space="preserve">VM or Physical Server for UEM Database </t>
  </si>
  <si>
    <t>General Requirements  for Console Server</t>
  </si>
  <si>
    <t>Client Administrator will need remote access to server(s) available.  Typically, installations are performed remotely over a web meeting or screen share that an VMware consultant provides.</t>
  </si>
  <si>
    <t>Installation of either Firefox or Chrome (Recommended)</t>
  </si>
  <si>
    <t>Copy the Full Installer to the Console, Device Services and Vmware Access server(s)</t>
  </si>
  <si>
    <t>Installer can be downloaded from MyWorkspaceONE resources portal</t>
  </si>
  <si>
    <t xml:space="preserve">Services account(s) for authentication to backend systems such as LDAP, Email SMTP, PowerShell ect. </t>
  </si>
  <si>
    <t>Software Requirements for Console Server</t>
  </si>
  <si>
    <t>Internally registered DNS record for the Console</t>
  </si>
  <si>
    <t>Console and Device Services can use the same DNS if they are on the same server</t>
  </si>
  <si>
    <t>SSL/TLS Certificate (Recommended from trusted third party) with Subject or Subject Alternative name of DNS record; with the private key (in .pfx format)</t>
  </si>
  <si>
    <t>Windows Server 2008 R2 or 2012 Standard or 2012 R2 or 2016</t>
  </si>
  <si>
    <t>64-bit servers needed for AWCM | 64-bit Java</t>
  </si>
  <si>
    <t>7.0</t>
  </si>
  <si>
    <t>Install Role from Server Manager</t>
  </si>
  <si>
    <t>IIS 7.0, IIS 8.0 or IIS 8.5</t>
  </si>
  <si>
    <t>Install Role Services from Server Manager</t>
  </si>
  <si>
    <r>
      <rPr>
        <b/>
        <sz val="11"/>
        <color theme="1"/>
        <rFont val="Arial"/>
        <family val="2"/>
      </rPr>
      <t>Common HTTP Features:</t>
    </r>
    <r>
      <rPr>
        <sz val="11"/>
        <color theme="1"/>
        <rFont val="Arial"/>
        <family val="2"/>
      </rPr>
      <t xml:space="preserve"> Static Content, Default Document, HTTP Errors, HTTP Redirection
</t>
    </r>
    <r>
      <rPr>
        <b/>
        <sz val="11"/>
        <color theme="1"/>
        <rFont val="Arial"/>
        <family val="2"/>
      </rPr>
      <t>Application Development:</t>
    </r>
    <r>
      <rPr>
        <sz val="11"/>
        <color theme="1"/>
        <rFont val="Arial"/>
        <family val="2"/>
      </rPr>
      <t xml:space="preserve"> ASP.NET, .NET Extensibility, ASP, ISAPI Extensions, ISAPI Filters, Server Side Includes
</t>
    </r>
    <r>
      <rPr>
        <b/>
        <sz val="11"/>
        <color theme="1"/>
        <rFont val="Arial"/>
        <family val="2"/>
      </rPr>
      <t>Health and Diagnostics:</t>
    </r>
    <r>
      <rPr>
        <sz val="11"/>
        <color theme="1"/>
        <rFont val="Arial"/>
        <family val="2"/>
      </rPr>
      <t xml:space="preserve"> HTTP Logging, Logging Tools, Request Monitor, Tracing
</t>
    </r>
    <r>
      <rPr>
        <b/>
        <sz val="11"/>
        <color theme="1"/>
        <rFont val="Arial"/>
        <family val="2"/>
      </rPr>
      <t>Security:</t>
    </r>
    <r>
      <rPr>
        <sz val="11"/>
        <color theme="1"/>
        <rFont val="Arial"/>
        <family val="2"/>
      </rPr>
      <t xml:space="preserve"> Request Filtering, IP and Domain Restrictions
</t>
    </r>
    <r>
      <rPr>
        <b/>
        <sz val="11"/>
        <color theme="1"/>
        <rFont val="Arial"/>
        <family val="2"/>
      </rPr>
      <t>Performance:</t>
    </r>
    <r>
      <rPr>
        <sz val="11"/>
        <color theme="1"/>
        <rFont val="Arial"/>
        <family val="2"/>
      </rPr>
      <t xml:space="preserve"> Static Content Compression, Dynamic Content Compression
</t>
    </r>
    <r>
      <rPr>
        <b/>
        <sz val="11"/>
        <color theme="1"/>
        <rFont val="Arial"/>
        <family val="2"/>
      </rPr>
      <t>Management Tools:</t>
    </r>
    <r>
      <rPr>
        <sz val="11"/>
        <color theme="1"/>
        <rFont val="Arial"/>
        <family val="2"/>
      </rPr>
      <t xml:space="preserve"> IIS Management Console, IIS 6 Metabase Compatibility
</t>
    </r>
    <r>
      <rPr>
        <b/>
        <sz val="11"/>
        <color rgb="FFC00000"/>
        <rFont val="Arial"/>
        <family val="2"/>
      </rPr>
      <t>Note: Ensure WebDAV is not installed</t>
    </r>
  </si>
  <si>
    <t>Install Features from Server Manager</t>
  </si>
  <si>
    <t>Message Queuing: Message Queuing Server</t>
  </si>
  <si>
    <t>Install PowerShell 3.0+ on the server</t>
  </si>
  <si>
    <t>Optional if doing Powershell Integration</t>
  </si>
  <si>
    <t>Install .NET Framework 4.6.2</t>
  </si>
  <si>
    <t xml:space="preserve">Installer is packaged with .NET Framework 4.6.2 installer (Reboot may be required)
</t>
  </si>
  <si>
    <t>8.0</t>
  </si>
  <si>
    <t>.NET CORE 2.2.6</t>
  </si>
  <si>
    <t>IIS 443 Binding on Console server</t>
  </si>
  <si>
    <t xml:space="preserve">NOTE: A Self-Signed Cert or an Internal CA Cert can be utilized. Binding with a 3rd Party SSL is required only when Console will have an external DNS and will be externally available. </t>
  </si>
  <si>
    <t>SOCKS version supported for the routing of APNS messages</t>
  </si>
  <si>
    <r>
      <t xml:space="preserve">NOTE: Only needed if using an outbound proxy for APNs communication. Must be a SOCKS proxy. All other communication can use an HTTP proxy.
SOCKS V5 only; </t>
    </r>
    <r>
      <rPr>
        <b/>
        <sz val="11"/>
        <color rgb="FFC00000"/>
        <rFont val="Arial"/>
        <family val="2"/>
      </rPr>
      <t xml:space="preserve">Note: SOCKS V4 and SOCKS V4a are not supported. </t>
    </r>
  </si>
  <si>
    <t>Database Requirements (On a separate shared or dedicated database server)</t>
  </si>
  <si>
    <t>SQL Server Installed</t>
  </si>
  <si>
    <t>SQL Server 2012, SQL Server 2014,  SQL Server 2016, or SQL server 2017 with Client Tools (SQL Management Studio, Reporting Services, Integration Services, SQL Server Agent, latest service packs). Ensure the SQL Servers are 64-bit (OS and SQL Server). WSONE UEM does not support Express, Workgroup, Web editions, or Trial versions of SQL Server. These editions do not support all of the features utilized in the WSONE UEM Application so at this time only Standard and Enterprise Editions are supported. 
For install, need to be able to create, backup and restore a database</t>
  </si>
  <si>
    <t>Create WSONE UEM Database</t>
  </si>
  <si>
    <t xml:space="preserve">Notes: update AutoGrowth settings from 1 MB to 128 MB for install </t>
  </si>
  <si>
    <t>SQL collation is SQL_Latin1_General_CP1_Cl_AS</t>
  </si>
  <si>
    <r>
      <t xml:space="preserve">A Basic SQL account with the proper permissions:  
</t>
    </r>
    <r>
      <rPr>
        <sz val="11"/>
        <color rgb="FFFF0000"/>
        <rFont val="Arial"/>
        <family val="2"/>
      </rPr>
      <t xml:space="preserve">Note: If the Console and Device Services server(s) are both joined to the domain a Windows account can be used.  		</t>
    </r>
  </si>
  <si>
    <t> db_owner permissions on the UEM database
SQLAgentUserRole and db_datareader permissions on the msdb database</t>
  </si>
  <si>
    <t>Network Requirements</t>
  </si>
  <si>
    <t>Source</t>
  </si>
  <si>
    <t>Destination</t>
  </si>
  <si>
    <t>Source Component</t>
  </si>
  <si>
    <t>Source Server</t>
  </si>
  <si>
    <t>Source IP</t>
  </si>
  <si>
    <t>Destination Component</t>
  </si>
  <si>
    <t>Destination Server</t>
  </si>
  <si>
    <t>Destination IP</t>
  </si>
  <si>
    <t>Protocol</t>
  </si>
  <si>
    <t>Port</t>
  </si>
  <si>
    <t>TCP</t>
  </si>
  <si>
    <t>NOTE: If using a named SQL instance, you will need to open the custom TCP/IP port</t>
  </si>
  <si>
    <t>All UEM Servers</t>
  </si>
  <si>
    <t>HTTPS</t>
  </si>
  <si>
    <t>gateway.push.apple.com</t>
  </si>
  <si>
    <t>17.0.0.0/8</t>
  </si>
  <si>
    <r>
      <t xml:space="preserve">For Cloud Messaging; </t>
    </r>
    <r>
      <rPr>
        <b/>
        <sz val="11"/>
        <rFont val="Arial"/>
        <family val="2"/>
      </rPr>
      <t>Apple iOS and Mac OS X only</t>
    </r>
  </si>
  <si>
    <t>feedback.push.apple.com</t>
  </si>
  <si>
    <t>signing.awmdm.com</t>
  </si>
  <si>
    <t xml:space="preserve">HTTPS </t>
  </si>
  <si>
    <t>AirWatch Signing Service</t>
  </si>
  <si>
    <t>android.googleapis.com</t>
  </si>
  <si>
    <t>HTTP/HTTPS</t>
  </si>
  <si>
    <t>80, 443</t>
  </si>
  <si>
    <r>
      <t xml:space="preserve">For Cloud Messaging; </t>
    </r>
    <r>
      <rPr>
        <b/>
        <sz val="11"/>
        <rFont val="Arial"/>
        <family val="2"/>
      </rPr>
      <t>Android only</t>
    </r>
  </si>
  <si>
    <t>*.notify.live.net</t>
  </si>
  <si>
    <r>
      <t xml:space="preserve">For Cloud Messaging; </t>
    </r>
    <r>
      <rPr>
        <b/>
        <sz val="11"/>
        <color theme="1"/>
        <rFont val="Arial"/>
        <family val="2"/>
      </rPr>
      <t>Windows Phone 8 and Windows 8 R/T only</t>
    </r>
  </si>
  <si>
    <t>itunes.apple.com
*.mzstatic.com
*.phobos.apple.com
*.phobos.apple.com.edgesuite.net</t>
  </si>
  <si>
    <t>HTTP</t>
  </si>
  <si>
    <r>
      <t xml:space="preserve">For App Management; </t>
    </r>
    <r>
      <rPr>
        <b/>
        <sz val="11"/>
        <color theme="1"/>
        <rFont val="Arial"/>
        <family val="2"/>
      </rPr>
      <t>Apple iOS and Mac OS X only</t>
    </r>
  </si>
  <si>
    <t>vpp.itunes.apple.com</t>
  </si>
  <si>
    <r>
      <t xml:space="preserve">For VPP App Management; </t>
    </r>
    <r>
      <rPr>
        <b/>
        <sz val="11"/>
        <color theme="1"/>
        <rFont val="Arial"/>
        <family val="2"/>
      </rPr>
      <t>Apple iOS and Mac OS X only</t>
    </r>
  </si>
  <si>
    <t>mdmenrollment.apple.com</t>
  </si>
  <si>
    <t>For DEP Management; iOS Supervision only</t>
  </si>
  <si>
    <t>*.google.com
android.com
google-analytics.com 
*.googleusercontent.com
*.gstatic.com
*.gvt1.com
*.gvt2.com
*.gvt3.com
*.ggpht.com
android.clients.google.com</t>
  </si>
  <si>
    <t>TCP/UDP</t>
  </si>
  <si>
    <t>443, 5228-5230</t>
  </si>
  <si>
    <r>
      <t xml:space="preserve">Google Play and Updates; </t>
    </r>
    <r>
      <rPr>
        <b/>
        <sz val="11"/>
        <color theme="1"/>
        <rFont val="Arial"/>
        <family val="2"/>
      </rPr>
      <t>Android only</t>
    </r>
  </si>
  <si>
    <t>*.googleapis.com</t>
  </si>
  <si>
    <t>443, 5228-5230, 5235, 5236</t>
  </si>
  <si>
    <r>
      <t xml:space="preserve">EMM, Google APIs, Play Store APIs, Google Cloud Messaging; </t>
    </r>
    <r>
      <rPr>
        <b/>
        <sz val="11"/>
        <color theme="1"/>
        <rFont val="Arial"/>
        <family val="2"/>
      </rPr>
      <t>Android only</t>
    </r>
  </si>
  <si>
    <t>omahaproxy.appspot.com</t>
  </si>
  <si>
    <r>
      <t xml:space="preserve">Chrome Updates; </t>
    </r>
    <r>
      <rPr>
        <b/>
        <sz val="11"/>
        <color theme="1"/>
        <rFont val="Arial"/>
        <family val="2"/>
      </rPr>
      <t>Android only</t>
    </r>
  </si>
  <si>
    <t>accounts.google.com
accounts.google.[country]
accounts.youtube.com</t>
  </si>
  <si>
    <r>
      <t xml:space="preserve">Google Account authentication; </t>
    </r>
    <r>
      <rPr>
        <b/>
        <sz val="11"/>
        <color theme="1"/>
        <rFont val="Arial"/>
        <family val="2"/>
      </rPr>
      <t>Android only</t>
    </r>
  </si>
  <si>
    <t>ogs.google.com
notifications.google.com
apis.google.com
*.googleusercontent.com</t>
  </si>
  <si>
    <r>
      <t xml:space="preserve">GCM, iFrame UI, desktop/Mobile notifications; </t>
    </r>
    <r>
      <rPr>
        <b/>
        <sz val="11"/>
        <color theme="1"/>
        <rFont val="Arial"/>
        <family val="2"/>
      </rPr>
      <t>Android only</t>
    </r>
  </si>
  <si>
    <t>cri.pki.goog
ocsp.pki.goog</t>
  </si>
  <si>
    <r>
      <t xml:space="preserve">Certificate Validation; </t>
    </r>
    <r>
      <rPr>
        <b/>
        <sz val="11"/>
        <color theme="1"/>
        <rFont val="Arial"/>
        <family val="2"/>
      </rPr>
      <t>Android only</t>
    </r>
  </si>
  <si>
    <t>www.google.com
connectivitycheck.android.com</t>
  </si>
  <si>
    <r>
      <t xml:space="preserve">Network connectivity check; </t>
    </r>
    <r>
      <rPr>
        <b/>
        <sz val="11"/>
        <color theme="1"/>
        <rFont val="Arial"/>
        <family val="2"/>
      </rPr>
      <t>Android only</t>
    </r>
  </si>
  <si>
    <t>play.google.com</t>
  </si>
  <si>
    <r>
      <t xml:space="preserve">For App Management; </t>
    </r>
    <r>
      <rPr>
        <b/>
        <sz val="11"/>
        <rFont val="Arial"/>
        <family val="2"/>
      </rPr>
      <t>Android only</t>
    </r>
  </si>
  <si>
    <t>next-services.apps.microsoft.com</t>
  </si>
  <si>
    <r>
      <t xml:space="preserve">For Cloud Messaging; </t>
    </r>
    <r>
      <rPr>
        <b/>
        <sz val="11"/>
        <color theme="1"/>
        <rFont val="Arial"/>
        <family val="2"/>
      </rPr>
      <t>Windows Phone only</t>
    </r>
  </si>
  <si>
    <t xml:space="preserve">inference.location.live.net </t>
  </si>
  <si>
    <t xml:space="preserve">login.live.com </t>
  </si>
  <si>
    <t>discovery.awmdm.com</t>
  </si>
  <si>
    <t>For AutoDiscovery</t>
  </si>
  <si>
    <t>gem.awmdm.com</t>
  </si>
  <si>
    <t>For WSONE UEM Analytics in the my WorkspaceONE portal</t>
  </si>
  <si>
    <t>awcp.air-watch.com</t>
  </si>
  <si>
    <r>
      <t xml:space="preserve">For APNs Certificate; </t>
    </r>
    <r>
      <rPr>
        <b/>
        <sz val="11"/>
        <rFont val="Arial"/>
        <family val="2"/>
      </rPr>
      <t xml:space="preserve">Apple only. </t>
    </r>
    <r>
      <rPr>
        <sz val="11"/>
        <color theme="1"/>
        <rFont val="Arial"/>
        <family val="2"/>
      </rPr>
      <t>Proxy Connections are not supported.</t>
    </r>
  </si>
  <si>
    <t>appwrap04.awmdm.com</t>
  </si>
  <si>
    <r>
      <t xml:space="preserve">For App Wrapping; </t>
    </r>
    <r>
      <rPr>
        <b/>
        <sz val="11"/>
        <rFont val="Arial"/>
        <family val="2"/>
      </rPr>
      <t>Apple only</t>
    </r>
  </si>
  <si>
    <t>appwrapandroid.awmdm.com</t>
  </si>
  <si>
    <r>
      <t xml:space="preserve">For App Wrapping; </t>
    </r>
    <r>
      <rPr>
        <b/>
        <sz val="11"/>
        <rFont val="Arial"/>
        <family val="2"/>
      </rPr>
      <t>Android only</t>
    </r>
  </si>
  <si>
    <t>fonts.googleapis.com</t>
  </si>
  <si>
    <t>For Console Display</t>
  </si>
  <si>
    <t>gateway.celltrust.net</t>
  </si>
  <si>
    <r>
      <t xml:space="preserve">For SMS Integration </t>
    </r>
    <r>
      <rPr>
        <b/>
        <sz val="11"/>
        <color theme="1"/>
        <rFont val="Arial"/>
        <family val="2"/>
      </rPr>
      <t>[Optional]</t>
    </r>
  </si>
  <si>
    <t>Public SSL Cert CRL</t>
  </si>
  <si>
    <t>If Console is publically accessible (Example: ocsp.verisign.com)</t>
  </si>
  <si>
    <t>csc3-2010-crl.verisign.com</t>
  </si>
  <si>
    <t>Code Signing Cert CRL</t>
  </si>
  <si>
    <t>dl.cacerts.digicert.com</t>
  </si>
  <si>
    <t>crl3.digicert.com</t>
  </si>
  <si>
    <t>crl4.digicert.com</t>
  </si>
  <si>
    <t>*.virtualearth.net</t>
  </si>
  <si>
    <t>Device Location Tracking only</t>
  </si>
  <si>
    <t>Blackberry only</t>
  </si>
  <si>
    <t>Device Services / AirWatch Cloud Messaging / API
Pre-Requisites</t>
  </si>
  <si>
    <t>VM or Physical Server</t>
  </si>
  <si>
    <t>General Requirements </t>
  </si>
  <si>
    <t>Copy the Full Installer to the Device Services server</t>
  </si>
  <si>
    <t>Installer can be downloaded from My WorkspaceONE resources portal</t>
  </si>
  <si>
    <t>Devices (iOS, Android, WP8, …)</t>
  </si>
  <si>
    <t>Needed to validate enrollment after installation, devices should be through initial configuration</t>
  </si>
  <si>
    <t>Software Requirements - Device Services</t>
  </si>
  <si>
    <t>Externally registered (Public) DNS record for the Device Services Server</t>
  </si>
  <si>
    <t>Internally registered DNS record Device Services server (must match public DNS record)</t>
  </si>
  <si>
    <t>SSL/TLS Certificate from trusted third party with Subject or Subject Alternative name of DNS; with the private key (in .pfx format)</t>
  </si>
  <si>
    <t>Ensure SSL/TLS certificate is trusted by all device types being used. (i.e. not all Comodo certificates are natively trusted by Android)  
Note: The Console Server can use a CA or self signed cert if it is internal only</t>
  </si>
  <si>
    <t>Must support TLS version 1.2</t>
  </si>
  <si>
    <t>For the iOS Intelligent Hub Agent.  For more  information see : https://support.air-watch.com/solutions/5593</t>
  </si>
  <si>
    <t>Must support cipher suites that leverage elliptic curve Diffie-Hellman key exchange and forward secrecy.</t>
  </si>
  <si>
    <t>Message Queuing: Message Queuing Server
Telnet Client (for troubleshooting)</t>
  </si>
  <si>
    <t xml:space="preserve">Install .NET Framework 4.6.2 </t>
  </si>
  <si>
    <t xml:space="preserve">Installer is packaged with .NET Framework 4.6.2 installer (Reboot may be required)
</t>
  </si>
  <si>
    <t>Remove Java from the server if it is already installed</t>
  </si>
  <si>
    <t>This is needed for the AWCM server (typically only installed on DS Server or separate server)
Note: Do not pre-install, the installer will automatically install; Ensure 32-bit Java is not installed</t>
  </si>
  <si>
    <t>IIS 443 Binding with the same SSL Certificate (Devices Services only)</t>
  </si>
  <si>
    <t>Validate that you can connect to the server over HTTPS  using the public DNS record. At this point, you should see the IIS splash page.</t>
  </si>
  <si>
    <t>For Device Management functionality</t>
  </si>
  <si>
    <r>
      <t xml:space="preserve">For AW Cloud Messaging; </t>
    </r>
    <r>
      <rPr>
        <b/>
        <sz val="11"/>
        <color theme="1"/>
        <rFont val="Arial"/>
        <family val="2"/>
      </rPr>
      <t>WinMo, Win32 or Android only</t>
    </r>
  </si>
  <si>
    <t>NOTE: If using a named SQL instance you will need to open the custom TCP/IP port</t>
  </si>
  <si>
    <t>All WSONE UEM Servers</t>
  </si>
  <si>
    <t>For DS, Console, SEG, MAG, API</t>
  </si>
  <si>
    <t>[OPTIONAL] if you don't use ACC</t>
  </si>
  <si>
    <t>SMTP</t>
  </si>
  <si>
    <t>HTTPS/DCOM</t>
  </si>
  <si>
    <t>DCOM or HTTPS</t>
  </si>
  <si>
    <t>For Powershell Integration; If not using ACC</t>
  </si>
  <si>
    <t>*notify.live.net</t>
  </si>
  <si>
    <t>has.spserv.microsoft.com</t>
  </si>
  <si>
    <t>Windows 10 only for health attestation</t>
  </si>
  <si>
    <r>
      <t xml:space="preserve">For Cloud Messaging; </t>
    </r>
    <r>
      <rPr>
        <b/>
        <sz val="11"/>
        <color theme="1"/>
        <rFont val="Arial"/>
        <family val="2"/>
      </rPr>
      <t>Windows Phone  only</t>
    </r>
  </si>
  <si>
    <t>accounts.google.com
accounts.google.[country]</t>
  </si>
  <si>
    <r>
      <t xml:space="preserve">For App Management; </t>
    </r>
    <r>
      <rPr>
        <b/>
        <sz val="11"/>
        <rFont val="Arial"/>
        <family val="2"/>
      </rPr>
      <t>Windows RT/Pro/ENT only</t>
    </r>
  </si>
  <si>
    <r>
      <t xml:space="preserve">For APNs Certificate; </t>
    </r>
    <r>
      <rPr>
        <b/>
        <sz val="11"/>
        <rFont val="Arial"/>
        <family val="2"/>
      </rPr>
      <t>Apple only</t>
    </r>
  </si>
  <si>
    <t>Device Location Tracking</t>
  </si>
  <si>
    <t>Workspace ONE Access  (On-Premise)
Pre-Requisites</t>
  </si>
  <si>
    <t>General Requirements</t>
  </si>
  <si>
    <t xml:space="preserve">An SSL Certificate from trusted third party  that meets one of these conditions: 
1. The SSL certificate needs to have Subject Alternative Names  (SANs) with the FQDN of each of  WSONE Access server(s) and also a SAN entry of the public DNS record for WSONE Access
 ------------        OR         ----------- 
2. The SSL certificate is a wildcard certificate that can be used for the public DNS record of WSONE Access and also the FQDN each WSONE Access server(s)  (e.g. for wildcard certificate *.company.com the FQDN of the server could be WSONE Access1.company.com but could not be WSONE Access1.company.local) 
-----------          OR        ------------ 
3. The SSL certificate is a wildcard certificate or SSL certificate with SAN atribute of the Public DNS record for WSONE Access (no WSONE Access server name dependency) AND the customer has a  reverse-proxy  that can de-crypt and re-encrypt the traffic going to the public DNS record of WSONE Access to a different SSL certificate.  </t>
  </si>
  <si>
    <r>
      <rPr>
        <b/>
        <sz val="11"/>
        <color theme="1"/>
        <rFont val="Arial"/>
        <family val="2"/>
      </rPr>
      <t xml:space="preserve">Format Requirements: 
</t>
    </r>
    <r>
      <rPr>
        <sz val="11"/>
        <color theme="1"/>
        <rFont val="Arial"/>
        <family val="2"/>
      </rPr>
      <t xml:space="preserve">Text format of the SSL certificate and key is required.  The following site can be used to convert other formats including .PFX to .pem: https://www.sslshopper.com/ssl-converter.html. The .pem and .cer files can then be opened in a text editor in order copy and paste the chains into a temporary text file.
</t>
    </r>
    <r>
      <rPr>
        <b/>
        <sz val="11"/>
        <color theme="1"/>
        <rFont val="Arial"/>
        <family val="2"/>
      </rPr>
      <t>Final output will be in the following format:</t>
    </r>
    <r>
      <rPr>
        <sz val="11"/>
        <color theme="1"/>
        <rFont val="Arial"/>
        <family val="2"/>
      </rPr>
      <t xml:space="preserve">
1. -----BEGIN CERTIFICATE----- and -----END CERTIFICATE----- (Issued)
2. -----BEGIN CERTIFICATE----- and -----END CERTIFICATE----- (Intermediate)
3. -----BEGIN CERTIFICATE----- and -----END CERTIFICATE----- (Root)
4. -----BEGIN RSA PRIVATE KEY----- and -----END RSA PRIVATE KEY----- (Issued private key)</t>
    </r>
  </si>
  <si>
    <t xml:space="preserve">An external and internal registered DNS record for  WSONE Access hostname.  </t>
  </si>
  <si>
    <t xml:space="preserve">An  A and AAAA  DNS record  for the KDC hostname.  The hostname for KDC  is typically the same hostname that will be used for the  WSONE Access hostname but can be different.  This is required to implement the built in Kerberos adapter  for iOS mobile SSO (available for appliance model only).   This AAAA record is not required if the cloud hosted KDC for mobile SSO is used. </t>
  </si>
  <si>
    <t xml:space="preserve">  An example of proper DNS records are below with the realm notated as IDM.EXAMPLE.COM and the DNS record for both the  IDM and KDC hostnames  notated as  idm.example.com: 
idm.example.com.	1800 	IN 	AAAA 	::ffff:123.45.678.99
idm.example.com. 	1800	IN	A 	123.45.678.99
_kerberos._tcp.IDM.EXAMPLE.COM. 	SRV	10	0	88	 idm.example.com.
_kerberos._udp.IDM.EXAMPLE.COM. 	SRV	10	0	88	 idm.example.com.
The AAAA and SRV records can be checked using this URL:  https://toolbox.googleapps.com/apps/dig/#SRV/kdc.vmwareidentity.com</t>
  </si>
  <si>
    <t xml:space="preserve"> SRV DNS records for the REALM to the KDC hostname.  The REALM is typically set to the same value as the KDC hostname.  This is required to implement the built in Kerberos  connector  for iOS mobile SSO (available for appliance model only).   These SRV recordx zfd not required if the cloud hosted KDC for mobile SSO is used.  SRV record should be in the form:
_kerberos._udp.&lt;REALM&gt;  SRV  10 0 88 &lt;KDC Hostname&gt;  
_kerberos._tcp.&lt;REALM&gt; SRV 10 0 88 &lt;KDC Hostname&gt;</t>
  </si>
  <si>
    <t>Software Requirements</t>
  </si>
  <si>
    <t xml:space="preserve">vSphere 5.5+ </t>
  </si>
  <si>
    <t>vSphere WebClient 5.5+  (For Web client deployment)</t>
  </si>
  <si>
    <t xml:space="preserve">Must be able to deploy an OVF file through the vSphere </t>
  </si>
  <si>
    <t>VMware Access Database Requirements (On a separate shared or dedicated database server)</t>
  </si>
  <si>
    <t>SQL Server 2012, SQL Server 2014, or SQL Server 2016 with Client Tools (SQL Management Studio, Reporting Services, Integration Services, SQL Server Agent, latest service packs). Ensure the SQL Servers are 64-bit (OS and SQL Server). AirWatch does not support Express, Workgroup or Web editions of SQL Server. These editions do not support all of the features utilized in the AirWatch Application so at this time only Standard and Enterprise Editions are supported. 
For install, need to be able to create, backup and restore a database</t>
  </si>
  <si>
    <t xml:space="preserve">Create a WSONE_Access Database following Instructions </t>
  </si>
  <si>
    <t>Use one of the SQL scripts provided in the WSONE Access documentation (link below) to create the WSONE Access Database and Service Account.
https://docs.vmware.com/en/VMware-Identity-Manager/3.3/WSONE Access_windows_install/GUID-FCDC0FBF-5BD5-442E-B6C1-92540389C106.html</t>
  </si>
  <si>
    <t xml:space="preserve">Create a SQL account with the proper permissions to the WSONE_Access database:  
</t>
  </si>
  <si>
    <t>For accessing the Workspace ONE catalog and the Access administration portal</t>
  </si>
  <si>
    <t xml:space="preserve">For certificate authentication with the Cert Auth Adapter. If using DMZ cert auth, the SSL traffic cannot be decrypted or re-encrytped in transit to the destination. </t>
  </si>
  <si>
    <t>For SSO communication between Android devices and the Cert Auth Adapter. This SSL traffic cannot be decrypted or re-encrypted in transit to the destination</t>
  </si>
  <si>
    <t xml:space="preserve">For SSO communication between iOS devices and the Kerberos Auth Adapter. The SSL traffic cannot be decrypted or re-encrytped in transit to the destination. This component cannot be hosted on-premises when using the Windows WSONE Access installer.  </t>
  </si>
  <si>
    <t>Hybrid KDC Server in the cloud</t>
  </si>
  <si>
    <t>kdc.op.vmwareidentity.com</t>
  </si>
  <si>
    <t>35.167.16.186</t>
  </si>
  <si>
    <t>UDP</t>
  </si>
  <si>
    <t xml:space="preserve">Only used if the Hybrid KDC iOS Mobile SSO feature is used. UDP port used to authenticate iOS Mobile SSO auth adapter configuration updates that are saved to the cloud KDC service. </t>
  </si>
  <si>
    <t xml:space="preserve">The server will need to be able to resolve it's public DNS record.  In HA configurations, it will need to be able to go through the loadbalancer and back.  </t>
  </si>
  <si>
    <t>TCP
UDP</t>
  </si>
  <si>
    <t>443, 8443, 9300, 5701,  40002, 40003
54328</t>
  </si>
  <si>
    <t>For all VMware Access instances in a cluster.</t>
  </si>
  <si>
    <t>Only if using external database.  Default for Microsoft SQL is 1433.</t>
  </si>
  <si>
    <t>For device compliance checking, unified app catalog and for the ESC Password authentication method, if that is used.</t>
  </si>
  <si>
    <t>Vmware autodiscovery URL for Workspace One Application autodiscovery</t>
  </si>
  <si>
    <t>vapp-updates.vmware.com</t>
  </si>
  <si>
    <t>For Linux Workspace ONE Access Appliance online upgrades</t>
  </si>
  <si>
    <t>catalog.vmwareidentity.com</t>
  </si>
  <si>
    <t>The Access Public Catalog is hosted by Amazon Web Services CloudFront CDN. 
More information on the IPRange of AWS can be found https://docs.aws.amazon.com/AmazonCloudFront/latest/DeveloperGuide/LocationsOfEdgeServers.html</t>
  </si>
  <si>
    <t>vmware.authy.com
api.authy.com</t>
  </si>
  <si>
    <t>VMware Verify URLs for two-factor authentication</t>
  </si>
  <si>
    <t>VMware ThinApp repository</t>
  </si>
  <si>
    <t>&lt;Path to ThinApp Repository&gt;</t>
  </si>
  <si>
    <t>Only for Linux appliance; Appliance must join the Active Directory domain and connect to the ThinApp Repository share.</t>
  </si>
  <si>
    <t>Devices on Internet or Internal WiFi
Pre-Requisites</t>
  </si>
  <si>
    <t xml:space="preserve">Source  </t>
  </si>
  <si>
    <t>#-courier.push.apple.com</t>
  </si>
  <si>
    <t>5223, 443</t>
  </si>
  <si>
    <r>
      <t xml:space="preserve">For Cloud Messaging; </t>
    </r>
    <r>
      <rPr>
        <b/>
        <sz val="11"/>
        <color theme="1"/>
        <rFont val="Arial"/>
        <family val="2"/>
      </rPr>
      <t xml:space="preserve">Apple iOS and Mac OS X only </t>
    </r>
    <r>
      <rPr>
        <sz val="11"/>
        <color theme="1"/>
        <rFont val="Arial"/>
        <family val="2"/>
      </rPr>
      <t>(# is a random number from 0 to 200)</t>
    </r>
  </si>
  <si>
    <t>phobos.apple.com
ocsp.apple.com
ax.itunes.apple.com</t>
  </si>
  <si>
    <t>mtalk.google.com</t>
  </si>
  <si>
    <t>*.google.com
android.com
google-analytics.com 
googleusercontent.com
*gstatic.com
*gvt1.com
*gvt2.com
*gvt3.com
*.ggpht.com
android.clients.google.com</t>
  </si>
  <si>
    <r>
      <t xml:space="preserve">For Cloud Messaging; Windows 10+, </t>
    </r>
    <r>
      <rPr>
        <b/>
        <sz val="11"/>
        <color theme="1"/>
        <rFont val="Arial"/>
        <family val="2"/>
      </rPr>
      <t>Windows Phone 8  and Windows 8 R/T only</t>
    </r>
  </si>
  <si>
    <t>*notify.windows.com</t>
  </si>
  <si>
    <t>ekop.intel.com/ekcertservice</t>
  </si>
  <si>
    <t>For Intel firmware TPM. Authorize this URL if you are filtering Internet access for client devices. This is needed for signed certificates for Secure
Boot.</t>
  </si>
  <si>
    <t>ekcert.spserv.microsoft.com</t>
  </si>
  <si>
    <t>For Qualcomm firmware TPM. Authorize this URL if you are filtering
Internet access for client devices. This is needed for signed certificates for Secure
Boot.</t>
  </si>
  <si>
    <t>stg.esr.vmwservices.com</t>
  </si>
  <si>
    <t>For Windows 10 devices to download the WSONE app</t>
  </si>
  <si>
    <t>Example: ocsp.verisign.com</t>
  </si>
  <si>
    <t>For AirWatch simplified enrollment (Auto Discovery) </t>
  </si>
  <si>
    <r>
      <rPr>
        <i/>
        <sz val="11"/>
        <color theme="1"/>
        <rFont val="Arial"/>
        <family val="2"/>
      </rPr>
      <t xml:space="preserve">For North America:
</t>
    </r>
    <r>
      <rPr>
        <sz val="11"/>
        <color theme="1"/>
        <rFont val="Arial"/>
        <family val="2"/>
      </rPr>
      <t xml:space="preserve">gslb.secb2b.com
us-elm.secb2b.com
us-prod-klm.secb2b.com
</t>
    </r>
    <r>
      <rPr>
        <i/>
        <sz val="11"/>
        <color theme="1"/>
        <rFont val="Arial"/>
        <family val="2"/>
      </rPr>
      <t xml:space="preserve">For China:
</t>
    </r>
    <r>
      <rPr>
        <sz val="11"/>
        <color theme="1"/>
        <rFont val="Arial"/>
        <family val="2"/>
      </rPr>
      <t xml:space="preserve">china-gslb.secb2b.com.cn
china-elm.secb2b.com.cn
china-klm.secb2b.com
</t>
    </r>
    <r>
      <rPr>
        <i/>
        <sz val="11"/>
        <color theme="1"/>
        <rFont val="Arial"/>
        <family val="2"/>
      </rPr>
      <t xml:space="preserve">For All Other Regions:
</t>
    </r>
    <r>
      <rPr>
        <sz val="11"/>
        <color theme="1"/>
        <rFont val="Arial"/>
        <family val="2"/>
      </rPr>
      <t>gslb.secb2b.com
eu-elm.secb2b.com
eu-prod-klm.secb2b.com</t>
    </r>
  </si>
  <si>
    <r>
      <t xml:space="preserve">For Samsung Device Management. </t>
    </r>
    <r>
      <rPr>
        <b/>
        <sz val="11"/>
        <color theme="1"/>
        <rFont val="Arial"/>
        <family val="2"/>
      </rPr>
      <t>Samsung Devices Only</t>
    </r>
  </si>
  <si>
    <r>
      <rPr>
        <i/>
        <sz val="11"/>
        <color theme="1"/>
        <rFont val="Arial"/>
        <family val="2"/>
      </rPr>
      <t>For the Americas ( USA, Canada, Brazil, etc.. ):</t>
    </r>
    <r>
      <rPr>
        <sz val="11"/>
        <color theme="1"/>
        <rFont val="Arial"/>
        <family val="2"/>
      </rPr>
      <t xml:space="preserve">
 gslb.secb2b.com
us-elm.secb2b.com
us-knox.secb2b.com
us-prod-klm.secb2b.com
kaps.secb2b.com
d28lmkz7f2awiw.cloudfront.net
</t>
    </r>
    <r>
      <rPr>
        <i/>
        <sz val="11"/>
        <color theme="1"/>
        <rFont val="Arial"/>
        <family val="2"/>
      </rPr>
      <t>For China:</t>
    </r>
    <r>
      <rPr>
        <sz val="11"/>
        <color theme="1"/>
        <rFont val="Arial"/>
        <family val="2"/>
      </rPr>
      <t xml:space="preserve">
china-gslb.secb2b.com.cn
china-elm.secb2b.com.cn
china-knox.secb2b.com.cn
ch-prod-klm.secb2b.com
china-kad.secb2b.com.cn
bjprodkad.blob.core.chinacloudapi.cn
</t>
    </r>
    <r>
      <rPr>
        <i/>
        <sz val="11"/>
        <color theme="1"/>
        <rFont val="Arial"/>
        <family val="2"/>
      </rPr>
      <t>All other countries:</t>
    </r>
    <r>
      <rPr>
        <sz val="11"/>
        <color theme="1"/>
        <rFont val="Arial"/>
        <family val="2"/>
      </rPr>
      <t xml:space="preserve">
gslb.secb2b.com
eu-elm.secb2b.com
eu-knox.secb2b.com
eu-prod-klm.secb2b.com
kaps.secb2b.com d28lmkz7f2awiw.cloudfront.net
</t>
    </r>
  </si>
  <si>
    <r>
      <t xml:space="preserve">For Samsung KNOX Device Management. </t>
    </r>
    <r>
      <rPr>
        <b/>
        <sz val="11"/>
        <color theme="1"/>
        <rFont val="Arial"/>
        <family val="2"/>
      </rPr>
      <t>Samsung Devices Only</t>
    </r>
  </si>
  <si>
    <t>certproxy.vmwareidentity.com</t>
  </si>
  <si>
    <t>For Android SSO (Workspace One) when using SaaS deployments</t>
  </si>
  <si>
    <t>Enterprise Systems Connector
Pre-Requisites</t>
  </si>
  <si>
    <t>Hardware Requirements - AirWatch Cloud Connector &amp; VMware Access Connector</t>
  </si>
  <si>
    <t>General Requirements - AirWatch Cloud Connector &amp; VMware Access Connector</t>
  </si>
  <si>
    <t>Services accounts for authentication to backend systems</t>
  </si>
  <si>
    <r>
      <t xml:space="preserve">Validate AD connectivity method using LDP.exe tool (http://www.computerperformance.co.uk/ScriptsGuy/ldp.zip)
LDAP, BES, PowerShell, etc.
</t>
    </r>
    <r>
      <rPr>
        <b/>
        <sz val="11"/>
        <color theme="1"/>
        <rFont val="Arial"/>
        <family val="2"/>
      </rPr>
      <t>(1907 Update)</t>
    </r>
    <r>
      <rPr>
        <sz val="11"/>
        <color theme="1"/>
        <rFont val="Arial"/>
        <family val="2"/>
      </rPr>
      <t xml:space="preserve">  The Directory services account can be used to detect deleted objects in active directory.  This need not be an administrator account provided the steps outlined from Microsoft Supports article are followed.  https://support.microsoft.com/en-in/help/892806/how-to-let-non-administrators-view-the-active-directory-deleted-object.</t>
    </r>
  </si>
  <si>
    <t>Software Requirements - AirWatch Cloud Connector &amp; VMware Access Connector</t>
  </si>
  <si>
    <t>Install PowerShell 4.0+ on the server</t>
  </si>
  <si>
    <t>Required for powershell email management</t>
  </si>
  <si>
    <t>Network Requirements - AirWatch Cloud Connector</t>
  </si>
  <si>
    <t>HTTP or HTTPS</t>
  </si>
  <si>
    <t>80 or 443</t>
  </si>
  <si>
    <t>Diagnostics Service</t>
  </si>
  <si>
    <t>Public CRL needed for various services to function properly</t>
  </si>
  <si>
    <t>LDAP(S)</t>
  </si>
  <si>
    <t>Internal SCEP</t>
  </si>
  <si>
    <t>Internal ADCS</t>
  </si>
  <si>
    <t>DCOM</t>
  </si>
  <si>
    <t>135, 1025-5000, 49152-65535</t>
  </si>
  <si>
    <t>For Powershell Integration</t>
  </si>
  <si>
    <t>Network Requirements - VMware Access Connector</t>
  </si>
  <si>
    <t>Default port. This port is configurable.</t>
  </si>
  <si>
    <t>8443</t>
  </si>
  <si>
    <t>Administrative port (8443)</t>
  </si>
  <si>
    <t>Browser</t>
  </si>
  <si>
    <t>443</t>
  </si>
  <si>
    <t>For Windows Clients accessing the connector for Kerberos authentication (443)</t>
  </si>
  <si>
    <t>TCP or UDP</t>
  </si>
  <si>
    <t xml:space="preserve"> 
Every instance must have access to the DNS server on port 53.</t>
  </si>
  <si>
    <t>For Auth Adapter RADIUS integration</t>
  </si>
  <si>
    <t>For RSA SecurID Integration. Default port (configurable).</t>
  </si>
  <si>
    <t>TCP
HTTPS</t>
  </si>
  <si>
    <t>389
443</t>
  </si>
  <si>
    <t>Access to View Connection Server instances for Horizon View integrations</t>
  </si>
  <si>
    <t>Access to the Integration Broker for integration with Citrix-published resources.
NOTE: If you install the Integration Broker on the same Windows server as the Enterprise Systems Connector, you must ensure that in the IIS Server Default Web Site site bindings, the HTTP and HTTPS binding ports do not conflict with the ports used by the VMware Access Connector component. The VMware Access Connector always uses port 80. It also uses 443, unless a different port is configured during installation.</t>
  </si>
  <si>
    <t>For external syslog server. Default port (configurable).</t>
  </si>
  <si>
    <t xml:space="preserve">Horizon View Connection Server </t>
  </si>
  <si>
    <t>&lt;Horizon View Connection Server&gt;</t>
  </si>
  <si>
    <t>WSONE Access Tenant</t>
  </si>
  <si>
    <t>Require if integration with Horizon View for WSONE Access</t>
  </si>
  <si>
    <t>VMware Tunnel and Content Gateway (CG)
Pre-Requisites</t>
  </si>
  <si>
    <t>General  Requirements</t>
  </si>
  <si>
    <t>Externally registered DNS record</t>
  </si>
  <si>
    <t xml:space="preserve">Register the Tunnel Relay (If Relay-Endpoint) </t>
  </si>
  <si>
    <t xml:space="preserve">Internally registered DNS record (for devices connecting on internal wifi; should match external DNS record) </t>
  </si>
  <si>
    <r>
      <t xml:space="preserve">(Content Gateway requirement) SSL Certificate from trusted third party with Subject or Subject Alternative name of DNS - </t>
    </r>
    <r>
      <rPr>
        <b/>
        <sz val="11"/>
        <color theme="1"/>
        <rFont val="Arial"/>
        <family val="2"/>
      </rPr>
      <t>in pfx format with Full Chain and Password</t>
    </r>
  </si>
  <si>
    <t xml:space="preserve">Ensure SSL certificate is trusted by all device types being used. (i.e. not all Comodo certificates are natively trusted by Android). Ensure Root, Intermediate, &amp; Child certificate are in a single .pfx file.   This SSL certificate is required for Content Gateway component </t>
  </si>
  <si>
    <t>VMware vSphere 6+ to allow for deployment of Linux based OVA template
----- or ------
Microsoft Hyper-V server (supported Versions are Windows Server 2012 R2 and Windows Server 2016)</t>
  </si>
  <si>
    <t>Minimum available resources for target VM: 2 CPU Cores (2.0+ GHz) | 6 GB RAM or higher | 36 GB Disk Space</t>
  </si>
  <si>
    <t xml:space="preserve">vSphere WebClient 6.0+   (For Web client deployment)
----- or ------ 
Admin permissions to a Windows Machine that can be used to deploy the appliance to your vSphere or Hyper-V instance (Powershell method) </t>
  </si>
  <si>
    <t>Must be able to deploy an OVF file to vSphere through either the Webclient or Powershell method</t>
  </si>
  <si>
    <t xml:space="preserve">Note:  Rules that don't apply for UAG configuration selected in first sheet will appear as "N/A" </t>
  </si>
  <si>
    <t>Option 1: Basic</t>
  </si>
  <si>
    <t>TCP, UDP</t>
  </si>
  <si>
    <t>For Tunnel PerAppVpn</t>
  </si>
  <si>
    <t xml:space="preserve">For Tunnel Proxy (legacy) </t>
  </si>
  <si>
    <t>For Content Gateway</t>
  </si>
  <si>
    <t>For Proxy Test Connection from the Console</t>
  </si>
  <si>
    <t>Varies</t>
  </si>
  <si>
    <t>Content needs to be able to reach any file shares and/or repositories you wish to give devices access to</t>
  </si>
  <si>
    <t xml:space="preserve">Tunnel needs to be able to reach any desired destination you wish to give devices access to </t>
  </si>
  <si>
    <t>For access to UAG administrative portal</t>
  </si>
  <si>
    <t>Option 2: Cascade</t>
  </si>
  <si>
    <t>For PerAppVpn</t>
  </si>
  <si>
    <t>HTTPS, TCP</t>
  </si>
  <si>
    <t>For Tunnel Proxy (Legacy)</t>
  </si>
  <si>
    <t xml:space="preserve">For Proxy Test Connection from the Console </t>
  </si>
  <si>
    <t>For Proxy (e.g. VMware Browser)</t>
  </si>
  <si>
    <t xml:space="preserve">(LEGACY METHOD UNHIDE ROWS TO REVEAL) Option 2: LINUX installer - Tunnel Requirements (Proxy and PerAppVpn) </t>
  </si>
  <si>
    <t>root or sudo permissions</t>
  </si>
  <si>
    <t xml:space="preserve">Install VMware Tunnel with sudo/root user </t>
  </si>
  <si>
    <t>Enable yum or wget</t>
  </si>
  <si>
    <t xml:space="preserve">The following packages will be installed via a "yum -y install"  command during the installation if not present prior: openssl, haveged, nscd, json-c, libxml2, log4cpp
</t>
  </si>
  <si>
    <t>Install latest Version of Open SSL - (troubleshooting and verification tool)</t>
  </si>
  <si>
    <r>
      <t xml:space="preserve">Verify by entering </t>
    </r>
    <r>
      <rPr>
        <b/>
        <sz val="11"/>
        <color theme="1"/>
        <rFont val="Arial"/>
        <family val="2"/>
      </rPr>
      <t>yum install openssl</t>
    </r>
    <r>
      <rPr>
        <sz val="11"/>
        <color theme="1"/>
        <rFont val="Arial"/>
        <family val="2"/>
      </rPr>
      <t xml:space="preserve"> Expected Result </t>
    </r>
    <r>
      <rPr>
        <b/>
        <sz val="11"/>
        <color theme="1"/>
        <rFont val="Arial"/>
        <family val="2"/>
      </rPr>
      <t>nothing to do</t>
    </r>
  </si>
  <si>
    <t>The Tunnel Relay server must be able to resolve the DNS for perAppVpn destinations.  </t>
  </si>
  <si>
    <t xml:space="preserve">Software Requirements </t>
  </si>
  <si>
    <t>Versions of CENTOS/RHEL 6 or 7  (64 bit)</t>
  </si>
  <si>
    <t>For a complete list of the supported versions please reference the VMware Tunnel Installation Guide</t>
  </si>
  <si>
    <t xml:space="preserve">No java installed on the tunnel server(s) </t>
  </si>
  <si>
    <t>AirWatch will automatically install; Ensure 32-bit Java is not installed</t>
  </si>
  <si>
    <t>Enable IPv6 (Required for PerAppVpn)</t>
  </si>
  <si>
    <r>
      <t xml:space="preserve">Required on local server ONLY. Not needed elsewhere in the network. Required for  Tunnel server to effectively create the socket. Verify by entering </t>
    </r>
    <r>
      <rPr>
        <b/>
        <sz val="11"/>
        <color theme="1"/>
        <rFont val="Arial"/>
        <family val="2"/>
      </rPr>
      <t>ipconfig.</t>
    </r>
    <r>
      <rPr>
        <sz val="11"/>
        <color theme="1"/>
        <rFont val="Arial"/>
        <family val="2"/>
      </rPr>
      <t xml:space="preserve"> Expected result -</t>
    </r>
    <r>
      <rPr>
        <b/>
        <sz val="11"/>
        <color theme="1"/>
        <rFont val="Arial"/>
        <family val="2"/>
      </rPr>
      <t xml:space="preserve"> IPv4 &amp; IPv6 address </t>
    </r>
    <r>
      <rPr>
        <sz val="11"/>
        <color theme="1"/>
        <rFont val="Arial"/>
        <family val="2"/>
      </rPr>
      <t xml:space="preserve">returned. </t>
    </r>
  </si>
  <si>
    <t xml:space="preserve">(LEGACY METHOD UNHIDE ROWS TO REVEALl) Option 3: Windows Installer Prerequisites Tunnel (Proxy only) </t>
  </si>
  <si>
    <t>IIS 7.0, 8.0 or 8.5</t>
  </si>
  <si>
    <t>IIS 443 Binding with the same trusted SSL Certificate on the Content Relay (if Relay-Endpoint) or the  Content Endpoint if Endpoint Only</t>
  </si>
  <si>
    <t xml:space="preserve">(If Relay-Endpoint ) IIS 443 binding with an SSL cert on the Content Endpoint (can be a CA or self signed cert). </t>
  </si>
  <si>
    <t> The relay server must trust the certificate on the Endpoint Server</t>
  </si>
  <si>
    <t xml:space="preserve"> Content Gateway endpoint must be joined to the same domain as the NFS server or establish domain trust with the domain of the NFS</t>
  </si>
  <si>
    <t>Note: [OPTIONAL] required to pass ntlm credentials to a Windows Network share</t>
  </si>
  <si>
    <t>Installer will automatically install; Ensure 32-bit Java is not installed</t>
  </si>
  <si>
    <t>Secure Email Gateway
Pre-Requisites</t>
  </si>
  <si>
    <r>
      <t xml:space="preserve">VM or Physical Server
</t>
    </r>
    <r>
      <rPr>
        <b/>
        <sz val="11"/>
        <color rgb="FFFF0000"/>
        <rFont val="Arial"/>
        <family val="2"/>
      </rPr>
      <t>NOTE:</t>
    </r>
    <r>
      <rPr>
        <sz val="11"/>
        <color rgb="FFFF0000"/>
        <rFont val="Arial"/>
        <family val="2"/>
      </rPr>
      <t xml:space="preserve"> An Intel Processor is required</t>
    </r>
  </si>
  <si>
    <t>General Requirements SEG</t>
  </si>
  <si>
    <t>my Workspace ONE Account that has software download access</t>
  </si>
  <si>
    <t>Externally registered  (public) DNS record</t>
  </si>
  <si>
    <t xml:space="preserve">Internally registered DNS record (must match public DNS record) </t>
  </si>
  <si>
    <t>For Devices on internal Wifi</t>
  </si>
  <si>
    <t>SSL Certificate from trusted third party with Subject or Subject Alternative name of DNS the DNS record</t>
  </si>
  <si>
    <t>Ensure SSL certificate is trusted by all device types being used. (i.e. not all Comodo certificates are natively trusted by Android)</t>
  </si>
  <si>
    <t>The .pfx form (with private key and full chain) of the above public SSL Certificate certificate</t>
  </si>
  <si>
    <t>Ensure SSL certificate is trusted by all device types being used. (i.e. not all Comodo certificates are natively trusted by Andoird)</t>
  </si>
  <si>
    <t>Requirements V2 SEG on UAG (Recommended)</t>
  </si>
  <si>
    <t>Requirements V2 SEG on Windows</t>
  </si>
  <si>
    <t>Windows Server 2008 R2, 2012 Standard or R2,  or 2016</t>
  </si>
  <si>
    <t>V2 SEG Only</t>
  </si>
  <si>
    <t>Installation of Chrome or Firefox (Recommended)</t>
  </si>
  <si>
    <t xml:space="preserve">No java installed on the SEG server(s) </t>
  </si>
  <si>
    <t xml:space="preserve">V2 SEG Installer will install the JAVA with compatibale version. </t>
  </si>
  <si>
    <t xml:space="preserve"> Requirements for Classic SEG (Legacy)</t>
  </si>
  <si>
    <r>
      <rPr>
        <b/>
        <sz val="11"/>
        <color theme="1"/>
        <rFont val="Arial"/>
        <family val="2"/>
      </rPr>
      <t xml:space="preserve">Common HTTP Features: </t>
    </r>
    <r>
      <rPr>
        <sz val="11"/>
        <color theme="1"/>
        <rFont val="Arial"/>
        <family val="2"/>
      </rPr>
      <t xml:space="preserve">Static Content, Default Document, Directory Browsing, HTTP Errors, HTTP Redirection
</t>
    </r>
    <r>
      <rPr>
        <b/>
        <sz val="11"/>
        <color theme="1"/>
        <rFont val="Arial"/>
        <family val="2"/>
      </rPr>
      <t>Application Development:</t>
    </r>
    <r>
      <rPr>
        <sz val="11"/>
        <color theme="1"/>
        <rFont val="Arial"/>
        <family val="2"/>
      </rPr>
      <t xml:space="preserve"> ASP.NET, .NET Extensibility, ASP, ISAPI Extensions, ISAPI Filters, Server Side Includes
</t>
    </r>
    <r>
      <rPr>
        <b/>
        <sz val="11"/>
        <color theme="1"/>
        <rFont val="Arial"/>
        <family val="2"/>
      </rPr>
      <t xml:space="preserve">Management Tools: </t>
    </r>
    <r>
      <rPr>
        <sz val="11"/>
        <color theme="1"/>
        <rFont val="Arial"/>
        <family val="2"/>
      </rPr>
      <t xml:space="preserve">IIS Management Console, IIS 6 Metabase Compatibility
</t>
    </r>
    <r>
      <rPr>
        <b/>
        <sz val="11"/>
        <color rgb="FFFF0000"/>
        <rFont val="Arial"/>
        <family val="2"/>
      </rPr>
      <t xml:space="preserve">NOTE: </t>
    </r>
    <r>
      <rPr>
        <sz val="11"/>
        <color rgb="FFFF0000"/>
        <rFont val="Arial"/>
        <family val="2"/>
      </rPr>
      <t>Ensure WebDAV is not installed.</t>
    </r>
  </si>
  <si>
    <r>
      <rPr>
        <b/>
        <sz val="11"/>
        <rFont val="Arial"/>
        <family val="2"/>
      </rPr>
      <t>.NET Framework Features:</t>
    </r>
    <r>
      <rPr>
        <sz val="11"/>
        <rFont val="Arial"/>
        <family val="2"/>
      </rPr>
      <t xml:space="preserve"> Entire Module </t>
    </r>
    <r>
      <rPr>
        <sz val="11"/>
        <color theme="1"/>
        <rFont val="Arial"/>
        <family val="2"/>
      </rPr>
      <t xml:space="preserve">
</t>
    </r>
    <r>
      <rPr>
        <b/>
        <sz val="11"/>
        <color theme="1"/>
        <rFont val="Arial"/>
        <family val="2"/>
      </rPr>
      <t>Telnet Client (for troubleshooting)</t>
    </r>
  </si>
  <si>
    <t>IIS 443 Binding with the above SSL Certificate</t>
  </si>
  <si>
    <t>Validate that you can connect to the server over HTTPS (https://yourAirWatchDomain.com). At this point, you should see the IIS splash page.</t>
  </si>
  <si>
    <t>For email access</t>
  </si>
  <si>
    <t>Telnet from SEG to AWCM server on port</t>
  </si>
  <si>
    <t>UDP/TCP</t>
  </si>
  <si>
    <t xml:space="preserve">41232, 5701 </t>
  </si>
  <si>
    <t>If you are using SEG Clustering (multiple load balanced SEG servers)</t>
  </si>
  <si>
    <t>Browser (for admin access)</t>
  </si>
  <si>
    <t>For access to UAG administrative portal on the SEG server</t>
  </si>
  <si>
    <t>Powershell Integration
Pre-Requisites</t>
  </si>
  <si>
    <t xml:space="preserve">Requirements for Powershell Integration: </t>
  </si>
  <si>
    <r>
      <t xml:space="preserve"> A service account with the following roles from Exchange: 
   - Organization Client Access Role
   - Mail Recipients Role 
  - Recipient Policies Role. 
For Office 365 implementations, service account also needs to be an </t>
    </r>
    <r>
      <rPr>
        <b/>
        <sz val="11"/>
        <color theme="1"/>
        <rFont val="Arial"/>
        <family val="2"/>
      </rPr>
      <t>AD service account with an associated mailbox</t>
    </r>
  </si>
  <si>
    <t>More information can be found in the VMware UEM Powershell Integration Guide</t>
  </si>
  <si>
    <t>On the Exchange Server, in IIS,  the Powershell Endpoint needs to enabled with Basic or Windows Authentication</t>
  </si>
  <si>
    <t>The type of authentication required depends on the service account provisioned above</t>
  </si>
  <si>
    <t>Exchange Server needs the Shell Execution policy set to Remote Signed (If applicable)</t>
  </si>
  <si>
    <r>
      <t xml:space="preserve">To check the execution policy open a Powershell terminal on Exchange and run: </t>
    </r>
    <r>
      <rPr>
        <b/>
        <sz val="11"/>
        <color theme="1"/>
        <rFont val="Arial"/>
        <family val="2"/>
      </rPr>
      <t>Get-ExecutionPolicy</t>
    </r>
    <r>
      <rPr>
        <sz val="11"/>
        <color theme="1"/>
        <rFont val="Arial"/>
        <family val="2"/>
      </rPr>
      <t xml:space="preserve">.  The execution policy can be changed with: </t>
    </r>
    <r>
      <rPr>
        <b/>
        <sz val="11"/>
        <color theme="1"/>
        <rFont val="Arial"/>
        <family val="2"/>
      </rPr>
      <t>Set-ExecutionPolicy -ExecutionPolicy RemoteSigned.</t>
    </r>
    <r>
      <rPr>
        <sz val="11"/>
        <color theme="1"/>
        <rFont val="Arial"/>
        <family val="2"/>
      </rPr>
      <t xml:space="preserve">  More information on Execution Policies can be found ihere: https://docs.microsoft.com/en-us/powershell/module/microsoft.powershell.security/set-executionpolicy?view=powershell-5.1</t>
    </r>
  </si>
  <si>
    <t>The AirWatch Cloud Connector Server needs the Shell Execution policy set to Remote Signed</t>
  </si>
  <si>
    <t>KCD
Pre-Requisites</t>
  </si>
  <si>
    <t>Standard SEG Requirements</t>
  </si>
  <si>
    <t>Refer SEG Tab</t>
  </si>
  <si>
    <t>CA Integration</t>
  </si>
  <si>
    <t>Certificate Authority integrated with AirWatch to issue certificates to your mobile devices. We only support On Premise instance of ADCS integration for Kerberos configuration using the SEG</t>
  </si>
  <si>
    <t>Service Account Creation</t>
  </si>
  <si>
    <t>If you do not already have a service account created for the SEG to use for the Kerberos request, create one now. Refer to this account as aw_KCDsv. This is used for delegation</t>
  </si>
  <si>
    <t>SPN Creation</t>
  </si>
  <si>
    <t>Create SPN per instructions in the guide.</t>
  </si>
  <si>
    <t>Alternate Service Account Creation</t>
  </si>
  <si>
    <t xml:space="preserve">If the environment has multiple CAS server or EAS servers, then the service registration procedure varies. An alternate service account needs to be created to represent the CAS Array.Links for ASA account creation
 http://fixexchangeserver.blogspot.com/p/configuring-asa-alternate-service.html http://blogs.technet.com/b/pfemsgil/archive/2012/08/03/setting-up-kerberos-with-a-client-access-server-arrayexchange-2010-sp2.aspx
</t>
  </si>
  <si>
    <t>Requests to the SEG</t>
  </si>
  <si>
    <t>The SEG receives requests from mobile devices. For kerberos configuration, SSL offloading or SSL bridging will not work. The SEG needs to receive traffic as a pass through.</t>
  </si>
  <si>
    <t>CRL Access</t>
  </si>
  <si>
    <t>The SEG requires access to the HTTP Distribution point to access the certificate revocation list.</t>
  </si>
  <si>
    <t>Script Execution</t>
  </si>
  <si>
    <t>To set ASA to the CAS servers, run the Alternate Service Account credential script in the Exchange Management
Shell “RollAlternateserviceAccountPassword.ps1 “
.\RollAlternateserviceAccountPassword.ps1 -ToArrayMembers {CAS-FQDN} -GenerateNewPasswordFor
“{DOMIAN}\{ASA_ACCOUNT}” -Verbose</t>
  </si>
  <si>
    <t>SEG</t>
  </si>
  <si>
    <t>Certificate Authority</t>
  </si>
  <si>
    <t>Access the URL in a browser and verify if you can access the CRL from the SEG</t>
  </si>
  <si>
    <t>Domain Controller</t>
  </si>
  <si>
    <t>Telnet from the SEG to the Domain controller on port</t>
  </si>
  <si>
    <t xml:space="preserve">AirWatch Email Notification Service Requirements </t>
  </si>
  <si>
    <t xml:space="preserve">Option 1: Cloud-based ENS v2 (Recommended - No On Prem Server Required) </t>
  </si>
  <si>
    <t>35.170.156.92</t>
  </si>
  <si>
    <t>52.0.239.8</t>
  </si>
  <si>
    <t>52.203.205.147</t>
  </si>
  <si>
    <t>Asia Pacific</t>
  </si>
  <si>
    <t>54.248.56.175</t>
  </si>
  <si>
    <t>54.249.212.171</t>
  </si>
  <si>
    <t>54.95.25.171</t>
  </si>
  <si>
    <t>18.195.84.245</t>
  </si>
  <si>
    <t>18.196.197.192</t>
  </si>
  <si>
    <t>52.28.149.150</t>
  </si>
  <si>
    <t>The following mail servers are currently supported: Exchange 2010 SP3, Exchange 2013 SP1, Exchange 2016 or Office 365</t>
  </si>
  <si>
    <t>The following versions are supported: AirWatch Console v8.4+; Email Client VMware Boxer v4.10+ for iOS;</t>
  </si>
  <si>
    <t>Mobile device email connection uses basic authentication, certificate based auth, or modern auth</t>
  </si>
  <si>
    <t xml:space="preserve">Network allows bidirectional traffic between Exchange EWS endpoint and hosted ENS API servers. </t>
  </si>
  <si>
    <t>See VMware Workspace ONE UEM Email Notification Service 2 Installation and Configuration Guide for whitelisted IP address information</t>
  </si>
  <si>
    <t>See VMware Workspace ONE UEM Email Notification Service 2 Installation and Configuration Guide for whitelisted IP address information for EU and Asia specific ENS endpoints</t>
  </si>
  <si>
    <t xml:space="preserve">(Option1) ENS Server </t>
  </si>
  <si>
    <t xml:space="preserve">Exchange EWS Endpoint. Optional if implementing the SEG (must go with Option2) </t>
  </si>
  <si>
    <t>(Option2) ENS Server</t>
  </si>
  <si>
    <t>SEG server</t>
  </si>
  <si>
    <t>Not applicable if not implementing the SEG</t>
  </si>
  <si>
    <t>ENS Server</t>
  </si>
  <si>
    <t>On Exchange Server, browse to the ENS Server: https://ENS_URL/MailNotificationService/API/ENS/Alive</t>
  </si>
  <si>
    <t>Option 2: On Prem ENS v2 (Unhide rows to view requirements)</t>
  </si>
  <si>
    <t>VM or Physical Server (ENS must run on a separate server from other AirWatch products)</t>
  </si>
  <si>
    <t>See VMware AirWatch Email Notification Service 2 Installation and Configuration Guide for the sizing information</t>
  </si>
  <si>
    <t>The following mail servers are currently supported: Exchange 2010 SP3, Exchange 2013 SP1, Exchange 2016, or Office 365</t>
  </si>
  <si>
    <t>Mobile device email connection using basic authentication, cert auth, or modern authentication</t>
  </si>
  <si>
    <t>Certificate based authentication will be supported in the future release</t>
  </si>
  <si>
    <t>Client Administrator will need remote access to server(s) available to AirWatch and Administrator rights (Ensure that customer has remote access to the servers that AirWatch is installed on from their internal network, not externally to AirWatch. Typically, installations are performed remotely over a web meeting or screen share that an AirWatch consultant provides.)</t>
  </si>
  <si>
    <t>Test the access by browsing to https://resources.air-watch.com/view/8f8mxzld7dd9v9h3fbkl/en (ENS v2 Installer)</t>
  </si>
  <si>
    <t xml:space="preserve">For Devices on the Internet </t>
  </si>
  <si>
    <t>For Devices on internal Wi-Fi</t>
  </si>
  <si>
    <t>Ensure SSL certificate is trusted by all iOS devices</t>
  </si>
  <si>
    <t>IIS 8.0 or IIS 8.5</t>
  </si>
  <si>
    <r>
      <rPr>
        <b/>
        <sz val="11"/>
        <color theme="1"/>
        <rFont val="Arial"/>
        <family val="2"/>
      </rPr>
      <t>Common HTTP Features:</t>
    </r>
    <r>
      <rPr>
        <sz val="11"/>
        <color theme="1"/>
        <rFont val="Arial"/>
        <family val="2"/>
      </rPr>
      <t xml:space="preserve"> Static Content, Default Document, Directory Browsing, HTTP Errors, HTTP Redirection
</t>
    </r>
    <r>
      <rPr>
        <b/>
        <sz val="11"/>
        <color theme="1"/>
        <rFont val="Arial"/>
        <family val="2"/>
      </rPr>
      <t>Application Development:</t>
    </r>
    <r>
      <rPr>
        <sz val="11"/>
        <color theme="1"/>
        <rFont val="Arial"/>
        <family val="2"/>
      </rPr>
      <t xml:space="preserve"> ASP.NET, .NET Extensibility, ASP, ISAPI Extensions, ISAPI Filters, Server Side Includes
</t>
    </r>
    <r>
      <rPr>
        <b/>
        <sz val="11"/>
        <color theme="1"/>
        <rFont val="Arial"/>
        <family val="2"/>
      </rPr>
      <t>Health and Diagnostics:</t>
    </r>
    <r>
      <rPr>
        <sz val="11"/>
        <color theme="1"/>
        <rFont val="Arial"/>
        <family val="2"/>
      </rPr>
      <t xml:space="preserve"> HTTP Logging, Logging Tools, Request Monitor, Tracing
</t>
    </r>
    <r>
      <rPr>
        <b/>
        <sz val="11"/>
        <color theme="1"/>
        <rFont val="Arial"/>
        <family val="2"/>
      </rPr>
      <t>Security:</t>
    </r>
    <r>
      <rPr>
        <sz val="11"/>
        <color theme="1"/>
        <rFont val="Arial"/>
        <family val="2"/>
      </rPr>
      <t xml:space="preserve"> Request Filtering, IP and Domain Restrictions
</t>
    </r>
    <r>
      <rPr>
        <b/>
        <sz val="11"/>
        <color theme="1"/>
        <rFont val="Arial"/>
        <family val="2"/>
      </rPr>
      <t>Performance:</t>
    </r>
    <r>
      <rPr>
        <sz val="11"/>
        <color theme="1"/>
        <rFont val="Arial"/>
        <family val="2"/>
      </rPr>
      <t xml:space="preserve"> Static Content Compression, Dynamic Content Compression
</t>
    </r>
    <r>
      <rPr>
        <b/>
        <sz val="11"/>
        <color theme="1"/>
        <rFont val="Arial"/>
        <family val="2"/>
      </rPr>
      <t>Management Tools:</t>
    </r>
    <r>
      <rPr>
        <sz val="11"/>
        <color theme="1"/>
        <rFont val="Arial"/>
        <family val="2"/>
      </rPr>
      <t xml:space="preserve"> IIS Management Console, IIS 6 Metabase Compatibility
</t>
    </r>
    <r>
      <rPr>
        <b/>
        <sz val="11"/>
        <color rgb="FFC00000"/>
        <rFont val="Arial"/>
        <family val="2"/>
      </rPr>
      <t>Note: Ensure WebDAV is not installed</t>
    </r>
  </si>
  <si>
    <t>ENS Database Requirements (On a separate shared or dedicated database server)</t>
  </si>
  <si>
    <t>SQL Server 2012, SQL Server 2014, or SQL Server 2016 with Client Tools (SQL Management Studio, Reporting Services, Integration Services, SQL Server Agent, latest service packs). Ensure the SQL Servers are 64-bit (OS and SQL Server). AirWatch does not support Express, Workgroup, Web editions, or Trial versions of SQL Server. These editions do not support all of the features utilized in the AirWatch Application so at this time only Standard and Enterprise Editions are supported. 
For install, need to be able to create, backup and restore a database</t>
  </si>
  <si>
    <t>Create ENS Database</t>
  </si>
  <si>
    <t>DB Sizing requirement: 0.047 MB per user for storage</t>
  </si>
  <si>
    <r>
      <t xml:space="preserve">A Basic SQL account with the proper permissions:  
</t>
    </r>
    <r>
      <rPr>
        <sz val="11"/>
        <color rgb="FFFF0000"/>
        <rFont val="Arial"/>
        <family val="2"/>
      </rPr>
      <t xml:space="preserve">Note: If the ENS Server is joined to the domain a Windows account can be used.  		</t>
    </r>
  </si>
  <si>
    <r>
      <rPr>
        <b/>
        <sz val="11"/>
        <color theme="1"/>
        <rFont val="Arial"/>
        <family val="2"/>
      </rPr>
      <t> db_owner</t>
    </r>
    <r>
      <rPr>
        <sz val="11"/>
        <color theme="1"/>
        <rFont val="Arial"/>
        <family val="2"/>
      </rPr>
      <t xml:space="preserve"> and </t>
    </r>
    <r>
      <rPr>
        <b/>
        <sz val="11"/>
        <color theme="1"/>
        <rFont val="Arial"/>
        <family val="2"/>
      </rPr>
      <t>public</t>
    </r>
    <r>
      <rPr>
        <sz val="11"/>
        <color theme="1"/>
        <rFont val="Arial"/>
        <family val="2"/>
      </rPr>
      <t xml:space="preserve"> permissions on the </t>
    </r>
    <r>
      <rPr>
        <b/>
        <sz val="11"/>
        <color theme="1"/>
        <rFont val="Arial"/>
        <family val="2"/>
      </rPr>
      <t>ENS</t>
    </r>
    <r>
      <rPr>
        <sz val="11"/>
        <color theme="1"/>
        <rFont val="Arial"/>
        <family val="2"/>
      </rPr>
      <t xml:space="preserve"> database</t>
    </r>
  </si>
  <si>
    <t>cns.awmdm.com</t>
  </si>
  <si>
    <t>On ENS server browse to CNS server:
https://cns.awmdm.com/nws/notify/apns</t>
  </si>
  <si>
    <t xml:space="preserve">On ENS server browse to the Exchange server: https://Exchange_URL/EWS/Exchange.asmx </t>
  </si>
  <si>
    <t xml:space="preserve">Option 3 On Prem Email Notification Service v1 (Legacy) 
Unhide rows 55-76 to view requirements
</t>
  </si>
  <si>
    <t>See VMWare AirWatch Email Notification Service Installation Guide for more information</t>
  </si>
  <si>
    <t>A Service Account with the ApplicationImpersonation role assigned to it in Exchange</t>
  </si>
  <si>
    <t xml:space="preserve">Instructions on assigning an impersonation role can be found in the VMWare AirWatch Email Notification Service Installation Guide </t>
  </si>
  <si>
    <t>The following mail servers are currently supported: Exchange 2010 SP3, Exchange 2013 SP1 or Office 365</t>
  </si>
  <si>
    <t>Windows Server 2008 R2 or 2012 R2 or 2016</t>
  </si>
  <si>
    <t>CNS Server</t>
  </si>
  <si>
    <t>AirWatch IP Range</t>
  </si>
  <si>
    <t>AirWatch REST API</t>
  </si>
  <si>
    <t>On ENS server, browse to REST API Help page: https://asxxx.awmdm.com/api/help</t>
  </si>
  <si>
    <t>Exchange EWS Endpoint</t>
  </si>
  <si>
    <t>Exchange (Optional)</t>
  </si>
  <si>
    <t>=ensdnsip</t>
  </si>
  <si>
    <t>This is only required when using Push Notification functionality rather than Streaming functionality. This is a requirement for integration with Office 365</t>
  </si>
  <si>
    <t>ETL Connector</t>
  </si>
  <si>
    <t>Server Requirements</t>
  </si>
  <si>
    <t>Windows Server 2012 R2 or Windows 2016</t>
  </si>
  <si>
    <t>US (PROD)</t>
  </si>
  <si>
    <t>na1</t>
  </si>
  <si>
    <t>US (UAT)</t>
  </si>
  <si>
    <t>sandbox</t>
  </si>
  <si>
    <t>Frankfurt</t>
  </si>
  <si>
    <t>eu1</t>
  </si>
  <si>
    <t>Ireland</t>
  </si>
  <si>
    <t>eu2</t>
  </si>
  <si>
    <t>A  SQL account with permissions to the AirWatch Database:</t>
  </si>
  <si>
    <t>Sydney</t>
  </si>
  <si>
    <t>au1</t>
  </si>
  <si>
    <t xml:space="preserve">Select Hosted Intelligence Server Location: </t>
  </si>
  <si>
    <t xml:space="preserve">TCP </t>
  </si>
  <si>
    <t>WSONE Intelligence Server</t>
  </si>
  <si>
    <t>api.ci.dpa0.org</t>
  </si>
  <si>
    <t>AirWatch Auto-discovery</t>
  </si>
  <si>
    <t>Memcached Pre-Requisites</t>
  </si>
  <si>
    <t>General Server Requirements</t>
  </si>
  <si>
    <t xml:space="preserve">Network Requirements </t>
  </si>
  <si>
    <t>Citrix integration Broker Server Pre-Requisites</t>
  </si>
  <si>
    <t>Physical Server or VM with Windows Server 2008 R2, 2012, 2012 R2, 2016</t>
  </si>
  <si>
    <t>See the VMware Product Interoperability Matrixes at http://www.vmware.com/resources/compatibility/sim/interop_matrix.php for the latest information about supported versions.</t>
  </si>
  <si>
    <t>Install following Roles from Server Manager</t>
  </si>
  <si>
    <r>
      <rPr>
        <b/>
        <sz val="11"/>
        <color theme="1"/>
        <rFont val="Arial"/>
        <family val="2"/>
      </rPr>
      <t>Application Server                                                                                                                                                                                                                                                                                                                                                                                                                                                          Web Server (IIS)</t>
    </r>
    <r>
      <rPr>
        <sz val="11"/>
        <color theme="1"/>
        <rFont val="Arial"/>
        <family val="2"/>
      </rPr>
      <t xml:space="preserve">: Configure IIS 7 or 7.5 for Windows Server 2008 R2, IIS 8 for Windows Server 2012, or IIS 8.5 for Windows  Server 2012 R2.  {If you are installing IIS 7, install it in 6.0 Management Compatibility Mode. You must also install the Management Tools if this is your only IIS 7 instance.}                                                                                                                                                                                 
</t>
    </r>
    <r>
      <rPr>
        <b/>
        <sz val="11"/>
        <color theme="1"/>
        <rFont val="Arial"/>
        <family val="2"/>
      </rPr>
      <t>File Server</t>
    </r>
  </si>
  <si>
    <r>
      <t xml:space="preserve">■ </t>
    </r>
    <r>
      <rPr>
        <b/>
        <sz val="11"/>
        <color theme="1"/>
        <rFont val="Arial"/>
        <family val="2"/>
      </rPr>
      <t>Application Server Role Services:</t>
    </r>
    <r>
      <rPr>
        <sz val="11"/>
        <color theme="1"/>
        <rFont val="Arial"/>
        <family val="2"/>
      </rPr>
      <t xml:space="preserve">
-</t>
    </r>
    <r>
      <rPr>
        <b/>
        <sz val="11"/>
        <color theme="1"/>
        <rFont val="Arial"/>
        <family val="2"/>
      </rPr>
      <t xml:space="preserve"> .NET Framework 4.5</t>
    </r>
    <r>
      <rPr>
        <sz val="11"/>
        <color theme="1"/>
        <rFont val="Arial"/>
        <family val="2"/>
      </rPr>
      <t xml:space="preserve">
- </t>
    </r>
    <r>
      <rPr>
        <b/>
        <sz val="11"/>
        <color theme="1"/>
        <rFont val="Arial"/>
        <family val="2"/>
      </rPr>
      <t>COM+ Network Access</t>
    </r>
    <r>
      <rPr>
        <sz val="11"/>
        <color theme="1"/>
        <rFont val="Arial"/>
        <family val="2"/>
      </rPr>
      <t xml:space="preserve">
- </t>
    </r>
    <r>
      <rPr>
        <b/>
        <sz val="11"/>
        <color theme="1"/>
        <rFont val="Arial"/>
        <family val="2"/>
      </rPr>
      <t>Web Server (IIS) Support</t>
    </r>
    <r>
      <rPr>
        <sz val="11"/>
        <color theme="1"/>
        <rFont val="Arial"/>
        <family val="2"/>
      </rPr>
      <t xml:space="preserve">
- </t>
    </r>
    <r>
      <rPr>
        <b/>
        <sz val="11"/>
        <color theme="1"/>
        <rFont val="Arial"/>
        <family val="2"/>
      </rPr>
      <t>Windows Process Activation Service Support</t>
    </r>
    <r>
      <rPr>
        <sz val="11"/>
        <color theme="1"/>
        <rFont val="Arial"/>
        <family val="2"/>
      </rPr>
      <t xml:space="preserve">:
    </t>
    </r>
    <r>
      <rPr>
        <i/>
        <sz val="11"/>
        <color theme="1"/>
        <rFont val="Arial"/>
        <family val="2"/>
      </rPr>
      <t>HTTP Activation (2012 and 2012 R2), WCF Activation (2008)</t>
    </r>
    <r>
      <rPr>
        <sz val="11"/>
        <color theme="1"/>
        <rFont val="Arial"/>
        <family val="2"/>
      </rPr>
      <t xml:space="preserve">                                                                                                                                                                                                                                                                                                                                                                                                                                                                                   
■ </t>
    </r>
    <r>
      <rPr>
        <b/>
        <sz val="11"/>
        <color theme="1"/>
        <rFont val="Arial"/>
        <family val="2"/>
      </rPr>
      <t>Web Server Role (IIS) Role Services:</t>
    </r>
    <r>
      <rPr>
        <sz val="11"/>
        <color theme="1"/>
        <rFont val="Arial"/>
        <family val="2"/>
      </rPr>
      <t xml:space="preserve">
- </t>
    </r>
    <r>
      <rPr>
        <b/>
        <sz val="11"/>
        <color theme="1"/>
        <rFont val="Arial"/>
        <family val="2"/>
      </rPr>
      <t>Web Server</t>
    </r>
    <r>
      <rPr>
        <sz val="11"/>
        <color theme="1"/>
        <rFont val="Arial"/>
        <family val="2"/>
      </rPr>
      <t xml:space="preserve">:
    </t>
    </r>
    <r>
      <rPr>
        <i/>
        <sz val="11"/>
        <color theme="1"/>
        <rFont val="Arial"/>
        <family val="2"/>
      </rPr>
      <t>Common HTTP Features</t>
    </r>
    <r>
      <rPr>
        <sz val="11"/>
        <color theme="1"/>
        <rFont val="Arial"/>
        <family val="2"/>
      </rPr>
      <t xml:space="preserve">: Default Document, Directory Browsing, HTTP Errors, Static Content, HTTP Redirection
    </t>
    </r>
    <r>
      <rPr>
        <i/>
        <sz val="11"/>
        <color theme="1"/>
        <rFont val="Arial"/>
        <family val="2"/>
      </rPr>
      <t>Health and Diagnostics</t>
    </r>
    <r>
      <rPr>
        <sz val="11"/>
        <color theme="1"/>
        <rFont val="Arial"/>
        <family val="2"/>
      </rPr>
      <t xml:space="preserve">: HTTP Logging, Logging Tools, Request Monitor, Tracing
    </t>
    </r>
    <r>
      <rPr>
        <i/>
        <sz val="11"/>
        <color theme="1"/>
        <rFont val="Arial"/>
        <family val="2"/>
      </rPr>
      <t>Performance</t>
    </r>
    <r>
      <rPr>
        <sz val="11"/>
        <color theme="1"/>
        <rFont val="Arial"/>
        <family val="2"/>
      </rPr>
      <t xml:space="preserve">: Static Content Compression, Dynamic Content Compression
   </t>
    </r>
    <r>
      <rPr>
        <i/>
        <sz val="11"/>
        <color theme="1"/>
        <rFont val="Arial"/>
        <family val="2"/>
      </rPr>
      <t xml:space="preserve"> Security</t>
    </r>
    <r>
      <rPr>
        <sz val="11"/>
        <color theme="1"/>
        <rFont val="Arial"/>
        <family val="2"/>
      </rPr>
      <t xml:space="preserve">: Request Filtering, Basic Authentication, Client Certificate Mapping Authentication, Digest Authentication, IIS Client Certificate Mapping Authentication, IP and Domain Restrictions, URL Authorization, Windows Authentication
    </t>
    </r>
    <r>
      <rPr>
        <i/>
        <sz val="11"/>
        <color theme="1"/>
        <rFont val="Arial"/>
        <family val="2"/>
      </rPr>
      <t>Application Development</t>
    </r>
    <r>
      <rPr>
        <sz val="11"/>
        <color theme="1"/>
        <rFont val="Arial"/>
        <family val="2"/>
      </rPr>
      <t xml:space="preserve">
- </t>
    </r>
    <r>
      <rPr>
        <b/>
        <sz val="11"/>
        <color theme="1"/>
        <rFont val="Arial"/>
        <family val="2"/>
      </rPr>
      <t>Management Tools</t>
    </r>
    <r>
      <rPr>
        <sz val="11"/>
        <color theme="1"/>
        <rFont val="Arial"/>
        <family val="2"/>
      </rPr>
      <t xml:space="preserve">:
   </t>
    </r>
    <r>
      <rPr>
        <i/>
        <sz val="11"/>
        <color theme="1"/>
        <rFont val="Arial"/>
        <family val="2"/>
      </rPr>
      <t xml:space="preserve"> IIS Management Console, IIS 6 Management Compatibility, IIS Management Scripts and Tools</t>
    </r>
  </si>
  <si>
    <t xml:space="preserve">.NET Framework 3.5 Features (with HTTP Activation for 2012 and 2012 R2, and WCF Activation for 2008 R2)
IIS Hostable Web Core
Windows Process Activation Service
WinRM IIS Extension
WoW64 Support
</t>
  </si>
  <si>
    <t>Install .NET Framework 3.5</t>
  </si>
  <si>
    <t>When you install .NET, it installs version 3.5 as a feature. If you are using Windows Server 2008 R2, ensure that you select WCF Activation. If you are using Windows Server 2012 or 2012 R2, ensure that you select HTTP Activation.</t>
  </si>
  <si>
    <t>Download and install Microsoft Visual J#® 2.0 Redistributable Package - Second Edition</t>
  </si>
  <si>
    <t>(Optional) - Only required if using Citrix Web Interface SDK to connect to the Citrix server farm instead of Storefront. Depending on your operating system, you might need to download either the 32-bit or 64-bit version of Microsoft Visual J#</t>
  </si>
  <si>
    <t xml:space="preserve">Service Account for Citrix Integration </t>
  </si>
  <si>
    <t xml:space="preserve">Service Account needs  to have the Read Only admin role in Citrix and  must be server admin of the Citrix Integration Broker Server.  </t>
  </si>
  <si>
    <t>Verification</t>
  </si>
  <si>
    <t>AirWatch Advanced Remote Management
Pre-Requisites</t>
  </si>
  <si>
    <t xml:space="preserve">For server requirements please reference the VMware AirWatch Remote Management Guide - https://resources.air-watch.com/view/9rn23c64q4cn726jt4z4/en
</t>
  </si>
  <si>
    <t>Supported Browsers</t>
  </si>
  <si>
    <t>Latest version of Google Chrome, Safari, Internet Explorer, or Edge.</t>
  </si>
  <si>
    <t>AirWatch Version</t>
  </si>
  <si>
    <t>AirWatch v9.0.2+ with the AirWatch Rugged EMM Bundle</t>
  </si>
  <si>
    <t>Supported Device type for utilizing Remote Management</t>
  </si>
  <si>
    <t>Supported devices are Windows Mobile/CE running .NET 2.0+ with the AirWatch Agent v6.0.40 installed. Android devices with the AirWatch Agent v7.0 installed.  For a complete list see the Remote Management Installation Guide found in resources.air-watch.com</t>
  </si>
  <si>
    <t xml:space="preserve">Microsoft Report Viewer 2010 Redistributable Package and Microsoft .NET Framework 4.6.2 </t>
  </si>
  <si>
    <r>
      <t xml:space="preserve">NET Framework 3.5 Features: </t>
    </r>
    <r>
      <rPr>
        <sz val="11"/>
        <color theme="1"/>
        <rFont val="Arial"/>
        <family val="2"/>
      </rPr>
      <t>NET Framework 3.5 (includes .NET 2.0 and 3.0), HTTP Activation, Non-HTTP Activation, IIS Management Console.</t>
    </r>
    <r>
      <rPr>
        <b/>
        <sz val="11"/>
        <color theme="1"/>
        <rFont val="Arial"/>
        <family val="2"/>
      </rPr>
      <t xml:space="preserve">
NET Framework 4.6 Features: </t>
    </r>
    <r>
      <rPr>
        <sz val="11"/>
        <color theme="1"/>
        <rFont val="Arial"/>
        <family val="2"/>
      </rPr>
      <t>.NET Framework 4.6, ASP .NET 4.6, WCF Services (HTTP Activation, Message Queuing (MSMQ) Activation, Named Pipe Activation, TCP Activation, TCP Port Sharing.)</t>
    </r>
    <r>
      <rPr>
        <b/>
        <sz val="11"/>
        <color theme="1"/>
        <rFont val="Arial"/>
        <family val="2"/>
      </rPr>
      <t xml:space="preserve">
Message Queuing Services: </t>
    </r>
    <r>
      <rPr>
        <sz val="11"/>
        <color theme="1"/>
        <rFont val="Arial"/>
        <family val="2"/>
      </rPr>
      <t>Message Queuing Server</t>
    </r>
    <r>
      <rPr>
        <b/>
        <sz val="11"/>
        <color theme="1"/>
        <rFont val="Arial"/>
        <family val="2"/>
      </rPr>
      <t xml:space="preserve">
Windows Process Activation Service:</t>
    </r>
    <r>
      <rPr>
        <sz val="11"/>
        <color theme="1"/>
        <rFont val="Arial"/>
        <family val="2"/>
      </rPr>
      <t xml:space="preserve"> Process Model, .NET Environment 3.5, Configuration APIs.</t>
    </r>
    <r>
      <rPr>
        <b/>
        <sz val="11"/>
        <color theme="1"/>
        <rFont val="Arial"/>
        <family val="2"/>
      </rPr>
      <t xml:space="preserve">
</t>
    </r>
  </si>
  <si>
    <t>Install Roles from Server Manager</t>
  </si>
  <si>
    <t>Application Server and Web Server IIS (For a complete list see the Remote Management Installation Guide found in resources.air-watch.com)</t>
  </si>
  <si>
    <t>SSL/TLS Certificate from trusted third party with Subject or Subject Alternative name of DNS; with the private key (in .pfx format with a password)</t>
  </si>
  <si>
    <t>Remote Management Database Requirements (On a separate shared or dedicated database server)</t>
  </si>
  <si>
    <t>SQL Server and other components Installed</t>
  </si>
  <si>
    <t xml:space="preserve">Microsoft Windows 2012 R2 or 2016
MS SQL Server 2012 Standard; or MS SQL Server 2014 Standard or Enterprise; or MS SQL Server 2016 Standard or Enterprise; or MS SQL Server Express 2012 or later ( only for deployments with less than 2000 devices). 
MS SQL Management Studio 2012 or 2016; or MS SQL Management Studio 17 ( only when SQL Server Express 2012 or later is used).
Microsoft .Net Framework 4.6.2
Microsoft SQL Server Management Objects (SMO) DLL (usually included in feature packs)
</t>
  </si>
  <si>
    <r>
      <t xml:space="preserve">A Basic SQL or Windows account with the proper permissions  
</t>
    </r>
    <r>
      <rPr>
        <sz val="11"/>
        <color rgb="FFFF0000"/>
        <rFont val="Arial"/>
        <family val="2"/>
      </rPr>
      <t xml:space="preserve">.  		</t>
    </r>
  </si>
  <si>
    <r>
      <rPr>
        <b/>
        <sz val="11"/>
        <color theme="1"/>
        <rFont val="Arial"/>
        <family val="2"/>
      </rPr>
      <t xml:space="preserve">Server Roles: </t>
    </r>
    <r>
      <rPr>
        <sz val="11"/>
        <color theme="1"/>
        <rFont val="Arial"/>
        <family val="2"/>
      </rPr>
      <t>SysAdmin,</t>
    </r>
    <r>
      <rPr>
        <b/>
        <sz val="11"/>
        <color theme="1"/>
        <rFont val="Arial"/>
        <family val="2"/>
      </rPr>
      <t xml:space="preserve"> </t>
    </r>
    <r>
      <rPr>
        <sz val="11"/>
        <color theme="1"/>
        <rFont val="Arial"/>
        <family val="2"/>
      </rPr>
      <t>Bulkadmin, Dbcreator</t>
    </r>
    <r>
      <rPr>
        <b/>
        <sz val="11"/>
        <color theme="1"/>
        <rFont val="Arial"/>
        <family val="2"/>
      </rPr>
      <t xml:space="preserve">
User Mapping: </t>
    </r>
    <r>
      <rPr>
        <sz val="11"/>
        <color theme="1"/>
        <rFont val="Arial"/>
        <family val="2"/>
      </rPr>
      <t>Dbowner, Dbbackupoperator, SQLAgent dependent, serverGroup dependent</t>
    </r>
  </si>
  <si>
    <r>
      <t xml:space="preserve">The installer will create 2 DB users during installation, Apdbuser and Apadminuser.  These users should not need to be created prior to installation
</t>
    </r>
    <r>
      <rPr>
        <sz val="11"/>
        <color rgb="FFFF0000"/>
        <rFont val="Arial"/>
        <family val="2"/>
      </rPr>
      <t xml:space="preserve">.  		</t>
    </r>
  </si>
  <si>
    <r>
      <rPr>
        <b/>
        <sz val="11"/>
        <color theme="1"/>
        <rFont val="Arial"/>
        <family val="2"/>
      </rPr>
      <t xml:space="preserve">Apdbuser- Server Roles: </t>
    </r>
    <r>
      <rPr>
        <sz val="11"/>
        <color theme="1"/>
        <rFont val="Arial"/>
        <family val="2"/>
      </rPr>
      <t xml:space="preserve">Db_creator           
</t>
    </r>
    <r>
      <rPr>
        <b/>
        <sz val="11"/>
        <color theme="1"/>
        <rFont val="Arial"/>
        <family val="2"/>
      </rPr>
      <t>Apdbadminuser- Server Roles:</t>
    </r>
    <r>
      <rPr>
        <sz val="11"/>
        <color theme="1"/>
        <rFont val="Arial"/>
        <family val="2"/>
      </rPr>
      <t xml:space="preserve"> Db_creator                                                                                                                                                                                                                                                                                                                                                                      </t>
    </r>
  </si>
  <si>
    <t>Domain Name Service Requirements (Multi server deployment only)</t>
  </si>
  <si>
    <r>
      <t xml:space="preserve">Create a forward lookup zone named </t>
    </r>
    <r>
      <rPr>
        <b/>
        <sz val="11"/>
        <color theme="1"/>
        <rFont val="Arial"/>
        <family val="2"/>
      </rPr>
      <t>controlplane.aetherpal.internal</t>
    </r>
    <r>
      <rPr>
        <sz val="11"/>
        <color theme="1"/>
        <rFont val="Arial"/>
        <family val="2"/>
      </rPr>
      <t xml:space="preserve"> that points to your Remote Management server. </t>
    </r>
  </si>
  <si>
    <t>The forward lookup zone must be named:   controlplane.aetherpal.internal</t>
  </si>
  <si>
    <r>
      <t xml:space="preserve"> Create a host record named </t>
    </r>
    <r>
      <rPr>
        <b/>
        <sz val="11"/>
        <color theme="1"/>
        <rFont val="Arial"/>
        <family val="2"/>
      </rPr>
      <t>admin</t>
    </r>
    <r>
      <rPr>
        <sz val="11"/>
        <color theme="1"/>
        <rFont val="Arial"/>
        <family val="2"/>
      </rPr>
      <t xml:space="preserve"> in your DNS that points to your Remote Management Server. </t>
    </r>
  </si>
  <si>
    <t>The host record must be named: admin</t>
  </si>
  <si>
    <t xml:space="preserve">Create the following the Service Coordinator Service Record: 
  </t>
  </si>
  <si>
    <r>
      <t xml:space="preserve">      Record type: SRV.
      Domain: </t>
    </r>
    <r>
      <rPr>
        <b/>
        <sz val="11"/>
        <color theme="1"/>
        <rFont val="Arial"/>
        <family val="2"/>
      </rPr>
      <t>controlplane.aetherpal.internal</t>
    </r>
    <r>
      <rPr>
        <sz val="11"/>
        <color theme="1"/>
        <rFont val="Arial"/>
        <family val="2"/>
      </rPr>
      <t xml:space="preserve">
      Service: _svc.
      Protocol: _tcp.
      Priority: 0.
      Weight: 0.
      Port number: 8870.
      Host Offering this service: </t>
    </r>
    <r>
      <rPr>
        <b/>
        <sz val="11"/>
        <color theme="1"/>
        <rFont val="Arial"/>
        <family val="2"/>
      </rPr>
      <t>admin.controlplane.aetherpal.internal</t>
    </r>
  </si>
  <si>
    <t>For initiating sessions from the UEM console</t>
  </si>
  <si>
    <t>Database connection</t>
  </si>
  <si>
    <t>8865, 8866, 8867, 8870</t>
  </si>
  <si>
    <t>These ports correspond to different services on Core/App Server. 8865: Data Tier Proxy; 8866: Messaging Entity; 8867: Data Access Proxy; 8870: Service Coordinator</t>
  </si>
  <si>
    <t>For traffic from the Messaging Entity on the Core/App server</t>
  </si>
  <si>
    <t>For multi-server deployments only</t>
  </si>
  <si>
    <t>Rugged Pull Service
Pre-Requisites</t>
  </si>
  <si>
    <t>1 CPU Core (2.0+ GHz) | 2 GB RAM or higher | 5 GB Disk Space</t>
  </si>
  <si>
    <t>Remote Access for Airwatch installer via WebEx</t>
  </si>
  <si>
    <t>FTP account(s)</t>
  </si>
  <si>
    <t>FTP account(s) for console to FTP server and device to FTP server access (can be the same)</t>
  </si>
  <si>
    <t>FTP(S) server</t>
  </si>
  <si>
    <r>
      <rPr>
        <b/>
        <sz val="11"/>
        <color theme="1"/>
        <rFont val="Arial"/>
        <family val="2"/>
      </rPr>
      <t>For Windows</t>
    </r>
    <r>
      <rPr>
        <sz val="11"/>
        <color theme="1"/>
        <rFont val="Arial"/>
        <family val="2"/>
      </rPr>
      <t xml:space="preserve">:  Ensure IIS FTP role is added; </t>
    </r>
    <r>
      <rPr>
        <b/>
        <sz val="11"/>
        <color theme="1"/>
        <rFont val="Arial"/>
        <family val="2"/>
      </rPr>
      <t>For Linux</t>
    </r>
    <r>
      <rPr>
        <sz val="11"/>
        <color theme="1"/>
        <rFont val="Arial"/>
        <family val="2"/>
      </rPr>
      <t xml:space="preserve">:  ensure FTP package or daemon is installed; </t>
    </r>
    <r>
      <rPr>
        <b/>
        <sz val="11"/>
        <color theme="1"/>
        <rFont val="Arial"/>
        <family val="2"/>
      </rPr>
      <t>For 3rd-party hosted</t>
    </r>
    <r>
      <rPr>
        <sz val="11"/>
        <color theme="1"/>
        <rFont val="Arial"/>
        <family val="2"/>
      </rPr>
      <t xml:space="preserve">:   FTP Today or DriveHQ FTP may be used. </t>
    </r>
  </si>
  <si>
    <t>Pull component [CLOUD/SAAS ONLY]</t>
  </si>
  <si>
    <t>Externally registered DNS</t>
  </si>
  <si>
    <t xml:space="preserve">Internally registered DNS </t>
  </si>
  <si>
    <t>Ensure SSL/TLS certificate is trusted by all device types being used. (i.e. not all Comodo certificates are natively trusted by Android)</t>
  </si>
  <si>
    <t>Option 1: Pull</t>
  </si>
  <si>
    <t>FTP(S)</t>
  </si>
  <si>
    <t>20-21, 989-990</t>
  </si>
  <si>
    <t>For client FTP connections</t>
  </si>
  <si>
    <r>
      <rPr>
        <b/>
        <sz val="11"/>
        <color theme="1"/>
        <rFont val="Arial"/>
        <family val="2"/>
      </rPr>
      <t>Only for CLOUD/SAAS</t>
    </r>
    <r>
      <rPr>
        <sz val="11"/>
        <color theme="1"/>
        <rFont val="Arial"/>
        <family val="2"/>
      </rPr>
      <t>:  NOTE: FTPS ≠ SFTP</t>
    </r>
  </si>
  <si>
    <t>Option 2: Push</t>
  </si>
  <si>
    <r>
      <rPr>
        <b/>
        <sz val="11"/>
        <color theme="1"/>
        <rFont val="Arial"/>
        <family val="2"/>
      </rPr>
      <t>NOTE</t>
    </r>
    <r>
      <rPr>
        <sz val="11"/>
        <color theme="1"/>
        <rFont val="Arial"/>
        <family val="2"/>
      </rPr>
      <t>: FTPS ≠ SFTP!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</si>
</sst>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0.0"/>
    <numFmt numFmtId="165" formatCode="_(* #,##0_);_(* \(#,##0\);_(* &quot;-&quot;??_);_(@_)"/>
  </numFmts>
  <fonts count="65">
    <font>
      <sz val="11"/>
      <color theme="1"/>
      <name val="Calibri"/>
      <family val="2"/>
      <scheme val="minor"/>
    </font>
    <font>
      <sz val="11"/>
      <color indexed="8"/>
      <name val="Calibri"/>
      <family val="2"/>
    </font>
    <font>
      <sz val="10"/>
      <name val="Verdana"/>
      <family val="2"/>
    </font>
    <font>
      <b/>
      <sz val="12"/>
      <color indexed="9"/>
      <name val="Arial"/>
      <family val="2"/>
    </font>
    <font>
      <u/>
      <sz val="11"/>
      <color theme="10"/>
      <name val="Calibri"/>
      <family val="2"/>
      <scheme val="minor"/>
    </font>
    <font>
      <u/>
      <sz val="11"/>
      <color theme="11"/>
      <name val="Calibri"/>
      <family val="2"/>
      <scheme val="minor"/>
    </font>
    <font>
      <sz val="10"/>
      <color rgb="FF000000"/>
      <name val="Calibri"/>
      <family val="2"/>
    </font>
    <font>
      <sz val="10"/>
      <color rgb="FF000000"/>
      <name val="Tahoma"/>
      <family val="2"/>
    </font>
    <font>
      <sz val="10"/>
      <color rgb="FF000000"/>
      <name val="Calibri"/>
      <family val="2"/>
      <scheme val="minor"/>
    </font>
    <font>
      <sz val="11"/>
      <color theme="1"/>
      <name val="Calibri"/>
      <family val="2"/>
      <scheme val="minor"/>
    </font>
    <font>
      <sz val="10"/>
      <color theme="1"/>
      <name val="Arial"/>
      <family val="2"/>
    </font>
    <font>
      <b/>
      <sz val="10"/>
      <color theme="1"/>
      <name val="Arial"/>
      <family val="2"/>
    </font>
    <font>
      <b/>
      <sz val="11"/>
      <color theme="0"/>
      <name val="Arial"/>
      <family val="2"/>
    </font>
    <font>
      <b/>
      <sz val="12"/>
      <color theme="0"/>
      <name val="Arial"/>
      <family val="2"/>
    </font>
    <font>
      <sz val="11"/>
      <color theme="1"/>
      <name val="Arial"/>
      <family val="2"/>
    </font>
    <font>
      <u/>
      <sz val="11"/>
      <color theme="10"/>
      <name val="Arial"/>
      <family val="2"/>
    </font>
    <font>
      <sz val="18"/>
      <color rgb="FFFFFFFF"/>
      <name val="Arial"/>
      <family val="2"/>
    </font>
    <font>
      <i/>
      <sz val="11"/>
      <color theme="1"/>
      <name val="Arial"/>
      <family val="2"/>
    </font>
    <font>
      <i/>
      <sz val="10"/>
      <color theme="1"/>
      <name val="Arial"/>
      <family val="2"/>
    </font>
    <font>
      <sz val="11"/>
      <name val="Arial"/>
      <family val="2"/>
    </font>
    <font>
      <b/>
      <sz val="12"/>
      <color rgb="FFFFFFFF"/>
      <name val="Arial"/>
      <family val="2"/>
    </font>
    <font>
      <b/>
      <sz val="11"/>
      <color rgb="FFFFFFFF"/>
      <name val="Arial"/>
      <family val="2"/>
    </font>
    <font>
      <b/>
      <sz val="12"/>
      <color theme="1"/>
      <name val="Arial"/>
      <family val="2"/>
    </font>
    <font>
      <b/>
      <sz val="11"/>
      <color theme="1"/>
      <name val="Arial"/>
      <family val="2"/>
    </font>
    <font>
      <b/>
      <i/>
      <sz val="10"/>
      <color theme="1"/>
      <name val="Arial"/>
      <family val="2"/>
    </font>
    <font>
      <sz val="11"/>
      <color theme="0"/>
      <name val="Arial"/>
      <family val="2"/>
    </font>
    <font>
      <sz val="11"/>
      <color theme="0" tint="-0.34998626667073579"/>
      <name val="Arial"/>
      <family val="2"/>
    </font>
    <font>
      <sz val="12"/>
      <color theme="1"/>
      <name val="Arial"/>
      <family val="2"/>
    </font>
    <font>
      <u/>
      <sz val="10"/>
      <name val="Arial"/>
      <family val="2"/>
    </font>
    <font>
      <b/>
      <sz val="14"/>
      <color rgb="FFFFFFFF"/>
      <name val="Arial"/>
      <family val="2"/>
    </font>
    <font>
      <b/>
      <sz val="11"/>
      <color indexed="9"/>
      <name val="Arial"/>
      <family val="2"/>
    </font>
    <font>
      <sz val="11"/>
      <color rgb="FFFFFFFF"/>
      <name val="Arial"/>
      <family val="2"/>
    </font>
    <font>
      <sz val="11"/>
      <color rgb="FF000000"/>
      <name val="Arial"/>
      <family val="2"/>
    </font>
    <font>
      <sz val="11"/>
      <color rgb="FFFF0000"/>
      <name val="Arial"/>
      <family val="2"/>
    </font>
    <font>
      <b/>
      <sz val="14"/>
      <color theme="0"/>
      <name val="Arial"/>
      <family val="2"/>
    </font>
    <font>
      <b/>
      <sz val="11"/>
      <color rgb="FFC00000"/>
      <name val="Arial"/>
      <family val="2"/>
    </font>
    <font>
      <b/>
      <sz val="11"/>
      <name val="Arial"/>
      <family val="2"/>
    </font>
    <font>
      <b/>
      <sz val="16"/>
      <color theme="0"/>
      <name val="Arial"/>
      <family val="2"/>
    </font>
    <font>
      <b/>
      <sz val="14"/>
      <color indexed="9"/>
      <name val="Arial"/>
      <family val="2"/>
    </font>
    <font>
      <b/>
      <sz val="16"/>
      <color indexed="9"/>
      <name val="Arial"/>
      <family val="2"/>
    </font>
    <font>
      <b/>
      <sz val="11"/>
      <color rgb="FFFF0000"/>
      <name val="Arial"/>
      <family val="2"/>
    </font>
    <font>
      <b/>
      <sz val="11"/>
      <color theme="4" tint="-0.499984740745262"/>
      <name val="Arial"/>
      <family val="2"/>
    </font>
    <font>
      <b/>
      <sz val="11"/>
      <color rgb="FF000000"/>
      <name val="Arial"/>
      <family val="2"/>
    </font>
    <font>
      <sz val="14"/>
      <color theme="1"/>
      <name val="Arial"/>
      <family val="2"/>
    </font>
    <font>
      <sz val="12"/>
      <name val="Arial"/>
      <family val="2"/>
    </font>
    <font>
      <sz val="10"/>
      <name val="Arial"/>
      <family val="2"/>
    </font>
    <font>
      <b/>
      <i/>
      <sz val="11"/>
      <color theme="1"/>
      <name val="Arial"/>
      <family val="2"/>
    </font>
    <font>
      <sz val="10"/>
      <color theme="0"/>
      <name val="Arial"/>
      <family val="2"/>
    </font>
    <font>
      <sz val="8"/>
      <color theme="1"/>
      <name val="Arial"/>
      <family val="2"/>
    </font>
    <font>
      <i/>
      <sz val="14"/>
      <color theme="1"/>
      <name val="Arial"/>
      <family val="2"/>
    </font>
    <font>
      <i/>
      <sz val="12"/>
      <name val="Arial"/>
      <family val="2"/>
    </font>
    <font>
      <i/>
      <sz val="8"/>
      <color theme="1"/>
      <name val="Arial"/>
      <family val="2"/>
    </font>
    <font>
      <sz val="12"/>
      <color rgb="FF000000"/>
      <name val="Arial"/>
      <family val="2"/>
    </font>
    <font>
      <i/>
      <sz val="12"/>
      <color rgb="FF000000"/>
      <name val="Arial"/>
      <family val="2"/>
    </font>
    <font>
      <sz val="12"/>
      <color rgb="FF000000"/>
      <name val="Calibri"/>
      <family val="2"/>
    </font>
    <font>
      <sz val="11"/>
      <color theme="1"/>
      <name val="Calibri"/>
      <family val="2"/>
    </font>
    <font>
      <u/>
      <sz val="11"/>
      <color rgb="FF000000"/>
      <name val="Arial"/>
      <family val="2"/>
    </font>
    <font>
      <i/>
      <sz val="8"/>
      <color rgb="FF000000"/>
      <name val="Arial"/>
      <family val="2"/>
    </font>
    <font>
      <sz val="11"/>
      <color rgb="FF000000"/>
      <name val="Calibri"/>
      <family val="2"/>
    </font>
    <font>
      <b/>
      <sz val="10"/>
      <color rgb="FFFFFFFF"/>
      <name val="Arial"/>
      <family val="2"/>
    </font>
    <font>
      <b/>
      <sz val="10"/>
      <color rgb="FF000000"/>
      <name val="Tahoma"/>
      <family val="2"/>
    </font>
    <font>
      <b/>
      <sz val="14"/>
      <name val="Arial"/>
      <family val="2"/>
    </font>
    <font>
      <sz val="8"/>
      <name val="Calibri"/>
      <family val="2"/>
      <scheme val="minor"/>
    </font>
    <font>
      <b/>
      <sz val="9"/>
      <color indexed="81"/>
      <name val="Tahoma"/>
      <charset val="1"/>
    </font>
    <font>
      <sz val="12"/>
      <color theme="1"/>
      <name val="Arial"/>
    </font>
  </fonts>
  <fills count="31">
    <fill>
      <patternFill patternType="none"/>
    </fill>
    <fill>
      <patternFill patternType="gray125"/>
    </fill>
    <fill>
      <patternFill patternType="solid">
        <fgColor rgb="FF00A1DE"/>
        <bgColor indexed="64"/>
      </patternFill>
    </fill>
    <fill>
      <patternFill patternType="solid">
        <fgColor theme="0" tint="-0.499984740745262"/>
        <bgColor indexed="64"/>
      </patternFill>
    </fill>
    <fill>
      <patternFill patternType="solid">
        <fgColor theme="4" tint="-0.499984740745262"/>
        <bgColor rgb="FF000000"/>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1" tint="0.249977111117893"/>
        <bgColor rgb="FF000000"/>
      </patternFill>
    </fill>
    <fill>
      <patternFill patternType="solid">
        <fgColor theme="1" tint="0.34998626667073579"/>
        <bgColor rgb="FF000000"/>
      </patternFill>
    </fill>
    <fill>
      <patternFill patternType="solid">
        <fgColor theme="6" tint="-0.499984740745262"/>
        <bgColor rgb="FF000000"/>
      </patternFill>
    </fill>
    <fill>
      <patternFill patternType="solid">
        <fgColor theme="1" tint="0.34998626667073579"/>
        <bgColor indexed="64"/>
      </patternFill>
    </fill>
    <fill>
      <patternFill patternType="solid">
        <fgColor theme="4" tint="-0.249977111117893"/>
        <bgColor rgb="FF000000"/>
      </patternFill>
    </fill>
    <fill>
      <patternFill patternType="solid">
        <fgColor theme="6" tint="-0.249977111117893"/>
        <bgColor indexed="64"/>
      </patternFill>
    </fill>
    <fill>
      <patternFill patternType="solid">
        <fgColor theme="6" tint="0.79998168889431442"/>
        <bgColor indexed="64"/>
      </patternFill>
    </fill>
    <fill>
      <patternFill patternType="solid">
        <fgColor theme="1" tint="0.249977111117893"/>
        <bgColor indexed="64"/>
      </patternFill>
    </fill>
    <fill>
      <patternFill patternType="solid">
        <fgColor rgb="FF595959"/>
        <bgColor rgb="FF000000"/>
      </patternFill>
    </fill>
    <fill>
      <patternFill patternType="solid">
        <fgColor theme="4" tint="-0.499984740745262"/>
        <bgColor indexed="64"/>
      </patternFill>
    </fill>
    <fill>
      <patternFill patternType="solid">
        <fgColor theme="6" tint="-0.499984740745262"/>
        <bgColor indexed="64"/>
      </patternFill>
    </fill>
    <fill>
      <patternFill patternType="solid">
        <fgColor theme="4" tint="-0.249977111117893"/>
        <bgColor indexed="64"/>
      </patternFill>
    </fill>
    <fill>
      <patternFill patternType="solid">
        <fgColor rgb="FFF2F2F2"/>
        <bgColor rgb="FF000000"/>
      </patternFill>
    </fill>
    <fill>
      <patternFill patternType="solid">
        <fgColor rgb="FFDBE5F1"/>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92D050"/>
        <bgColor indexed="64"/>
      </patternFill>
    </fill>
    <fill>
      <patternFill patternType="solid">
        <fgColor theme="1"/>
        <bgColor indexed="64"/>
      </patternFill>
    </fill>
    <fill>
      <patternFill patternType="solid">
        <fgColor theme="1"/>
        <bgColor rgb="FF000000"/>
      </patternFill>
    </fill>
    <fill>
      <patternFill patternType="solid">
        <fgColor theme="1" tint="0.499984740745262"/>
        <bgColor indexed="64"/>
      </patternFill>
    </fill>
    <fill>
      <patternFill patternType="solid">
        <fgColor rgb="FF92D050"/>
        <bgColor rgb="FF000000"/>
      </patternFill>
    </fill>
    <fill>
      <patternFill patternType="solid">
        <fgColor rgb="FFD8E4BC"/>
        <bgColor rgb="FF000000"/>
      </patternFill>
    </fill>
    <fill>
      <patternFill patternType="solid">
        <fgColor theme="0" tint="-0.14999847407452621"/>
        <bgColor theme="0" tint="-0.14999847407452621"/>
      </patternFill>
    </fill>
  </fills>
  <borders count="3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top/>
      <bottom style="thin">
        <color auto="1"/>
      </bottom>
      <diagonal/>
    </border>
    <border>
      <left/>
      <right/>
      <top style="thin">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thin">
        <color auto="1"/>
      </right>
      <top style="thin">
        <color auto="1"/>
      </top>
      <bottom/>
      <diagonal/>
    </border>
    <border>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auto="1"/>
      </right>
      <top/>
      <bottom style="thin">
        <color auto="1"/>
      </bottom>
      <diagonal/>
    </border>
    <border>
      <left/>
      <right style="thin">
        <color auto="1"/>
      </right>
      <top/>
      <bottom/>
      <diagonal/>
    </border>
    <border>
      <left style="thin">
        <color auto="1"/>
      </left>
      <right style="medium">
        <color auto="1"/>
      </right>
      <top style="thin">
        <color auto="1"/>
      </top>
      <bottom/>
      <diagonal/>
    </border>
    <border>
      <left style="thin">
        <color auto="1"/>
      </left>
      <right style="thin">
        <color auto="1"/>
      </right>
      <top/>
      <bottom style="thin">
        <color auto="1"/>
      </bottom>
      <diagonal/>
    </border>
    <border>
      <left/>
      <right style="medium">
        <color auto="1"/>
      </right>
      <top style="thin">
        <color auto="1"/>
      </top>
      <bottom/>
      <diagonal/>
    </border>
    <border>
      <left/>
      <right style="medium">
        <color auto="1"/>
      </right>
      <top/>
      <bottom style="thin">
        <color auto="1"/>
      </bottom>
      <diagonal/>
    </border>
    <border>
      <left style="thin">
        <color theme="1"/>
      </left>
      <right/>
      <top style="thin">
        <color theme="1"/>
      </top>
      <bottom style="thin">
        <color theme="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136">
    <xf numFmtId="0" fontId="0" fillId="0" borderId="0"/>
    <xf numFmtId="0" fontId="2" fillId="0" borderId="0"/>
    <xf numFmtId="0" fontId="1"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43" fontId="9" fillId="0" borderId="0" applyFont="0" applyFill="0" applyBorder="0" applyAlignment="0" applyProtection="0"/>
  </cellStyleXfs>
  <cellXfs count="369">
    <xf numFmtId="0" fontId="0" fillId="0" borderId="0" xfId="0"/>
    <xf numFmtId="0" fontId="0" fillId="0" borderId="0" xfId="0" applyAlignment="1">
      <alignment horizontal="right"/>
    </xf>
    <xf numFmtId="0" fontId="0" fillId="0" borderId="0" xfId="0" applyAlignment="1">
      <alignment horizontal="center"/>
    </xf>
    <xf numFmtId="0" fontId="0" fillId="0" borderId="0" xfId="0" applyAlignment="1">
      <alignment wrapText="1"/>
    </xf>
    <xf numFmtId="0" fontId="4" fillId="0" borderId="0" xfId="134"/>
    <xf numFmtId="0" fontId="0" fillId="0" borderId="0" xfId="0" applyAlignment="1">
      <alignment horizontal="center"/>
    </xf>
    <xf numFmtId="0" fontId="10" fillId="0" borderId="0" xfId="0" applyFont="1"/>
    <xf numFmtId="0" fontId="13" fillId="10" borderId="0" xfId="0" applyFont="1" applyFill="1"/>
    <xf numFmtId="0" fontId="13" fillId="10" borderId="0" xfId="0" applyFont="1" applyFill="1" applyAlignment="1">
      <alignment horizontal="center"/>
    </xf>
    <xf numFmtId="0" fontId="14" fillId="0" borderId="0" xfId="0" applyFont="1"/>
    <xf numFmtId="49" fontId="14" fillId="0" borderId="0" xfId="0" applyNumberFormat="1" applyFont="1"/>
    <xf numFmtId="0" fontId="15" fillId="0" borderId="0" xfId="134" applyFont="1"/>
    <xf numFmtId="0" fontId="14" fillId="0" borderId="0" xfId="0" applyFont="1" applyAlignment="1">
      <alignment horizontal="left"/>
    </xf>
    <xf numFmtId="0" fontId="16" fillId="7" borderId="4" xfId="0" applyFont="1" applyFill="1" applyBorder="1" applyAlignment="1">
      <alignment horizontal="center" wrapText="1"/>
    </xf>
    <xf numFmtId="0" fontId="16" fillId="7" borderId="3" xfId="0" applyFont="1" applyFill="1" applyBorder="1" applyAlignment="1">
      <alignment horizontal="center" wrapText="1"/>
    </xf>
    <xf numFmtId="0" fontId="11" fillId="0" borderId="0" xfId="0" applyFont="1" applyAlignment="1">
      <alignment horizontal="right" wrapText="1"/>
    </xf>
    <xf numFmtId="165" fontId="14" fillId="0" borderId="0" xfId="135" applyNumberFormat="1" applyFont="1" applyAlignment="1">
      <alignment horizontal="center" vertical="center"/>
    </xf>
    <xf numFmtId="0" fontId="14" fillId="0" borderId="0" xfId="0" applyFont="1" applyAlignment="1">
      <alignment horizontal="center" vertical="center"/>
    </xf>
    <xf numFmtId="0" fontId="24" fillId="0" borderId="0" xfId="0" applyFont="1" applyAlignment="1">
      <alignment horizontal="right"/>
    </xf>
    <xf numFmtId="0" fontId="14" fillId="0" borderId="0" xfId="0" applyFont="1" applyAlignment="1">
      <alignment horizontal="center"/>
    </xf>
    <xf numFmtId="0" fontId="14" fillId="0" borderId="1" xfId="0" applyFont="1" applyBorder="1" applyAlignment="1">
      <alignment horizontal="center" vertical="center" wrapText="1"/>
    </xf>
    <xf numFmtId="0" fontId="14" fillId="13" borderId="1" xfId="0" applyFont="1" applyFill="1" applyBorder="1" applyAlignment="1">
      <alignment horizontal="center" vertical="center"/>
    </xf>
    <xf numFmtId="0" fontId="14" fillId="0" borderId="0" xfId="0" applyFont="1" applyAlignment="1">
      <alignment vertical="center"/>
    </xf>
    <xf numFmtId="0" fontId="20" fillId="15" borderId="1" xfId="0" applyFont="1" applyFill="1" applyBorder="1" applyAlignment="1">
      <alignment horizontal="center" wrapText="1"/>
    </xf>
    <xf numFmtId="0" fontId="14" fillId="13" borderId="1" xfId="0" applyFont="1" applyFill="1" applyBorder="1" applyAlignment="1">
      <alignment horizontal="center" vertical="center" wrapText="1"/>
    </xf>
    <xf numFmtId="0" fontId="17" fillId="13" borderId="1" xfId="0" applyFont="1" applyFill="1" applyBorder="1" applyAlignment="1">
      <alignment horizontal="center" vertical="center" wrapText="1"/>
    </xf>
    <xf numFmtId="0" fontId="14" fillId="0" borderId="0" xfId="0" applyFont="1" applyAlignment="1">
      <alignment horizontal="center" vertical="center" wrapText="1"/>
    </xf>
    <xf numFmtId="0" fontId="14" fillId="0" borderId="0" xfId="0" applyFont="1" applyAlignment="1">
      <alignment horizontal="left" vertical="top" wrapText="1"/>
    </xf>
    <xf numFmtId="0" fontId="25" fillId="0" borderId="0" xfId="0" applyFont="1"/>
    <xf numFmtId="0" fontId="14" fillId="0" borderId="0" xfId="0" applyFont="1" applyFill="1" applyBorder="1"/>
    <xf numFmtId="0" fontId="23" fillId="0" borderId="0" xfId="0" applyFont="1" applyAlignment="1">
      <alignment horizontal="center"/>
    </xf>
    <xf numFmtId="14" fontId="14" fillId="0" borderId="0" xfId="0" applyNumberFormat="1" applyFont="1"/>
    <xf numFmtId="0" fontId="14" fillId="0" borderId="1" xfId="0" applyFont="1" applyFill="1" applyBorder="1" applyAlignment="1">
      <alignment horizontal="center" vertical="center" wrapText="1"/>
    </xf>
    <xf numFmtId="0" fontId="27" fillId="0" borderId="0" xfId="0" applyFont="1"/>
    <xf numFmtId="0" fontId="23" fillId="0" borderId="1" xfId="0" applyFont="1" applyFill="1" applyBorder="1" applyAlignment="1">
      <alignment horizontal="right" vertical="center" wrapText="1"/>
    </xf>
    <xf numFmtId="0" fontId="19" fillId="0" borderId="1" xfId="0" applyFont="1" applyFill="1" applyBorder="1" applyAlignment="1">
      <alignment horizontal="center" vertical="center" wrapText="1"/>
    </xf>
    <xf numFmtId="0" fontId="23" fillId="0" borderId="2" xfId="0" applyFont="1" applyFill="1" applyBorder="1" applyAlignment="1">
      <alignment horizontal="right" vertical="center" wrapText="1"/>
    </xf>
    <xf numFmtId="0" fontId="11" fillId="0" borderId="0" xfId="0" applyFont="1"/>
    <xf numFmtId="0" fontId="28" fillId="0" borderId="0" xfId="134" applyFont="1" applyFill="1"/>
    <xf numFmtId="0" fontId="25" fillId="10" borderId="13" xfId="0" applyFont="1" applyFill="1" applyBorder="1" applyAlignment="1">
      <alignment horizontal="left"/>
    </xf>
    <xf numFmtId="0" fontId="32" fillId="6" borderId="1" xfId="0" applyFont="1" applyFill="1" applyBorder="1" applyAlignment="1">
      <alignment horizontal="left" vertical="top" wrapText="1"/>
    </xf>
    <xf numFmtId="0" fontId="32" fillId="19" borderId="14" xfId="0" applyFont="1" applyFill="1" applyBorder="1" applyAlignment="1">
      <alignment horizontal="left" vertical="top" wrapText="1"/>
    </xf>
    <xf numFmtId="0" fontId="14" fillId="3" borderId="1" xfId="0" applyFont="1" applyFill="1" applyBorder="1" applyAlignment="1">
      <alignment horizontal="center"/>
    </xf>
    <xf numFmtId="164" fontId="14" fillId="6" borderId="1" xfId="0" applyNumberFormat="1" applyFont="1" applyFill="1" applyBorder="1" applyAlignment="1">
      <alignment horizontal="left" vertical="top"/>
    </xf>
    <xf numFmtId="0" fontId="14" fillId="0" borderId="0" xfId="0" applyFont="1" applyAlignment="1">
      <alignment horizontal="right"/>
    </xf>
    <xf numFmtId="0" fontId="14" fillId="0" borderId="4" xfId="0" applyFont="1" applyBorder="1" applyAlignment="1">
      <alignment vertical="center" wrapText="1"/>
    </xf>
    <xf numFmtId="9" fontId="14" fillId="0" borderId="4" xfId="0" applyNumberFormat="1" applyFont="1" applyBorder="1" applyAlignment="1">
      <alignment horizontal="left" vertical="center" wrapText="1"/>
    </xf>
    <xf numFmtId="14" fontId="14" fillId="0" borderId="4" xfId="0" applyNumberFormat="1" applyFont="1" applyBorder="1" applyAlignment="1">
      <alignment horizontal="left" vertical="center" wrapText="1"/>
    </xf>
    <xf numFmtId="9" fontId="14" fillId="0" borderId="4" xfId="0" applyNumberFormat="1" applyFont="1" applyBorder="1" applyAlignment="1">
      <alignment vertical="center" wrapText="1"/>
    </xf>
    <xf numFmtId="9" fontId="19" fillId="0" borderId="4" xfId="0" applyNumberFormat="1" applyFont="1" applyBorder="1" applyAlignment="1">
      <alignment horizontal="left" vertical="center" wrapText="1"/>
    </xf>
    <xf numFmtId="14" fontId="33" fillId="0" borderId="4" xfId="0" applyNumberFormat="1" applyFont="1" applyBorder="1" applyAlignment="1">
      <alignment horizontal="left" vertical="center" wrapText="1"/>
    </xf>
    <xf numFmtId="164" fontId="32" fillId="19" borderId="14" xfId="0" applyNumberFormat="1" applyFont="1" applyFill="1" applyBorder="1" applyAlignment="1">
      <alignment horizontal="left" vertical="top" wrapText="1"/>
    </xf>
    <xf numFmtId="0" fontId="31" fillId="8" borderId="1" xfId="0" applyFont="1" applyFill="1" applyBorder="1" applyAlignment="1">
      <alignment horizontal="left"/>
    </xf>
    <xf numFmtId="0" fontId="25" fillId="10" borderId="1" xfId="0" applyFont="1" applyFill="1" applyBorder="1" applyAlignment="1">
      <alignment horizontal="left"/>
    </xf>
    <xf numFmtId="0" fontId="25" fillId="10" borderId="2" xfId="0" applyFont="1" applyFill="1" applyBorder="1" applyAlignment="1">
      <alignment horizontal="left"/>
    </xf>
    <xf numFmtId="0" fontId="12" fillId="8" borderId="1" xfId="0" applyFont="1" applyFill="1" applyBorder="1" applyAlignment="1">
      <alignment horizontal="left"/>
    </xf>
    <xf numFmtId="0" fontId="12" fillId="11" borderId="1" xfId="0" applyFont="1" applyFill="1" applyBorder="1" applyAlignment="1">
      <alignment horizontal="left"/>
    </xf>
    <xf numFmtId="0" fontId="12" fillId="18" borderId="1" xfId="0" applyFont="1" applyFill="1" applyBorder="1" applyAlignment="1">
      <alignment horizontal="left" wrapText="1"/>
    </xf>
    <xf numFmtId="0" fontId="12" fillId="12" borderId="1" xfId="0" applyFont="1" applyFill="1" applyBorder="1" applyAlignment="1">
      <alignment horizontal="left" wrapText="1"/>
    </xf>
    <xf numFmtId="0" fontId="12" fillId="10" borderId="1" xfId="0" applyFont="1" applyFill="1" applyBorder="1" applyAlignment="1">
      <alignment horizontal="left" wrapText="1"/>
    </xf>
    <xf numFmtId="0" fontId="12" fillId="10" borderId="2" xfId="0" applyFont="1" applyFill="1" applyBorder="1" applyAlignment="1">
      <alignment horizontal="left"/>
    </xf>
    <xf numFmtId="0" fontId="14" fillId="3" borderId="1" xfId="0" applyFont="1" applyFill="1" applyBorder="1" applyAlignment="1">
      <alignment horizontal="center" vertical="center" wrapText="1"/>
    </xf>
    <xf numFmtId="0" fontId="37" fillId="10" borderId="0" xfId="0" applyFont="1" applyFill="1"/>
    <xf numFmtId="0" fontId="29" fillId="7" borderId="2" xfId="0" applyFont="1" applyFill="1" applyBorder="1" applyAlignment="1">
      <alignment horizontal="left" wrapText="1"/>
    </xf>
    <xf numFmtId="0" fontId="14" fillId="5" borderId="1" xfId="0" applyFont="1" applyFill="1" applyBorder="1" applyAlignment="1">
      <alignment horizontal="center" vertical="center"/>
    </xf>
    <xf numFmtId="0" fontId="14" fillId="3" borderId="1" xfId="0" applyFont="1" applyFill="1" applyBorder="1" applyAlignment="1">
      <alignment horizontal="center" vertical="center"/>
    </xf>
    <xf numFmtId="0" fontId="14" fillId="13" borderId="1" xfId="0" applyNumberFormat="1" applyFont="1" applyFill="1" applyBorder="1" applyAlignment="1">
      <alignment horizontal="center" vertical="center"/>
    </xf>
    <xf numFmtId="0" fontId="32" fillId="6" borderId="4" xfId="0" applyFont="1" applyFill="1" applyBorder="1" applyAlignment="1">
      <alignment horizontal="left" vertical="top" wrapText="1"/>
    </xf>
    <xf numFmtId="0" fontId="12" fillId="11" borderId="1" xfId="0" applyFont="1" applyFill="1" applyBorder="1" applyAlignment="1">
      <alignment horizontal="center"/>
    </xf>
    <xf numFmtId="0" fontId="12" fillId="18" borderId="1" xfId="0" applyFont="1" applyFill="1" applyBorder="1" applyAlignment="1">
      <alignment horizontal="center" wrapText="1"/>
    </xf>
    <xf numFmtId="0" fontId="12" fillId="12" borderId="1" xfId="0" applyFont="1" applyFill="1" applyBorder="1" applyAlignment="1">
      <alignment horizontal="center" wrapText="1"/>
    </xf>
    <xf numFmtId="0" fontId="14" fillId="3" borderId="1" xfId="0" applyNumberFormat="1" applyFont="1" applyFill="1" applyBorder="1" applyAlignment="1">
      <alignment horizontal="center"/>
    </xf>
    <xf numFmtId="164" fontId="14" fillId="0" borderId="0" xfId="0" applyNumberFormat="1" applyFont="1"/>
    <xf numFmtId="0" fontId="14" fillId="21" borderId="2" xfId="0" applyFont="1" applyFill="1" applyBorder="1" applyAlignment="1">
      <alignment horizontal="left" vertical="top"/>
    </xf>
    <xf numFmtId="0" fontId="14" fillId="21" borderId="4" xfId="0" applyFont="1" applyFill="1" applyBorder="1" applyAlignment="1">
      <alignment horizontal="left" vertical="top"/>
    </xf>
    <xf numFmtId="0" fontId="14" fillId="21" borderId="3" xfId="0" applyFont="1" applyFill="1" applyBorder="1" applyAlignment="1">
      <alignment horizontal="left" vertical="top"/>
    </xf>
    <xf numFmtId="0" fontId="14" fillId="21" borderId="2" xfId="0" applyFont="1" applyFill="1" applyBorder="1" applyAlignment="1">
      <alignment horizontal="left" vertical="top" wrapText="1"/>
    </xf>
    <xf numFmtId="0" fontId="14" fillId="21" borderId="4" xfId="0" applyFont="1" applyFill="1" applyBorder="1" applyAlignment="1">
      <alignment horizontal="left" vertical="top" wrapText="1"/>
    </xf>
    <xf numFmtId="0" fontId="14" fillId="21" borderId="0" xfId="0" applyFont="1" applyFill="1" applyAlignment="1">
      <alignment horizontal="left" vertical="top" wrapText="1"/>
    </xf>
    <xf numFmtId="0" fontId="14" fillId="21" borderId="0" xfId="0" applyFont="1" applyFill="1" applyAlignment="1">
      <alignment horizontal="left" vertical="top"/>
    </xf>
    <xf numFmtId="0" fontId="14" fillId="5" borderId="1" xfId="0" applyFont="1" applyFill="1" applyBorder="1" applyAlignment="1">
      <alignment vertical="center" wrapText="1"/>
    </xf>
    <xf numFmtId="0" fontId="14" fillId="13" borderId="1" xfId="0" applyFont="1" applyFill="1" applyBorder="1" applyAlignment="1">
      <alignment vertical="center" wrapText="1"/>
    </xf>
    <xf numFmtId="0" fontId="17" fillId="13" borderId="1" xfId="0" applyNumberFormat="1" applyFont="1" applyFill="1" applyBorder="1" applyAlignment="1">
      <alignment horizontal="center" vertical="center" wrapText="1"/>
    </xf>
    <xf numFmtId="0" fontId="14" fillId="6" borderId="1" xfId="0" applyFont="1" applyFill="1" applyBorder="1" applyAlignment="1">
      <alignment vertical="center"/>
    </xf>
    <xf numFmtId="0" fontId="14" fillId="6" borderId="1" xfId="0" applyFont="1" applyFill="1" applyBorder="1" applyAlignment="1">
      <alignment horizontal="left" vertical="center" wrapText="1"/>
    </xf>
    <xf numFmtId="0" fontId="14" fillId="6" borderId="2" xfId="0" applyFont="1" applyFill="1" applyBorder="1" applyAlignment="1">
      <alignment vertical="center" wrapText="1"/>
    </xf>
    <xf numFmtId="0" fontId="17" fillId="5" borderId="1" xfId="0" applyNumberFormat="1" applyFont="1" applyFill="1" applyBorder="1" applyAlignment="1">
      <alignment horizontal="center" vertical="center" wrapText="1"/>
    </xf>
    <xf numFmtId="0" fontId="14" fillId="6" borderId="1" xfId="0" applyFont="1" applyFill="1" applyBorder="1" applyAlignment="1">
      <alignment vertical="center" wrapText="1"/>
    </xf>
    <xf numFmtId="49" fontId="17" fillId="13" borderId="1" xfId="0" applyNumberFormat="1" applyFont="1" applyFill="1" applyBorder="1" applyAlignment="1">
      <alignment horizontal="right" vertical="center" wrapText="1"/>
    </xf>
    <xf numFmtId="49" fontId="17" fillId="13" borderId="1" xfId="0" applyNumberFormat="1" applyFont="1" applyFill="1" applyBorder="1" applyAlignment="1">
      <alignment horizontal="center" vertical="center" wrapText="1"/>
    </xf>
    <xf numFmtId="0" fontId="14" fillId="6" borderId="2" xfId="0" applyFont="1" applyFill="1" applyBorder="1" applyAlignment="1">
      <alignment wrapText="1"/>
    </xf>
    <xf numFmtId="0" fontId="17" fillId="13" borderId="1" xfId="0" applyFont="1" applyFill="1" applyBorder="1" applyAlignment="1">
      <alignment horizontal="right" vertical="center" wrapText="1"/>
    </xf>
    <xf numFmtId="3" fontId="14" fillId="6" borderId="1" xfId="0" applyNumberFormat="1" applyFont="1" applyFill="1" applyBorder="1" applyAlignment="1">
      <alignment horizontal="left" vertical="center" wrapText="1"/>
    </xf>
    <xf numFmtId="0" fontId="17" fillId="13" borderId="8" xfId="0" applyNumberFormat="1" applyFont="1" applyFill="1" applyBorder="1" applyAlignment="1">
      <alignment horizontal="center" vertical="center" wrapText="1"/>
    </xf>
    <xf numFmtId="164" fontId="25" fillId="10" borderId="13" xfId="0" applyNumberFormat="1" applyFont="1" applyFill="1" applyBorder="1" applyAlignment="1">
      <alignment horizontal="left"/>
    </xf>
    <xf numFmtId="0" fontId="14" fillId="0" borderId="0" xfId="0" applyFont="1" applyAlignment="1">
      <alignment vertical="center" wrapText="1"/>
    </xf>
    <xf numFmtId="9" fontId="14" fillId="0" borderId="0" xfId="0" applyNumberFormat="1" applyFont="1" applyAlignment="1">
      <alignment horizontal="left" vertical="center" wrapText="1"/>
    </xf>
    <xf numFmtId="14" fontId="14" fillId="0" borderId="0" xfId="0" applyNumberFormat="1" applyFont="1" applyAlignment="1">
      <alignment horizontal="left" vertical="center" wrapText="1"/>
    </xf>
    <xf numFmtId="164" fontId="32" fillId="6" borderId="20" xfId="0" quotePrefix="1" applyNumberFormat="1" applyFont="1" applyFill="1" applyBorder="1" applyAlignment="1">
      <alignment horizontal="left" vertical="top" wrapText="1"/>
    </xf>
    <xf numFmtId="0" fontId="31" fillId="7" borderId="7" xfId="0" applyFont="1" applyFill="1" applyBorder="1"/>
    <xf numFmtId="0" fontId="31" fillId="7" borderId="10" xfId="0" applyFont="1" applyFill="1" applyBorder="1"/>
    <xf numFmtId="164" fontId="32" fillId="6" borderId="14" xfId="0" quotePrefix="1" applyNumberFormat="1" applyFont="1" applyFill="1" applyBorder="1" applyAlignment="1">
      <alignment horizontal="left" vertical="top" wrapText="1"/>
    </xf>
    <xf numFmtId="0" fontId="32" fillId="21" borderId="1" xfId="0" applyFont="1" applyFill="1" applyBorder="1" applyAlignment="1">
      <alignment horizontal="left" vertical="top" wrapText="1"/>
    </xf>
    <xf numFmtId="0" fontId="32" fillId="19" borderId="17" xfId="0" applyFont="1" applyFill="1" applyBorder="1" applyAlignment="1">
      <alignment horizontal="left" vertical="top" wrapText="1"/>
    </xf>
    <xf numFmtId="0" fontId="32" fillId="21" borderId="0" xfId="0" applyFont="1" applyFill="1" applyAlignment="1">
      <alignment horizontal="left" vertical="top" wrapText="1"/>
    </xf>
    <xf numFmtId="9" fontId="14" fillId="0" borderId="21" xfId="0" applyNumberFormat="1" applyFont="1" applyBorder="1" applyAlignment="1">
      <alignment vertical="center" wrapText="1"/>
    </xf>
    <xf numFmtId="0" fontId="14" fillId="5" borderId="1" xfId="0" applyFont="1" applyFill="1" applyBorder="1" applyAlignment="1">
      <alignment horizontal="center" vertical="center" wrapText="1"/>
    </xf>
    <xf numFmtId="0" fontId="17" fillId="5" borderId="1" xfId="0" applyFont="1" applyFill="1" applyBorder="1" applyAlignment="1">
      <alignment horizontal="center" vertical="center" wrapText="1"/>
    </xf>
    <xf numFmtId="0" fontId="31" fillId="4" borderId="2" xfId="0" applyFont="1" applyFill="1" applyBorder="1" applyAlignment="1">
      <alignment horizontal="center"/>
    </xf>
    <xf numFmtId="0" fontId="14" fillId="5" borderId="5" xfId="0" applyFont="1" applyFill="1" applyBorder="1" applyAlignment="1">
      <alignment vertical="center" wrapText="1"/>
    </xf>
    <xf numFmtId="0" fontId="32" fillId="6" borderId="8" xfId="0" applyFont="1" applyFill="1" applyBorder="1" applyAlignment="1">
      <alignment vertical="center"/>
    </xf>
    <xf numFmtId="0" fontId="32" fillId="6" borderId="8" xfId="0" applyFont="1" applyFill="1" applyBorder="1" applyAlignment="1">
      <alignment horizontal="left" vertical="center" wrapText="1"/>
    </xf>
    <xf numFmtId="0" fontId="17" fillId="10" borderId="5" xfId="0" applyNumberFormat="1" applyFont="1" applyFill="1" applyBorder="1" applyAlignment="1">
      <alignment horizontal="center" vertical="center" wrapText="1"/>
    </xf>
    <xf numFmtId="49" fontId="17" fillId="10" borderId="5" xfId="0" applyNumberFormat="1" applyFont="1" applyFill="1" applyBorder="1" applyAlignment="1">
      <alignment horizontal="center" vertical="center" wrapText="1"/>
    </xf>
    <xf numFmtId="49" fontId="32" fillId="6" borderId="8" xfId="0" applyNumberFormat="1" applyFont="1" applyFill="1" applyBorder="1" applyAlignment="1">
      <alignment horizontal="left" vertical="center" wrapText="1"/>
    </xf>
    <xf numFmtId="0" fontId="17" fillId="13" borderId="8" xfId="0" applyFont="1" applyFill="1" applyBorder="1" applyAlignment="1">
      <alignment horizontal="right" vertical="center" wrapText="1"/>
    </xf>
    <xf numFmtId="0" fontId="17" fillId="13" borderId="8" xfId="0" applyFont="1" applyFill="1" applyBorder="1" applyAlignment="1">
      <alignment horizontal="center" vertical="center" wrapText="1"/>
    </xf>
    <xf numFmtId="164" fontId="32" fillId="6" borderId="14" xfId="0" applyNumberFormat="1" applyFont="1" applyFill="1" applyBorder="1" applyAlignment="1">
      <alignment horizontal="left" vertical="top" wrapText="1"/>
    </xf>
    <xf numFmtId="164" fontId="14" fillId="0" borderId="14" xfId="0" applyNumberFormat="1" applyFont="1" applyBorder="1" applyAlignment="1">
      <alignment vertical="center" wrapText="1"/>
    </xf>
    <xf numFmtId="0" fontId="31" fillId="7" borderId="2" xfId="0" applyFont="1" applyFill="1" applyBorder="1"/>
    <xf numFmtId="0" fontId="31" fillId="7" borderId="4" xfId="0" applyFont="1" applyFill="1" applyBorder="1"/>
    <xf numFmtId="0" fontId="14" fillId="0" borderId="0" xfId="0" applyFont="1" applyAlignment="1">
      <alignment horizontal="left" vertical="center" wrapText="1"/>
    </xf>
    <xf numFmtId="14" fontId="33" fillId="0" borderId="0" xfId="0" applyNumberFormat="1" applyFont="1" applyAlignment="1">
      <alignment horizontal="left" vertical="center" wrapText="1"/>
    </xf>
    <xf numFmtId="164" fontId="32" fillId="6" borderId="15" xfId="0" applyNumberFormat="1" applyFont="1" applyFill="1" applyBorder="1" applyAlignment="1">
      <alignment horizontal="left" vertical="top" wrapText="1"/>
    </xf>
    <xf numFmtId="0" fontId="14" fillId="5" borderId="5" xfId="0" applyFont="1" applyFill="1" applyBorder="1" applyAlignment="1">
      <alignment horizontal="center" vertical="center" wrapText="1"/>
    </xf>
    <xf numFmtId="0" fontId="17" fillId="5" borderId="5" xfId="0" applyFont="1" applyFill="1" applyBorder="1" applyAlignment="1">
      <alignment horizontal="center" vertical="center" wrapText="1"/>
    </xf>
    <xf numFmtId="0" fontId="14" fillId="13" borderId="5" xfId="0" applyFont="1" applyFill="1" applyBorder="1" applyAlignment="1">
      <alignment horizontal="center" vertical="center" wrapText="1"/>
    </xf>
    <xf numFmtId="0" fontId="14" fillId="6" borderId="1" xfId="0" applyFont="1" applyFill="1" applyBorder="1" applyAlignment="1">
      <alignment horizontal="left" vertical="center"/>
    </xf>
    <xf numFmtId="0" fontId="32" fillId="6" borderId="8" xfId="0" applyFont="1" applyFill="1" applyBorder="1" applyAlignment="1">
      <alignment horizontal="left" vertical="center"/>
    </xf>
    <xf numFmtId="0" fontId="32" fillId="6" borderId="10" xfId="0" applyFont="1" applyFill="1" applyBorder="1" applyAlignment="1">
      <alignment horizontal="left" vertical="center" wrapText="1"/>
    </xf>
    <xf numFmtId="0" fontId="32" fillId="6" borderId="1" xfId="0" applyFont="1" applyFill="1" applyBorder="1" applyAlignment="1">
      <alignment horizontal="left" vertical="center"/>
    </xf>
    <xf numFmtId="0" fontId="32" fillId="6" borderId="2" xfId="0" applyFont="1" applyFill="1" applyBorder="1" applyAlignment="1">
      <alignment horizontal="left" vertical="center" wrapText="1"/>
    </xf>
    <xf numFmtId="0" fontId="14" fillId="3" borderId="1" xfId="0" applyNumberFormat="1" applyFont="1" applyFill="1" applyBorder="1" applyAlignment="1">
      <alignment horizontal="center" vertical="center"/>
    </xf>
    <xf numFmtId="0" fontId="32" fillId="19" borderId="14" xfId="0" applyFont="1" applyFill="1" applyBorder="1" applyAlignment="1">
      <alignment horizontal="left" vertical="center" wrapText="1"/>
    </xf>
    <xf numFmtId="164" fontId="14" fillId="6" borderId="1" xfId="0" applyNumberFormat="1" applyFont="1" applyFill="1" applyBorder="1" applyAlignment="1">
      <alignment horizontal="left" vertical="center"/>
    </xf>
    <xf numFmtId="0" fontId="14" fillId="0" borderId="0" xfId="0" applyFont="1" applyAlignment="1">
      <alignment horizontal="left" vertical="center"/>
    </xf>
    <xf numFmtId="0" fontId="33" fillId="0" borderId="0" xfId="0" applyFont="1"/>
    <xf numFmtId="0" fontId="14" fillId="13" borderId="1" xfId="0" applyNumberFormat="1" applyFont="1" applyFill="1" applyBorder="1" applyAlignment="1">
      <alignment horizontal="center" vertical="center" wrapText="1"/>
    </xf>
    <xf numFmtId="0" fontId="14" fillId="3" borderId="5" xfId="0" applyFont="1" applyFill="1" applyBorder="1" applyAlignment="1">
      <alignment horizontal="center" vertical="center" wrapText="1"/>
    </xf>
    <xf numFmtId="0" fontId="32" fillId="6" borderId="14" xfId="0" applyFont="1" applyFill="1" applyBorder="1" applyAlignment="1">
      <alignment horizontal="left" vertical="top" wrapText="1"/>
    </xf>
    <xf numFmtId="0" fontId="12" fillId="3" borderId="2" xfId="0" applyFont="1" applyFill="1" applyBorder="1" applyAlignment="1">
      <alignment vertical="center"/>
    </xf>
    <xf numFmtId="0" fontId="12" fillId="3" borderId="4" xfId="0" applyFont="1" applyFill="1" applyBorder="1" applyAlignment="1">
      <alignment vertical="center"/>
    </xf>
    <xf numFmtId="164" fontId="32" fillId="6" borderId="1" xfId="0" quotePrefix="1" applyNumberFormat="1" applyFont="1" applyFill="1" applyBorder="1" applyAlignment="1">
      <alignment horizontal="left" vertical="top" wrapText="1"/>
    </xf>
    <xf numFmtId="0" fontId="12" fillId="3" borderId="4" xfId="0" applyFont="1" applyFill="1" applyBorder="1" applyAlignment="1">
      <alignment horizontal="center" vertical="center"/>
    </xf>
    <xf numFmtId="164" fontId="32" fillId="6" borderId="19" xfId="0" quotePrefix="1" applyNumberFormat="1" applyFont="1" applyFill="1" applyBorder="1" applyAlignment="1">
      <alignment horizontal="left" vertical="top" wrapText="1"/>
    </xf>
    <xf numFmtId="49" fontId="14" fillId="0" borderId="0" xfId="0" applyNumberFormat="1" applyFont="1" applyAlignment="1">
      <alignment horizontal="right" vertical="center" wrapText="1"/>
    </xf>
    <xf numFmtId="49" fontId="14" fillId="0" borderId="0" xfId="0" applyNumberFormat="1" applyFont="1" applyAlignment="1">
      <alignment horizontal="center" vertical="center" wrapText="1"/>
    </xf>
    <xf numFmtId="0" fontId="14" fillId="0" borderId="0" xfId="0" applyFont="1" applyAlignment="1">
      <alignment horizontal="right" vertical="center" wrapText="1"/>
    </xf>
    <xf numFmtId="0" fontId="32" fillId="6" borderId="5" xfId="0" applyFont="1" applyFill="1" applyBorder="1" applyAlignment="1">
      <alignment horizontal="left" vertical="top" wrapText="1"/>
    </xf>
    <xf numFmtId="0" fontId="12" fillId="3" borderId="4" xfId="0" applyFont="1" applyFill="1" applyBorder="1" applyAlignment="1">
      <alignment horizontal="left" vertical="center"/>
    </xf>
    <xf numFmtId="0" fontId="14" fillId="6" borderId="5" xfId="0" applyFont="1" applyFill="1" applyBorder="1" applyAlignment="1">
      <alignment horizontal="left" vertical="center"/>
    </xf>
    <xf numFmtId="0" fontId="14" fillId="6" borderId="5" xfId="0" applyFont="1" applyFill="1" applyBorder="1" applyAlignment="1">
      <alignment horizontal="left" vertical="center" wrapText="1"/>
    </xf>
    <xf numFmtId="0" fontId="14" fillId="6" borderId="6" xfId="0" applyFont="1" applyFill="1" applyBorder="1" applyAlignment="1">
      <alignment horizontal="left" vertical="center" wrapText="1"/>
    </xf>
    <xf numFmtId="164" fontId="32" fillId="6" borderId="14" xfId="0" quotePrefix="1" applyNumberFormat="1" applyFont="1" applyFill="1" applyBorder="1" applyAlignment="1">
      <alignment horizontal="left" vertical="center" wrapText="1"/>
    </xf>
    <xf numFmtId="164" fontId="32" fillId="6" borderId="1" xfId="0" quotePrefix="1" applyNumberFormat="1" applyFont="1" applyFill="1" applyBorder="1" applyAlignment="1">
      <alignment horizontal="left" vertical="center" wrapText="1"/>
    </xf>
    <xf numFmtId="164" fontId="32" fillId="6" borderId="19" xfId="0" quotePrefix="1" applyNumberFormat="1" applyFont="1" applyFill="1" applyBorder="1" applyAlignment="1">
      <alignment horizontal="left" vertical="center" wrapText="1"/>
    </xf>
    <xf numFmtId="0" fontId="14" fillId="6" borderId="14" xfId="0" applyFont="1" applyFill="1" applyBorder="1" applyAlignment="1">
      <alignment horizontal="left" vertical="top" wrapText="1"/>
    </xf>
    <xf numFmtId="164" fontId="14" fillId="6" borderId="14" xfId="0" applyNumberFormat="1" applyFont="1" applyFill="1" applyBorder="1" applyAlignment="1">
      <alignment horizontal="left" vertical="top" wrapText="1"/>
    </xf>
    <xf numFmtId="0" fontId="32" fillId="6" borderId="3" xfId="0" applyFont="1" applyFill="1" applyBorder="1" applyAlignment="1">
      <alignment horizontal="left" vertical="center" wrapText="1"/>
    </xf>
    <xf numFmtId="0" fontId="32" fillId="6" borderId="14" xfId="0" quotePrefix="1" applyNumberFormat="1" applyFont="1" applyFill="1" applyBorder="1" applyAlignment="1">
      <alignment horizontal="left" vertical="top" wrapText="1"/>
    </xf>
    <xf numFmtId="0" fontId="14" fillId="0" borderId="11" xfId="0" applyFont="1" applyBorder="1" applyAlignment="1">
      <alignment vertical="center" wrapText="1"/>
    </xf>
    <xf numFmtId="0" fontId="14" fillId="0" borderId="11" xfId="0" applyFont="1" applyBorder="1" applyAlignment="1">
      <alignment horizontal="left" vertical="center" wrapText="1"/>
    </xf>
    <xf numFmtId="14" fontId="14" fillId="0" borderId="11" xfId="0" applyNumberFormat="1" applyFont="1" applyBorder="1" applyAlignment="1">
      <alignment horizontal="left" vertical="center" wrapText="1"/>
    </xf>
    <xf numFmtId="0" fontId="32" fillId="6" borderId="3" xfId="0" applyFont="1" applyFill="1" applyBorder="1" applyAlignment="1">
      <alignment horizontal="left" vertical="center"/>
    </xf>
    <xf numFmtId="0" fontId="32" fillId="6" borderId="4" xfId="0" applyFont="1" applyFill="1" applyBorder="1" applyAlignment="1">
      <alignment horizontal="left" vertical="center" wrapText="1"/>
    </xf>
    <xf numFmtId="0" fontId="14" fillId="6" borderId="22" xfId="0" applyFont="1" applyFill="1" applyBorder="1" applyAlignment="1">
      <alignment horizontal="left" vertical="center" wrapText="1"/>
    </xf>
    <xf numFmtId="0" fontId="14" fillId="6" borderId="14" xfId="0" applyFont="1" applyFill="1" applyBorder="1" applyAlignment="1">
      <alignment horizontal="left" vertical="center" wrapText="1"/>
    </xf>
    <xf numFmtId="0" fontId="14" fillId="6" borderId="14" xfId="0" quotePrefix="1" applyFont="1" applyFill="1" applyBorder="1" applyAlignment="1">
      <alignment horizontal="left" vertical="center" wrapText="1"/>
    </xf>
    <xf numFmtId="0" fontId="25" fillId="0" borderId="0" xfId="0" applyFont="1" applyAlignment="1">
      <alignment wrapText="1"/>
    </xf>
    <xf numFmtId="0" fontId="14" fillId="21" borderId="11" xfId="0" applyFont="1" applyFill="1" applyBorder="1" applyAlignment="1">
      <alignment horizontal="left" vertical="top"/>
    </xf>
    <xf numFmtId="0" fontId="14" fillId="21" borderId="11" xfId="0" applyFont="1" applyFill="1" applyBorder="1" applyAlignment="1">
      <alignment horizontal="left" vertical="top" wrapText="1"/>
    </xf>
    <xf numFmtId="0" fontId="17" fillId="5" borderId="5" xfId="0" applyFont="1" applyFill="1" applyBorder="1" applyAlignment="1">
      <alignment horizontal="right" vertical="center" wrapText="1"/>
    </xf>
    <xf numFmtId="0" fontId="19" fillId="6" borderId="10" xfId="0" applyFont="1" applyFill="1" applyBorder="1" applyAlignment="1">
      <alignment vertical="center" wrapText="1"/>
    </xf>
    <xf numFmtId="164" fontId="32" fillId="6" borderId="1" xfId="0" applyNumberFormat="1" applyFont="1" applyFill="1" applyBorder="1" applyAlignment="1">
      <alignment horizontal="left" vertical="top" wrapText="1"/>
    </xf>
    <xf numFmtId="0" fontId="32" fillId="6" borderId="15" xfId="0" applyFont="1" applyFill="1" applyBorder="1" applyAlignment="1">
      <alignment horizontal="left" vertical="top" wrapText="1"/>
    </xf>
    <xf numFmtId="0" fontId="30" fillId="21" borderId="0" xfId="0" applyFont="1" applyFill="1" applyAlignment="1">
      <alignment horizontal="left" vertical="center" wrapText="1"/>
    </xf>
    <xf numFmtId="0" fontId="32" fillId="6" borderId="2" xfId="0" applyFont="1" applyFill="1" applyBorder="1" applyAlignment="1">
      <alignment horizontal="left" vertical="top" wrapText="1"/>
    </xf>
    <xf numFmtId="9" fontId="14" fillId="0" borderId="4" xfId="0" applyNumberFormat="1" applyFont="1" applyBorder="1" applyAlignment="1">
      <alignment horizontal="center" vertical="center" wrapText="1"/>
    </xf>
    <xf numFmtId="0" fontId="20" fillId="7" borderId="2" xfId="0" applyFont="1" applyFill="1" applyBorder="1"/>
    <xf numFmtId="0" fontId="14" fillId="5" borderId="1" xfId="0" applyNumberFormat="1" applyFont="1" applyFill="1" applyBorder="1" applyAlignment="1">
      <alignment horizontal="center" vertical="center" wrapText="1"/>
    </xf>
    <xf numFmtId="0" fontId="30" fillId="21" borderId="10" xfId="0" applyFont="1" applyFill="1" applyBorder="1" applyAlignment="1">
      <alignment horizontal="left" vertical="center" wrapText="1"/>
    </xf>
    <xf numFmtId="0" fontId="20" fillId="7" borderId="1" xfId="0" applyFont="1" applyFill="1" applyBorder="1"/>
    <xf numFmtId="0" fontId="12" fillId="10" borderId="1" xfId="0" applyFont="1" applyFill="1" applyBorder="1" applyAlignment="1">
      <alignment horizontal="left"/>
    </xf>
    <xf numFmtId="0" fontId="32" fillId="19" borderId="1" xfId="0" applyFont="1" applyFill="1" applyBorder="1" applyAlignment="1">
      <alignment horizontal="left" vertical="top" wrapText="1"/>
    </xf>
    <xf numFmtId="164" fontId="32" fillId="19" borderId="1" xfId="0" applyNumberFormat="1" applyFont="1" applyFill="1" applyBorder="1" applyAlignment="1">
      <alignment horizontal="left" vertical="top" wrapText="1"/>
    </xf>
    <xf numFmtId="0" fontId="25" fillId="7" borderId="10" xfId="0" applyFont="1" applyFill="1" applyBorder="1"/>
    <xf numFmtId="0" fontId="42" fillId="0" borderId="2" xfId="0" applyFont="1" applyBorder="1" applyAlignment="1">
      <alignment horizontal="left" vertical="top" wrapText="1"/>
    </xf>
    <xf numFmtId="49" fontId="14" fillId="3" borderId="1" xfId="0" applyNumberFormat="1" applyFont="1" applyFill="1" applyBorder="1" applyAlignment="1">
      <alignment horizontal="center" vertical="center"/>
    </xf>
    <xf numFmtId="0" fontId="38" fillId="25" borderId="1" xfId="0" applyFont="1" applyFill="1" applyBorder="1" applyAlignment="1">
      <alignment vertical="center"/>
    </xf>
    <xf numFmtId="0" fontId="30" fillId="25" borderId="1" xfId="0" applyFont="1" applyFill="1" applyBorder="1" applyAlignment="1">
      <alignment vertical="center" wrapText="1"/>
    </xf>
    <xf numFmtId="164" fontId="32" fillId="6" borderId="17" xfId="0" quotePrefix="1" applyNumberFormat="1" applyFont="1" applyFill="1" applyBorder="1" applyAlignment="1">
      <alignment horizontal="left" vertical="top" wrapText="1"/>
    </xf>
    <xf numFmtId="164" fontId="32" fillId="6" borderId="18" xfId="0" quotePrefix="1" applyNumberFormat="1" applyFont="1" applyFill="1" applyBorder="1" applyAlignment="1">
      <alignment horizontal="left" vertical="top" wrapText="1"/>
    </xf>
    <xf numFmtId="0" fontId="17" fillId="20" borderId="1" xfId="0" applyNumberFormat="1" applyFont="1" applyFill="1" applyBorder="1" applyAlignment="1">
      <alignment horizontal="center" vertical="center"/>
    </xf>
    <xf numFmtId="0" fontId="17" fillId="13" borderId="3" xfId="0" applyNumberFormat="1" applyFont="1" applyFill="1" applyBorder="1" applyAlignment="1">
      <alignment horizontal="center" vertical="center"/>
    </xf>
    <xf numFmtId="0" fontId="42" fillId="6" borderId="10" xfId="0" applyFont="1" applyFill="1" applyBorder="1" applyAlignment="1">
      <alignment horizontal="left" vertical="center" wrapText="1"/>
    </xf>
    <xf numFmtId="0" fontId="25" fillId="10" borderId="5" xfId="0" applyFont="1" applyFill="1" applyBorder="1" applyAlignment="1">
      <alignment horizontal="left"/>
    </xf>
    <xf numFmtId="0" fontId="32" fillId="6" borderId="13" xfId="0" quotePrefix="1" applyFont="1" applyFill="1" applyBorder="1" applyAlignment="1">
      <alignment horizontal="left" vertical="top" wrapText="1"/>
    </xf>
    <xf numFmtId="0" fontId="32" fillId="6" borderId="14" xfId="0" quotePrefix="1" applyFont="1" applyFill="1" applyBorder="1" applyAlignment="1">
      <alignment horizontal="left" vertical="top" wrapText="1"/>
    </xf>
    <xf numFmtId="0" fontId="32" fillId="6" borderId="15" xfId="0" quotePrefix="1" applyFont="1" applyFill="1" applyBorder="1" applyAlignment="1">
      <alignment horizontal="left" vertical="top" wrapText="1"/>
    </xf>
    <xf numFmtId="0" fontId="12" fillId="3" borderId="4" xfId="0" applyNumberFormat="1" applyFont="1" applyFill="1" applyBorder="1" applyAlignment="1">
      <alignment horizontal="center" vertical="center"/>
    </xf>
    <xf numFmtId="0" fontId="14" fillId="3" borderId="1" xfId="0" applyNumberFormat="1" applyFont="1" applyFill="1" applyBorder="1" applyAlignment="1">
      <alignment horizontal="center" vertical="center" wrapText="1"/>
    </xf>
    <xf numFmtId="0" fontId="14" fillId="10" borderId="0" xfId="0" applyFont="1" applyFill="1"/>
    <xf numFmtId="0" fontId="43" fillId="0" borderId="0" xfId="0" applyFont="1"/>
    <xf numFmtId="0" fontId="22" fillId="0" borderId="0" xfId="0" applyFont="1" applyAlignment="1">
      <alignment horizontal="right"/>
    </xf>
    <xf numFmtId="0" fontId="27" fillId="24" borderId="1" xfId="0" applyFont="1" applyFill="1" applyBorder="1" applyAlignment="1" applyProtection="1">
      <alignment horizontal="center"/>
      <protection locked="0"/>
    </xf>
    <xf numFmtId="0" fontId="34" fillId="23" borderId="1" xfId="0" applyFont="1" applyFill="1" applyBorder="1" applyAlignment="1">
      <alignment horizontal="center" vertical="center"/>
    </xf>
    <xf numFmtId="0" fontId="18" fillId="0" borderId="0" xfId="0" applyFont="1"/>
    <xf numFmtId="0" fontId="45" fillId="0" borderId="1" xfId="0" applyFont="1" applyFill="1" applyBorder="1" applyAlignment="1">
      <alignment horizontal="center" vertical="center" wrapText="1"/>
    </xf>
    <xf numFmtId="0" fontId="10" fillId="0" borderId="0" xfId="0" applyFont="1" applyBorder="1"/>
    <xf numFmtId="0" fontId="46" fillId="0" borderId="0" xfId="0" applyFont="1"/>
    <xf numFmtId="0" fontId="47" fillId="27" borderId="0" xfId="0" applyFont="1" applyFill="1" applyAlignment="1">
      <alignment horizontal="center" vertical="center"/>
    </xf>
    <xf numFmtId="0" fontId="19" fillId="0" borderId="1" xfId="0" applyFont="1" applyFill="1" applyBorder="1" applyAlignment="1" applyProtection="1">
      <alignment horizontal="center" vertical="center" wrapText="1"/>
      <protection locked="0"/>
    </xf>
    <xf numFmtId="0" fontId="19" fillId="24" borderId="1" xfId="0" applyFont="1" applyFill="1" applyBorder="1" applyAlignment="1" applyProtection="1">
      <alignment horizontal="center" vertical="center" wrapText="1"/>
      <protection locked="0"/>
    </xf>
    <xf numFmtId="0" fontId="0" fillId="0" borderId="1" xfId="0" applyBorder="1" applyProtection="1">
      <protection locked="0"/>
    </xf>
    <xf numFmtId="0" fontId="14" fillId="0" borderId="1" xfId="0" applyFont="1" applyBorder="1" applyProtection="1">
      <protection locked="0"/>
    </xf>
    <xf numFmtId="0" fontId="27" fillId="0" borderId="0" xfId="0" applyFont="1" applyFill="1" applyBorder="1" applyAlignment="1" applyProtection="1">
      <alignment horizontal="center" vertical="center"/>
      <protection locked="0"/>
    </xf>
    <xf numFmtId="0" fontId="48" fillId="0" borderId="0" xfId="0" applyFont="1" applyAlignment="1">
      <alignment horizontal="left" vertical="top"/>
    </xf>
    <xf numFmtId="14" fontId="48" fillId="0" borderId="0" xfId="0" applyNumberFormat="1" applyFont="1" applyAlignment="1">
      <alignment horizontal="left" vertical="top"/>
    </xf>
    <xf numFmtId="0" fontId="48" fillId="0" borderId="0" xfId="0" applyFont="1" applyAlignment="1">
      <alignment horizontal="left" vertical="top" wrapText="1"/>
    </xf>
    <xf numFmtId="0" fontId="36" fillId="24" borderId="12" xfId="0" applyFont="1" applyFill="1" applyBorder="1"/>
    <xf numFmtId="0" fontId="45" fillId="0" borderId="0" xfId="0" applyFont="1" applyAlignment="1">
      <alignment wrapText="1"/>
    </xf>
    <xf numFmtId="0" fontId="27" fillId="24" borderId="1" xfId="0" applyFont="1" applyFill="1" applyBorder="1" applyAlignment="1" applyProtection="1">
      <alignment horizontal="center" vertical="center"/>
      <protection locked="0"/>
    </xf>
    <xf numFmtId="0" fontId="51" fillId="0" borderId="0" xfId="0" applyFont="1"/>
    <xf numFmtId="0" fontId="32" fillId="0" borderId="0" xfId="0" applyFont="1"/>
    <xf numFmtId="0" fontId="50" fillId="28" borderId="1" xfId="0" applyFont="1" applyFill="1" applyBorder="1" applyAlignment="1" applyProtection="1">
      <alignment horizontal="center"/>
      <protection locked="0"/>
    </xf>
    <xf numFmtId="0" fontId="44" fillId="29" borderId="1" xfId="0" applyFont="1" applyFill="1" applyBorder="1" applyAlignment="1" applyProtection="1">
      <alignment horizontal="center"/>
      <protection locked="0"/>
    </xf>
    <xf numFmtId="0" fontId="52" fillId="0" borderId="0" xfId="0" applyFont="1"/>
    <xf numFmtId="0" fontId="53" fillId="28" borderId="1" xfId="0" applyFont="1" applyFill="1" applyBorder="1" applyAlignment="1" applyProtection="1">
      <alignment horizontal="right"/>
      <protection locked="0"/>
    </xf>
    <xf numFmtId="0" fontId="52" fillId="29" borderId="1" xfId="0" applyFont="1" applyFill="1" applyBorder="1" applyProtection="1">
      <protection locked="0"/>
    </xf>
    <xf numFmtId="0" fontId="54" fillId="0" borderId="0" xfId="0" applyFont="1"/>
    <xf numFmtId="0" fontId="55" fillId="0" borderId="0" xfId="0" applyFont="1"/>
    <xf numFmtId="0" fontId="56" fillId="0" borderId="0" xfId="134" applyFont="1" applyFill="1" applyBorder="1"/>
    <xf numFmtId="0" fontId="52" fillId="29" borderId="1" xfId="0" applyFont="1" applyFill="1" applyBorder="1" applyAlignment="1" applyProtection="1">
      <alignment horizontal="center"/>
      <protection locked="0"/>
    </xf>
    <xf numFmtId="0" fontId="57" fillId="0" borderId="0" xfId="0" applyFont="1" applyAlignment="1">
      <alignment horizontal="center"/>
    </xf>
    <xf numFmtId="0" fontId="57" fillId="0" borderId="0" xfId="0" applyFont="1" applyAlignment="1">
      <alignment horizontal="left"/>
    </xf>
    <xf numFmtId="0" fontId="19" fillId="0" borderId="0" xfId="0" applyFont="1" applyAlignment="1">
      <alignment horizontal="right"/>
    </xf>
    <xf numFmtId="0" fontId="58" fillId="0" borderId="0" xfId="0" applyFont="1" applyAlignment="1">
      <alignment horizontal="right"/>
    </xf>
    <xf numFmtId="0" fontId="10" fillId="0" borderId="0" xfId="135" applyNumberFormat="1" applyFont="1" applyAlignment="1">
      <alignment horizontal="center" vertical="center" wrapText="1"/>
    </xf>
    <xf numFmtId="14" fontId="10" fillId="0" borderId="0" xfId="0" applyNumberFormat="1" applyFont="1" applyAlignment="1">
      <alignment horizontal="center" vertical="center"/>
    </xf>
    <xf numFmtId="0" fontId="45" fillId="0" borderId="0" xfId="0" applyFont="1" applyFill="1" applyBorder="1" applyAlignment="1">
      <alignment horizontal="center" vertical="center" wrapText="1"/>
    </xf>
    <xf numFmtId="0" fontId="59" fillId="26" borderId="23" xfId="0" applyFont="1" applyFill="1" applyBorder="1" applyAlignment="1">
      <alignment horizontal="left" vertical="top"/>
    </xf>
    <xf numFmtId="0" fontId="14" fillId="0" borderId="0" xfId="0" applyFont="1" applyFill="1" applyAlignment="1">
      <alignment horizontal="left" vertical="top" wrapText="1"/>
    </xf>
    <xf numFmtId="0" fontId="11" fillId="30" borderId="26" xfId="0" applyFont="1" applyFill="1" applyBorder="1" applyAlignment="1">
      <alignment horizontal="right" wrapText="1"/>
    </xf>
    <xf numFmtId="0" fontId="11" fillId="0" borderId="26" xfId="0" applyFont="1" applyBorder="1" applyAlignment="1">
      <alignment horizontal="right" wrapText="1"/>
    </xf>
    <xf numFmtId="0" fontId="24" fillId="0" borderId="26" xfId="0" applyFont="1" applyBorder="1" applyAlignment="1">
      <alignment horizontal="right"/>
    </xf>
    <xf numFmtId="0" fontId="24" fillId="30" borderId="26" xfId="0" applyFont="1" applyFill="1" applyBorder="1" applyAlignment="1">
      <alignment horizontal="right"/>
    </xf>
    <xf numFmtId="0" fontId="23" fillId="0" borderId="0" xfId="0" applyFont="1" applyAlignment="1">
      <alignment horizontal="center" vertical="center"/>
    </xf>
    <xf numFmtId="0" fontId="18" fillId="0" borderId="0" xfId="0" applyFont="1" applyFill="1" applyAlignment="1">
      <alignment horizontal="right"/>
    </xf>
    <xf numFmtId="0" fontId="10" fillId="0" borderId="0" xfId="0" applyFont="1" applyFill="1" applyAlignment="1">
      <alignment horizontal="right"/>
    </xf>
    <xf numFmtId="0" fontId="20" fillId="15" borderId="23" xfId="0" applyFont="1" applyFill="1" applyBorder="1" applyAlignment="1">
      <alignment horizontal="center" vertical="center" wrapText="1"/>
    </xf>
    <xf numFmtId="0" fontId="20" fillId="15" borderId="7" xfId="0" applyFont="1" applyFill="1" applyBorder="1" applyAlignment="1">
      <alignment horizontal="center" vertical="center" wrapText="1"/>
    </xf>
    <xf numFmtId="0" fontId="36" fillId="0" borderId="0" xfId="0" applyFont="1" applyAlignment="1">
      <alignment horizontal="right"/>
    </xf>
    <xf numFmtId="0" fontId="22" fillId="0" borderId="0" xfId="0" applyFont="1" applyAlignment="1">
      <alignment horizontal="right" wrapText="1"/>
    </xf>
    <xf numFmtId="0" fontId="42" fillId="0" borderId="0" xfId="0" applyFont="1" applyFill="1" applyBorder="1"/>
    <xf numFmtId="0" fontId="26" fillId="0" borderId="0" xfId="0" applyFont="1" applyFill="1" applyBorder="1"/>
    <xf numFmtId="0" fontId="44" fillId="13" borderId="0" xfId="0" applyFont="1" applyFill="1" applyBorder="1" applyAlignment="1" applyProtection="1">
      <alignment horizontal="left"/>
      <protection locked="0"/>
    </xf>
    <xf numFmtId="0" fontId="3" fillId="25" borderId="9" xfId="0" applyFont="1" applyFill="1" applyBorder="1" applyAlignment="1">
      <alignment vertical="center"/>
    </xf>
    <xf numFmtId="0" fontId="30" fillId="25" borderId="0" xfId="0" applyFont="1" applyFill="1" applyAlignment="1">
      <alignment vertical="center"/>
    </xf>
    <xf numFmtId="0" fontId="30" fillId="25" borderId="9" xfId="0" applyFont="1" applyFill="1" applyBorder="1" applyAlignment="1">
      <alignment vertical="center"/>
    </xf>
    <xf numFmtId="164" fontId="32" fillId="25" borderId="14" xfId="0" quotePrefix="1" applyNumberFormat="1" applyFont="1" applyFill="1" applyBorder="1" applyAlignment="1">
      <alignment horizontal="left" vertical="top" wrapText="1"/>
    </xf>
    <xf numFmtId="0" fontId="27" fillId="0" borderId="0" xfId="0" applyFont="1" applyFill="1" applyBorder="1" applyAlignment="1" applyProtection="1">
      <alignment horizontal="center" vertical="center" wrapText="1"/>
      <protection locked="0"/>
    </xf>
    <xf numFmtId="0" fontId="22" fillId="0" borderId="0" xfId="0" applyFont="1" applyAlignment="1">
      <alignment horizontal="right" vertical="center"/>
    </xf>
    <xf numFmtId="0" fontId="49" fillId="0" borderId="0" xfId="0" applyFont="1" applyAlignment="1">
      <alignment horizontal="right" vertical="center"/>
    </xf>
    <xf numFmtId="0" fontId="12" fillId="10" borderId="2" xfId="0" applyFont="1" applyFill="1" applyBorder="1" applyAlignment="1">
      <alignment horizontal="left" wrapText="1"/>
    </xf>
    <xf numFmtId="0" fontId="11" fillId="0" borderId="0" xfId="0" applyFont="1" applyAlignment="1">
      <alignment horizontal="right"/>
    </xf>
    <xf numFmtId="49" fontId="14" fillId="13" borderId="1" xfId="0" applyNumberFormat="1" applyFont="1" applyFill="1" applyBorder="1" applyAlignment="1">
      <alignment horizontal="center" vertical="center" wrapText="1"/>
    </xf>
    <xf numFmtId="0" fontId="14" fillId="13" borderId="8" xfId="0" applyNumberFormat="1" applyFont="1" applyFill="1" applyBorder="1" applyAlignment="1">
      <alignment horizontal="center" vertical="center" wrapText="1"/>
    </xf>
    <xf numFmtId="0" fontId="14" fillId="5" borderId="3" xfId="0" applyFont="1" applyFill="1" applyBorder="1" applyAlignment="1">
      <alignment horizontal="center" vertical="center" wrapText="1"/>
    </xf>
    <xf numFmtId="0" fontId="14" fillId="5" borderId="8" xfId="0" applyFont="1" applyFill="1" applyBorder="1" applyAlignment="1">
      <alignment horizontal="center" vertical="center" wrapText="1"/>
    </xf>
    <xf numFmtId="49" fontId="14" fillId="5" borderId="1" xfId="0" applyNumberFormat="1" applyFont="1" applyFill="1" applyBorder="1" applyAlignment="1">
      <alignment horizontal="center" vertical="center" wrapText="1"/>
    </xf>
    <xf numFmtId="0" fontId="64" fillId="0" borderId="0" xfId="0" applyFont="1" applyAlignment="1" applyProtection="1">
      <alignment horizontal="center" vertical="center" wrapText="1"/>
      <protection locked="0"/>
    </xf>
    <xf numFmtId="0" fontId="27" fillId="0" borderId="0" xfId="0" applyFont="1" applyAlignment="1" applyProtection="1">
      <alignment horizontal="center" vertical="center" wrapText="1"/>
      <protection locked="0"/>
    </xf>
    <xf numFmtId="0" fontId="14" fillId="6" borderId="2" xfId="0" applyFont="1" applyFill="1" applyBorder="1" applyAlignment="1">
      <alignment horizontal="left" vertical="top" wrapText="1"/>
    </xf>
    <xf numFmtId="0" fontId="14" fillId="6" borderId="4" xfId="0" applyFont="1" applyFill="1" applyBorder="1" applyAlignment="1">
      <alignment horizontal="left" vertical="top" wrapText="1"/>
    </xf>
    <xf numFmtId="0" fontId="14" fillId="6" borderId="4" xfId="0" applyFont="1" applyFill="1" applyBorder="1" applyAlignment="1">
      <alignment horizontal="left" vertical="top"/>
    </xf>
    <xf numFmtId="0" fontId="14" fillId="6" borderId="2" xfId="0" applyFont="1" applyFill="1" applyBorder="1" applyAlignment="1">
      <alignment horizontal="left" vertical="top"/>
    </xf>
    <xf numFmtId="0" fontId="14" fillId="6" borderId="3" xfId="0" applyFont="1" applyFill="1" applyBorder="1" applyAlignment="1">
      <alignment horizontal="left" vertical="top"/>
    </xf>
    <xf numFmtId="0" fontId="21" fillId="15" borderId="1" xfId="0" applyFont="1" applyFill="1" applyBorder="1" applyAlignment="1">
      <alignment horizontal="left"/>
    </xf>
    <xf numFmtId="0" fontId="31" fillId="4" borderId="1" xfId="0" applyFont="1" applyFill="1" applyBorder="1" applyAlignment="1">
      <alignment horizontal="left"/>
    </xf>
    <xf numFmtId="0" fontId="14" fillId="16" borderId="1" xfId="0" applyFont="1" applyFill="1" applyBorder="1" applyAlignment="1">
      <alignment horizontal="left"/>
    </xf>
    <xf numFmtId="0" fontId="31" fillId="9" borderId="1" xfId="0" applyFont="1" applyFill="1" applyBorder="1" applyAlignment="1">
      <alignment horizontal="left"/>
    </xf>
    <xf numFmtId="0" fontId="14" fillId="17" borderId="1" xfId="0" applyFont="1" applyFill="1" applyBorder="1" applyAlignment="1">
      <alignment horizontal="left"/>
    </xf>
    <xf numFmtId="0" fontId="14" fillId="6" borderId="1" xfId="0" applyFont="1" applyFill="1" applyBorder="1" applyAlignment="1">
      <alignment horizontal="left" vertical="top" wrapText="1"/>
    </xf>
    <xf numFmtId="0" fontId="14" fillId="6" borderId="17" xfId="0" applyFont="1" applyFill="1" applyBorder="1" applyAlignment="1">
      <alignment horizontal="left" vertical="top" wrapText="1"/>
    </xf>
    <xf numFmtId="0" fontId="14" fillId="6" borderId="1" xfId="0" applyFont="1" applyFill="1" applyBorder="1" applyAlignment="1">
      <alignment horizontal="left" vertical="top"/>
    </xf>
    <xf numFmtId="0" fontId="14" fillId="6" borderId="2" xfId="0" applyFont="1" applyFill="1" applyBorder="1" applyAlignment="1">
      <alignment horizontal="left" vertical="center"/>
    </xf>
    <xf numFmtId="0" fontId="14" fillId="6" borderId="2" xfId="0" applyFont="1" applyFill="1" applyBorder="1" applyAlignment="1">
      <alignment horizontal="left" vertical="center" wrapText="1"/>
    </xf>
    <xf numFmtId="0" fontId="27" fillId="0" borderId="0" xfId="0" applyFont="1" applyAlignment="1">
      <alignment horizontal="center" vertical="center"/>
    </xf>
    <xf numFmtId="0" fontId="34" fillId="14" borderId="28" xfId="0" applyFont="1" applyFill="1" applyBorder="1" applyAlignment="1">
      <alignment horizontal="center" vertical="center" wrapText="1"/>
    </xf>
    <xf numFmtId="0" fontId="34" fillId="14" borderId="29" xfId="0" applyFont="1" applyFill="1" applyBorder="1" applyAlignment="1">
      <alignment horizontal="center" vertical="center" wrapText="1"/>
    </xf>
    <xf numFmtId="0" fontId="29" fillId="7" borderId="27" xfId="0" applyFont="1" applyFill="1" applyBorder="1" applyAlignment="1">
      <alignment horizontal="center" vertical="center"/>
    </xf>
    <xf numFmtId="0" fontId="29" fillId="7" borderId="28" xfId="0" applyFont="1" applyFill="1" applyBorder="1" applyAlignment="1">
      <alignment horizontal="center" vertical="center"/>
    </xf>
    <xf numFmtId="0" fontId="61" fillId="22" borderId="28" xfId="0" applyFont="1" applyFill="1" applyBorder="1" applyAlignment="1">
      <alignment horizontal="center" vertical="center" wrapText="1"/>
    </xf>
    <xf numFmtId="0" fontId="61" fillId="22" borderId="31" xfId="0" applyFont="1" applyFill="1" applyBorder="1" applyAlignment="1">
      <alignment horizontal="center" vertical="center"/>
    </xf>
    <xf numFmtId="0" fontId="61" fillId="22" borderId="32" xfId="0" applyFont="1" applyFill="1" applyBorder="1" applyAlignment="1">
      <alignment horizontal="center" vertical="center"/>
    </xf>
    <xf numFmtId="0" fontId="61" fillId="22" borderId="30" xfId="0" applyFont="1" applyFill="1" applyBorder="1" applyAlignment="1">
      <alignment horizontal="center" vertical="center"/>
    </xf>
    <xf numFmtId="0" fontId="20" fillId="7" borderId="2" xfId="0" applyFont="1" applyFill="1" applyBorder="1" applyAlignment="1">
      <alignment horizontal="left"/>
    </xf>
    <xf numFmtId="0" fontId="20" fillId="7" borderId="4" xfId="0" applyFont="1" applyFill="1" applyBorder="1" applyAlignment="1">
      <alignment horizontal="left"/>
    </xf>
    <xf numFmtId="0" fontId="20" fillId="7" borderId="3" xfId="0" applyFont="1" applyFill="1" applyBorder="1" applyAlignment="1">
      <alignment horizontal="left"/>
    </xf>
    <xf numFmtId="0" fontId="10" fillId="0" borderId="11" xfId="0" applyFont="1" applyBorder="1" applyAlignment="1">
      <alignment horizontal="left" vertical="top" wrapText="1"/>
    </xf>
    <xf numFmtId="0" fontId="14" fillId="6" borderId="2" xfId="0" applyFont="1" applyFill="1" applyBorder="1" applyAlignment="1">
      <alignment horizontal="left" vertical="top"/>
    </xf>
    <xf numFmtId="0" fontId="14" fillId="6" borderId="4" xfId="0" applyFont="1" applyFill="1" applyBorder="1" applyAlignment="1">
      <alignment horizontal="left" vertical="top"/>
    </xf>
    <xf numFmtId="0" fontId="14" fillId="6" borderId="3" xfId="0" applyFont="1" applyFill="1" applyBorder="1" applyAlignment="1">
      <alignment horizontal="left" vertical="top"/>
    </xf>
    <xf numFmtId="0" fontId="31" fillId="4" borderId="1" xfId="0" applyFont="1" applyFill="1" applyBorder="1" applyAlignment="1">
      <alignment horizontal="left"/>
    </xf>
    <xf numFmtId="0" fontId="14" fillId="16" borderId="1" xfId="0" applyFont="1" applyFill="1" applyBorder="1" applyAlignment="1">
      <alignment horizontal="left"/>
    </xf>
    <xf numFmtId="0" fontId="31" fillId="9" borderId="1" xfId="0" applyFont="1" applyFill="1" applyBorder="1" applyAlignment="1">
      <alignment horizontal="left"/>
    </xf>
    <xf numFmtId="0" fontId="14" fillId="17" borderId="1" xfId="0" applyFont="1" applyFill="1" applyBorder="1" applyAlignment="1">
      <alignment horizontal="left"/>
    </xf>
    <xf numFmtId="0" fontId="20" fillId="7" borderId="1" xfId="0" applyFont="1" applyFill="1" applyBorder="1" applyAlignment="1">
      <alignment horizontal="left"/>
    </xf>
    <xf numFmtId="0" fontId="22" fillId="14" borderId="1" xfId="0" applyFont="1" applyFill="1" applyBorder="1" applyAlignment="1">
      <alignment horizontal="left"/>
    </xf>
    <xf numFmtId="0" fontId="22" fillId="14" borderId="2" xfId="0" applyFont="1" applyFill="1" applyBorder="1" applyAlignment="1">
      <alignment horizontal="left"/>
    </xf>
    <xf numFmtId="0" fontId="14" fillId="6" borderId="2" xfId="0" applyFont="1" applyFill="1" applyBorder="1" applyAlignment="1">
      <alignment horizontal="left" vertical="top" wrapText="1"/>
    </xf>
    <xf numFmtId="0" fontId="14" fillId="6" borderId="4" xfId="0" applyFont="1" applyFill="1" applyBorder="1" applyAlignment="1">
      <alignment horizontal="left" vertical="top" wrapText="1"/>
    </xf>
    <xf numFmtId="0" fontId="21" fillId="15" borderId="1" xfId="0" applyFont="1" applyFill="1" applyBorder="1" applyAlignment="1">
      <alignment horizontal="left"/>
    </xf>
    <xf numFmtId="0" fontId="14" fillId="0" borderId="1" xfId="0" applyFont="1" applyBorder="1" applyAlignment="1">
      <alignment horizontal="left"/>
    </xf>
    <xf numFmtId="0" fontId="14" fillId="0" borderId="2" xfId="0" applyFont="1" applyBorder="1" applyAlignment="1">
      <alignment horizontal="left"/>
    </xf>
    <xf numFmtId="0" fontId="38" fillId="25" borderId="9" xfId="0" applyFont="1" applyFill="1" applyBorder="1" applyAlignment="1">
      <alignment horizontal="left" vertical="center" wrapText="1"/>
    </xf>
    <xf numFmtId="0" fontId="38" fillId="25" borderId="0" xfId="0" applyFont="1" applyFill="1" applyAlignment="1">
      <alignment horizontal="left" vertical="center" wrapText="1"/>
    </xf>
    <xf numFmtId="0" fontId="20" fillId="7" borderId="9" xfId="0" applyFont="1" applyFill="1" applyBorder="1" applyAlignment="1">
      <alignment horizontal="left"/>
    </xf>
    <xf numFmtId="0" fontId="20" fillId="7" borderId="0" xfId="0" applyFont="1" applyFill="1" applyAlignment="1">
      <alignment horizontal="left"/>
    </xf>
    <xf numFmtId="0" fontId="32" fillId="19" borderId="2" xfId="0" applyFont="1" applyFill="1" applyBorder="1" applyAlignment="1">
      <alignment horizontal="left" vertical="top" wrapText="1"/>
    </xf>
    <xf numFmtId="0" fontId="32" fillId="19" borderId="4" xfId="0" applyFont="1" applyFill="1" applyBorder="1" applyAlignment="1">
      <alignment horizontal="left" vertical="top" wrapText="1"/>
    </xf>
    <xf numFmtId="0" fontId="32" fillId="19" borderId="3" xfId="0" applyFont="1" applyFill="1" applyBorder="1" applyAlignment="1">
      <alignment horizontal="left" vertical="top" wrapText="1"/>
    </xf>
    <xf numFmtId="0" fontId="14" fillId="0" borderId="21" xfId="0" applyFont="1" applyBorder="1" applyAlignment="1">
      <alignment horizontal="center"/>
    </xf>
    <xf numFmtId="0" fontId="38" fillId="25" borderId="1" xfId="0" applyFont="1" applyFill="1" applyBorder="1" applyAlignment="1">
      <alignment horizontal="left" vertical="center" wrapText="1"/>
    </xf>
    <xf numFmtId="0" fontId="14" fillId="6" borderId="6" xfId="0" applyFont="1" applyFill="1" applyBorder="1" applyAlignment="1">
      <alignment horizontal="left" vertical="top" wrapText="1"/>
    </xf>
    <xf numFmtId="0" fontId="14" fillId="6" borderId="11" xfId="0" applyFont="1" applyFill="1" applyBorder="1" applyAlignment="1">
      <alignment horizontal="left" vertical="top" wrapText="1"/>
    </xf>
    <xf numFmtId="0" fontId="14" fillId="6" borderId="24" xfId="0" applyFont="1" applyFill="1" applyBorder="1" applyAlignment="1">
      <alignment horizontal="left" vertical="top" wrapText="1"/>
    </xf>
    <xf numFmtId="0" fontId="14" fillId="6" borderId="7" xfId="0" applyFont="1" applyFill="1" applyBorder="1" applyAlignment="1">
      <alignment horizontal="left" vertical="top" wrapText="1"/>
    </xf>
    <xf numFmtId="0" fontId="14" fillId="6" borderId="10" xfId="0" applyFont="1" applyFill="1" applyBorder="1" applyAlignment="1">
      <alignment horizontal="left" vertical="top" wrapText="1"/>
    </xf>
    <xf numFmtId="0" fontId="14" fillId="6" borderId="25" xfId="0" applyFont="1" applyFill="1" applyBorder="1" applyAlignment="1">
      <alignment horizontal="left" vertical="top" wrapText="1"/>
    </xf>
    <xf numFmtId="0" fontId="14" fillId="6" borderId="1" xfId="0" applyFont="1" applyFill="1" applyBorder="1" applyAlignment="1">
      <alignment horizontal="left" vertical="top" wrapText="1"/>
    </xf>
    <xf numFmtId="0" fontId="14" fillId="6" borderId="17" xfId="0" applyFont="1" applyFill="1" applyBorder="1" applyAlignment="1">
      <alignment horizontal="left" vertical="top" wrapText="1"/>
    </xf>
    <xf numFmtId="0" fontId="14" fillId="6" borderId="3" xfId="0" applyFont="1" applyFill="1" applyBorder="1" applyAlignment="1">
      <alignment horizontal="left" vertical="top" wrapText="1"/>
    </xf>
    <xf numFmtId="0" fontId="14" fillId="6" borderId="1" xfId="0" applyFont="1" applyFill="1" applyBorder="1" applyAlignment="1">
      <alignment horizontal="left" vertical="top"/>
    </xf>
    <xf numFmtId="0" fontId="38" fillId="25" borderId="2" xfId="0" applyFont="1" applyFill="1" applyBorder="1" applyAlignment="1">
      <alignment horizontal="left" vertical="center" wrapText="1"/>
    </xf>
    <xf numFmtId="0" fontId="38" fillId="25" borderId="4" xfId="0" applyFont="1" applyFill="1" applyBorder="1" applyAlignment="1">
      <alignment horizontal="left" vertical="center" wrapText="1"/>
    </xf>
    <xf numFmtId="0" fontId="38" fillId="25" borderId="3" xfId="0" applyFont="1" applyFill="1" applyBorder="1" applyAlignment="1">
      <alignment horizontal="left" vertical="center" wrapText="1"/>
    </xf>
    <xf numFmtId="0" fontId="31" fillId="9" borderId="2" xfId="0" applyFont="1" applyFill="1" applyBorder="1" applyAlignment="1">
      <alignment horizontal="center"/>
    </xf>
    <xf numFmtId="0" fontId="31" fillId="9" borderId="4" xfId="0" applyFont="1" applyFill="1" applyBorder="1" applyAlignment="1">
      <alignment horizontal="center"/>
    </xf>
    <xf numFmtId="0" fontId="31" fillId="9" borderId="3" xfId="0" applyFont="1" applyFill="1" applyBorder="1" applyAlignment="1">
      <alignment horizontal="center"/>
    </xf>
    <xf numFmtId="0" fontId="20" fillId="7" borderId="16" xfId="0" applyFont="1" applyFill="1" applyBorder="1" applyAlignment="1">
      <alignment horizontal="left"/>
    </xf>
    <xf numFmtId="0" fontId="39" fillId="25" borderId="2" xfId="0" applyFont="1" applyFill="1" applyBorder="1" applyAlignment="1">
      <alignment horizontal="left" vertical="center" wrapText="1"/>
    </xf>
    <xf numFmtId="0" fontId="39" fillId="25" borderId="4" xfId="0" applyFont="1" applyFill="1" applyBorder="1" applyAlignment="1">
      <alignment horizontal="left" vertical="center" wrapText="1"/>
    </xf>
    <xf numFmtId="0" fontId="39" fillId="25" borderId="3" xfId="0" applyFont="1" applyFill="1" applyBorder="1" applyAlignment="1">
      <alignment horizontal="left" vertical="center" wrapText="1"/>
    </xf>
    <xf numFmtId="0" fontId="21" fillId="15" borderId="2" xfId="0" applyFont="1" applyFill="1" applyBorder="1" applyAlignment="1">
      <alignment horizontal="left"/>
    </xf>
    <xf numFmtId="0" fontId="21" fillId="15" borderId="4" xfId="0" applyFont="1" applyFill="1" applyBorder="1" applyAlignment="1">
      <alignment horizontal="left"/>
    </xf>
    <xf numFmtId="0" fontId="21" fillId="15" borderId="17" xfId="0" applyFont="1" applyFill="1" applyBorder="1" applyAlignment="1">
      <alignment horizontal="left"/>
    </xf>
    <xf numFmtId="0" fontId="21" fillId="15" borderId="3" xfId="0" applyFont="1" applyFill="1" applyBorder="1" applyAlignment="1">
      <alignment horizontal="left"/>
    </xf>
    <xf numFmtId="0" fontId="31" fillId="4" borderId="2" xfId="0" applyFont="1" applyFill="1" applyBorder="1" applyAlignment="1">
      <alignment horizontal="left"/>
    </xf>
    <xf numFmtId="0" fontId="31" fillId="4" borderId="4" xfId="0" applyFont="1" applyFill="1" applyBorder="1" applyAlignment="1">
      <alignment horizontal="left"/>
    </xf>
    <xf numFmtId="0" fontId="31" fillId="4" borderId="3" xfId="0" applyFont="1" applyFill="1" applyBorder="1" applyAlignment="1">
      <alignment horizontal="left"/>
    </xf>
    <xf numFmtId="0" fontId="31" fillId="9" borderId="2" xfId="0" applyFont="1" applyFill="1" applyBorder="1" applyAlignment="1">
      <alignment horizontal="left"/>
    </xf>
    <xf numFmtId="0" fontId="31" fillId="9" borderId="4" xfId="0" applyFont="1" applyFill="1" applyBorder="1" applyAlignment="1">
      <alignment horizontal="left"/>
    </xf>
    <xf numFmtId="0" fontId="31" fillId="9" borderId="3" xfId="0" applyFont="1" applyFill="1" applyBorder="1" applyAlignment="1">
      <alignment horizontal="left"/>
    </xf>
    <xf numFmtId="0" fontId="3" fillId="25" borderId="1" xfId="0" applyFont="1" applyFill="1" applyBorder="1" applyAlignment="1">
      <alignment horizontal="left" vertical="center" wrapText="1"/>
    </xf>
    <xf numFmtId="0" fontId="41" fillId="0" borderId="4" xfId="0" applyFont="1" applyBorder="1" applyAlignment="1">
      <alignment horizontal="center" vertical="center" wrapText="1"/>
    </xf>
    <xf numFmtId="0" fontId="30" fillId="2" borderId="2" xfId="0" applyFont="1" applyFill="1" applyBorder="1" applyAlignment="1">
      <alignment horizontal="left" vertical="center" wrapText="1"/>
    </xf>
    <xf numFmtId="0" fontId="30" fillId="2" borderId="4" xfId="0" applyFont="1" applyFill="1" applyBorder="1" applyAlignment="1">
      <alignment horizontal="left" vertical="center" wrapText="1"/>
    </xf>
    <xf numFmtId="0" fontId="30" fillId="2" borderId="3" xfId="0" applyFont="1" applyFill="1" applyBorder="1" applyAlignment="1">
      <alignment horizontal="left" vertical="center" wrapText="1"/>
    </xf>
    <xf numFmtId="0" fontId="31" fillId="7" borderId="6" xfId="0" applyFont="1" applyFill="1" applyBorder="1" applyAlignment="1">
      <alignment horizontal="left"/>
    </xf>
    <xf numFmtId="0" fontId="31" fillId="7" borderId="11" xfId="0" applyFont="1" applyFill="1" applyBorder="1" applyAlignment="1">
      <alignment horizontal="left"/>
    </xf>
    <xf numFmtId="0" fontId="31" fillId="7" borderId="16" xfId="0" applyFont="1" applyFill="1" applyBorder="1" applyAlignment="1">
      <alignment horizontal="left"/>
    </xf>
    <xf numFmtId="0" fontId="23" fillId="6" borderId="1" xfId="0" applyFont="1" applyFill="1" applyBorder="1" applyAlignment="1">
      <alignment horizontal="left" vertical="top" wrapText="1"/>
    </xf>
    <xf numFmtId="0" fontId="23" fillId="6" borderId="2" xfId="0" applyFont="1" applyFill="1" applyBorder="1" applyAlignment="1">
      <alignment horizontal="left" vertical="top" wrapText="1"/>
    </xf>
    <xf numFmtId="0" fontId="14" fillId="6" borderId="2" xfId="0" applyFont="1" applyFill="1" applyBorder="1" applyAlignment="1">
      <alignment horizontal="left" vertical="center"/>
    </xf>
    <xf numFmtId="0" fontId="14" fillId="6" borderId="4" xfId="0" applyFont="1" applyFill="1" applyBorder="1" applyAlignment="1">
      <alignment horizontal="left" vertical="center"/>
    </xf>
    <xf numFmtId="0" fontId="14" fillId="6" borderId="3" xfId="0" applyFont="1" applyFill="1" applyBorder="1" applyAlignment="1">
      <alignment horizontal="left" vertical="center"/>
    </xf>
    <xf numFmtId="0" fontId="14" fillId="6" borderId="2" xfId="0" applyFont="1" applyFill="1" applyBorder="1" applyAlignment="1">
      <alignment horizontal="left" vertical="center" wrapText="1"/>
    </xf>
    <xf numFmtId="0" fontId="14" fillId="6" borderId="4" xfId="0" applyFont="1" applyFill="1" applyBorder="1" applyAlignment="1">
      <alignment horizontal="left" vertical="center" wrapText="1"/>
    </xf>
  </cellXfs>
  <cellStyles count="136">
    <cellStyle name="Comma" xfId="135" builtinId="3"/>
    <cellStyle name="Excel Built-in Normal" xfId="2" xr:uid="{00000000-0005-0000-0000-000000000000}"/>
    <cellStyle name="Followed Hyperlink" xfId="30" builtinId="9" hidden="1"/>
    <cellStyle name="Followed Hyperlink" xfId="115" builtinId="9" hidden="1"/>
    <cellStyle name="Followed Hyperlink" xfId="91" builtinId="9" hidden="1"/>
    <cellStyle name="Followed Hyperlink" xfId="106" builtinId="9" hidden="1"/>
    <cellStyle name="Followed Hyperlink" xfId="123" builtinId="9" hidden="1"/>
    <cellStyle name="Followed Hyperlink" xfId="32" builtinId="9" hidden="1"/>
    <cellStyle name="Followed Hyperlink" xfId="124" builtinId="9" hidden="1"/>
    <cellStyle name="Followed Hyperlink" xfId="65" builtinId="9" hidden="1"/>
    <cellStyle name="Followed Hyperlink" xfId="132" builtinId="9" hidden="1"/>
    <cellStyle name="Followed Hyperlink" xfId="108" builtinId="9" hidden="1"/>
    <cellStyle name="Followed Hyperlink" xfId="75" builtinId="9" hidden="1"/>
    <cellStyle name="Followed Hyperlink" xfId="28" builtinId="9" hidden="1"/>
    <cellStyle name="Followed Hyperlink" xfId="56" builtinId="9" hidden="1"/>
    <cellStyle name="Followed Hyperlink" xfId="129" builtinId="9" hidden="1"/>
    <cellStyle name="Followed Hyperlink" xfId="20" builtinId="9" hidden="1"/>
    <cellStyle name="Followed Hyperlink" xfId="67" builtinId="9" hidden="1"/>
    <cellStyle name="Followed Hyperlink" xfId="133" builtinId="9" hidden="1"/>
    <cellStyle name="Followed Hyperlink" xfId="121" builtinId="9" hidden="1"/>
    <cellStyle name="Followed Hyperlink" xfId="18" builtinId="9" hidden="1"/>
    <cellStyle name="Followed Hyperlink" xfId="101" builtinId="9" hidden="1"/>
    <cellStyle name="Followed Hyperlink" xfId="54" builtinId="9" hidden="1"/>
    <cellStyle name="Followed Hyperlink" xfId="82" builtinId="9" hidden="1"/>
    <cellStyle name="Followed Hyperlink" xfId="68" builtinId="9" hidden="1"/>
    <cellStyle name="Followed Hyperlink" xfId="53" builtinId="9" hidden="1"/>
    <cellStyle name="Followed Hyperlink" xfId="71" builtinId="9" hidden="1"/>
    <cellStyle name="Followed Hyperlink" xfId="92" builtinId="9" hidden="1"/>
    <cellStyle name="Followed Hyperlink" xfId="107" builtinId="9" hidden="1"/>
    <cellStyle name="Followed Hyperlink" xfId="113" builtinId="9" hidden="1"/>
    <cellStyle name="Followed Hyperlink" xfId="100" builtinId="9" hidden="1"/>
    <cellStyle name="Followed Hyperlink" xfId="128" builtinId="9" hidden="1"/>
    <cellStyle name="Followed Hyperlink" xfId="8" builtinId="9" hidden="1"/>
    <cellStyle name="Followed Hyperlink" xfId="116" builtinId="9" hidden="1"/>
    <cellStyle name="Followed Hyperlink" xfId="99" builtinId="9" hidden="1"/>
    <cellStyle name="Followed Hyperlink" xfId="84" builtinId="9" hidden="1"/>
    <cellStyle name="Followed Hyperlink" xfId="88" builtinId="9" hidden="1"/>
    <cellStyle name="Followed Hyperlink" xfId="94" builtinId="9" hidden="1"/>
    <cellStyle name="Followed Hyperlink" xfId="58" builtinId="9" hidden="1"/>
    <cellStyle name="Followed Hyperlink" xfId="109" builtinId="9" hidden="1"/>
    <cellStyle name="Followed Hyperlink" xfId="79" builtinId="9" hidden="1"/>
    <cellStyle name="Followed Hyperlink" xfId="110" builtinId="9" hidden="1"/>
    <cellStyle name="Followed Hyperlink" xfId="40" builtinId="9" hidden="1"/>
    <cellStyle name="Followed Hyperlink" xfId="96" builtinId="9" hidden="1"/>
    <cellStyle name="Followed Hyperlink" xfId="12" builtinId="9" hidden="1"/>
    <cellStyle name="Followed Hyperlink" xfId="104" builtinId="9" hidden="1"/>
    <cellStyle name="Followed Hyperlink" xfId="90" builtinId="9" hidden="1"/>
    <cellStyle name="Followed Hyperlink" xfId="62" builtinId="9" hidden="1"/>
    <cellStyle name="Followed Hyperlink" xfId="16" builtinId="9" hidden="1"/>
    <cellStyle name="Followed Hyperlink" xfId="83" builtinId="9" hidden="1"/>
    <cellStyle name="Followed Hyperlink" xfId="131" builtinId="9" hidden="1"/>
    <cellStyle name="Followed Hyperlink" xfId="22" builtinId="9" hidden="1"/>
    <cellStyle name="Followed Hyperlink" xfId="6" builtinId="9" hidden="1"/>
    <cellStyle name="Followed Hyperlink" xfId="60" builtinId="9" hidden="1"/>
    <cellStyle name="Followed Hyperlink" xfId="44" builtinId="9" hidden="1"/>
    <cellStyle name="Followed Hyperlink" xfId="105" builtinId="9" hidden="1"/>
    <cellStyle name="Followed Hyperlink" xfId="111" builtinId="9" hidden="1"/>
    <cellStyle name="Followed Hyperlink" xfId="120" builtinId="9" hidden="1"/>
    <cellStyle name="Followed Hyperlink" xfId="86" builtinId="9" hidden="1"/>
    <cellStyle name="Followed Hyperlink" xfId="72" builtinId="9" hidden="1"/>
    <cellStyle name="Followed Hyperlink" xfId="118" builtinId="9" hidden="1"/>
    <cellStyle name="Followed Hyperlink" xfId="87" builtinId="9" hidden="1"/>
    <cellStyle name="Followed Hyperlink" xfId="14" builtinId="9" hidden="1"/>
    <cellStyle name="Followed Hyperlink" xfId="57" builtinId="9" hidden="1"/>
    <cellStyle name="Followed Hyperlink" xfId="78" builtinId="9" hidden="1"/>
    <cellStyle name="Followed Hyperlink" xfId="117" builtinId="9" hidden="1"/>
    <cellStyle name="Followed Hyperlink" xfId="127" builtinId="9" hidden="1"/>
    <cellStyle name="Followed Hyperlink" xfId="89" builtinId="9" hidden="1"/>
    <cellStyle name="Followed Hyperlink" xfId="4" builtinId="9" hidden="1"/>
    <cellStyle name="Followed Hyperlink" xfId="46" builtinId="9" hidden="1"/>
    <cellStyle name="Followed Hyperlink" xfId="38" builtinId="9" hidden="1"/>
    <cellStyle name="Followed Hyperlink" xfId="52" builtinId="9" hidden="1"/>
    <cellStyle name="Followed Hyperlink" xfId="76" builtinId="9" hidden="1"/>
    <cellStyle name="Followed Hyperlink" xfId="36" builtinId="9" hidden="1"/>
    <cellStyle name="Followed Hyperlink" xfId="26" builtinId="9" hidden="1"/>
    <cellStyle name="Followed Hyperlink" xfId="102" builtinId="9" hidden="1"/>
    <cellStyle name="Followed Hyperlink" xfId="114" builtinId="9" hidden="1"/>
    <cellStyle name="Followed Hyperlink" xfId="126" builtinId="9" hidden="1"/>
    <cellStyle name="Followed Hyperlink" xfId="97" builtinId="9" hidden="1"/>
    <cellStyle name="Followed Hyperlink" xfId="64" builtinId="9" hidden="1"/>
    <cellStyle name="Followed Hyperlink" xfId="125" builtinId="9" hidden="1"/>
    <cellStyle name="Followed Hyperlink" xfId="80" builtinId="9" hidden="1"/>
    <cellStyle name="Followed Hyperlink" xfId="112" builtinId="9" hidden="1"/>
    <cellStyle name="Followed Hyperlink" xfId="10" builtinId="9" hidden="1"/>
    <cellStyle name="Followed Hyperlink" xfId="119" builtinId="9" hidden="1"/>
    <cellStyle name="Followed Hyperlink" xfId="95" builtinId="9" hidden="1"/>
    <cellStyle name="Followed Hyperlink" xfId="77" builtinId="9" hidden="1"/>
    <cellStyle name="Followed Hyperlink" xfId="74" builtinId="9" hidden="1"/>
    <cellStyle name="Followed Hyperlink" xfId="42" builtinId="9" hidden="1"/>
    <cellStyle name="Followed Hyperlink" xfId="130" builtinId="9" hidden="1"/>
    <cellStyle name="Followed Hyperlink" xfId="55" builtinId="9" hidden="1"/>
    <cellStyle name="Followed Hyperlink" xfId="81" builtinId="9" hidden="1"/>
    <cellStyle name="Followed Hyperlink" xfId="61" builtinId="9" hidden="1"/>
    <cellStyle name="Followed Hyperlink" xfId="34" builtinId="9" hidden="1"/>
    <cellStyle name="Followed Hyperlink" xfId="24" builtinId="9" hidden="1"/>
    <cellStyle name="Followed Hyperlink" xfId="70" builtinId="9" hidden="1"/>
    <cellStyle name="Followed Hyperlink" xfId="66" builtinId="9" hidden="1"/>
    <cellStyle name="Followed Hyperlink" xfId="69" builtinId="9" hidden="1"/>
    <cellStyle name="Followed Hyperlink" xfId="59" builtinId="9" hidden="1"/>
    <cellStyle name="Followed Hyperlink" xfId="98" builtinId="9" hidden="1"/>
    <cellStyle name="Followed Hyperlink" xfId="63" builtinId="9" hidden="1"/>
    <cellStyle name="Followed Hyperlink" xfId="50" builtinId="9" hidden="1"/>
    <cellStyle name="Followed Hyperlink" xfId="93" builtinId="9" hidden="1"/>
    <cellStyle name="Followed Hyperlink" xfId="103" builtinId="9" hidden="1"/>
    <cellStyle name="Followed Hyperlink" xfId="85" builtinId="9" hidden="1"/>
    <cellStyle name="Followed Hyperlink" xfId="48" builtinId="9" hidden="1"/>
    <cellStyle name="Followed Hyperlink" xfId="73" builtinId="9" hidden="1"/>
    <cellStyle name="Followed Hyperlink" xfId="122" builtinId="9" hidden="1"/>
    <cellStyle name="Hyperlink" xfId="49" builtinId="8" hidden="1"/>
    <cellStyle name="Hyperlink" xfId="35" builtinId="8" hidden="1"/>
    <cellStyle name="Hyperlink" xfId="17" builtinId="8" hidden="1"/>
    <cellStyle name="Hyperlink" xfId="45" builtinId="8" hidden="1"/>
    <cellStyle name="Hyperlink" xfId="31" builtinId="8" hidden="1"/>
    <cellStyle name="Hyperlink" xfId="3" builtinId="8" hidden="1"/>
    <cellStyle name="Hyperlink" xfId="15" builtinId="8" hidden="1"/>
    <cellStyle name="Hyperlink" xfId="37" builtinId="8" hidden="1"/>
    <cellStyle name="Hyperlink" xfId="47" builtinId="8" hidden="1"/>
    <cellStyle name="Hyperlink" xfId="43" builtinId="8" hidden="1"/>
    <cellStyle name="Hyperlink" xfId="23" builtinId="8" hidden="1"/>
    <cellStyle name="Hyperlink" xfId="13" builtinId="8" hidden="1"/>
    <cellStyle name="Hyperlink" xfId="9" builtinId="8" hidden="1"/>
    <cellStyle name="Hyperlink" xfId="29" builtinId="8" hidden="1"/>
    <cellStyle name="Hyperlink" xfId="19" builtinId="8" hidden="1"/>
    <cellStyle name="Hyperlink" xfId="33" builtinId="8" hidden="1"/>
    <cellStyle name="Hyperlink" xfId="21" builtinId="8" hidden="1"/>
    <cellStyle name="Hyperlink" xfId="51" builtinId="8" hidden="1"/>
    <cellStyle name="Hyperlink" xfId="39" builtinId="8" hidden="1"/>
    <cellStyle name="Hyperlink" xfId="27" builtinId="8" hidden="1"/>
    <cellStyle name="Hyperlink" xfId="5" builtinId="8" hidden="1"/>
    <cellStyle name="Hyperlink" xfId="41" builtinId="8" hidden="1"/>
    <cellStyle name="Hyperlink" xfId="11" builtinId="8" hidden="1"/>
    <cellStyle name="Hyperlink" xfId="25" builtinId="8" hidden="1"/>
    <cellStyle name="Hyperlink" xfId="7" builtinId="8" hidden="1"/>
    <cellStyle name="Hyperlink" xfId="134" builtinId="8"/>
    <cellStyle name="Normal" xfId="0" builtinId="0"/>
    <cellStyle name="Normal 2" xfId="1" xr:uid="{00000000-0005-0000-0000-000086000000}"/>
  </cellStyles>
  <dxfs count="1074">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bgColor theme="0"/>
        </patternFill>
      </fill>
      <border>
        <left/>
        <right/>
        <top/>
        <bottom/>
      </border>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numFmt numFmtId="19" formatCode="m/d/yyyy"/>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65" formatCode="_(* #,##0_);_(* \(#,##0\);_(* &quot;-&quot;??_);_(@_)"/>
      <alignment horizontal="center" vertical="center" textRotation="0" wrapText="0" indent="0" justifyLastLine="0" shrinkToFit="0" readingOrder="0"/>
    </dxf>
    <dxf>
      <font>
        <b/>
        <i val="0"/>
        <strike val="0"/>
        <condense val="0"/>
        <extend val="0"/>
        <outline val="0"/>
        <shadow val="0"/>
        <u val="none"/>
        <vertAlign val="baseline"/>
        <sz val="10"/>
        <color theme="1"/>
        <name val="Arial"/>
        <family val="2"/>
        <scheme val="none"/>
      </font>
      <alignment horizontal="right" vertical="bottom" textRotation="0" wrapText="0" indent="0" justifyLastLine="0" shrinkToFit="0" readingOrder="0"/>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center" vertical="center" textRotation="0" wrapText="0" indent="0" justifyLastLine="0" shrinkToFit="0" readingOrder="0"/>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strike val="0"/>
        <outline val="0"/>
        <shadow val="0"/>
        <vertAlign val="baseline"/>
        <sz val="10"/>
        <name val="Arial"/>
        <family val="2"/>
        <scheme val="none"/>
      </font>
    </dxf>
    <dxf>
      <font>
        <strike val="0"/>
        <outline val="0"/>
        <shadow val="0"/>
        <vertAlign val="baseline"/>
        <sz val="10"/>
        <name val="Arial"/>
        <family val="2"/>
        <scheme val="none"/>
      </font>
    </dxf>
    <dxf>
      <font>
        <strike val="0"/>
        <outline val="0"/>
        <shadow val="0"/>
        <vertAlign val="baseline"/>
        <sz val="10"/>
        <name val="Arial"/>
        <family val="2"/>
        <scheme val="none"/>
      </font>
      <numFmt numFmtId="19" formatCode="m/d/yyyy"/>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center" vertical="center" textRotation="0" wrapText="1" indent="0" justifyLastLine="0" shrinkToFit="0" readingOrder="0"/>
    </dxf>
    <dxf>
      <font>
        <b/>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dxf>
    <dxf>
      <border outline="0">
        <bottom style="thin">
          <color auto="1"/>
        </bottom>
      </border>
    </dxf>
    <dxf>
      <border outline="0">
        <top style="thin">
          <color auto="1"/>
        </top>
      </border>
    </dxf>
    <dxf>
      <font>
        <strike val="0"/>
        <outline val="0"/>
        <shadow val="0"/>
        <vertAlign val="baseline"/>
        <sz val="10"/>
        <name val="Arial"/>
        <family val="2"/>
        <scheme val="none"/>
      </font>
    </dxf>
    <dxf>
      <font>
        <b/>
        <i val="0"/>
        <strike val="0"/>
        <condense val="0"/>
        <extend val="0"/>
        <outline val="0"/>
        <shadow val="0"/>
        <u val="none"/>
        <vertAlign val="baseline"/>
        <sz val="10"/>
        <color rgb="FFFFFFFF"/>
        <name val="Arial"/>
        <family val="2"/>
        <scheme val="none"/>
      </font>
      <fill>
        <patternFill patternType="solid">
          <fgColor rgb="FF000000"/>
          <bgColor theme="1"/>
        </patternFill>
      </fill>
      <alignment horizontal="left"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border outline="0">
        <bottom style="thin">
          <color auto="1"/>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dxf>
    <dxf>
      <font>
        <strike val="0"/>
        <outline val="0"/>
        <shadow val="0"/>
        <vertAlign val="baseline"/>
        <sz val="10"/>
        <name val="Arial"/>
        <family val="2"/>
        <scheme val="none"/>
      </font>
    </dxf>
    <dxf>
      <font>
        <strike val="0"/>
        <outline val="0"/>
        <shadow val="0"/>
        <vertAlign val="baseline"/>
        <sz val="10"/>
        <name val="Arial"/>
        <family val="2"/>
        <scheme val="none"/>
      </font>
    </dxf>
    <dxf>
      <font>
        <b val="0"/>
        <i val="0"/>
        <strike val="0"/>
        <condense val="0"/>
        <extend val="0"/>
        <outline val="0"/>
        <shadow val="0"/>
        <u val="none"/>
        <vertAlign val="baseline"/>
        <sz val="10"/>
        <color theme="1"/>
        <name val="Arial"/>
        <family val="2"/>
        <scheme val="none"/>
      </font>
    </dxf>
    <dxf>
      <font>
        <strike val="0"/>
        <outline val="0"/>
        <shadow val="0"/>
        <vertAlign val="baseline"/>
        <sz val="10"/>
        <name val="Arial"/>
        <family val="2"/>
        <scheme val="none"/>
      </font>
    </dxf>
    <dxf>
      <font>
        <b val="0"/>
        <i val="0"/>
        <strike val="0"/>
        <condense val="0"/>
        <extend val="0"/>
        <outline val="0"/>
        <shadow val="0"/>
        <u val="none"/>
        <vertAlign val="baseline"/>
        <sz val="10"/>
        <color theme="1"/>
        <name val="Arial"/>
        <family val="2"/>
        <scheme val="none"/>
      </font>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10"/>
        <color theme="1"/>
        <name val="Arial"/>
        <family val="2"/>
        <scheme val="none"/>
      </font>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bgColor rgb="FF92D050"/>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patternType="none">
          <bgColor auto="1"/>
        </patternFill>
      </fill>
      <border>
        <left/>
        <right/>
        <top/>
        <bottom/>
      </border>
    </dxf>
    <dxf>
      <font>
        <color theme="0"/>
      </font>
      <fill>
        <patternFill>
          <bgColor theme="0"/>
        </patternFill>
      </fill>
      <border>
        <left/>
        <right/>
        <top/>
        <bottom/>
      </border>
    </dxf>
    <dxf>
      <font>
        <color theme="0"/>
      </font>
      <fill>
        <patternFill>
          <bgColor theme="0"/>
        </patternFill>
      </fill>
      <border>
        <left/>
        <right/>
        <top/>
        <bottom/>
      </border>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0"/>
        </patternFill>
      </fill>
      <border>
        <left/>
        <right/>
        <top/>
        <bottom/>
      </border>
    </dxf>
    <dxf>
      <font>
        <color theme="0"/>
      </font>
      <fill>
        <patternFill>
          <bgColor theme="0"/>
        </patternFill>
      </fill>
      <border>
        <left/>
        <right/>
        <top/>
        <bottom/>
      </border>
    </dxf>
    <dxf>
      <fill>
        <patternFill>
          <bgColor rgb="FF92D050"/>
        </patternFill>
      </fill>
    </dxf>
    <dxf>
      <fill>
        <patternFill>
          <bgColor rgb="FF92D050"/>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0"/>
        </patternFill>
      </fill>
      <border>
        <left/>
        <right/>
        <top/>
        <bottom/>
      </border>
    </dxf>
    <dxf>
      <font>
        <color theme="0"/>
      </font>
      <fill>
        <patternFill>
          <bgColor theme="0"/>
        </patternFill>
      </fill>
      <border>
        <left/>
        <right/>
        <top/>
        <bottom/>
      </border>
    </dxf>
    <dxf>
      <fill>
        <patternFill>
          <bgColor rgb="FF92D050"/>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0"/>
        </patternFill>
      </fill>
      <border>
        <left/>
        <right/>
        <top/>
        <bottom/>
      </border>
    </dxf>
    <dxf>
      <fill>
        <patternFill>
          <bgColor rgb="FF92D05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s>
  <tableStyles count="1" defaultTableStyle="TableStyleMedium2" defaultPivotStyle="PivotStyleLight16">
    <tableStyle name="Table Style 1" pivot="0" count="1" xr9:uid="{00000000-0011-0000-FFFF-FFFF00000000}">
      <tableStyleElement type="wholeTable" dxfId="1073"/>
    </tableStyle>
  </tableStyles>
  <colors>
    <mruColors>
      <color rgb="FF12C864"/>
      <color rgb="FFFAF0B4"/>
      <color rgb="FFB19D07"/>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 Id="rId27"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3532</xdr:colOff>
      <xdr:row>42</xdr:row>
      <xdr:rowOff>219075</xdr:rowOff>
    </xdr:to>
    <xdr:pic>
      <xdr:nvPicPr>
        <xdr:cNvPr id="2" name="Picture 3">
          <a:extLst>
            <a:ext uri="{FF2B5EF4-FFF2-40B4-BE49-F238E27FC236}">
              <a16:creationId xmlns:a16="http://schemas.microsoft.com/office/drawing/2014/main" id="{5A9A6C93-E114-4443-A125-3E55F3FF9D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918807" cy="822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244977</xdr:colOff>
      <xdr:row>23</xdr:row>
      <xdr:rowOff>120896</xdr:rowOff>
    </xdr:from>
    <xdr:to>
      <xdr:col>12</xdr:col>
      <xdr:colOff>240541</xdr:colOff>
      <xdr:row>42</xdr:row>
      <xdr:rowOff>113732</xdr:rowOff>
    </xdr:to>
    <xdr:sp macro="" textlink="">
      <xdr:nvSpPr>
        <xdr:cNvPr id="3" name="Text Box 1">
          <a:extLst>
            <a:ext uri="{FF2B5EF4-FFF2-40B4-BE49-F238E27FC236}">
              <a16:creationId xmlns:a16="http://schemas.microsoft.com/office/drawing/2014/main" id="{D324CFAE-664B-4EC9-9CD3-77A4F5A75B14}"/>
            </a:ext>
          </a:extLst>
        </xdr:cNvPr>
        <xdr:cNvSpPr txBox="1">
          <a:spLocks noChangeArrowheads="1"/>
        </xdr:cNvSpPr>
      </xdr:nvSpPr>
      <xdr:spPr bwMode="auto">
        <a:xfrm>
          <a:off x="244977" y="4502396"/>
          <a:ext cx="7310764" cy="3612336"/>
        </a:xfrm>
        <a:prstGeom prst="rect">
          <a:avLst/>
        </a:prstGeom>
        <a:noFill/>
        <a:ln w="9525">
          <a:noFill/>
          <a:miter lim="800000"/>
          <a:headEnd/>
          <a:tailEnd/>
        </a:ln>
      </xdr:spPr>
      <xdr:txBody>
        <a:bodyPr vertOverflow="clip" wrap="square" lIns="91440" tIns="45720" rIns="91440" bIns="45720" anchor="t" upright="1"/>
        <a:lstStyle/>
        <a:p>
          <a:r>
            <a:rPr lang="en-US" sz="2000" b="1">
              <a:solidFill>
                <a:schemeClr val="bg1"/>
              </a:solidFill>
              <a:effectLst/>
              <a:latin typeface="Arial" panose="020B0604020202020204" pitchFamily="34" charset="0"/>
              <a:ea typeface="+mn-ea"/>
              <a:cs typeface="Arial" panose="020B0604020202020204" pitchFamily="34" charset="0"/>
            </a:rPr>
            <a:t>Workspace ONE </a:t>
          </a:r>
        </a:p>
        <a:p>
          <a:r>
            <a:rPr lang="en-US" sz="2000" b="1">
              <a:solidFill>
                <a:schemeClr val="bg1"/>
              </a:solidFill>
              <a:effectLst/>
              <a:latin typeface="Arial" panose="020B0604020202020204" pitchFamily="34" charset="0"/>
              <a:ea typeface="+mn-ea"/>
              <a:cs typeface="Arial" panose="020B0604020202020204" pitchFamily="34" charset="0"/>
            </a:rPr>
            <a:t>Pre-Install Requirements</a:t>
          </a:r>
          <a:r>
            <a:rPr lang="en-US" sz="2000" b="1" baseline="0">
              <a:solidFill>
                <a:schemeClr val="bg1"/>
              </a:solidFill>
              <a:effectLst/>
              <a:latin typeface="Arial" panose="020B0604020202020204" pitchFamily="34" charset="0"/>
              <a:ea typeface="+mn-ea"/>
              <a:cs typeface="Arial" panose="020B0604020202020204" pitchFamily="34" charset="0"/>
            </a:rPr>
            <a:t> </a:t>
          </a:r>
          <a:endParaRPr lang="en-US" sz="2000">
            <a:solidFill>
              <a:schemeClr val="bg1"/>
            </a:solidFill>
            <a:effectLst/>
            <a:latin typeface="Arial" panose="020B0604020202020204" pitchFamily="34" charset="0"/>
            <a:ea typeface="+mn-ea"/>
            <a:cs typeface="Arial" panose="020B0604020202020204" pitchFamily="34" charset="0"/>
          </a:endParaRPr>
        </a:p>
        <a:p>
          <a:endParaRPr lang="en-US" sz="1050">
            <a:solidFill>
              <a:schemeClr val="bg1"/>
            </a:solidFill>
            <a:effectLst/>
            <a:latin typeface="Arial" panose="020B0604020202020204" pitchFamily="34" charset="0"/>
            <a:ea typeface="+mn-ea"/>
            <a:cs typeface="Arial" panose="020B0604020202020204" pitchFamily="34" charset="0"/>
          </a:endParaRPr>
        </a:p>
        <a:p>
          <a:r>
            <a:rPr lang="en-US" sz="1000" b="0">
              <a:solidFill>
                <a:schemeClr val="bg1"/>
              </a:solidFill>
              <a:effectLst/>
              <a:latin typeface="Arial" panose="020B0604020202020204" pitchFamily="34" charset="0"/>
              <a:ea typeface="+mn-ea"/>
              <a:cs typeface="Arial" panose="020B0604020202020204" pitchFamily="34" charset="0"/>
            </a:rPr>
            <a:t>for</a:t>
          </a:r>
        </a:p>
        <a:p>
          <a:endParaRPr lang="en-US" sz="1000">
            <a:solidFill>
              <a:schemeClr val="bg1"/>
            </a:solidFill>
            <a:effectLst/>
            <a:latin typeface="Arial" panose="020B0604020202020204" pitchFamily="34" charset="0"/>
            <a:cs typeface="Arial" panose="020B0604020202020204" pitchFamily="34" charset="0"/>
          </a:endParaRPr>
        </a:p>
        <a:p>
          <a:r>
            <a:rPr lang="en-US" sz="1600" b="1">
              <a:solidFill>
                <a:schemeClr val="bg1"/>
              </a:solidFill>
              <a:effectLst/>
              <a:latin typeface="Arial" panose="020B0604020202020204" pitchFamily="34" charset="0"/>
              <a:ea typeface="+mn-ea"/>
              <a:cs typeface="Arial" panose="020B0604020202020204" pitchFamily="34" charset="0"/>
            </a:rPr>
            <a:t>&lt;Customer&gt;</a:t>
          </a:r>
        </a:p>
        <a:p>
          <a:endParaRPr lang="en-US" sz="1000">
            <a:solidFill>
              <a:schemeClr val="bg1"/>
            </a:solidFill>
            <a:effectLst/>
            <a:latin typeface="Arial" panose="020B0604020202020204" pitchFamily="34" charset="0"/>
            <a:cs typeface="Arial" panose="020B0604020202020204" pitchFamily="34" charset="0"/>
          </a:endParaRPr>
        </a:p>
        <a:p>
          <a:r>
            <a:rPr lang="en-US" sz="1000" b="0">
              <a:solidFill>
                <a:schemeClr val="bg1"/>
              </a:solidFill>
              <a:effectLst/>
              <a:latin typeface="Arial" panose="020B0604020202020204" pitchFamily="34" charset="0"/>
              <a:ea typeface="+mn-ea"/>
              <a:cs typeface="Arial" panose="020B0604020202020204" pitchFamily="34" charset="0"/>
            </a:rPr>
            <a:t>Prepared by</a:t>
          </a:r>
        </a:p>
        <a:p>
          <a:endParaRPr lang="en-US" sz="1000">
            <a:solidFill>
              <a:schemeClr val="bg1"/>
            </a:solidFill>
            <a:effectLst/>
            <a:latin typeface="Arial" panose="020B0604020202020204" pitchFamily="34" charset="0"/>
            <a:cs typeface="Arial" panose="020B0604020202020204" pitchFamily="34" charset="0"/>
          </a:endParaRPr>
        </a:p>
        <a:p>
          <a:r>
            <a:rPr lang="en-US" sz="1000" b="0">
              <a:solidFill>
                <a:schemeClr val="bg1"/>
              </a:solidFill>
              <a:effectLst/>
              <a:latin typeface="Arial" panose="020B0604020202020204" pitchFamily="34" charset="0"/>
              <a:ea typeface="+mn-ea"/>
              <a:cs typeface="Arial" panose="020B0604020202020204" pitchFamily="34" charset="0"/>
            </a:rPr>
            <a:t>&lt;Consultant&gt;</a:t>
          </a:r>
          <a:endParaRPr lang="en-US" sz="1000">
            <a:solidFill>
              <a:schemeClr val="bg1"/>
            </a:solidFill>
            <a:effectLst/>
            <a:latin typeface="Arial" panose="020B0604020202020204" pitchFamily="34" charset="0"/>
            <a:cs typeface="Arial" panose="020B0604020202020204" pitchFamily="34" charset="0"/>
          </a:endParaRPr>
        </a:p>
        <a:p>
          <a:r>
            <a:rPr lang="en-US" sz="1000" b="0">
              <a:solidFill>
                <a:schemeClr val="bg1"/>
              </a:solidFill>
              <a:effectLst/>
              <a:latin typeface="Arial" panose="020B0604020202020204" pitchFamily="34" charset="0"/>
              <a:ea typeface="+mn-ea"/>
              <a:cs typeface="Arial" panose="020B0604020202020204" pitchFamily="34" charset="0"/>
            </a:rPr>
            <a:t>VMware Professional Services </a:t>
          </a:r>
        </a:p>
        <a:p>
          <a:r>
            <a:rPr lang="en-US" sz="1000" b="0">
              <a:solidFill>
                <a:schemeClr val="bg1"/>
              </a:solidFill>
              <a:effectLst/>
              <a:latin typeface="Arial" panose="020B0604020202020204" pitchFamily="34" charset="0"/>
              <a:ea typeface="+mn-ea"/>
              <a:cs typeface="Arial" panose="020B0604020202020204" pitchFamily="34" charset="0"/>
            </a:rPr>
            <a:t>&lt;consultant&gt;@vmware.com</a:t>
          </a:r>
          <a:endParaRPr lang="en-US" sz="1000">
            <a:solidFill>
              <a:schemeClr val="bg1"/>
            </a:solidFill>
            <a:effectLst/>
            <a:latin typeface="Arial" panose="020B0604020202020204" pitchFamily="34" charset="0"/>
            <a:cs typeface="Arial" panose="020B0604020202020204" pitchFamily="34" charset="0"/>
          </a:endParaRPr>
        </a:p>
        <a:p>
          <a:endParaRPr lang="en-US" sz="1050" b="0">
            <a:solidFill>
              <a:schemeClr val="bg1"/>
            </a:solidFill>
            <a:effectLst/>
            <a:latin typeface="Arial" panose="020B0604020202020204" pitchFamily="34" charset="0"/>
            <a:cs typeface="Arial" panose="020B0604020202020204" pitchFamily="34" charset="0"/>
          </a:endParaRPr>
        </a:p>
        <a:p>
          <a:endParaRPr lang="en-US" sz="1050">
            <a:solidFill>
              <a:schemeClr val="bg1"/>
            </a:solidFill>
            <a:effectLst/>
            <a:latin typeface="+mn-lt"/>
            <a:ea typeface="+mn-ea"/>
            <a:cs typeface="+mn-cs"/>
          </a:endParaRPr>
        </a:p>
        <a:p>
          <a:endParaRPr lang="en-US" sz="1050">
            <a:solidFill>
              <a:schemeClr val="bg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309756</xdr:colOff>
      <xdr:row>47</xdr:row>
      <xdr:rowOff>170365</xdr:rowOff>
    </xdr:from>
    <xdr:to>
      <xdr:col>7</xdr:col>
      <xdr:colOff>490731</xdr:colOff>
      <xdr:row>72</xdr:row>
      <xdr:rowOff>144944</xdr:rowOff>
    </xdr:to>
    <xdr:pic>
      <xdr:nvPicPr>
        <xdr:cNvPr id="5" name="Picture 4">
          <a:extLst>
            <a:ext uri="{FF2B5EF4-FFF2-40B4-BE49-F238E27FC236}">
              <a16:creationId xmlns:a16="http://schemas.microsoft.com/office/drawing/2014/main" id="{3CEB6AEB-72F1-9344-ABA5-A495D712C01F}"/>
            </a:ext>
          </a:extLst>
        </xdr:cNvPr>
        <xdr:cNvPicPr>
          <a:picLocks noChangeAspect="1"/>
        </xdr:cNvPicPr>
      </xdr:nvPicPr>
      <xdr:blipFill>
        <a:blip xmlns:r="http://schemas.openxmlformats.org/officeDocument/2006/relationships" r:embed="rId1"/>
        <a:stretch>
          <a:fillRect/>
        </a:stretch>
      </xdr:blipFill>
      <xdr:spPr>
        <a:xfrm>
          <a:off x="5900854" y="23897682"/>
          <a:ext cx="6334512" cy="462092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394573</xdr:colOff>
      <xdr:row>59</xdr:row>
      <xdr:rowOff>50165</xdr:rowOff>
    </xdr:from>
    <xdr:to>
      <xdr:col>8</xdr:col>
      <xdr:colOff>223007</xdr:colOff>
      <xdr:row>70</xdr:row>
      <xdr:rowOff>135889</xdr:rowOff>
    </xdr:to>
    <xdr:pic>
      <xdr:nvPicPr>
        <xdr:cNvPr id="3" name="Picture 2">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5347573" y="18198465"/>
          <a:ext cx="6464013" cy="207644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Z:\mramzan\OneDrive%20-%20VMware,%20Inc\Chris%20Dewhirst\LOE\LOE%20validation%20tool%20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stionaire"/>
      <sheetName val="New Deployment"/>
      <sheetName val="Upgrade-Migration"/>
      <sheetName val="Lookup Value"/>
    </sheetNames>
    <sheetDataSet>
      <sheetData sheetId="0">
        <row r="10">
          <cell r="A10" t="str">
            <v>No HA, DR or UAT</v>
          </cell>
        </row>
        <row r="11">
          <cell r="A11" t="str">
            <v>HA</v>
          </cell>
        </row>
        <row r="12">
          <cell r="A12" t="str">
            <v>HA and DR</v>
          </cell>
        </row>
        <row r="13">
          <cell r="A13" t="str">
            <v>HA and UAT</v>
          </cell>
        </row>
        <row r="14">
          <cell r="A14" t="str">
            <v>All (HA, DR, UAT)</v>
          </cell>
        </row>
      </sheetData>
      <sheetData sheetId="1" refreshError="1"/>
      <sheetData sheetId="2" refreshError="1"/>
      <sheetData sheetId="3">
        <row r="8">
          <cell r="B8" t="str">
            <v>On-Premise</v>
          </cell>
        </row>
        <row r="9">
          <cell r="B9" t="str">
            <v>SaaS</v>
          </cell>
        </row>
        <row r="12">
          <cell r="B12" t="str">
            <v>Up to 5K</v>
          </cell>
        </row>
        <row r="13">
          <cell r="B13" t="str">
            <v>10-25K</v>
          </cell>
        </row>
        <row r="14">
          <cell r="B14" t="str">
            <v>Up to 50K</v>
          </cell>
        </row>
        <row r="15">
          <cell r="B15" t="str">
            <v>Up to 100K</v>
          </cell>
        </row>
      </sheetData>
    </sheetDataSet>
  </externalBook>
</externalLink>
</file>

<file path=xl/persons/person.xml><?xml version="1.0" encoding="utf-8"?>
<personList xmlns="http://schemas.microsoft.com/office/spreadsheetml/2018/threadedcomments" xmlns:x="http://schemas.openxmlformats.org/spreadsheetml/2006/main">
  <person displayName="Hani Audah" id="{47F4E8EE-8C6B-44BA-8E52-9D4F350E9B8A}" userId="S::haudah@vmware.com::04053ad0-b7e4-428f-abfa-5ea28273190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1B1E98-3C2A-4770-89A6-52ED7693AB12}" name="Table6" displayName="Table6" ref="B1:F5" totalsRowShown="0" headerRowDxfId="1040" dataDxfId="1039">
  <autoFilter ref="B1:F5" xr:uid="{9B625D1C-5D93-4EBA-9536-97EF38AC8C25}"/>
  <tableColumns count="5">
    <tableColumn id="1" xr3:uid="{B19948F3-86D4-4468-AAC5-1D91BDCC91FF}" name="Version" dataDxfId="1038"/>
    <tableColumn id="2" xr3:uid="{E59A27EB-918F-4808-915D-90ECD4A69697}" name="Date" dataDxfId="1037"/>
    <tableColumn id="3" xr3:uid="{1B3AAB4A-2408-4D32-9E89-FE75AD9FC0A1}" name="Author" dataDxfId="1036"/>
    <tableColumn id="4" xr3:uid="{40444797-A683-4565-B069-006853CB4C31}" name="Support ID References" dataDxfId="1035"/>
    <tableColumn id="5" xr3:uid="{929FCABF-06EC-423E-B205-018CC7CED0A2}" name="Description" dataDxfId="1034"/>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FAE0657-5573-417E-A65B-A1AC74B6F495}" name="Table4" displayName="Table4" ref="A52:C55" totalsRowShown="0" headerRowDxfId="1021" dataDxfId="1020">
  <autoFilter ref="A52:C55" xr:uid="{1050C727-B02C-44CA-9116-B8B3EBEDF63B}"/>
  <tableColumns count="3">
    <tableColumn id="1" xr3:uid="{EA528362-2FC5-490C-9E98-496C82609F86}" name="Region" dataDxfId="1019"/>
    <tableColumn id="2" xr3:uid="{B3AC7631-B5A5-4518-BA4E-D732C57398D8}" name="API Endpoint" dataDxfId="1018"/>
    <tableColumn id="3" xr3:uid="{6211793E-49BB-478D-9EEA-BE33AE72516B}" name="Column1" dataDxfId="1017"/>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954C8E7-8031-4857-9541-6B3B10683AA0}" name="Table5" displayName="Table5" ref="A57:B64" totalsRowShown="0" headerRowDxfId="1016" dataDxfId="1015" tableBorderDxfId="1014">
  <autoFilter ref="A57:B64" xr:uid="{5766218B-0E29-457C-A554-DBEAD6373419}"/>
  <tableColumns count="2">
    <tableColumn id="1" xr3:uid="{E6579A87-324F-48E2-8EC2-F9AF3C6F6D9B}" name="Service Account Type" dataDxfId="1013"/>
    <tableColumn id="2" xr3:uid="{8AD5F107-8E11-4AEB-9C0E-36B001E57D6A}" name="Service Account Name" dataDxfId="1012"/>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49E711-1DDA-4F90-BD8C-12C8B6F1660A}" name="OS" displayName="OS" ref="A67:E88" totalsRowShown="0" headerRowDxfId="1011" dataDxfId="1010" headerRowBorderDxfId="1008" tableBorderDxfId="1009">
  <autoFilter ref="A67:E88" xr:uid="{17372F08-A8B3-4BE9-B535-D598234EF62D}"/>
  <tableColumns count="5">
    <tableColumn id="1" xr3:uid="{6D667106-4FF7-44D4-BCA8-EC554F80F67B}" name="Server" dataDxfId="1007"/>
    <tableColumn id="2" xr3:uid="{3EFBEE53-D692-40BC-B3FE-89430C5F9C72}" name="Operating System / Package" dataDxfId="1006" dataCellStyle="Comma"/>
    <tableColumn id="3" xr3:uid="{7E5A6561-9B39-4587-B8AA-259F683C06E2}" name="Last Updated" dataDxfId="1005"/>
    <tableColumn id="4" xr3:uid="{6DC6E621-0C6E-4D5C-BA63-AD40EB4E92F1}" name="Version" dataDxfId="1004"/>
    <tableColumn id="5" xr3:uid="{F5EBC1CC-0342-4EDA-98B4-96A3B3D1127F}" name="Link" dataDxfId="1003"/>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751FBD7-7320-41A4-B9B5-9A10E9C1BC3F}" name="Sizing" displayName="Sizing" ref="A1:M98" totalsRowShown="0" headerRowDxfId="983" dataDxfId="982">
  <autoFilter ref="A1:M98" xr:uid="{E83EB607-C175-42CA-8E84-ADF642D5011E}"/>
  <tableColumns count="13">
    <tableColumn id="1" xr3:uid="{F083FA38-7045-4F4B-AFE6-B4388AA09488}" name="Services" dataDxfId="981"/>
    <tableColumn id="2" xr3:uid="{F758CDAA-AF3B-4160-9BAD-86205C743F00}" name="# of Devices" dataDxfId="980" dataCellStyle="Comma"/>
    <tableColumn id="3" xr3:uid="{70D0DDCF-0ACE-4201-9644-D296B8436B0B}" name="# Servers" dataDxfId="979"/>
    <tableColumn id="4" xr3:uid="{7F9B916E-EADC-4B51-AA08-BBCD72A5228F}" name="CPU Cores (Intel Processor Required)" dataDxfId="978"/>
    <tableColumn id="5" xr3:uid="{B7779051-072D-4C2B-B78A-510AF67F75CD}" name="RAM" dataDxfId="977"/>
    <tableColumn id="6" xr3:uid="{F2408314-111E-4615-9C70-892BA90232D2}" name="Disc Space (GB)" dataDxfId="976"/>
    <tableColumn id="7" xr3:uid="{AB3B4D1A-7434-4A69-A8EE-38B33AAC9627}" name="Trans Log Size (GB)" dataDxfId="975"/>
    <tableColumn id="8" xr3:uid="{4E308BD4-3431-4326-8F39-15DC212ABE76}" name="Tem DB (GB)" dataDxfId="974"/>
    <tableColumn id="9" xr3:uid="{EA78D5E8-BF56-4E61-BC89-FA0067AFE80B}" name="Avg IOPS" dataDxfId="973"/>
    <tableColumn id="10" xr3:uid="{01542568-761A-4364-9BBD-D04E3DC3810B}" name="Peak IOPS" dataDxfId="972"/>
    <tableColumn id="11" xr3:uid="{D08D07D5-490A-42E2-AF87-E68DA0888A2C}" name="Last Updated" dataDxfId="971"/>
    <tableColumn id="12" xr3:uid="{6CA62E66-F97E-45D0-B42A-0F20A99B0C04}" name="Version" dataDxfId="970"/>
    <tableColumn id="13" xr3:uid="{B0DDE043-0C5B-4452-98EB-5DF98D1EF2DA}" name="Link" dataDxfId="969"/>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02" dT="2020-05-17T12:07:07.64" personId="{47F4E8EE-8C6B-44BA-8E52-9D4F350E9B8A}" id="{C4FC59C7-F6EE-4517-B324-9701BBD36BFB}">
    <text xml:space="preserve">When selecting yes, VIP will be required for all components which support high-availability
</text>
  </threadedComment>
  <threadedComment ref="B103" dT="2020-05-17T12:08:08.07" personId="{47F4E8EE-8C6B-44BA-8E52-9D4F350E9B8A}" id="{AE85C9B4-53DB-4A23-899C-C56946707AB8}">
    <text xml:space="preserve">When selecting yes, for required servers and components an additional server will be added to accomplish high availablity (N+1)?
</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hyperlink" Target="https://kb.vmware.com/s/article/2150497" TargetMode="External"/><Relationship Id="rId7" Type="http://schemas.microsoft.com/office/2017/10/relationships/threadedComment" Target="../threadedComments/threadedComment1.xml"/><Relationship Id="rId2" Type="http://schemas.openxmlformats.org/officeDocument/2006/relationships/hyperlink" Target="https://docs.vmware.com/en/VMware-Workspace-ONE-UEM/services/WS1_ENS2_Doc/GUID-AWT-ENSV2-API-ENDPOINTS.html" TargetMode="External"/><Relationship Id="rId1" Type="http://schemas.openxmlformats.org/officeDocument/2006/relationships/hyperlink" Target="https://support.workspaceone.com/articles/115001662168"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forms.office.com/Pages/ResponsePage.aspx?id=yjiRs-48Skuk1s2D2d1i8F7xGLondPFFjm7TPMaqkDlUNE0yQlpCNVVRUVVHQ0xSTENVRUYwQkI4Ri4u"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kb.vmware.com/s/article/2150497" TargetMode="External"/><Relationship Id="rId1" Type="http://schemas.openxmlformats.org/officeDocument/2006/relationships/hyperlink" Target="https://support.workspaceone.com/articles/115001662168" TargetMode="Externa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3" Type="http://schemas.openxmlformats.org/officeDocument/2006/relationships/hyperlink" Target="https://docs.vmware.com/en/VMware-Workspace-ONE-UEM/2001/UEM_-Recommended_Architecture/GUID-AWT-SIZING-UP-TO-25K.html" TargetMode="External"/><Relationship Id="rId18" Type="http://schemas.openxmlformats.org/officeDocument/2006/relationships/hyperlink" Target="https://docs.vmware.com/en/VMware-Workspace-ONE-UEM/2001/UEM_-Recommended_Architecture/GUID-AWT-SIZING-UP-TO-100K.html" TargetMode="External"/><Relationship Id="rId26" Type="http://schemas.openxmlformats.org/officeDocument/2006/relationships/hyperlink" Target="https://docs.vmware.com/en/VMware-Workspace-ONE-UEM/2001/WS1_Assist/GUID-AWT-RMV4-REQUIREMENTS.html" TargetMode="External"/><Relationship Id="rId21" Type="http://schemas.openxmlformats.org/officeDocument/2006/relationships/hyperlink" Target="https://docs.vmware.com/en/VMware-Workspace-ONE-UEM/2001/WS1_Assist/GUID-AWT-RMV4-REQUIREMENTS.html" TargetMode="External"/><Relationship Id="rId34" Type="http://schemas.openxmlformats.org/officeDocument/2006/relationships/hyperlink" Target="https://docs.vmware.com/en/VMware-Workspace-ONE-UEM/2001/WS1_Assist/GUID-AWT-RMV4-REQUIREMENTS.html" TargetMode="External"/><Relationship Id="rId7" Type="http://schemas.openxmlformats.org/officeDocument/2006/relationships/hyperlink" Target="https://docs.vmware.com/en/VMware-Workspace-ONE-UEM/2001/UEM_-Recommended_Architecture/GUID-AWT-SIZING-UP-TO-25K.html" TargetMode="External"/><Relationship Id="rId12" Type="http://schemas.openxmlformats.org/officeDocument/2006/relationships/hyperlink" Target="https://docs.vmware.com/en/VMware-Workspace-ONE-UEM/2001/UEM_-Recommended_Architecture/GUID-AWT-SIZING-UP-TO-25K.html" TargetMode="External"/><Relationship Id="rId17" Type="http://schemas.openxmlformats.org/officeDocument/2006/relationships/hyperlink" Target="https://docs.vmware.com/en/VMware-Workspace-ONE-UEM/2001/UEM_-Recommended_Architecture/GUID-AWT-SIZING-UP-TO-100K.html" TargetMode="External"/><Relationship Id="rId25" Type="http://schemas.openxmlformats.org/officeDocument/2006/relationships/hyperlink" Target="https://docs.vmware.com/en/VMware-Workspace-ONE-UEM/2001/WS1_Assist/GUID-AWT-RMV4-REQUIREMENTS.html" TargetMode="External"/><Relationship Id="rId33" Type="http://schemas.openxmlformats.org/officeDocument/2006/relationships/hyperlink" Target="https://docs.vmware.com/en/VMware-Workspace-ONE-UEM/2001/WS1_Assist/GUID-AWT-RMV4-REQUIREMENTS.html" TargetMode="External"/><Relationship Id="rId2" Type="http://schemas.openxmlformats.org/officeDocument/2006/relationships/hyperlink" Target="https://docs.vmware.com/en/VMware-Workspace-ONE-UEM/2001/UEM_-Recommended_Architecture/GUID-AWT-SIZING-UP-TO-25K.html" TargetMode="External"/><Relationship Id="rId16" Type="http://schemas.openxmlformats.org/officeDocument/2006/relationships/hyperlink" Target="https://docs.vmware.com/en/VMware-Workspace-ONE-UEM/2001/UEM_-Recommended_Architecture/GUID-AWT-SIZING-UP-TO-100K.html" TargetMode="External"/><Relationship Id="rId20" Type="http://schemas.openxmlformats.org/officeDocument/2006/relationships/hyperlink" Target="https://docs.vmware.com/en/VMware-Workspace-ONE-UEM/2001/UEM_-Recommended_Architecture/GUID-AWT-HW-ASSUMPTIONS.html" TargetMode="External"/><Relationship Id="rId29" Type="http://schemas.openxmlformats.org/officeDocument/2006/relationships/hyperlink" Target="https://docs.vmware.com/en/VMware-Workspace-ONE-UEM/2001/WS1_Assist/GUID-AWT-RMV4-REQUIREMENTS.html" TargetMode="External"/><Relationship Id="rId1" Type="http://schemas.openxmlformats.org/officeDocument/2006/relationships/hyperlink" Target="https://docs.vmware.com/en/VMware-Workspace-ONE-UEM/2001/UEM_-Recommended_Architecture/GUID-AWT-SIZING-UP-TO-25K.html" TargetMode="External"/><Relationship Id="rId6" Type="http://schemas.openxmlformats.org/officeDocument/2006/relationships/hyperlink" Target="https://docs.vmware.com/en/VMware-Workspace-ONE-UEM/2001/UEM_-Recommended_Architecture/GUID-AWT-SIZING-UP-TO-25K.html" TargetMode="External"/><Relationship Id="rId11" Type="http://schemas.openxmlformats.org/officeDocument/2006/relationships/hyperlink" Target="https://docs.vmware.com/en/VMware-Workspace-ONE-UEM/2001/UEM_-Recommended_Architecture/GUID-AWT-SIZING-UP-TO-25K.html" TargetMode="External"/><Relationship Id="rId24" Type="http://schemas.openxmlformats.org/officeDocument/2006/relationships/hyperlink" Target="https://docs.vmware.com/en/VMware-Workspace-ONE-UEM/2001/WS1_Assist/GUID-AWT-RMV4-REQUIREMENTS.html" TargetMode="External"/><Relationship Id="rId32" Type="http://schemas.openxmlformats.org/officeDocument/2006/relationships/hyperlink" Target="https://docs.vmware.com/en/VMware-Workspace-ONE-UEM/2001/WS1_Assist/GUID-AWT-RMV4-REQUIREMENTS.html" TargetMode="External"/><Relationship Id="rId37" Type="http://schemas.openxmlformats.org/officeDocument/2006/relationships/table" Target="../tables/table5.xml"/><Relationship Id="rId5" Type="http://schemas.openxmlformats.org/officeDocument/2006/relationships/hyperlink" Target="https://docs.vmware.com/en/VMware-Workspace-ONE-UEM/2001/UEM_-Recommended_Architecture/GUID-AWT-SIZING-UP-TO-100K.html" TargetMode="External"/><Relationship Id="rId15" Type="http://schemas.openxmlformats.org/officeDocument/2006/relationships/hyperlink" Target="https://docs.vmware.com/en/VMware-Workspace-ONE-UEM/2001/UEM_-Recommended_Architecture/GUID-AWT-SIZING-UP-TO-100K.html" TargetMode="External"/><Relationship Id="rId23" Type="http://schemas.openxmlformats.org/officeDocument/2006/relationships/hyperlink" Target="https://docs.vmware.com/en/VMware-Workspace-ONE-UEM/2001/WS1_Assist/GUID-AWT-RMV4-REQUIREMENTS.html" TargetMode="External"/><Relationship Id="rId28" Type="http://schemas.openxmlformats.org/officeDocument/2006/relationships/hyperlink" Target="https://docs.vmware.com/en/VMware-Workspace-ONE-UEM/2001/WS1_Assist/GUID-AWT-RMV4-REQUIREMENTS.html" TargetMode="External"/><Relationship Id="rId36" Type="http://schemas.openxmlformats.org/officeDocument/2006/relationships/printerSettings" Target="../printerSettings/printerSettings3.bin"/><Relationship Id="rId10" Type="http://schemas.openxmlformats.org/officeDocument/2006/relationships/hyperlink" Target="https://docs.vmware.com/en/VMware-Workspace-ONE-UEM/2001/UEM_-Recommended_Architecture/GUID-AWT-SIZING-UP-TO-100K.html" TargetMode="External"/><Relationship Id="rId19" Type="http://schemas.openxmlformats.org/officeDocument/2006/relationships/hyperlink" Target="https://docs.vmware.com/en/VMware-Workspace-ONE-UEM/2001/UEM_-Recommended_Architecture/GUID-AWT-SIZING-UP-TO-100K.html" TargetMode="External"/><Relationship Id="rId31" Type="http://schemas.openxmlformats.org/officeDocument/2006/relationships/hyperlink" Target="https://docs.vmware.com/en/VMware-Workspace-ONE-UEM/2001/WS1_Assist/GUID-AWT-RMV4-REQUIREMENTS.html" TargetMode="External"/><Relationship Id="rId4" Type="http://schemas.openxmlformats.org/officeDocument/2006/relationships/hyperlink" Target="https://docs.vmware.com/en/VMware-Workspace-ONE-UEM/2001/UEM_-Recommended_Architecture/GUID-AWT-SIZING-UP-TO-50K.html" TargetMode="External"/><Relationship Id="rId9" Type="http://schemas.openxmlformats.org/officeDocument/2006/relationships/hyperlink" Target="https://docs.vmware.com/en/VMware-Workspace-ONE-UEM/2001/UEM_-Recommended_Architecture/GUID-AWT-SIZING-UP-TO-50K.html" TargetMode="External"/><Relationship Id="rId14" Type="http://schemas.openxmlformats.org/officeDocument/2006/relationships/hyperlink" Target="https://docs.vmware.com/en/VMware-Workspace-ONE-UEM/2001/UEM_-Recommended_Architecture/GUID-AWT-SIZING-UP-TO-50K.html" TargetMode="External"/><Relationship Id="rId22" Type="http://schemas.openxmlformats.org/officeDocument/2006/relationships/hyperlink" Target="https://docs.vmware.com/en/VMware-Workspace-ONE-UEM/2001/WS1_Assist/GUID-AWT-RMV4-REQUIREMENTS.html" TargetMode="External"/><Relationship Id="rId27" Type="http://schemas.openxmlformats.org/officeDocument/2006/relationships/hyperlink" Target="https://docs.vmware.com/en/VMware-Workspace-ONE-UEM/2001/WS1_Assist/GUID-AWT-RMV4-REQUIREMENTS.html" TargetMode="External"/><Relationship Id="rId30" Type="http://schemas.openxmlformats.org/officeDocument/2006/relationships/hyperlink" Target="https://docs.vmware.com/en/VMware-Workspace-ONE-UEM/2001/WS1_Assist/GUID-AWT-RMV4-REQUIREMENTS.html" TargetMode="External"/><Relationship Id="rId35" Type="http://schemas.openxmlformats.org/officeDocument/2006/relationships/hyperlink" Target="https://docs.vmware.com/en/VMware-Workspace-ONE-UEM/2001/WS1_Assist/GUID-AWT-RMV4-REQUIREMENTS.html" TargetMode="External"/><Relationship Id="rId8" Type="http://schemas.openxmlformats.org/officeDocument/2006/relationships/hyperlink" Target="https://docs.vmware.com/en/VMware-Workspace-ONE-UEM/2001/UEM_-Recommended_Architecture/GUID-AWT-SIZING-UP-TO-25K.html" TargetMode="External"/><Relationship Id="rId3" Type="http://schemas.openxmlformats.org/officeDocument/2006/relationships/hyperlink" Target="https://docs.vmware.com/en/VMware-Workspace-ONE-UEM/2001/UEM_-Recommended_Architecture/GUID-AWT-SIZING-UP-TO-25K.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2E0CD-8443-4C5B-83C0-CF004D500515}">
  <sheetPr>
    <tabColor theme="3" tint="-0.249977111117893"/>
  </sheetPr>
  <dimension ref="A43:M46"/>
  <sheetViews>
    <sheetView showGridLines="0" zoomScale="115" zoomScaleNormal="115" workbookViewId="0">
      <selection activeCell="Q22" sqref="Q22"/>
    </sheetView>
  </sheetViews>
  <sheetFormatPr defaultColWidth="8.85546875" defaultRowHeight="14.45"/>
  <sheetData>
    <row r="43" spans="1:13" ht="18" customHeight="1"/>
    <row r="44" spans="1:13" ht="4.5" customHeight="1">
      <c r="A44" s="287" t="s">
        <v>0</v>
      </c>
      <c r="B44" s="287"/>
      <c r="C44" s="287"/>
      <c r="D44" s="287"/>
      <c r="E44" s="287"/>
      <c r="F44" s="287"/>
      <c r="G44" s="287"/>
      <c r="H44" s="287"/>
      <c r="I44" s="287"/>
      <c r="J44" s="287"/>
      <c r="K44" s="287"/>
      <c r="L44" s="287"/>
      <c r="M44" s="287"/>
    </row>
    <row r="45" spans="1:13">
      <c r="A45" s="287"/>
      <c r="B45" s="287"/>
      <c r="C45" s="287"/>
      <c r="D45" s="287"/>
      <c r="E45" s="287"/>
      <c r="F45" s="287"/>
      <c r="G45" s="287"/>
      <c r="H45" s="287"/>
      <c r="I45" s="287"/>
      <c r="J45" s="287"/>
      <c r="K45" s="287"/>
      <c r="L45" s="287"/>
      <c r="M45" s="287"/>
    </row>
    <row r="46" spans="1:13">
      <c r="A46" s="287"/>
      <c r="B46" s="287"/>
      <c r="C46" s="287"/>
      <c r="D46" s="287"/>
      <c r="E46" s="287"/>
      <c r="F46" s="287"/>
      <c r="G46" s="287"/>
      <c r="H46" s="287"/>
      <c r="I46" s="287"/>
      <c r="J46" s="287"/>
      <c r="K46" s="287"/>
      <c r="L46" s="287"/>
      <c r="M46" s="287"/>
    </row>
  </sheetData>
  <mergeCells count="1">
    <mergeCell ref="A44:M46"/>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tabColor theme="7" tint="-0.249977111117893"/>
    <pageSetUpPr fitToPage="1"/>
  </sheetPr>
  <dimension ref="B2:L46"/>
  <sheetViews>
    <sheetView showGridLines="0" topLeftCell="A22" zoomScaleNormal="100" workbookViewId="0">
      <selection activeCell="D40" sqref="D40"/>
    </sheetView>
  </sheetViews>
  <sheetFormatPr defaultColWidth="27.28515625" defaultRowHeight="13.9"/>
  <cols>
    <col min="1" max="1" width="3.42578125" style="9" customWidth="1"/>
    <col min="2" max="2" width="8.42578125" style="9" bestFit="1" customWidth="1"/>
    <col min="3" max="3" width="27.28515625" style="9"/>
    <col min="4" max="4" width="25.7109375" style="44" customWidth="1"/>
    <col min="5" max="5" width="16.7109375" style="19" bestFit="1" customWidth="1"/>
    <col min="6" max="6" width="29" style="9" customWidth="1"/>
    <col min="7" max="7" width="25.7109375" style="44" customWidth="1"/>
    <col min="8" max="8" width="15.7109375" style="19" customWidth="1"/>
    <col min="9" max="9" width="27.28515625" style="9"/>
    <col min="10" max="10" width="22.42578125" style="9" customWidth="1"/>
    <col min="11" max="11" width="58.28515625" style="9" customWidth="1"/>
    <col min="12" max="12" width="17.7109375" style="9" bestFit="1" customWidth="1"/>
    <col min="13" max="16384" width="27.28515625" style="9"/>
  </cols>
  <sheetData>
    <row r="2" spans="2:12" ht="42" customHeight="1">
      <c r="B2" s="341" t="s">
        <v>504</v>
      </c>
      <c r="C2" s="342"/>
      <c r="D2" s="342"/>
      <c r="E2" s="342"/>
      <c r="F2" s="342"/>
      <c r="G2" s="342"/>
      <c r="H2" s="342"/>
      <c r="I2" s="342"/>
      <c r="J2" s="342"/>
      <c r="K2" s="342"/>
      <c r="L2" s="343"/>
    </row>
    <row r="3" spans="2:12" ht="16.149999999999999" thickBot="1">
      <c r="B3" s="296" t="s">
        <v>505</v>
      </c>
      <c r="C3" s="297"/>
      <c r="D3" s="297"/>
      <c r="E3" s="297"/>
      <c r="F3" s="297"/>
      <c r="G3" s="297"/>
      <c r="H3" s="297"/>
      <c r="I3" s="297"/>
      <c r="J3" s="297"/>
      <c r="K3" s="297"/>
      <c r="L3" s="340"/>
    </row>
    <row r="4" spans="2:12">
      <c r="B4" s="277" t="s">
        <v>271</v>
      </c>
      <c r="C4" s="312" t="s">
        <v>272</v>
      </c>
      <c r="D4" s="313"/>
      <c r="E4" s="313"/>
      <c r="F4" s="312"/>
      <c r="G4" s="313"/>
      <c r="H4" s="313"/>
      <c r="I4" s="312" t="s">
        <v>273</v>
      </c>
      <c r="J4" s="313"/>
      <c r="K4" s="314"/>
      <c r="L4" s="39" t="s">
        <v>274</v>
      </c>
    </row>
    <row r="5" spans="2:12" ht="51" customHeight="1">
      <c r="B5" s="40" t="s">
        <v>275</v>
      </c>
      <c r="C5" s="300" t="s">
        <v>399</v>
      </c>
      <c r="D5" s="301"/>
      <c r="E5" s="301"/>
      <c r="F5" s="301"/>
      <c r="G5" s="301"/>
      <c r="H5" s="302"/>
      <c r="I5" s="300" t="s">
        <v>277</v>
      </c>
      <c r="J5" s="301"/>
      <c r="K5" s="301"/>
      <c r="L5" s="117">
        <v>6.4</v>
      </c>
    </row>
    <row r="6" spans="2:12">
      <c r="B6" s="95"/>
      <c r="C6" s="96"/>
      <c r="D6" s="96"/>
      <c r="E6" s="96"/>
      <c r="F6" s="96"/>
      <c r="G6" s="96"/>
      <c r="H6" s="96"/>
      <c r="I6" s="97"/>
      <c r="J6" s="97"/>
      <c r="K6" s="97"/>
      <c r="L6" s="118"/>
    </row>
    <row r="7" spans="2:12" ht="30.95" customHeight="1">
      <c r="B7" s="296" t="s">
        <v>506</v>
      </c>
      <c r="C7" s="297"/>
      <c r="D7" s="297"/>
      <c r="E7" s="297"/>
      <c r="F7" s="297"/>
      <c r="G7" s="297"/>
      <c r="H7" s="297"/>
      <c r="I7" s="297"/>
      <c r="J7" s="297"/>
      <c r="K7" s="297"/>
      <c r="L7" s="340"/>
    </row>
    <row r="8" spans="2:12" ht="30.95" customHeight="1">
      <c r="B8" s="277" t="s">
        <v>271</v>
      </c>
      <c r="C8" s="312" t="s">
        <v>272</v>
      </c>
      <c r="D8" s="313"/>
      <c r="E8" s="313"/>
      <c r="F8" s="312"/>
      <c r="G8" s="313"/>
      <c r="H8" s="313"/>
      <c r="I8" s="312" t="s">
        <v>273</v>
      </c>
      <c r="J8" s="313"/>
      <c r="K8" s="314"/>
      <c r="L8" s="117"/>
    </row>
    <row r="9" spans="2:12" ht="30.95" customHeight="1">
      <c r="B9" s="40" t="s">
        <v>275</v>
      </c>
      <c r="C9" s="319" t="s">
        <v>280</v>
      </c>
      <c r="D9" s="320"/>
      <c r="E9" s="320"/>
      <c r="F9" s="320"/>
      <c r="G9" s="320"/>
      <c r="H9" s="321"/>
      <c r="I9" s="310"/>
      <c r="J9" s="311"/>
      <c r="K9" s="311"/>
      <c r="L9" s="117">
        <v>6.4</v>
      </c>
    </row>
    <row r="10" spans="2:12" ht="89.1" customHeight="1">
      <c r="B10" s="40" t="s">
        <v>275</v>
      </c>
      <c r="C10" s="300" t="s">
        <v>507</v>
      </c>
      <c r="D10" s="301"/>
      <c r="E10" s="301"/>
      <c r="F10" s="301"/>
      <c r="G10" s="301"/>
      <c r="H10" s="302"/>
      <c r="I10" s="310" t="s">
        <v>508</v>
      </c>
      <c r="J10" s="311"/>
      <c r="K10" s="311"/>
      <c r="L10" s="117">
        <v>6.4</v>
      </c>
    </row>
    <row r="11" spans="2:12" ht="20.100000000000001" customHeight="1">
      <c r="D11" s="9"/>
      <c r="E11" s="9"/>
      <c r="G11" s="9"/>
      <c r="H11" s="9"/>
      <c r="L11" s="117"/>
    </row>
    <row r="12" spans="2:12" ht="22.35" customHeight="1">
      <c r="B12" s="296" t="s">
        <v>509</v>
      </c>
      <c r="C12" s="297"/>
      <c r="D12" s="297"/>
      <c r="E12" s="297"/>
      <c r="F12" s="297"/>
      <c r="G12" s="297"/>
      <c r="H12" s="297"/>
      <c r="I12" s="297"/>
      <c r="J12" s="297"/>
      <c r="K12" s="297"/>
      <c r="L12" s="340"/>
    </row>
    <row r="13" spans="2:12" ht="15" customHeight="1">
      <c r="B13" s="277" t="s">
        <v>271</v>
      </c>
      <c r="C13" s="312" t="s">
        <v>272</v>
      </c>
      <c r="D13" s="313"/>
      <c r="E13" s="313"/>
      <c r="F13" s="312"/>
      <c r="G13" s="313"/>
      <c r="H13" s="313"/>
      <c r="I13" s="312" t="s">
        <v>273</v>
      </c>
      <c r="J13" s="313"/>
      <c r="K13" s="314"/>
      <c r="L13" s="117"/>
    </row>
    <row r="14" spans="2:12" ht="15" customHeight="1">
      <c r="B14" s="40" t="s">
        <v>275</v>
      </c>
      <c r="C14" s="300" t="str">
        <f>ACCOS</f>
        <v>Windows Server 2008 R2 SP1, Windows Server 2012 R2, or Windows Server 2016</v>
      </c>
      <c r="D14" s="301"/>
      <c r="E14" s="301"/>
      <c r="F14" s="301"/>
      <c r="G14" s="301"/>
      <c r="H14" s="302"/>
      <c r="I14" s="310"/>
      <c r="J14" s="311"/>
      <c r="K14" s="311"/>
      <c r="L14" s="117">
        <v>7</v>
      </c>
    </row>
    <row r="15" spans="2:12" ht="15" customHeight="1">
      <c r="B15" s="40" t="s">
        <v>275</v>
      </c>
      <c r="C15" s="300" t="s">
        <v>510</v>
      </c>
      <c r="D15" s="301"/>
      <c r="E15" s="301"/>
      <c r="F15" s="301"/>
      <c r="G15" s="301"/>
      <c r="H15" s="302"/>
      <c r="I15" s="310" t="s">
        <v>511</v>
      </c>
      <c r="J15" s="311"/>
      <c r="K15" s="311"/>
      <c r="L15" s="117">
        <v>8.1999999999999993</v>
      </c>
    </row>
    <row r="16" spans="2:12" ht="19.5" customHeight="1">
      <c r="B16" s="40" t="s">
        <v>275</v>
      </c>
      <c r="C16" s="300" t="s">
        <v>414</v>
      </c>
      <c r="D16" s="301"/>
      <c r="E16" s="301"/>
      <c r="F16" s="301"/>
      <c r="G16" s="301"/>
      <c r="H16" s="302"/>
      <c r="I16" s="310" t="s">
        <v>301</v>
      </c>
      <c r="J16" s="311"/>
      <c r="K16" s="311"/>
      <c r="L16" s="117">
        <v>8</v>
      </c>
    </row>
    <row r="17" spans="2:12">
      <c r="B17" s="95"/>
      <c r="C17" s="121"/>
      <c r="D17" s="121"/>
      <c r="E17" s="121"/>
      <c r="F17" s="121"/>
      <c r="G17" s="121"/>
      <c r="H17" s="121"/>
      <c r="I17" s="122"/>
      <c r="J17" s="97"/>
      <c r="K17" s="97"/>
      <c r="L17" s="117"/>
    </row>
    <row r="18" spans="2:12" ht="25.35" customHeight="1">
      <c r="B18" s="296" t="s">
        <v>512</v>
      </c>
      <c r="C18" s="297"/>
      <c r="D18" s="297"/>
      <c r="E18" s="297"/>
      <c r="F18" s="297"/>
      <c r="G18" s="297"/>
      <c r="H18" s="297"/>
      <c r="I18" s="297"/>
      <c r="J18" s="297"/>
      <c r="K18" s="297"/>
      <c r="L18" s="340"/>
    </row>
    <row r="19" spans="2:12" ht="24.6" customHeight="1">
      <c r="B19" s="52"/>
      <c r="C19" s="303" t="s">
        <v>317</v>
      </c>
      <c r="D19" s="304"/>
      <c r="E19" s="304"/>
      <c r="F19" s="305" t="s">
        <v>318</v>
      </c>
      <c r="G19" s="306"/>
      <c r="H19" s="306"/>
      <c r="I19" s="53"/>
      <c r="J19" s="53"/>
      <c r="K19" s="54"/>
      <c r="L19" s="117"/>
    </row>
    <row r="20" spans="2:12">
      <c r="B20" s="55" t="s">
        <v>271</v>
      </c>
      <c r="C20" s="56" t="s">
        <v>319</v>
      </c>
      <c r="D20" s="57" t="s">
        <v>320</v>
      </c>
      <c r="E20" s="57" t="s">
        <v>321</v>
      </c>
      <c r="F20" s="58" t="s">
        <v>322</v>
      </c>
      <c r="G20" s="58" t="s">
        <v>323</v>
      </c>
      <c r="H20" s="58" t="s">
        <v>324</v>
      </c>
      <c r="I20" s="59" t="s">
        <v>325</v>
      </c>
      <c r="J20" s="59" t="s">
        <v>326</v>
      </c>
      <c r="K20" s="60" t="s">
        <v>159</v>
      </c>
      <c r="L20" s="117"/>
    </row>
    <row r="21" spans="2:12" ht="14.25">
      <c r="B21" s="40" t="s">
        <v>275</v>
      </c>
      <c r="C21" s="124" t="str">
        <f t="shared" ref="C21:C29" si="0">ComAcc</f>
        <v>AirWatch Cloud Connector</v>
      </c>
      <c r="D21" s="124" t="str">
        <f t="shared" ref="D21:D29" si="1">ACCServerName</f>
        <v>acc1.haramco.xyz
acc2.haramco.xyz</v>
      </c>
      <c r="E21" s="124" t="str">
        <f t="shared" ref="E21:E29" si="2">ACCIp</f>
        <v>192.168.1.59
192.168.1.60</v>
      </c>
      <c r="F21" s="21" t="str">
        <f>ComUEMAWCM</f>
        <v>UEM AWCM Server</v>
      </c>
      <c r="G21" s="24" t="str">
        <f>awcmdns</f>
        <v>tcuds.haramco.xyz</v>
      </c>
      <c r="H21" s="24" t="str">
        <f>awcmdnsip</f>
        <v>192.168.1.30</v>
      </c>
      <c r="I21" s="127" t="s">
        <v>330</v>
      </c>
      <c r="J21" s="127">
        <v>2001</v>
      </c>
      <c r="K21" s="286" t="str">
        <f>"Telnet from VESC to AWCM Server on port or once installed:
Verify by entering https://"&amp;G21&amp;":2001/awcm/status and ensure there is no certificate trust error"</f>
        <v>Telnet from VESC to AWCM Server on port or once installed:
Verify by entering https://tcuds.haramco.xyz:2001/awcm/status and ensure there is no certificate trust error</v>
      </c>
      <c r="L21" s="117">
        <v>6.4</v>
      </c>
    </row>
    <row r="22" spans="2:12" ht="14.25">
      <c r="B22" s="40" t="s">
        <v>275</v>
      </c>
      <c r="C22" s="124" t="str">
        <f t="shared" si="0"/>
        <v>AirWatch Cloud Connector</v>
      </c>
      <c r="D22" s="124" t="str">
        <f t="shared" si="1"/>
        <v>acc1.haramco.xyz
acc2.haramco.xyz</v>
      </c>
      <c r="E22" s="124" t="str">
        <f t="shared" si="2"/>
        <v>192.168.1.59
192.168.1.60</v>
      </c>
      <c r="F22" s="24" t="str">
        <f>ComUEMCN</f>
        <v>UEM Console Server</v>
      </c>
      <c r="G22" s="24" t="str">
        <f>cndns</f>
        <v>uemc.haramco.xyz</v>
      </c>
      <c r="H22" s="24" t="str">
        <f>cndnsip</f>
        <v>192.168.1.30</v>
      </c>
      <c r="I22" s="127" t="s">
        <v>513</v>
      </c>
      <c r="J22" s="84" t="s">
        <v>514</v>
      </c>
      <c r="K22" s="286" t="str">
        <f>"Telnet from VESC to Console on port or once installed:
Verify by entering https://"&amp;G22&amp;" and ensure there is no certificate trust error"</f>
        <v>Telnet from VESC to Console on port or once installed:
Verify by entering https://uemc.haramco.xyz and ensure there is no certificate trust error</v>
      </c>
      <c r="L22" s="117">
        <v>6.4</v>
      </c>
    </row>
    <row r="23" spans="2:12" ht="14.25">
      <c r="B23" s="40" t="s">
        <v>275</v>
      </c>
      <c r="C23" s="124" t="str">
        <f t="shared" si="0"/>
        <v>AirWatch Cloud Connector</v>
      </c>
      <c r="D23" s="124" t="str">
        <f t="shared" si="1"/>
        <v>acc1.haramco.xyz
acc2.haramco.xyz</v>
      </c>
      <c r="E23" s="124" t="str">
        <f t="shared" si="2"/>
        <v>192.168.1.59
192.168.1.60</v>
      </c>
      <c r="F23" s="24" t="str">
        <f>ComUEMAPI</f>
        <v>UEM API Server</v>
      </c>
      <c r="G23" s="24" t="str">
        <f>apidns</f>
        <v>tcuds.haramco.xyz</v>
      </c>
      <c r="H23" s="24" t="str">
        <f>apidnsip</f>
        <v>192.168.1.30</v>
      </c>
      <c r="I23" s="128" t="s">
        <v>330</v>
      </c>
      <c r="J23" s="111">
        <v>443</v>
      </c>
      <c r="K23" s="129" t="s">
        <v>515</v>
      </c>
      <c r="L23" s="117">
        <v>6.4</v>
      </c>
    </row>
    <row r="24" spans="2:12" ht="14.25">
      <c r="B24" s="40" t="s">
        <v>275</v>
      </c>
      <c r="C24" s="124" t="str">
        <f t="shared" si="0"/>
        <v>AirWatch Cloud Connector</v>
      </c>
      <c r="D24" s="124" t="str">
        <f t="shared" si="1"/>
        <v>acc1.haramco.xyz
acc2.haramco.xyz</v>
      </c>
      <c r="E24" s="124" t="str">
        <f t="shared" si="2"/>
        <v>192.168.1.59
192.168.1.60</v>
      </c>
      <c r="F24" s="24" t="s">
        <v>390</v>
      </c>
      <c r="G24" s="112"/>
      <c r="H24" s="112"/>
      <c r="I24" s="127" t="s">
        <v>345</v>
      </c>
      <c r="J24" s="127">
        <v>80</v>
      </c>
      <c r="K24" s="129" t="s">
        <v>516</v>
      </c>
      <c r="L24" s="117">
        <v>9.1</v>
      </c>
    </row>
    <row r="25" spans="2:12" ht="14.25">
      <c r="B25" s="40" t="s">
        <v>275</v>
      </c>
      <c r="C25" s="124" t="str">
        <f t="shared" si="0"/>
        <v>AirWatch Cloud Connector</v>
      </c>
      <c r="D25" s="124" t="str">
        <f t="shared" si="1"/>
        <v>acc1.haramco.xyz
acc2.haramco.xyz</v>
      </c>
      <c r="E25" s="124" t="str">
        <f t="shared" si="2"/>
        <v>192.168.1.59
192.168.1.60</v>
      </c>
      <c r="F25" s="24" t="str">
        <f>ComLDAP</f>
        <v>Domain Controller / AD</v>
      </c>
      <c r="G25" s="24" t="str">
        <f>ADServerName</f>
        <v>haramco.xyz</v>
      </c>
      <c r="H25" s="24" t="str">
        <f>ADIp</f>
        <v>192.168.77.211</v>
      </c>
      <c r="I25" s="127" t="s">
        <v>517</v>
      </c>
      <c r="J25" s="127">
        <f>LDAP_Port</f>
        <v>389</v>
      </c>
      <c r="K25" s="129"/>
      <c r="L25" s="117"/>
    </row>
    <row r="26" spans="2:12" ht="14.25">
      <c r="B26" s="40" t="s">
        <v>275</v>
      </c>
      <c r="C26" s="124" t="str">
        <f t="shared" si="0"/>
        <v>AirWatch Cloud Connector</v>
      </c>
      <c r="D26" s="124" t="str">
        <f t="shared" si="1"/>
        <v>acc1.haramco.xyz
acc2.haramco.xyz</v>
      </c>
      <c r="E26" s="124" t="str">
        <f t="shared" si="2"/>
        <v>192.168.1.59
192.168.1.60</v>
      </c>
      <c r="F26" s="24" t="str">
        <f>ComSMTP</f>
        <v>SMTP Mail Relay</v>
      </c>
      <c r="G26" s="24" t="str">
        <f>SMTPServerName</f>
        <v>smtp.fqdn.com</v>
      </c>
      <c r="H26" s="24" t="str">
        <f>SMTPIp</f>
        <v>#.#.#.#</v>
      </c>
      <c r="I26" s="84" t="s">
        <v>426</v>
      </c>
      <c r="J26" s="84">
        <v>25</v>
      </c>
      <c r="K26" s="285"/>
      <c r="L26" s="117">
        <v>6.4</v>
      </c>
    </row>
    <row r="27" spans="2:12" ht="14.25">
      <c r="B27" s="40" t="s">
        <v>275</v>
      </c>
      <c r="C27" s="124" t="str">
        <f t="shared" si="0"/>
        <v>AirWatch Cloud Connector</v>
      </c>
      <c r="D27" s="124" t="str">
        <f t="shared" si="1"/>
        <v>acc1.haramco.xyz
acc2.haramco.xyz</v>
      </c>
      <c r="E27" s="124" t="str">
        <f t="shared" si="2"/>
        <v>192.168.1.59
192.168.1.60</v>
      </c>
      <c r="F27" s="24" t="s">
        <v>518</v>
      </c>
      <c r="G27" s="24" t="str">
        <f>InternalPKIServerName</f>
        <v>pki.fqdn.com</v>
      </c>
      <c r="H27" s="24" t="str">
        <f>InternalPKIIp</f>
        <v>#.#.#.#</v>
      </c>
      <c r="I27" s="84" t="s">
        <v>513</v>
      </c>
      <c r="J27" s="84" t="s">
        <v>514</v>
      </c>
      <c r="K27" s="285"/>
      <c r="L27" s="117">
        <v>6.4</v>
      </c>
    </row>
    <row r="28" spans="2:12" ht="28.5">
      <c r="B28" s="40" t="s">
        <v>275</v>
      </c>
      <c r="C28" s="124" t="str">
        <f t="shared" si="0"/>
        <v>AirWatch Cloud Connector</v>
      </c>
      <c r="D28" s="124" t="str">
        <f t="shared" si="1"/>
        <v>acc1.haramco.xyz
acc2.haramco.xyz</v>
      </c>
      <c r="E28" s="124" t="str">
        <f t="shared" si="2"/>
        <v>192.168.1.59
192.168.1.60</v>
      </c>
      <c r="F28" s="24" t="s">
        <v>519</v>
      </c>
      <c r="G28" s="24" t="str">
        <f>InternalPKIServerName</f>
        <v>pki.fqdn.com</v>
      </c>
      <c r="H28" s="24" t="str">
        <f>InternalPKIIp</f>
        <v>#.#.#.#</v>
      </c>
      <c r="I28" s="84" t="s">
        <v>520</v>
      </c>
      <c r="J28" s="84" t="s">
        <v>521</v>
      </c>
      <c r="K28" s="285"/>
      <c r="L28" s="117">
        <v>6.4</v>
      </c>
    </row>
    <row r="29" spans="2:12" ht="14.25">
      <c r="B29" s="40" t="s">
        <v>275</v>
      </c>
      <c r="C29" s="124" t="str">
        <f t="shared" si="0"/>
        <v>AirWatch Cloud Connector</v>
      </c>
      <c r="D29" s="124" t="str">
        <f t="shared" si="1"/>
        <v>acc1.haramco.xyz
acc2.haramco.xyz</v>
      </c>
      <c r="E29" s="124" t="str">
        <f t="shared" si="2"/>
        <v>192.168.1.59
192.168.1.60</v>
      </c>
      <c r="F29" s="24" t="str">
        <f>ComMailServer</f>
        <v>Mail Server</v>
      </c>
      <c r="G29" s="24" t="str">
        <f>MailServerName</f>
        <v>mail.fqdn.com</v>
      </c>
      <c r="H29" s="24" t="str">
        <f>MailServerIp</f>
        <v>#.#.#.#</v>
      </c>
      <c r="I29" s="127" t="str">
        <f>IF(Mail_Port=443,"HTTPS","HTTP")</f>
        <v>HTTPS</v>
      </c>
      <c r="J29" s="127">
        <f>Mail_Port</f>
        <v>443</v>
      </c>
      <c r="K29" s="285" t="s">
        <v>522</v>
      </c>
      <c r="L29" s="123">
        <v>6.4</v>
      </c>
    </row>
    <row r="31" spans="2:12" ht="25.35" customHeight="1">
      <c r="B31" s="296" t="s">
        <v>523</v>
      </c>
      <c r="C31" s="297"/>
      <c r="D31" s="297"/>
      <c r="E31" s="297"/>
      <c r="F31" s="297"/>
      <c r="G31" s="297"/>
      <c r="H31" s="297"/>
      <c r="I31" s="297"/>
      <c r="J31" s="297"/>
      <c r="K31" s="297"/>
      <c r="L31" s="340"/>
    </row>
    <row r="32" spans="2:12" ht="24.6" customHeight="1">
      <c r="B32" s="52"/>
      <c r="C32" s="303" t="s">
        <v>317</v>
      </c>
      <c r="D32" s="304"/>
      <c r="E32" s="304"/>
      <c r="F32" s="305" t="s">
        <v>318</v>
      </c>
      <c r="G32" s="306"/>
      <c r="H32" s="306"/>
      <c r="I32" s="53"/>
      <c r="J32" s="53"/>
      <c r="K32" s="54"/>
      <c r="L32" s="117"/>
    </row>
    <row r="33" spans="2:12">
      <c r="B33" s="55" t="s">
        <v>271</v>
      </c>
      <c r="C33" s="56" t="s">
        <v>319</v>
      </c>
      <c r="D33" s="57" t="s">
        <v>320</v>
      </c>
      <c r="E33" s="57" t="s">
        <v>321</v>
      </c>
      <c r="F33" s="58" t="s">
        <v>322</v>
      </c>
      <c r="G33" s="58" t="s">
        <v>323</v>
      </c>
      <c r="H33" s="58" t="s">
        <v>324</v>
      </c>
      <c r="I33" s="59" t="s">
        <v>325</v>
      </c>
      <c r="J33" s="59" t="s">
        <v>326</v>
      </c>
      <c r="K33" s="60" t="s">
        <v>159</v>
      </c>
      <c r="L33" s="117"/>
    </row>
    <row r="34" spans="2:12" ht="14.25">
      <c r="B34" s="40" t="s">
        <v>275</v>
      </c>
      <c r="C34" s="124" t="str">
        <f>ComIDMConnector</f>
        <v>Access Connector</v>
      </c>
      <c r="D34" s="124" t="str">
        <f>AccessConnectorServername</f>
        <v>idmcon1.haramco.xyz
idmcon2.haramco.xyz</v>
      </c>
      <c r="E34" s="124" t="str">
        <f>AccessConnectorIp</f>
        <v>192.168.1.61
192.168.1.62</v>
      </c>
      <c r="F34" s="24" t="str">
        <f>ComAccess</f>
        <v>Workspace ONE Access</v>
      </c>
      <c r="G34" s="24" t="str">
        <f>AccessDNS</f>
        <v>access.haramco.xyz</v>
      </c>
      <c r="H34" s="24" t="str">
        <f>AccessDnsIp</f>
        <v>192.168.1.30</v>
      </c>
      <c r="I34" s="127" t="s">
        <v>330</v>
      </c>
      <c r="J34" s="84">
        <v>443</v>
      </c>
      <c r="K34" s="286" t="s">
        <v>524</v>
      </c>
      <c r="L34" s="117">
        <v>9.1</v>
      </c>
    </row>
    <row r="35" spans="2:12" ht="14.25">
      <c r="B35" s="40" t="s">
        <v>275</v>
      </c>
      <c r="C35" s="124" t="str">
        <f>ComBrowser</f>
        <v>Browser (for admin access)</v>
      </c>
      <c r="D35" s="113"/>
      <c r="E35" s="113"/>
      <c r="F35" s="24" t="str">
        <f>ComIDMConnector</f>
        <v>Access Connector</v>
      </c>
      <c r="G35" s="24" t="str">
        <f>AccessConnectorServername</f>
        <v>idmcon1.haramco.xyz
idmcon2.haramco.xyz</v>
      </c>
      <c r="H35" s="24" t="str">
        <f>AccessConnectorIp</f>
        <v>192.168.1.61
192.168.1.62</v>
      </c>
      <c r="I35" s="127" t="s">
        <v>330</v>
      </c>
      <c r="J35" s="114" t="s">
        <v>525</v>
      </c>
      <c r="K35" s="286" t="s">
        <v>526</v>
      </c>
      <c r="L35" s="117">
        <v>9.1</v>
      </c>
    </row>
    <row r="36" spans="2:12" ht="28.5">
      <c r="B36" s="40" t="s">
        <v>275</v>
      </c>
      <c r="C36" s="124" t="s">
        <v>527</v>
      </c>
      <c r="D36" s="113"/>
      <c r="E36" s="113"/>
      <c r="F36" s="24" t="str">
        <f>ComIDMConnector</f>
        <v>Access Connector</v>
      </c>
      <c r="G36" s="24" t="str">
        <f>AccessConnectorServername</f>
        <v>idmcon1.haramco.xyz
idmcon2.haramco.xyz</v>
      </c>
      <c r="H36" s="24" t="str">
        <f>AccessConnectorIp</f>
        <v>192.168.1.61
192.168.1.62</v>
      </c>
      <c r="I36" s="127" t="s">
        <v>330</v>
      </c>
      <c r="J36" s="114" t="s">
        <v>528</v>
      </c>
      <c r="K36" s="286" t="s">
        <v>529</v>
      </c>
      <c r="L36" s="117">
        <v>9.1</v>
      </c>
    </row>
    <row r="37" spans="2:12" ht="14.25">
      <c r="B37" s="40" t="s">
        <v>275</v>
      </c>
      <c r="C37" s="124" t="s">
        <v>527</v>
      </c>
      <c r="D37" s="113"/>
      <c r="E37" s="113"/>
      <c r="F37" s="24" t="str">
        <f>ComIDMConnector</f>
        <v>Access Connector</v>
      </c>
      <c r="G37" s="24" t="str">
        <f>AccessConnectorServername</f>
        <v>idmcon1.haramco.xyz
idmcon2.haramco.xyz</v>
      </c>
      <c r="H37" s="24" t="str">
        <f>AccessConnectorIp</f>
        <v>192.168.1.61
192.168.1.62</v>
      </c>
      <c r="I37" s="128" t="s">
        <v>345</v>
      </c>
      <c r="J37" s="111">
        <v>80</v>
      </c>
      <c r="K37" s="129"/>
      <c r="L37" s="117">
        <v>9.1</v>
      </c>
    </row>
    <row r="38" spans="2:12" ht="14.25">
      <c r="B38" s="40" t="s">
        <v>275</v>
      </c>
      <c r="C38" s="124" t="str">
        <f t="shared" ref="C38:C44" si="3">ComIDMConnector</f>
        <v>Access Connector</v>
      </c>
      <c r="D38" s="124" t="str">
        <f t="shared" ref="D38:D44" si="4">AccessConnectorServername</f>
        <v>idmcon1.haramco.xyz
idmcon2.haramco.xyz</v>
      </c>
      <c r="E38" s="124" t="str">
        <f t="shared" ref="E38:E44" si="5">AccessConnectorIp</f>
        <v>192.168.1.61
192.168.1.62</v>
      </c>
      <c r="F38" s="24" t="str">
        <f>ComLDAP</f>
        <v>Domain Controller / AD</v>
      </c>
      <c r="G38" s="24" t="str">
        <f>ADServerName</f>
        <v>haramco.xyz</v>
      </c>
      <c r="H38" s="24" t="str">
        <f>ADIp</f>
        <v>192.168.77.211</v>
      </c>
      <c r="I38" s="127" t="s">
        <v>517</v>
      </c>
      <c r="J38" s="127">
        <f>LDAP_Port</f>
        <v>389</v>
      </c>
      <c r="K38" s="129"/>
      <c r="L38" s="117">
        <v>9.1</v>
      </c>
    </row>
    <row r="39" spans="2:12" ht="42.75">
      <c r="B39" s="40" t="s">
        <v>275</v>
      </c>
      <c r="C39" s="124" t="str">
        <f t="shared" si="3"/>
        <v>Access Connector</v>
      </c>
      <c r="D39" s="124" t="str">
        <f t="shared" si="4"/>
        <v>idmcon1.haramco.xyz
idmcon2.haramco.xyz</v>
      </c>
      <c r="E39" s="124" t="str">
        <f t="shared" si="5"/>
        <v>192.168.1.61
192.168.1.62</v>
      </c>
      <c r="F39" s="24" t="str">
        <f>ComDNS</f>
        <v>DNS Server</v>
      </c>
      <c r="G39" s="24" t="str">
        <f>DNSServerName</f>
        <v>dns.fqdn.com</v>
      </c>
      <c r="H39" s="24" t="str">
        <f>DNSIP</f>
        <v>192.168.1.31</v>
      </c>
      <c r="I39" s="84" t="s">
        <v>530</v>
      </c>
      <c r="J39" s="84">
        <v>53</v>
      </c>
      <c r="K39" s="286" t="s">
        <v>531</v>
      </c>
      <c r="L39" s="117">
        <v>9.1</v>
      </c>
    </row>
    <row r="40" spans="2:12" ht="14.25">
      <c r="B40" s="40" t="str">
        <f>IF(UsingRadius="Yes", "Pending", "N/A")</f>
        <v>N/A</v>
      </c>
      <c r="C40" s="124" t="str">
        <f t="shared" si="3"/>
        <v>Access Connector</v>
      </c>
      <c r="D40" s="124" t="str">
        <f t="shared" si="4"/>
        <v>idmcon1.haramco.xyz
idmcon2.haramco.xyz</v>
      </c>
      <c r="E40" s="124" t="str">
        <f t="shared" si="5"/>
        <v>192.168.1.61
192.168.1.62</v>
      </c>
      <c r="F40" s="24" t="str">
        <f>ComRadius</f>
        <v>RADIUS Server</v>
      </c>
      <c r="G40" s="24">
        <f>RadiusServerName</f>
        <v>0</v>
      </c>
      <c r="H40" s="24">
        <f>RadiusServerIP</f>
        <v>0</v>
      </c>
      <c r="I40" s="84" t="s">
        <v>530</v>
      </c>
      <c r="J40" s="84">
        <f>RadiusPort</f>
        <v>0</v>
      </c>
      <c r="K40" s="285" t="s">
        <v>532</v>
      </c>
      <c r="L40" s="117">
        <v>9.1</v>
      </c>
    </row>
    <row r="41" spans="2:12" ht="14.25">
      <c r="B41" s="40" t="str">
        <f>IF(UsingRSA="Yes", "Pending", "N/A")</f>
        <v>N/A</v>
      </c>
      <c r="C41" s="124" t="str">
        <f t="shared" si="3"/>
        <v>Access Connector</v>
      </c>
      <c r="D41" s="124" t="str">
        <f t="shared" si="4"/>
        <v>idmcon1.haramco.xyz
idmcon2.haramco.xyz</v>
      </c>
      <c r="E41" s="124" t="str">
        <f t="shared" si="5"/>
        <v>192.168.1.61
192.168.1.62</v>
      </c>
      <c r="F41" s="24" t="str">
        <f>ComRSA</f>
        <v>RSA SecurID System</v>
      </c>
      <c r="G41" s="24">
        <f>RSAServerName</f>
        <v>0</v>
      </c>
      <c r="H41" s="24">
        <f>RSAServerIP</f>
        <v>0</v>
      </c>
      <c r="I41" s="84" t="s">
        <v>530</v>
      </c>
      <c r="J41" s="127">
        <v>5500</v>
      </c>
      <c r="K41" s="285" t="s">
        <v>533</v>
      </c>
      <c r="L41" s="117">
        <v>9.1</v>
      </c>
    </row>
    <row r="42" spans="2:12" ht="28.5">
      <c r="B42" s="40" t="str">
        <f>IF(UsingHorizon="Yes", "Pending", "N/A")</f>
        <v>N/A</v>
      </c>
      <c r="C42" s="124" t="str">
        <f t="shared" si="3"/>
        <v>Access Connector</v>
      </c>
      <c r="D42" s="124" t="str">
        <f t="shared" si="4"/>
        <v>idmcon1.haramco.xyz
idmcon2.haramco.xyz</v>
      </c>
      <c r="E42" s="124" t="str">
        <f t="shared" si="5"/>
        <v>192.168.1.61
192.168.1.62</v>
      </c>
      <c r="F42" s="24" t="str">
        <f>ComHorizon</f>
        <v>Horizon Connection Servers</v>
      </c>
      <c r="G42" s="24">
        <f>hzncnservername</f>
        <v>0</v>
      </c>
      <c r="H42" s="24">
        <f>hzncnip</f>
        <v>0</v>
      </c>
      <c r="I42" s="84" t="s">
        <v>534</v>
      </c>
      <c r="J42" s="84" t="s">
        <v>535</v>
      </c>
      <c r="K42" s="285" t="s">
        <v>536</v>
      </c>
      <c r="L42" s="117">
        <v>9.1</v>
      </c>
    </row>
    <row r="43" spans="2:12" ht="142.5">
      <c r="B43" s="40" t="str">
        <f>IF(UsingIntegrationBroker="Yes", "Pending", "N/A")</f>
        <v>N/A</v>
      </c>
      <c r="C43" s="124" t="str">
        <f t="shared" si="3"/>
        <v>Access Connector</v>
      </c>
      <c r="D43" s="124" t="str">
        <f t="shared" si="4"/>
        <v>idmcon1.haramco.xyz
idmcon2.haramco.xyz</v>
      </c>
      <c r="E43" s="124" t="str">
        <f t="shared" si="5"/>
        <v>192.168.1.61
192.168.1.62</v>
      </c>
      <c r="F43" s="24" t="str">
        <f>ComCIB</f>
        <v>Citrix Integration Broker</v>
      </c>
      <c r="G43" s="24" t="str">
        <f>CibDNS</f>
        <v>N/A</v>
      </c>
      <c r="H43" s="24" t="str">
        <f>CibDNSIp</f>
        <v>N/A</v>
      </c>
      <c r="I43" s="84"/>
      <c r="J43" s="84" t="s">
        <v>340</v>
      </c>
      <c r="K43" s="286" t="s">
        <v>537</v>
      </c>
      <c r="L43" s="117">
        <v>9.1</v>
      </c>
    </row>
    <row r="44" spans="2:12" ht="14.25">
      <c r="B44" s="40" t="s">
        <v>275</v>
      </c>
      <c r="C44" s="124" t="str">
        <f t="shared" si="3"/>
        <v>Access Connector</v>
      </c>
      <c r="D44" s="124" t="str">
        <f t="shared" si="4"/>
        <v>idmcon1.haramco.xyz
idmcon2.haramco.xyz</v>
      </c>
      <c r="E44" s="124" t="str">
        <f t="shared" si="5"/>
        <v>192.168.1.61
192.168.1.62</v>
      </c>
      <c r="F44" s="24" t="str">
        <f>ComSyslog</f>
        <v>Syslog Server</v>
      </c>
      <c r="G44" s="24" t="str">
        <f>syslogservername</f>
        <v>syslog.haramco.xyz</v>
      </c>
      <c r="H44" s="24" t="str">
        <f>syslogip</f>
        <v>192.168.1.170</v>
      </c>
      <c r="I44" s="84" t="s">
        <v>462</v>
      </c>
      <c r="J44" s="127">
        <v>514</v>
      </c>
      <c r="K44" s="285" t="s">
        <v>538</v>
      </c>
      <c r="L44" s="117">
        <v>9.1</v>
      </c>
    </row>
    <row r="45" spans="2:12" ht="42.75">
      <c r="B45" s="40" t="s">
        <v>44</v>
      </c>
      <c r="C45" s="106" t="str">
        <f t="shared" ref="C45" si="6">ComAccess</f>
        <v>Workspace ONE Access</v>
      </c>
      <c r="D45" s="124" t="str">
        <f t="shared" ref="D45" si="7">AccessServerName</f>
        <v>access1.haramco.xyz</v>
      </c>
      <c r="E45" s="124" t="str">
        <f t="shared" ref="E45" si="8">AccessIP</f>
        <v>192.168.1.84</v>
      </c>
      <c r="F45" s="24" t="s">
        <v>477</v>
      </c>
      <c r="G45" s="24" t="s">
        <v>478</v>
      </c>
      <c r="H45" s="24" t="s">
        <v>122</v>
      </c>
      <c r="I45" s="84" t="s">
        <v>352</v>
      </c>
      <c r="J45" s="84">
        <v>445</v>
      </c>
      <c r="K45" s="286" t="s">
        <v>479</v>
      </c>
      <c r="L45" s="101">
        <v>9</v>
      </c>
    </row>
    <row r="46" spans="2:12" ht="28.5">
      <c r="B46" s="40" t="s">
        <v>275</v>
      </c>
      <c r="C46" s="106" t="s">
        <v>539</v>
      </c>
      <c r="D46" s="124" t="s">
        <v>540</v>
      </c>
      <c r="E46" s="124" t="s">
        <v>122</v>
      </c>
      <c r="F46" s="24" t="s">
        <v>541</v>
      </c>
      <c r="G46" s="24" t="str">
        <f>AccessDNS</f>
        <v>access.haramco.xyz</v>
      </c>
      <c r="H46" s="24" t="str">
        <f>AccessDnsIp</f>
        <v>192.168.1.30</v>
      </c>
      <c r="I46" s="84" t="s">
        <v>330</v>
      </c>
      <c r="J46" s="127">
        <v>443</v>
      </c>
      <c r="K46" s="285" t="s">
        <v>542</v>
      </c>
      <c r="L46" s="117">
        <v>9.1</v>
      </c>
    </row>
  </sheetData>
  <autoFilter ref="L4:L29" xr:uid="{00000000-0009-0000-0000-000006000000}"/>
  <mergeCells count="31">
    <mergeCell ref="B7:L7"/>
    <mergeCell ref="B2:L2"/>
    <mergeCell ref="B3:L3"/>
    <mergeCell ref="I5:K5"/>
    <mergeCell ref="C5:H5"/>
    <mergeCell ref="C4:E4"/>
    <mergeCell ref="F4:H4"/>
    <mergeCell ref="I4:K4"/>
    <mergeCell ref="C32:E32"/>
    <mergeCell ref="F32:H32"/>
    <mergeCell ref="C19:E19"/>
    <mergeCell ref="F19:H19"/>
    <mergeCell ref="C13:E13"/>
    <mergeCell ref="F13:H13"/>
    <mergeCell ref="C14:H14"/>
    <mergeCell ref="C15:H15"/>
    <mergeCell ref="C16:H16"/>
    <mergeCell ref="C8:E8"/>
    <mergeCell ref="F8:H8"/>
    <mergeCell ref="B12:L12"/>
    <mergeCell ref="B18:L18"/>
    <mergeCell ref="B31:L31"/>
    <mergeCell ref="I16:K16"/>
    <mergeCell ref="I14:K14"/>
    <mergeCell ref="I15:K15"/>
    <mergeCell ref="I9:K9"/>
    <mergeCell ref="I8:K8"/>
    <mergeCell ref="C9:H9"/>
    <mergeCell ref="C10:H10"/>
    <mergeCell ref="I10:K10"/>
    <mergeCell ref="I13:K13"/>
  </mergeCells>
  <conditionalFormatting sqref="B6 B17">
    <cfRule type="cellIs" dxfId="702" priority="188" operator="equal">
      <formula>"Complete"</formula>
    </cfRule>
    <cfRule type="cellIs" dxfId="701" priority="189" operator="equal">
      <formula>"N/A"</formula>
    </cfRule>
    <cfRule type="cellIs" dxfId="700" priority="190" operator="equal">
      <formula>"Open"</formula>
    </cfRule>
  </conditionalFormatting>
  <conditionalFormatting sqref="B3 B9 L21:L23 B21:B23 B25:B29 L25:L29 L11 L13:L15">
    <cfRule type="cellIs" dxfId="699" priority="163" operator="equal">
      <formula>"Complete"</formula>
    </cfRule>
    <cfRule type="cellIs" dxfId="698" priority="164" operator="equal">
      <formula>"Pending"</formula>
    </cfRule>
  </conditionalFormatting>
  <conditionalFormatting sqref="B4">
    <cfRule type="cellIs" dxfId="697" priority="161" operator="equal">
      <formula>"Complete"</formula>
    </cfRule>
    <cfRule type="cellIs" dxfId="696" priority="162" operator="equal">
      <formula>"Pending"</formula>
    </cfRule>
  </conditionalFormatting>
  <conditionalFormatting sqref="B8">
    <cfRule type="cellIs" dxfId="695" priority="157" operator="equal">
      <formula>"Complete"</formula>
    </cfRule>
    <cfRule type="cellIs" dxfId="694" priority="158" operator="equal">
      <formula>"Pending"</formula>
    </cfRule>
  </conditionalFormatting>
  <conditionalFormatting sqref="B19">
    <cfRule type="cellIs" dxfId="693" priority="149" operator="equal">
      <formula>"Complete"</formula>
    </cfRule>
    <cfRule type="cellIs" dxfId="692" priority="150" operator="equal">
      <formula>"Pending"</formula>
    </cfRule>
  </conditionalFormatting>
  <conditionalFormatting sqref="B13">
    <cfRule type="cellIs" dxfId="691" priority="153" operator="equal">
      <formula>"Complete"</formula>
    </cfRule>
    <cfRule type="cellIs" dxfId="690" priority="154" operator="equal">
      <formula>"Pending"</formula>
    </cfRule>
  </conditionalFormatting>
  <conditionalFormatting sqref="B20">
    <cfRule type="cellIs" dxfId="689" priority="147" operator="equal">
      <formula>"Complete"</formula>
    </cfRule>
    <cfRule type="cellIs" dxfId="688" priority="148" operator="equal">
      <formula>"Pending"</formula>
    </cfRule>
  </conditionalFormatting>
  <conditionalFormatting sqref="B5">
    <cfRule type="cellIs" dxfId="687" priority="145" operator="equal">
      <formula>"Complete"</formula>
    </cfRule>
    <cfRule type="cellIs" dxfId="686" priority="146" operator="equal">
      <formula>"Pending"</formula>
    </cfRule>
  </conditionalFormatting>
  <conditionalFormatting sqref="B14:B16">
    <cfRule type="cellIs" dxfId="685" priority="141" operator="equal">
      <formula>"Complete"</formula>
    </cfRule>
    <cfRule type="cellIs" dxfId="684" priority="142" operator="equal">
      <formula>"Pending"</formula>
    </cfRule>
  </conditionalFormatting>
  <conditionalFormatting sqref="L6 L17">
    <cfRule type="cellIs" dxfId="683" priority="136" operator="equal">
      <formula>"Complete"</formula>
    </cfRule>
    <cfRule type="cellIs" dxfId="682" priority="137" operator="equal">
      <formula>"N/A"</formula>
    </cfRule>
    <cfRule type="cellIs" dxfId="681" priority="138" operator="equal">
      <formula>"Open"</formula>
    </cfRule>
  </conditionalFormatting>
  <conditionalFormatting sqref="L19">
    <cfRule type="cellIs" dxfId="680" priority="117" operator="equal">
      <formula>"Complete"</formula>
    </cfRule>
    <cfRule type="cellIs" dxfId="679" priority="118" operator="equal">
      <formula>"Pending"</formula>
    </cfRule>
  </conditionalFormatting>
  <conditionalFormatting sqref="L5">
    <cfRule type="cellIs" dxfId="678" priority="113" operator="equal">
      <formula>"Complete"</formula>
    </cfRule>
    <cfRule type="cellIs" dxfId="677" priority="114" operator="equal">
      <formula>"Pending"</formula>
    </cfRule>
  </conditionalFormatting>
  <conditionalFormatting sqref="L14 L16">
    <cfRule type="cellIs" dxfId="676" priority="109" operator="equal">
      <formula>"Complete"</formula>
    </cfRule>
    <cfRule type="cellIs" dxfId="675" priority="110" operator="equal">
      <formula>"Pending"</formula>
    </cfRule>
  </conditionalFormatting>
  <conditionalFormatting sqref="L9">
    <cfRule type="cellIs" dxfId="674" priority="99" operator="equal">
      <formula>"Complete"</formula>
    </cfRule>
    <cfRule type="cellIs" dxfId="673" priority="100" operator="equal">
      <formula>"Pending"</formula>
    </cfRule>
  </conditionalFormatting>
  <conditionalFormatting sqref="L15">
    <cfRule type="cellIs" dxfId="672" priority="93" operator="equal">
      <formula>"Complete"</formula>
    </cfRule>
    <cfRule type="cellIs" dxfId="671" priority="94" operator="equal">
      <formula>"Pending"</formula>
    </cfRule>
  </conditionalFormatting>
  <conditionalFormatting sqref="L8:L9 L16:L17 L19:L21">
    <cfRule type="cellIs" dxfId="670" priority="89" operator="equal">
      <formula>"Complete"</formula>
    </cfRule>
    <cfRule type="cellIs" dxfId="669" priority="90" operator="equal">
      <formula>"Pending"</formula>
    </cfRule>
  </conditionalFormatting>
  <conditionalFormatting sqref="B34 B36:B39">
    <cfRule type="cellIs" dxfId="668" priority="81" operator="equal">
      <formula>"Complete"</formula>
    </cfRule>
    <cfRule type="cellIs" dxfId="667" priority="82" operator="equal">
      <formula>"Pending"</formula>
    </cfRule>
  </conditionalFormatting>
  <conditionalFormatting sqref="B32">
    <cfRule type="cellIs" dxfId="666" priority="77" operator="equal">
      <formula>"Complete"</formula>
    </cfRule>
    <cfRule type="cellIs" dxfId="665" priority="78" operator="equal">
      <formula>"Pending"</formula>
    </cfRule>
  </conditionalFormatting>
  <conditionalFormatting sqref="B33">
    <cfRule type="cellIs" dxfId="664" priority="75" operator="equal">
      <formula>"Complete"</formula>
    </cfRule>
    <cfRule type="cellIs" dxfId="663" priority="76" operator="equal">
      <formula>"Pending"</formula>
    </cfRule>
  </conditionalFormatting>
  <conditionalFormatting sqref="L32">
    <cfRule type="cellIs" dxfId="662" priority="73" operator="equal">
      <formula>"Complete"</formula>
    </cfRule>
    <cfRule type="cellIs" dxfId="661" priority="74" operator="equal">
      <formula>"Pending"</formula>
    </cfRule>
  </conditionalFormatting>
  <conditionalFormatting sqref="L32:L33">
    <cfRule type="cellIs" dxfId="660" priority="71" operator="equal">
      <formula>"Complete"</formula>
    </cfRule>
    <cfRule type="cellIs" dxfId="659" priority="72" operator="equal">
      <formula>"Pending"</formula>
    </cfRule>
  </conditionalFormatting>
  <conditionalFormatting sqref="B24 L24">
    <cfRule type="cellIs" dxfId="658" priority="69" operator="equal">
      <formula>"Complete"</formula>
    </cfRule>
    <cfRule type="cellIs" dxfId="657" priority="70" operator="equal">
      <formula>"Pending"</formula>
    </cfRule>
  </conditionalFormatting>
  <conditionalFormatting sqref="B43">
    <cfRule type="cellIs" dxfId="656" priority="67" operator="equal">
      <formula>"Complete"</formula>
    </cfRule>
    <cfRule type="cellIs" dxfId="655" priority="68" operator="equal">
      <formula>"Pending"</formula>
    </cfRule>
  </conditionalFormatting>
  <conditionalFormatting sqref="L34 L36:L39 L41:L43">
    <cfRule type="cellIs" dxfId="654" priority="65" operator="equal">
      <formula>"Complete"</formula>
    </cfRule>
    <cfRule type="cellIs" dxfId="653" priority="66" operator="equal">
      <formula>"Pending"</formula>
    </cfRule>
  </conditionalFormatting>
  <conditionalFormatting sqref="B10">
    <cfRule type="cellIs" dxfId="652" priority="63" operator="equal">
      <formula>"Complete"</formula>
    </cfRule>
    <cfRule type="cellIs" dxfId="651" priority="64" operator="equal">
      <formula>"Pending"</formula>
    </cfRule>
  </conditionalFormatting>
  <conditionalFormatting sqref="L10">
    <cfRule type="cellIs" dxfId="650" priority="61" operator="equal">
      <formula>"Complete"</formula>
    </cfRule>
    <cfRule type="cellIs" dxfId="649" priority="62" operator="equal">
      <formula>"Pending"</formula>
    </cfRule>
  </conditionalFormatting>
  <conditionalFormatting sqref="L10">
    <cfRule type="cellIs" dxfId="648" priority="59" operator="equal">
      <formula>"Complete"</formula>
    </cfRule>
    <cfRule type="cellIs" dxfId="647" priority="60" operator="equal">
      <formula>"Pending"</formula>
    </cfRule>
  </conditionalFormatting>
  <conditionalFormatting sqref="B35">
    <cfRule type="cellIs" dxfId="646" priority="35" operator="equal">
      <formula>"Complete"</formula>
    </cfRule>
    <cfRule type="cellIs" dxfId="645" priority="36" operator="equal">
      <formula>"Pending"</formula>
    </cfRule>
  </conditionalFormatting>
  <conditionalFormatting sqref="L35">
    <cfRule type="cellIs" dxfId="644" priority="33" operator="equal">
      <formula>"Complete"</formula>
    </cfRule>
    <cfRule type="cellIs" dxfId="643" priority="34" operator="equal">
      <formula>"Pending"</formula>
    </cfRule>
  </conditionalFormatting>
  <conditionalFormatting sqref="B44">
    <cfRule type="cellIs" dxfId="642" priority="27" operator="equal">
      <formula>"Complete"</formula>
    </cfRule>
    <cfRule type="cellIs" dxfId="641" priority="28" operator="equal">
      <formula>"Pending"</formula>
    </cfRule>
  </conditionalFormatting>
  <conditionalFormatting sqref="L44">
    <cfRule type="cellIs" dxfId="640" priority="25" operator="equal">
      <formula>"Complete"</formula>
    </cfRule>
    <cfRule type="cellIs" dxfId="639" priority="26" operator="equal">
      <formula>"Pending"</formula>
    </cfRule>
  </conditionalFormatting>
  <conditionalFormatting sqref="B46">
    <cfRule type="cellIs" dxfId="638" priority="23" operator="equal">
      <formula>"Complete"</formula>
    </cfRule>
    <cfRule type="cellIs" dxfId="637" priority="24" operator="equal">
      <formula>"Pending"</formula>
    </cfRule>
  </conditionalFormatting>
  <conditionalFormatting sqref="L46">
    <cfRule type="cellIs" dxfId="636" priority="21" operator="equal">
      <formula>"Complete"</formula>
    </cfRule>
    <cfRule type="cellIs" dxfId="635" priority="22" operator="equal">
      <formula>"Pending"</formula>
    </cfRule>
  </conditionalFormatting>
  <conditionalFormatting sqref="L40">
    <cfRule type="cellIs" dxfId="634" priority="17" operator="equal">
      <formula>"Complete"</formula>
    </cfRule>
    <cfRule type="cellIs" dxfId="633" priority="18" operator="equal">
      <formula>"Pending"</formula>
    </cfRule>
  </conditionalFormatting>
  <conditionalFormatting sqref="B31">
    <cfRule type="cellIs" dxfId="632" priority="9" operator="equal">
      <formula>"Complete"</formula>
    </cfRule>
    <cfRule type="cellIs" dxfId="631" priority="10" operator="equal">
      <formula>"Pending"</formula>
    </cfRule>
  </conditionalFormatting>
  <conditionalFormatting sqref="B7">
    <cfRule type="cellIs" dxfId="630" priority="15" operator="equal">
      <formula>"Complete"</formula>
    </cfRule>
    <cfRule type="cellIs" dxfId="629" priority="16" operator="equal">
      <formula>"Pending"</formula>
    </cfRule>
  </conditionalFormatting>
  <conditionalFormatting sqref="B12">
    <cfRule type="cellIs" dxfId="628" priority="13" operator="equal">
      <formula>"Complete"</formula>
    </cfRule>
    <cfRule type="cellIs" dxfId="627" priority="14" operator="equal">
      <formula>"Pending"</formula>
    </cfRule>
  </conditionalFormatting>
  <conditionalFormatting sqref="B18">
    <cfRule type="cellIs" dxfId="626" priority="11" operator="equal">
      <formula>"Complete"</formula>
    </cfRule>
    <cfRule type="cellIs" dxfId="625" priority="12" operator="equal">
      <formula>"Pending"</formula>
    </cfRule>
  </conditionalFormatting>
  <conditionalFormatting sqref="B41">
    <cfRule type="cellIs" dxfId="624" priority="7" operator="equal">
      <formula>"Complete"</formula>
    </cfRule>
    <cfRule type="cellIs" dxfId="623" priority="8" operator="equal">
      <formula>"Pending"</formula>
    </cfRule>
  </conditionalFormatting>
  <conditionalFormatting sqref="B42">
    <cfRule type="cellIs" dxfId="622" priority="5" operator="equal">
      <formula>"Complete"</formula>
    </cfRule>
    <cfRule type="cellIs" dxfId="621" priority="6" operator="equal">
      <formula>"Pending"</formula>
    </cfRule>
  </conditionalFormatting>
  <conditionalFormatting sqref="B40">
    <cfRule type="cellIs" dxfId="620" priority="3" operator="equal">
      <formula>"Complete"</formula>
    </cfRule>
    <cfRule type="cellIs" dxfId="619" priority="4" operator="equal">
      <formula>"Pending"</formula>
    </cfRule>
  </conditionalFormatting>
  <conditionalFormatting sqref="B45 L45">
    <cfRule type="cellIs" dxfId="618" priority="1" operator="equal">
      <formula>"Complete"</formula>
    </cfRule>
    <cfRule type="cellIs" dxfId="617" priority="2" operator="equal">
      <formula>"Pending"</formula>
    </cfRule>
  </conditionalFormatting>
  <dataValidations count="2">
    <dataValidation type="list" allowBlank="1" showInputMessage="1" showErrorMessage="1" sqref="B6 B17" xr:uid="{00000000-0002-0000-0600-000000000000}">
      <formula1>"Open, N/A, Complete"</formula1>
    </dataValidation>
    <dataValidation type="list" allowBlank="1" showInputMessage="1" showErrorMessage="1" sqref="B5 B14:B16 B21:B29 B9:B10 B34:B46" xr:uid="{00000000-0002-0000-0600-000001000000}">
      <formula1>"Pending, Complete, N/A"</formula1>
    </dataValidation>
  </dataValidations>
  <pageMargins left="0.7" right="0.7" top="0.75" bottom="0.75" header="0.3" footer="0.3"/>
  <pageSetup scale="76"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249977111117893"/>
    <pageSetUpPr fitToPage="1"/>
  </sheetPr>
  <dimension ref="B2:L114"/>
  <sheetViews>
    <sheetView showGridLines="0" topLeftCell="A33" zoomScaleNormal="100" zoomScalePageLayoutView="120" workbookViewId="0">
      <selection activeCell="F48" sqref="F48"/>
    </sheetView>
  </sheetViews>
  <sheetFormatPr defaultColWidth="27.28515625" defaultRowHeight="13.9" outlineLevelRow="1"/>
  <cols>
    <col min="1" max="1" width="3.42578125" style="9" customWidth="1"/>
    <col min="2" max="2" width="12.28515625" style="9" customWidth="1"/>
    <col min="3" max="3" width="31.28515625" style="9" customWidth="1"/>
    <col min="4" max="4" width="25.7109375" style="44" customWidth="1"/>
    <col min="5" max="5" width="21" style="19" bestFit="1" customWidth="1"/>
    <col min="6" max="6" width="37.42578125" style="9" customWidth="1"/>
    <col min="7" max="7" width="25.7109375" style="44" customWidth="1"/>
    <col min="8" max="8" width="22" style="19" customWidth="1"/>
    <col min="9" max="9" width="23.42578125" style="9" customWidth="1"/>
    <col min="10" max="10" width="27.28515625" style="9" customWidth="1"/>
    <col min="11" max="11" width="50.140625" style="9" bestFit="1" customWidth="1"/>
    <col min="12" max="12" width="18.42578125" style="9" bestFit="1" customWidth="1"/>
    <col min="13" max="16384" width="27.28515625" style="9"/>
  </cols>
  <sheetData>
    <row r="2" spans="2:12" ht="35.25" customHeight="1">
      <c r="B2" s="323" t="s">
        <v>543</v>
      </c>
      <c r="C2" s="323"/>
      <c r="D2" s="323"/>
      <c r="E2" s="323"/>
      <c r="F2" s="323"/>
      <c r="G2" s="323"/>
      <c r="H2" s="323"/>
      <c r="I2" s="323"/>
      <c r="J2" s="323"/>
      <c r="K2" s="323"/>
      <c r="L2" s="323"/>
    </row>
    <row r="3" spans="2:12" ht="16.149999999999999" thickBot="1">
      <c r="B3" s="317" t="s">
        <v>544</v>
      </c>
      <c r="C3" s="318"/>
      <c r="D3" s="318"/>
      <c r="E3" s="318"/>
      <c r="F3" s="318"/>
      <c r="G3" s="318"/>
      <c r="H3" s="318"/>
      <c r="I3" s="318"/>
      <c r="J3" s="318"/>
      <c r="K3" s="318"/>
      <c r="L3" s="318"/>
    </row>
    <row r="4" spans="2:12">
      <c r="B4" s="277" t="s">
        <v>271</v>
      </c>
      <c r="C4" s="312" t="s">
        <v>272</v>
      </c>
      <c r="D4" s="313"/>
      <c r="E4" s="313"/>
      <c r="F4" s="312"/>
      <c r="G4" s="313"/>
      <c r="H4" s="313"/>
      <c r="I4" s="312" t="s">
        <v>273</v>
      </c>
      <c r="J4" s="313"/>
      <c r="K4" s="314"/>
      <c r="L4" s="39" t="s">
        <v>274</v>
      </c>
    </row>
    <row r="5" spans="2:12" ht="20.100000000000001" customHeight="1">
      <c r="B5" s="40" t="s">
        <v>275</v>
      </c>
      <c r="C5" s="330" t="s">
        <v>280</v>
      </c>
      <c r="D5" s="330"/>
      <c r="E5" s="330"/>
      <c r="F5" s="330"/>
      <c r="G5" s="330"/>
      <c r="H5" s="330"/>
      <c r="I5" s="310"/>
      <c r="J5" s="311"/>
      <c r="K5" s="311"/>
      <c r="L5" s="139">
        <v>6.4</v>
      </c>
    </row>
    <row r="6" spans="2:12">
      <c r="B6" s="40" t="s">
        <v>275</v>
      </c>
      <c r="C6" s="333" t="s">
        <v>545</v>
      </c>
      <c r="D6" s="333"/>
      <c r="E6" s="333"/>
      <c r="F6" s="333"/>
      <c r="G6" s="333"/>
      <c r="H6" s="333"/>
      <c r="I6" s="310" t="s">
        <v>546</v>
      </c>
      <c r="J6" s="311"/>
      <c r="K6" s="311"/>
      <c r="L6" s="101">
        <v>8</v>
      </c>
    </row>
    <row r="7" spans="2:12">
      <c r="B7" s="40" t="s">
        <v>275</v>
      </c>
      <c r="C7" s="333" t="s">
        <v>547</v>
      </c>
      <c r="D7" s="333"/>
      <c r="E7" s="333"/>
      <c r="F7" s="333"/>
      <c r="G7" s="333"/>
      <c r="H7" s="333"/>
      <c r="I7" s="310" t="s">
        <v>546</v>
      </c>
      <c r="J7" s="311"/>
      <c r="K7" s="311"/>
      <c r="L7" s="101">
        <v>8</v>
      </c>
    </row>
    <row r="8" spans="2:12" ht="29.25" customHeight="1">
      <c r="B8" s="40" t="s">
        <v>275</v>
      </c>
      <c r="C8" s="310" t="s">
        <v>548</v>
      </c>
      <c r="D8" s="311"/>
      <c r="E8" s="311"/>
      <c r="F8" s="311"/>
      <c r="G8" s="311"/>
      <c r="H8" s="332"/>
      <c r="I8" s="310" t="s">
        <v>549</v>
      </c>
      <c r="J8" s="311"/>
      <c r="K8" s="311"/>
      <c r="L8" s="101">
        <v>8.3000000000000007</v>
      </c>
    </row>
    <row r="9" spans="2:12" ht="18.95" customHeight="1">
      <c r="D9" s="9"/>
      <c r="E9" s="9"/>
      <c r="G9" s="9"/>
      <c r="H9" s="9"/>
      <c r="L9" s="101"/>
    </row>
    <row r="10" spans="2:12" ht="20.25" customHeight="1">
      <c r="B10" s="354" t="s">
        <v>241</v>
      </c>
      <c r="C10" s="354"/>
      <c r="D10" s="354"/>
      <c r="E10" s="354"/>
      <c r="F10" s="354"/>
      <c r="G10" s="354"/>
      <c r="H10" s="354"/>
      <c r="I10" s="354"/>
      <c r="J10" s="354"/>
      <c r="K10" s="354"/>
      <c r="L10" s="354"/>
    </row>
    <row r="11" spans="2:12" ht="15.6">
      <c r="B11" s="317" t="s">
        <v>439</v>
      </c>
      <c r="C11" s="318"/>
      <c r="D11" s="318"/>
      <c r="E11" s="318"/>
      <c r="F11" s="318"/>
      <c r="G11" s="318"/>
      <c r="H11" s="318"/>
      <c r="I11" s="318"/>
      <c r="J11" s="318"/>
      <c r="K11" s="318"/>
      <c r="L11" s="318"/>
    </row>
    <row r="12" spans="2:12">
      <c r="B12" s="277" t="s">
        <v>271</v>
      </c>
      <c r="C12" s="344" t="s">
        <v>272</v>
      </c>
      <c r="D12" s="345"/>
      <c r="E12" s="347"/>
      <c r="F12" s="344"/>
      <c r="G12" s="345"/>
      <c r="H12" s="347"/>
      <c r="I12" s="344" t="s">
        <v>273</v>
      </c>
      <c r="J12" s="345"/>
      <c r="K12" s="345"/>
      <c r="L12" s="101"/>
    </row>
    <row r="13" spans="2:12" ht="72.95" customHeight="1">
      <c r="B13" s="40" t="s">
        <v>275</v>
      </c>
      <c r="C13" s="310" t="s">
        <v>550</v>
      </c>
      <c r="D13" s="301"/>
      <c r="E13" s="301"/>
      <c r="F13" s="301"/>
      <c r="G13" s="301"/>
      <c r="H13" s="302"/>
      <c r="I13" s="310" t="s">
        <v>551</v>
      </c>
      <c r="J13" s="311"/>
      <c r="K13" s="311"/>
      <c r="L13" s="101">
        <v>9.1999999999999993</v>
      </c>
    </row>
    <row r="14" spans="2:12" ht="48.95" customHeight="1">
      <c r="B14" s="40" t="s">
        <v>275</v>
      </c>
      <c r="C14" s="310" t="s">
        <v>552</v>
      </c>
      <c r="D14" s="301"/>
      <c r="E14" s="301"/>
      <c r="F14" s="301"/>
      <c r="G14" s="301"/>
      <c r="H14" s="302"/>
      <c r="I14" s="310" t="s">
        <v>553</v>
      </c>
      <c r="J14" s="311"/>
      <c r="K14" s="311"/>
      <c r="L14" s="101">
        <v>8.4</v>
      </c>
    </row>
    <row r="16" spans="2:12" ht="15.75" customHeight="1">
      <c r="B16" s="136" t="s">
        <v>554</v>
      </c>
      <c r="D16" s="9"/>
      <c r="E16" s="9"/>
      <c r="G16" s="9"/>
      <c r="H16" s="9"/>
      <c r="L16" s="101"/>
    </row>
    <row r="17" spans="2:12" ht="15.6">
      <c r="B17" s="317" t="s">
        <v>316</v>
      </c>
      <c r="C17" s="318"/>
      <c r="D17" s="318"/>
      <c r="E17" s="318"/>
      <c r="F17" s="318"/>
      <c r="G17" s="318"/>
      <c r="H17" s="318"/>
      <c r="I17" s="318"/>
      <c r="J17" s="318"/>
      <c r="K17" s="318"/>
      <c r="L17" s="318"/>
    </row>
    <row r="18" spans="2:12">
      <c r="B18" s="52"/>
      <c r="C18" s="348" t="s">
        <v>317</v>
      </c>
      <c r="D18" s="349"/>
      <c r="E18" s="350"/>
      <c r="F18" s="351" t="s">
        <v>318</v>
      </c>
      <c r="G18" s="352"/>
      <c r="H18" s="353"/>
      <c r="I18" s="53"/>
      <c r="J18" s="53"/>
      <c r="K18" s="54"/>
      <c r="L18" s="101"/>
    </row>
    <row r="19" spans="2:12" ht="15.75" customHeight="1">
      <c r="B19" s="55" t="s">
        <v>271</v>
      </c>
      <c r="C19" s="56" t="s">
        <v>319</v>
      </c>
      <c r="D19" s="57" t="s">
        <v>320</v>
      </c>
      <c r="E19" s="57" t="s">
        <v>321</v>
      </c>
      <c r="F19" s="58" t="s">
        <v>322</v>
      </c>
      <c r="G19" s="58" t="s">
        <v>323</v>
      </c>
      <c r="H19" s="58" t="s">
        <v>324</v>
      </c>
      <c r="I19" s="59" t="s">
        <v>325</v>
      </c>
      <c r="J19" s="59" t="s">
        <v>326</v>
      </c>
      <c r="K19" s="60" t="s">
        <v>159</v>
      </c>
      <c r="L19" s="101"/>
    </row>
    <row r="20" spans="2:12" ht="18.95" customHeight="1">
      <c r="B20" s="140" t="s">
        <v>555</v>
      </c>
      <c r="C20" s="141"/>
      <c r="D20" s="141"/>
      <c r="E20" s="141"/>
      <c r="F20" s="141"/>
      <c r="G20" s="141"/>
      <c r="H20" s="141"/>
      <c r="I20" s="141"/>
      <c r="J20" s="141"/>
      <c r="K20" s="141"/>
      <c r="L20" s="101"/>
    </row>
    <row r="21" spans="2:12" outlineLevel="1">
      <c r="B21" s="40" t="str">
        <f t="shared" ref="B21:B34" si="0">IF(UagConfig="Basic", "Pending", "N/A")</f>
        <v>N/A</v>
      </c>
      <c r="C21" s="64" t="str">
        <f>Devices_Internet_Name</f>
        <v>Devices on Internet or Wi-Fi</v>
      </c>
      <c r="D21" s="61"/>
      <c r="E21" s="61"/>
      <c r="F21" s="24" t="str">
        <f>ComUAGRelayTunnel</f>
        <v>UAG Relay for Tunnel</v>
      </c>
      <c r="G21" s="24" t="str">
        <f>UAGRelayTunnelDNS</f>
        <v>uagr.haramco.xyz</v>
      </c>
      <c r="H21" s="24" t="str">
        <f>UAGRelayTunnelDNSIP</f>
        <v>192.168.1.30</v>
      </c>
      <c r="I21" s="127" t="s">
        <v>556</v>
      </c>
      <c r="J21" s="84">
        <v>8443</v>
      </c>
      <c r="K21" s="286" t="s">
        <v>557</v>
      </c>
      <c r="L21" s="153">
        <v>8</v>
      </c>
    </row>
    <row r="22" spans="2:12" outlineLevel="1">
      <c r="B22" s="40" t="str">
        <f t="shared" si="0"/>
        <v>N/A</v>
      </c>
      <c r="C22" s="64" t="str">
        <f t="shared" ref="C22:C23" si="1">Devices_Internet_Name</f>
        <v>Devices on Internet or Wi-Fi</v>
      </c>
      <c r="D22" s="61"/>
      <c r="E22" s="61"/>
      <c r="F22" s="24" t="str">
        <f>ComUAGRelayTunnel</f>
        <v>UAG Relay for Tunnel</v>
      </c>
      <c r="G22" s="24" t="str">
        <f>UAGRelayTunnelDNS</f>
        <v>uagr.haramco.xyz</v>
      </c>
      <c r="H22" s="24" t="str">
        <f>UAGRelayTunnelDNSIP</f>
        <v>192.168.1.30</v>
      </c>
      <c r="I22" s="127" t="s">
        <v>330</v>
      </c>
      <c r="J22" s="84">
        <v>2020</v>
      </c>
      <c r="K22" s="286" t="s">
        <v>558</v>
      </c>
      <c r="L22" s="153">
        <v>8</v>
      </c>
    </row>
    <row r="23" spans="2:12" outlineLevel="1">
      <c r="B23" s="40" t="str">
        <f t="shared" si="0"/>
        <v>N/A</v>
      </c>
      <c r="C23" s="64" t="str">
        <f t="shared" si="1"/>
        <v>Devices on Internet or Wi-Fi</v>
      </c>
      <c r="D23" s="61"/>
      <c r="E23" s="61"/>
      <c r="F23" s="24" t="str">
        <f>ComUAGRelayContent</f>
        <v>UAG Relay for Content</v>
      </c>
      <c r="G23" s="24" t="str">
        <f>UAGRelayContentDNS</f>
        <v>uagr.haramco.xyz</v>
      </c>
      <c r="H23" s="24" t="str">
        <f>UAGRelayContentDNSIP</f>
        <v>192.168.1.30</v>
      </c>
      <c r="I23" s="127" t="s">
        <v>330</v>
      </c>
      <c r="J23" s="84">
        <v>443</v>
      </c>
      <c r="K23" s="286" t="s">
        <v>559</v>
      </c>
      <c r="L23" s="153">
        <v>8.3000000000000007</v>
      </c>
    </row>
    <row r="24" spans="2:12" outlineLevel="1">
      <c r="B24" s="40" t="str">
        <f t="shared" si="0"/>
        <v>N/A</v>
      </c>
      <c r="C24" s="106" t="str">
        <f>ComUEMCN</f>
        <v>UEM Console Server</v>
      </c>
      <c r="D24" s="106" t="str">
        <f>cnservername</f>
        <v>uemc1.haramco.xyz</v>
      </c>
      <c r="E24" s="106" t="str">
        <f>cnip</f>
        <v>192.168.1.80</v>
      </c>
      <c r="F24" s="24" t="str">
        <f>ComUAGRelayContent</f>
        <v>UAG Relay for Content</v>
      </c>
      <c r="G24" s="24" t="str">
        <f>UAGRelayContentDNS</f>
        <v>uagr.haramco.xyz</v>
      </c>
      <c r="H24" s="24" t="str">
        <f>UAGRelayContentDNSIP</f>
        <v>192.168.1.30</v>
      </c>
      <c r="I24" s="127" t="s">
        <v>330</v>
      </c>
      <c r="J24" s="84">
        <v>443</v>
      </c>
      <c r="K24" s="286" t="s">
        <v>559</v>
      </c>
      <c r="L24" s="153">
        <v>8.3000000000000007</v>
      </c>
    </row>
    <row r="25" spans="2:12" outlineLevel="1">
      <c r="B25" s="40" t="str">
        <f t="shared" si="0"/>
        <v>N/A</v>
      </c>
      <c r="C25" s="106" t="str">
        <f>ComUEMDS</f>
        <v>UEM Device Services Server</v>
      </c>
      <c r="D25" s="106" t="str">
        <f>dsservername</f>
        <v>uds1.haramco.xyz</v>
      </c>
      <c r="E25" s="106" t="str">
        <f>dsip</f>
        <v>192.168.1.82</v>
      </c>
      <c r="F25" s="24" t="str">
        <f>ComUAGRelayContent</f>
        <v>UAG Relay for Content</v>
      </c>
      <c r="G25" s="24" t="str">
        <f>UAGRelayContentDNS</f>
        <v>uagr.haramco.xyz</v>
      </c>
      <c r="H25" s="24" t="str">
        <f>UAGRelayContentDNSIP</f>
        <v>192.168.1.30</v>
      </c>
      <c r="I25" s="127" t="s">
        <v>330</v>
      </c>
      <c r="J25" s="84">
        <v>443</v>
      </c>
      <c r="K25" s="286" t="s">
        <v>559</v>
      </c>
      <c r="L25" s="153">
        <v>8.3000000000000007</v>
      </c>
    </row>
    <row r="26" spans="2:12" outlineLevel="1">
      <c r="B26" s="40" t="str">
        <f t="shared" si="0"/>
        <v>N/A</v>
      </c>
      <c r="C26" s="106" t="str">
        <f>ComUEMCN</f>
        <v>UEM Console Server</v>
      </c>
      <c r="D26" s="106" t="str">
        <f>cnservername</f>
        <v>uemc1.haramco.xyz</v>
      </c>
      <c r="E26" s="106" t="str">
        <f>cnip</f>
        <v>192.168.1.80</v>
      </c>
      <c r="F26" s="24" t="str">
        <f>ComUAGRelayTunnel</f>
        <v>UAG Relay for Tunnel</v>
      </c>
      <c r="G26" s="24" t="str">
        <f>UAGRelayTunnelDNS</f>
        <v>uagr.haramco.xyz</v>
      </c>
      <c r="H26" s="24" t="str">
        <f>UAGRelayTunnelDNSIP</f>
        <v>192.168.1.30</v>
      </c>
      <c r="I26" s="127" t="s">
        <v>330</v>
      </c>
      <c r="J26" s="84">
        <v>2020</v>
      </c>
      <c r="K26" s="286" t="s">
        <v>560</v>
      </c>
      <c r="L26" s="153"/>
    </row>
    <row r="27" spans="2:12" ht="27.6" outlineLevel="1">
      <c r="B27" s="40" t="str">
        <f t="shared" si="0"/>
        <v>N/A</v>
      </c>
      <c r="C27" s="106" t="str">
        <f>ComUAGRelayTunnel</f>
        <v>UAG Relay for Tunnel</v>
      </c>
      <c r="D27" s="106" t="str">
        <f>UAGRelayTunnelServerName</f>
        <v>uagr1.haramco.xyz
uagr2.haramco.xyz</v>
      </c>
      <c r="E27" s="106" t="str">
        <f>UAGRelayTunnelServerIP</f>
        <v>192.168.1.70
192.168.1.71</v>
      </c>
      <c r="F27" s="24" t="str">
        <f>ComUEMAWCM</f>
        <v>UEM AWCM Server</v>
      </c>
      <c r="G27" s="137" t="str">
        <f>awcmdns</f>
        <v>tcuds.haramco.xyz</v>
      </c>
      <c r="H27" s="137" t="str">
        <f>awcmdnsip</f>
        <v>192.168.1.30</v>
      </c>
      <c r="I27" s="127" t="s">
        <v>330</v>
      </c>
      <c r="J27" s="84">
        <f>IF(deploymenttype="SaaS", 443, 2001)</f>
        <v>2001</v>
      </c>
      <c r="K27" s="286"/>
      <c r="L27" s="153">
        <v>8</v>
      </c>
    </row>
    <row r="28" spans="2:12" ht="27.6" outlineLevel="1">
      <c r="B28" s="40" t="str">
        <f t="shared" si="0"/>
        <v>N/A</v>
      </c>
      <c r="C28" s="106" t="str">
        <f>ComUAGRelayTunnel</f>
        <v>UAG Relay for Tunnel</v>
      </c>
      <c r="D28" s="106" t="str">
        <f>UAGRelayTunnelServerName</f>
        <v>uagr1.haramco.xyz
uagr2.haramco.xyz</v>
      </c>
      <c r="E28" s="106" t="str">
        <f>UAGRelayTunnelServerIP</f>
        <v>192.168.1.70
192.168.1.71</v>
      </c>
      <c r="F28" s="24" t="str">
        <f>ComUEMAPI</f>
        <v>UEM API Server</v>
      </c>
      <c r="G28" s="137" t="str">
        <f>apidns</f>
        <v>tcuds.haramco.xyz</v>
      </c>
      <c r="H28" s="137" t="str">
        <f>apidnsip</f>
        <v>192.168.1.30</v>
      </c>
      <c r="I28" s="127" t="s">
        <v>330</v>
      </c>
      <c r="J28" s="84">
        <v>443</v>
      </c>
      <c r="K28" s="286"/>
      <c r="L28" s="153">
        <v>8</v>
      </c>
    </row>
    <row r="29" spans="2:12" ht="27.6" outlineLevel="1">
      <c r="B29" s="40" t="str">
        <f t="shared" si="0"/>
        <v>N/A</v>
      </c>
      <c r="C29" s="106" t="str">
        <f>ComUAGRelayContent</f>
        <v>UAG Relay for Content</v>
      </c>
      <c r="D29" s="106" t="str">
        <f>UAGRelayContentServerName</f>
        <v>uagr1.haramco.xyz
uagr2.haramco.xyz</v>
      </c>
      <c r="E29" s="106" t="str">
        <f>UAGRelayContentServerIP</f>
        <v>192.168.1.70
192.168.1.71</v>
      </c>
      <c r="F29" s="24" t="str">
        <f>ComUEMAWCM</f>
        <v>UEM AWCM Server</v>
      </c>
      <c r="G29" s="137" t="str">
        <f>awcmdns</f>
        <v>tcuds.haramco.xyz</v>
      </c>
      <c r="H29" s="137" t="str">
        <f>awcmdnsip</f>
        <v>192.168.1.30</v>
      </c>
      <c r="I29" s="127" t="s">
        <v>330</v>
      </c>
      <c r="J29" s="84">
        <f>IF(deploymenttype="SaaS", 443, 2001)</f>
        <v>2001</v>
      </c>
      <c r="K29" s="286"/>
      <c r="L29" s="153">
        <v>8</v>
      </c>
    </row>
    <row r="30" spans="2:12" ht="27.6" outlineLevel="1">
      <c r="B30" s="40" t="str">
        <f t="shared" si="0"/>
        <v>N/A</v>
      </c>
      <c r="C30" s="106" t="str">
        <f>ComUAGRelayContent</f>
        <v>UAG Relay for Content</v>
      </c>
      <c r="D30" s="106" t="str">
        <f>UAGRelayContentServerName</f>
        <v>uagr1.haramco.xyz
uagr2.haramco.xyz</v>
      </c>
      <c r="E30" s="106" t="str">
        <f>UAGRelayContentServerIP</f>
        <v>192.168.1.70
192.168.1.71</v>
      </c>
      <c r="F30" s="24" t="str">
        <f>ComUEMAPI</f>
        <v>UEM API Server</v>
      </c>
      <c r="G30" s="137" t="str">
        <f>apidns</f>
        <v>tcuds.haramco.xyz</v>
      </c>
      <c r="H30" s="137" t="str">
        <f>apidnsip</f>
        <v>192.168.1.30</v>
      </c>
      <c r="I30" s="127" t="s">
        <v>330</v>
      </c>
      <c r="J30" s="84">
        <v>443</v>
      </c>
      <c r="K30" s="286"/>
      <c r="L30" s="153">
        <v>8</v>
      </c>
    </row>
    <row r="31" spans="2:12" ht="27.6" outlineLevel="1">
      <c r="B31" s="40" t="str">
        <f t="shared" si="0"/>
        <v>N/A</v>
      </c>
      <c r="C31" s="106" t="str">
        <f>ComUAGRelayContent</f>
        <v>UAG Relay for Content</v>
      </c>
      <c r="D31" s="106" t="str">
        <f>UAGRelayContentServerName</f>
        <v>uagr1.haramco.xyz
uagr2.haramco.xyz</v>
      </c>
      <c r="E31" s="106" t="str">
        <f>UAGRelayContentServerIP</f>
        <v>192.168.1.70
192.168.1.71</v>
      </c>
      <c r="F31" s="24" t="s">
        <v>114</v>
      </c>
      <c r="G31" s="61"/>
      <c r="H31" s="61"/>
      <c r="I31" s="127" t="s">
        <v>561</v>
      </c>
      <c r="J31" s="84" t="s">
        <v>561</v>
      </c>
      <c r="K31" s="286" t="s">
        <v>562</v>
      </c>
      <c r="L31" s="153">
        <v>8</v>
      </c>
    </row>
    <row r="32" spans="2:12" ht="27.6" outlineLevel="1">
      <c r="B32" s="40" t="str">
        <f t="shared" si="0"/>
        <v>N/A</v>
      </c>
      <c r="C32" s="106" t="str">
        <f>ComUAGRelayTunnel</f>
        <v>UAG Relay for Tunnel</v>
      </c>
      <c r="D32" s="106" t="str">
        <f>UAGRelayTunnelServerName</f>
        <v>uagr1.haramco.xyz
uagr2.haramco.xyz</v>
      </c>
      <c r="E32" s="106" t="str">
        <f>UAGRelayTunnelServerIP</f>
        <v>192.168.1.70
192.168.1.71</v>
      </c>
      <c r="F32" s="24" t="s">
        <v>114</v>
      </c>
      <c r="G32" s="61"/>
      <c r="H32" s="61"/>
      <c r="I32" s="127" t="s">
        <v>561</v>
      </c>
      <c r="J32" s="84" t="s">
        <v>561</v>
      </c>
      <c r="K32" s="286" t="s">
        <v>563</v>
      </c>
      <c r="L32" s="153">
        <v>8</v>
      </c>
    </row>
    <row r="33" spans="2:12" ht="27.6" outlineLevel="1">
      <c r="B33" s="40" t="str">
        <f t="shared" si="0"/>
        <v>N/A</v>
      </c>
      <c r="C33" s="106" t="str">
        <f>ComBrowser</f>
        <v>Browser (for admin access)</v>
      </c>
      <c r="D33" s="61"/>
      <c r="E33" s="61"/>
      <c r="F33" s="24" t="str">
        <f>ComUAGRelayTunnel</f>
        <v>UAG Relay for Tunnel</v>
      </c>
      <c r="G33" s="24" t="str">
        <f>UAGRelayTunnelServerName</f>
        <v>uagr1.haramco.xyz
uagr2.haramco.xyz</v>
      </c>
      <c r="H33" s="24" t="str">
        <f>UAGRelayTunnelServerIP</f>
        <v>192.168.1.70
192.168.1.71</v>
      </c>
      <c r="I33" s="127" t="s">
        <v>330</v>
      </c>
      <c r="J33" s="84">
        <v>9443</v>
      </c>
      <c r="K33" s="84" t="s">
        <v>564</v>
      </c>
      <c r="L33" s="154">
        <v>9</v>
      </c>
    </row>
    <row r="34" spans="2:12" ht="27.6" outlineLevel="1">
      <c r="B34" s="40" t="str">
        <f t="shared" si="0"/>
        <v>N/A</v>
      </c>
      <c r="C34" s="106" t="str">
        <f>ComBrowser</f>
        <v>Browser (for admin access)</v>
      </c>
      <c r="D34" s="61"/>
      <c r="E34" s="61"/>
      <c r="F34" s="24" t="str">
        <f>ComUAGRelayContent</f>
        <v>UAG Relay for Content</v>
      </c>
      <c r="G34" s="24" t="str">
        <f>UAGRelayContentServerName</f>
        <v>uagr1.haramco.xyz
uagr2.haramco.xyz</v>
      </c>
      <c r="H34" s="24" t="str">
        <f>UAGRelayContentServerIP</f>
        <v>192.168.1.70
192.168.1.71</v>
      </c>
      <c r="I34" s="127" t="s">
        <v>330</v>
      </c>
      <c r="J34" s="84">
        <v>9443</v>
      </c>
      <c r="K34" s="84" t="s">
        <v>564</v>
      </c>
      <c r="L34" s="154">
        <v>9</v>
      </c>
    </row>
    <row r="35" spans="2:12">
      <c r="B35" s="140" t="s">
        <v>565</v>
      </c>
      <c r="C35" s="143"/>
      <c r="D35" s="143"/>
      <c r="E35" s="143"/>
      <c r="F35" s="143"/>
      <c r="G35" s="143"/>
      <c r="H35" s="143"/>
      <c r="I35" s="149"/>
      <c r="J35" s="149"/>
      <c r="K35" s="149"/>
      <c r="L35" s="153"/>
    </row>
    <row r="36" spans="2:12" outlineLevel="1">
      <c r="B36" s="40" t="str">
        <f t="shared" ref="B36:B56" si="2">IF(UagConfig="Relay-Endpoint", "Pending", "N/A")</f>
        <v>Pending</v>
      </c>
      <c r="C36" s="124" t="str">
        <f t="shared" ref="C36:C38" si="3">Devices_Internet_Name</f>
        <v>Devices on Internet or Wi-Fi</v>
      </c>
      <c r="D36" s="61"/>
      <c r="E36" s="61"/>
      <c r="F36" s="24" t="str">
        <f>ComUAGRelayTunnel</f>
        <v>UAG Relay for Tunnel</v>
      </c>
      <c r="G36" s="24" t="str">
        <f>UAGRelayTunnelDNS</f>
        <v>uagr.haramco.xyz</v>
      </c>
      <c r="H36" s="24" t="str">
        <f>UAGRelayTunnelDNSIP</f>
        <v>192.168.1.30</v>
      </c>
      <c r="I36" s="127" t="s">
        <v>556</v>
      </c>
      <c r="J36" s="84">
        <v>8443</v>
      </c>
      <c r="K36" s="286" t="s">
        <v>566</v>
      </c>
      <c r="L36" s="153">
        <v>8</v>
      </c>
    </row>
    <row r="37" spans="2:12" outlineLevel="1">
      <c r="B37" s="40" t="str">
        <f t="shared" si="2"/>
        <v>Pending</v>
      </c>
      <c r="C37" s="64" t="str">
        <f t="shared" si="3"/>
        <v>Devices on Internet or Wi-Fi</v>
      </c>
      <c r="D37" s="61"/>
      <c r="E37" s="61"/>
      <c r="F37" s="24" t="str">
        <f>ComUAGRelayContent</f>
        <v>UAG Relay for Content</v>
      </c>
      <c r="G37" s="24" t="str">
        <f>UAGRelayContentDNS</f>
        <v>uagr.haramco.xyz</v>
      </c>
      <c r="H37" s="24" t="str">
        <f>UAGRelayContentDNSIP</f>
        <v>192.168.1.30</v>
      </c>
      <c r="I37" s="127" t="s">
        <v>330</v>
      </c>
      <c r="J37" s="84">
        <v>443</v>
      </c>
      <c r="K37" s="286" t="s">
        <v>559</v>
      </c>
      <c r="L37" s="153">
        <v>8.3000000000000007</v>
      </c>
    </row>
    <row r="38" spans="2:12" outlineLevel="1">
      <c r="B38" s="40" t="str">
        <f t="shared" si="2"/>
        <v>Pending</v>
      </c>
      <c r="C38" s="64" t="str">
        <f t="shared" si="3"/>
        <v>Devices on Internet or Wi-Fi</v>
      </c>
      <c r="D38" s="61"/>
      <c r="E38" s="61"/>
      <c r="F38" s="24" t="str">
        <f>ComUAGRelayTunnel</f>
        <v>UAG Relay for Tunnel</v>
      </c>
      <c r="G38" s="24" t="str">
        <f>UAGRelayTunnelDNS</f>
        <v>uagr.haramco.xyz</v>
      </c>
      <c r="H38" s="24" t="str">
        <f>UAGRelayTunnelDNSIP</f>
        <v>192.168.1.30</v>
      </c>
      <c r="I38" s="127" t="s">
        <v>567</v>
      </c>
      <c r="J38" s="84">
        <v>2020</v>
      </c>
      <c r="K38" s="286" t="s">
        <v>568</v>
      </c>
      <c r="L38" s="153">
        <v>8</v>
      </c>
    </row>
    <row r="39" spans="2:12" outlineLevel="1">
      <c r="B39" s="40" t="str">
        <f t="shared" si="2"/>
        <v>Pending</v>
      </c>
      <c r="C39" s="106" t="str">
        <f>ComUEMCN</f>
        <v>UEM Console Server</v>
      </c>
      <c r="D39" s="106" t="str">
        <f>cnservername</f>
        <v>uemc1.haramco.xyz</v>
      </c>
      <c r="E39" s="106" t="str">
        <f>cnip</f>
        <v>192.168.1.80</v>
      </c>
      <c r="F39" s="24" t="str">
        <f>ComUAGRelayTunnel</f>
        <v>UAG Relay for Tunnel</v>
      </c>
      <c r="G39" s="24" t="str">
        <f>UAGRelayTunnelDNS</f>
        <v>uagr.haramco.xyz</v>
      </c>
      <c r="H39" s="24" t="str">
        <f>UAGRelayTunnelDNSIP</f>
        <v>192.168.1.30</v>
      </c>
      <c r="I39" s="127" t="s">
        <v>330</v>
      </c>
      <c r="J39" s="84">
        <v>2020</v>
      </c>
      <c r="K39" s="286" t="s">
        <v>569</v>
      </c>
      <c r="L39" s="153"/>
    </row>
    <row r="40" spans="2:12" outlineLevel="1">
      <c r="B40" s="40" t="str">
        <f t="shared" si="2"/>
        <v>Pending</v>
      </c>
      <c r="C40" s="106" t="str">
        <f>ComUEMCN</f>
        <v>UEM Console Server</v>
      </c>
      <c r="D40" s="106" t="str">
        <f>cnservername</f>
        <v>uemc1.haramco.xyz</v>
      </c>
      <c r="E40" s="106" t="str">
        <f>cnip</f>
        <v>192.168.1.80</v>
      </c>
      <c r="F40" s="24" t="str">
        <f>ComUAGRelayContent</f>
        <v>UAG Relay for Content</v>
      </c>
      <c r="G40" s="24" t="str">
        <f>UAGRelayContentDNS</f>
        <v>uagr.haramco.xyz</v>
      </c>
      <c r="H40" s="24" t="str">
        <f>UAGRelayContentDNSIP</f>
        <v>192.168.1.30</v>
      </c>
      <c r="I40" s="127" t="s">
        <v>330</v>
      </c>
      <c r="J40" s="84">
        <v>443</v>
      </c>
      <c r="K40" s="286"/>
      <c r="L40" s="153">
        <v>8.3000000000000007</v>
      </c>
    </row>
    <row r="41" spans="2:12" outlineLevel="1">
      <c r="B41" s="40" t="str">
        <f t="shared" si="2"/>
        <v>Pending</v>
      </c>
      <c r="C41" s="106" t="str">
        <f>ComUEMDS</f>
        <v>UEM Device Services Server</v>
      </c>
      <c r="D41" s="106" t="str">
        <f>dsservername</f>
        <v>uds1.haramco.xyz</v>
      </c>
      <c r="E41" s="106" t="str">
        <f>dsip</f>
        <v>192.168.1.82</v>
      </c>
      <c r="F41" s="24" t="str">
        <f>ComUAGRelayContent</f>
        <v>UAG Relay for Content</v>
      </c>
      <c r="G41" s="24" t="str">
        <f>UAGRelayContentDNS</f>
        <v>uagr.haramco.xyz</v>
      </c>
      <c r="H41" s="24" t="str">
        <f>UAGRelayContentDNSIP</f>
        <v>192.168.1.30</v>
      </c>
      <c r="I41" s="127" t="s">
        <v>330</v>
      </c>
      <c r="J41" s="84">
        <v>443</v>
      </c>
      <c r="K41" s="286"/>
      <c r="L41" s="153">
        <v>8.3000000000000007</v>
      </c>
    </row>
    <row r="42" spans="2:12" ht="27.6" outlineLevel="1">
      <c r="B42" s="40" t="str">
        <f t="shared" si="2"/>
        <v>Pending</v>
      </c>
      <c r="C42" s="106" t="str">
        <f>ComUAGRelayTunnel</f>
        <v>UAG Relay for Tunnel</v>
      </c>
      <c r="D42" s="106" t="str">
        <f>UAGRelayTunnelServerName</f>
        <v>uagr1.haramco.xyz
uagr2.haramco.xyz</v>
      </c>
      <c r="E42" s="106" t="str">
        <f>UAGRelayTunnelServerIP</f>
        <v>192.168.1.70
192.168.1.71</v>
      </c>
      <c r="F42" s="24" t="str">
        <f>ComUAGEndTunnel</f>
        <v>UAG Endpoint for Tunnel</v>
      </c>
      <c r="G42" s="24" t="str">
        <f>UAGEndpointTunnelDNS</f>
        <v>uage.haramco.xyz</v>
      </c>
      <c r="H42" s="24" t="str">
        <f>UAGEndpointTunnelDNSIP</f>
        <v>192.168.1.30</v>
      </c>
      <c r="I42" s="84" t="s">
        <v>330</v>
      </c>
      <c r="J42" s="84">
        <v>2010</v>
      </c>
      <c r="K42" s="286" t="s">
        <v>570</v>
      </c>
      <c r="L42" s="153">
        <v>8</v>
      </c>
    </row>
    <row r="43" spans="2:12" ht="27.6" outlineLevel="1">
      <c r="B43" s="40" t="str">
        <f t="shared" si="2"/>
        <v>Pending</v>
      </c>
      <c r="C43" s="106" t="str">
        <f>ComUAGRelayTunnel</f>
        <v>UAG Relay for Tunnel</v>
      </c>
      <c r="D43" s="106" t="str">
        <f>UAGRelayTunnelServerName</f>
        <v>uagr1.haramco.xyz
uagr2.haramco.xyz</v>
      </c>
      <c r="E43" s="106" t="str">
        <f>UAGRelayTunnelServerIP</f>
        <v>192.168.1.70
192.168.1.71</v>
      </c>
      <c r="F43" s="24" t="str">
        <f>ComUAGEndTunnel</f>
        <v>UAG Endpoint for Tunnel</v>
      </c>
      <c r="G43" s="24" t="str">
        <f>UAGEndpointTunnelDNS</f>
        <v>uage.haramco.xyz</v>
      </c>
      <c r="H43" s="24" t="str">
        <f>UAGEndpointTunnelDNSIP</f>
        <v>192.168.1.30</v>
      </c>
      <c r="I43" s="84" t="s">
        <v>327</v>
      </c>
      <c r="J43" s="84">
        <v>8443</v>
      </c>
      <c r="K43" s="286" t="s">
        <v>566</v>
      </c>
      <c r="L43" s="153">
        <v>8</v>
      </c>
    </row>
    <row r="44" spans="2:12" ht="27.6" outlineLevel="1">
      <c r="B44" s="40" t="str">
        <f t="shared" si="2"/>
        <v>Pending</v>
      </c>
      <c r="C44" s="106" t="str">
        <f>ComUAGRelayContent</f>
        <v>UAG Relay for Content</v>
      </c>
      <c r="D44" s="106" t="str">
        <f>UAGRelayContentServerName</f>
        <v>uagr1.haramco.xyz
uagr2.haramco.xyz</v>
      </c>
      <c r="E44" s="106" t="str">
        <f>UAGRelayContentServerIP</f>
        <v>192.168.1.70
192.168.1.71</v>
      </c>
      <c r="F44" s="24" t="str">
        <f>ComUAGEndContent</f>
        <v xml:space="preserve">UAG Endpoint for Content </v>
      </c>
      <c r="G44" s="24" t="str">
        <f>UAGEndpointContentDNS</f>
        <v>uage.haramco.xyz</v>
      </c>
      <c r="H44" s="24" t="str">
        <f>UAGEndpointContentDNSIP</f>
        <v>192.168.1.30</v>
      </c>
      <c r="I44" s="84" t="s">
        <v>330</v>
      </c>
      <c r="J44" s="84">
        <v>443</v>
      </c>
      <c r="K44" s="286"/>
      <c r="L44" s="153">
        <v>8.3000000000000007</v>
      </c>
    </row>
    <row r="45" spans="2:12" ht="27.6" outlineLevel="1">
      <c r="B45" s="40" t="str">
        <f t="shared" si="2"/>
        <v>Pending</v>
      </c>
      <c r="C45" s="106" t="str">
        <f>ComUAGRelayTunnel</f>
        <v>UAG Relay for Tunnel</v>
      </c>
      <c r="D45" s="106" t="str">
        <f>UAGRelayTunnelServerName</f>
        <v>uagr1.haramco.xyz
uagr2.haramco.xyz</v>
      </c>
      <c r="E45" s="106" t="str">
        <f>UAGRelayTunnelServerIP</f>
        <v>192.168.1.70
192.168.1.71</v>
      </c>
      <c r="F45" s="21" t="str">
        <f>ComUEMAWCM</f>
        <v>UEM AWCM Server</v>
      </c>
      <c r="G45" s="137" t="str">
        <f>awcmdns</f>
        <v>tcuds.haramco.xyz</v>
      </c>
      <c r="H45" s="137" t="str">
        <f>awcmdnsip</f>
        <v>192.168.1.30</v>
      </c>
      <c r="I45" s="127" t="s">
        <v>330</v>
      </c>
      <c r="J45" s="84">
        <f>IF(deploymenttype="SaaS", 443, 2001)</f>
        <v>2001</v>
      </c>
      <c r="K45" s="286"/>
      <c r="L45" s="153">
        <v>8</v>
      </c>
    </row>
    <row r="46" spans="2:12" ht="27.6" outlineLevel="1">
      <c r="B46" s="40" t="str">
        <f t="shared" si="2"/>
        <v>Pending</v>
      </c>
      <c r="C46" s="106" t="str">
        <f>ComUAGRelayTunnel</f>
        <v>UAG Relay for Tunnel</v>
      </c>
      <c r="D46" s="106" t="str">
        <f>UAGRelayTunnelServerName</f>
        <v>uagr1.haramco.xyz
uagr2.haramco.xyz</v>
      </c>
      <c r="E46" s="106" t="str">
        <f>UAGRelayTunnelServerIP</f>
        <v>192.168.1.70
192.168.1.71</v>
      </c>
      <c r="F46" s="24" t="str">
        <f>ComUEMAPI</f>
        <v>UEM API Server</v>
      </c>
      <c r="G46" s="137" t="str">
        <f>apidns</f>
        <v>tcuds.haramco.xyz</v>
      </c>
      <c r="H46" s="137" t="str">
        <f>apidnsip</f>
        <v>192.168.1.30</v>
      </c>
      <c r="I46" s="127" t="s">
        <v>330</v>
      </c>
      <c r="J46" s="84">
        <v>443</v>
      </c>
      <c r="K46" s="286"/>
      <c r="L46" s="153">
        <v>8</v>
      </c>
    </row>
    <row r="47" spans="2:12" ht="27.6" outlineLevel="1">
      <c r="B47" s="40" t="str">
        <f t="shared" si="2"/>
        <v>Pending</v>
      </c>
      <c r="C47" s="106" t="str">
        <f>ComUAGEndTunnel</f>
        <v>UAG Endpoint for Tunnel</v>
      </c>
      <c r="D47" s="106" t="str">
        <f>UAGEndpointTunnelServerName</f>
        <v>uage1.harmco.xyz
uage2.haramco.xyz</v>
      </c>
      <c r="E47" s="106" t="str">
        <f>UAGEndpointTunnelServerIP</f>
        <v>192.168.1.74
192.168.1.75</v>
      </c>
      <c r="F47" s="21" t="str">
        <f>ComUEMAWCM</f>
        <v>UEM AWCM Server</v>
      </c>
      <c r="G47" s="137" t="str">
        <f>awcmdns</f>
        <v>tcuds.haramco.xyz</v>
      </c>
      <c r="H47" s="137" t="str">
        <f>awcmdnsip</f>
        <v>192.168.1.30</v>
      </c>
      <c r="I47" s="127" t="s">
        <v>330</v>
      </c>
      <c r="J47" s="84">
        <f>IF(deploymenttype="SaaS", 443, 2001)</f>
        <v>2001</v>
      </c>
      <c r="K47" s="286"/>
      <c r="L47" s="153">
        <v>8</v>
      </c>
    </row>
    <row r="48" spans="2:12" ht="27.6" outlineLevel="1">
      <c r="B48" s="40" t="str">
        <f t="shared" si="2"/>
        <v>Pending</v>
      </c>
      <c r="C48" s="106" t="str">
        <f>ComUAGEndTunnel</f>
        <v>UAG Endpoint for Tunnel</v>
      </c>
      <c r="D48" s="106" t="str">
        <f>UAGEndpointTunnelServerName</f>
        <v>uage1.harmco.xyz
uage2.haramco.xyz</v>
      </c>
      <c r="E48" s="106" t="str">
        <f>UAGEndpointTunnelServerIP</f>
        <v>192.168.1.74
192.168.1.75</v>
      </c>
      <c r="F48" s="24" t="str">
        <f>ComUEMAPI</f>
        <v>UEM API Server</v>
      </c>
      <c r="G48" s="137" t="str">
        <f>apidns</f>
        <v>tcuds.haramco.xyz</v>
      </c>
      <c r="H48" s="137" t="str">
        <f>apidnsip</f>
        <v>192.168.1.30</v>
      </c>
      <c r="I48" s="127" t="s">
        <v>330</v>
      </c>
      <c r="J48" s="84">
        <v>443</v>
      </c>
      <c r="K48" s="286"/>
      <c r="L48" s="153">
        <v>8</v>
      </c>
    </row>
    <row r="49" spans="2:12" ht="27.6" outlineLevel="1">
      <c r="B49" s="40" t="str">
        <f t="shared" si="2"/>
        <v>Pending</v>
      </c>
      <c r="C49" s="106" t="str">
        <f>ComUAGEndTunnel</f>
        <v>UAG Endpoint for Tunnel</v>
      </c>
      <c r="D49" s="106" t="str">
        <f>UAGEndpointTunnelServerName</f>
        <v>uage1.harmco.xyz
uage2.haramco.xyz</v>
      </c>
      <c r="E49" s="106" t="str">
        <f>UAGEndpointTunnelServerIP</f>
        <v>192.168.1.74
192.168.1.75</v>
      </c>
      <c r="F49" s="126" t="s">
        <v>114</v>
      </c>
      <c r="G49" s="138"/>
      <c r="H49" s="138"/>
      <c r="I49" s="150" t="s">
        <v>561</v>
      </c>
      <c r="J49" s="151" t="s">
        <v>561</v>
      </c>
      <c r="K49" s="152" t="s">
        <v>563</v>
      </c>
      <c r="L49" s="155">
        <v>8</v>
      </c>
    </row>
    <row r="50" spans="2:12" ht="27.6" outlineLevel="1">
      <c r="B50" s="40" t="str">
        <f t="shared" si="2"/>
        <v>Pending</v>
      </c>
      <c r="C50" s="106" t="str">
        <f>ComUAGRelayContent</f>
        <v>UAG Relay for Content</v>
      </c>
      <c r="D50" s="106" t="str">
        <f>UAGRelayContentServerName</f>
        <v>uagr1.haramco.xyz
uagr2.haramco.xyz</v>
      </c>
      <c r="E50" s="106" t="str">
        <f>UAGRelayContentServerIP</f>
        <v>192.168.1.70
192.168.1.71</v>
      </c>
      <c r="F50" s="21" t="str">
        <f>ComUEMAWCM</f>
        <v>UEM AWCM Server</v>
      </c>
      <c r="G50" s="137" t="str">
        <f>awcmdns</f>
        <v>tcuds.haramco.xyz</v>
      </c>
      <c r="H50" s="137" t="str">
        <f>awcmdnsip</f>
        <v>192.168.1.30</v>
      </c>
      <c r="I50" s="127" t="s">
        <v>330</v>
      </c>
      <c r="J50" s="84">
        <f>IF(deploymenttype="SaaS", 443, 2001)</f>
        <v>2001</v>
      </c>
      <c r="K50" s="286"/>
      <c r="L50" s="153">
        <v>8</v>
      </c>
    </row>
    <row r="51" spans="2:12" ht="27.6" outlineLevel="1">
      <c r="B51" s="40" t="str">
        <f t="shared" si="2"/>
        <v>Pending</v>
      </c>
      <c r="C51" s="106" t="str">
        <f>ComUAGRelayContent</f>
        <v>UAG Relay for Content</v>
      </c>
      <c r="D51" s="106" t="str">
        <f>UAGRelayContentServerName</f>
        <v>uagr1.haramco.xyz
uagr2.haramco.xyz</v>
      </c>
      <c r="E51" s="106" t="str">
        <f>UAGRelayContentServerIP</f>
        <v>192.168.1.70
192.168.1.71</v>
      </c>
      <c r="F51" s="24" t="str">
        <f>ComUEMAPI</f>
        <v>UEM API Server</v>
      </c>
      <c r="G51" s="137" t="str">
        <f>apidns</f>
        <v>tcuds.haramco.xyz</v>
      </c>
      <c r="H51" s="137" t="str">
        <f>apidnsip</f>
        <v>192.168.1.30</v>
      </c>
      <c r="I51" s="127" t="s">
        <v>330</v>
      </c>
      <c r="J51" s="84">
        <v>443</v>
      </c>
      <c r="K51" s="286"/>
      <c r="L51" s="153">
        <v>8</v>
      </c>
    </row>
    <row r="52" spans="2:12" ht="27.6" outlineLevel="1">
      <c r="B52" s="40" t="str">
        <f t="shared" si="2"/>
        <v>Pending</v>
      </c>
      <c r="C52" s="106" t="str">
        <f>ComUAGEndContent</f>
        <v xml:space="preserve">UAG Endpoint for Content </v>
      </c>
      <c r="D52" s="106" t="str">
        <f>UAGEndpointContentServerName</f>
        <v>uage1.harmco.xyz
uage2.haramco.xyz</v>
      </c>
      <c r="E52" s="106" t="str">
        <f>UAGEndpointContentServerIP</f>
        <v>192.168.1.74
192.168.1.75</v>
      </c>
      <c r="F52" s="21" t="str">
        <f>ComUEMAWCM</f>
        <v>UEM AWCM Server</v>
      </c>
      <c r="G52" s="137" t="str">
        <f>awcmdns</f>
        <v>tcuds.haramco.xyz</v>
      </c>
      <c r="H52" s="137" t="str">
        <f>awcmdnsip</f>
        <v>192.168.1.30</v>
      </c>
      <c r="I52" s="127" t="s">
        <v>330</v>
      </c>
      <c r="J52" s="84">
        <f>IF(deploymenttype="SaaS", 443, 2001)</f>
        <v>2001</v>
      </c>
      <c r="K52" s="286"/>
      <c r="L52" s="153">
        <v>8</v>
      </c>
    </row>
    <row r="53" spans="2:12" ht="27.6" outlineLevel="1">
      <c r="B53" s="40" t="str">
        <f t="shared" si="2"/>
        <v>Pending</v>
      </c>
      <c r="C53" s="106" t="str">
        <f>ComUAGEndContent</f>
        <v xml:space="preserve">UAG Endpoint for Content </v>
      </c>
      <c r="D53" s="106" t="str">
        <f>UAGEndpointContentServerName</f>
        <v>uage1.harmco.xyz
uage2.haramco.xyz</v>
      </c>
      <c r="E53" s="106" t="str">
        <f>UAGEndpointContentServerIP</f>
        <v>192.168.1.74
192.168.1.75</v>
      </c>
      <c r="F53" s="24" t="str">
        <f>ComUEMAPI</f>
        <v>UEM API Server</v>
      </c>
      <c r="G53" s="137" t="str">
        <f>apidns</f>
        <v>tcuds.haramco.xyz</v>
      </c>
      <c r="H53" s="137" t="str">
        <f>apidnsip</f>
        <v>192.168.1.30</v>
      </c>
      <c r="I53" s="127" t="s">
        <v>330</v>
      </c>
      <c r="J53" s="84">
        <v>443</v>
      </c>
      <c r="K53" s="286"/>
      <c r="L53" s="153">
        <v>8</v>
      </c>
    </row>
    <row r="54" spans="2:12" ht="27.6" outlineLevel="1">
      <c r="B54" s="40" t="str">
        <f t="shared" si="2"/>
        <v>Pending</v>
      </c>
      <c r="C54" s="106" t="str">
        <f>ComUAGEndContent</f>
        <v xml:space="preserve">UAG Endpoint for Content </v>
      </c>
      <c r="D54" s="106" t="str">
        <f>UAGEndpointContentServerName</f>
        <v>uage1.harmco.xyz
uage2.haramco.xyz</v>
      </c>
      <c r="E54" s="106" t="str">
        <f>UAGEndpointContentServerIP</f>
        <v>192.168.1.74
192.168.1.75</v>
      </c>
      <c r="F54" s="126" t="s">
        <v>114</v>
      </c>
      <c r="G54" s="138"/>
      <c r="H54" s="138"/>
      <c r="I54" s="150" t="s">
        <v>561</v>
      </c>
      <c r="J54" s="151" t="s">
        <v>561</v>
      </c>
      <c r="K54" s="286" t="s">
        <v>562</v>
      </c>
      <c r="L54" s="155">
        <v>8</v>
      </c>
    </row>
    <row r="55" spans="2:12" ht="27.6" outlineLevel="1">
      <c r="B55" s="40" t="str">
        <f t="shared" si="2"/>
        <v>Pending</v>
      </c>
      <c r="C55" s="106" t="str">
        <f>ComBrowser</f>
        <v>Browser (for admin access)</v>
      </c>
      <c r="D55" s="61"/>
      <c r="E55" s="61"/>
      <c r="F55" s="24" t="str">
        <f>_xlfn.CONCAT(ComUAGRelayTunnel, " (Servers)")</f>
        <v>UAG Relay for Tunnel (Servers)</v>
      </c>
      <c r="G55" s="24" t="str">
        <f>UAGRelayTunnelServerName</f>
        <v>uagr1.haramco.xyz
uagr2.haramco.xyz</v>
      </c>
      <c r="H55" s="24" t="str">
        <f>UAGRelayTunnelServerIP</f>
        <v>192.168.1.70
192.168.1.71</v>
      </c>
      <c r="I55" s="127" t="s">
        <v>330</v>
      </c>
      <c r="J55" s="84">
        <v>9443</v>
      </c>
      <c r="K55" s="84" t="s">
        <v>564</v>
      </c>
      <c r="L55" s="154">
        <v>9</v>
      </c>
    </row>
    <row r="56" spans="2:12" ht="27.6" outlineLevel="1">
      <c r="B56" s="40" t="str">
        <f t="shared" si="2"/>
        <v>Pending</v>
      </c>
      <c r="C56" s="106" t="str">
        <f>ComBrowser</f>
        <v>Browser (for admin access)</v>
      </c>
      <c r="D56" s="61"/>
      <c r="E56" s="61"/>
      <c r="F56" s="24" t="str">
        <f>_xlfn.CONCAT(ComUAGEndTunnel, " (Servers)")</f>
        <v>UAG Endpoint for Tunnel (Servers)</v>
      </c>
      <c r="G56" s="24" t="str">
        <f>UAGEndpointTunnelServerName</f>
        <v>uage1.harmco.xyz
uage2.haramco.xyz</v>
      </c>
      <c r="H56" s="24" t="str">
        <f>UAGEndpointTunnelServerIP</f>
        <v>192.168.1.74
192.168.1.75</v>
      </c>
      <c r="I56" s="127" t="s">
        <v>330</v>
      </c>
      <c r="J56" s="84">
        <v>9443</v>
      </c>
      <c r="K56" s="84" t="s">
        <v>564</v>
      </c>
      <c r="L56" s="154">
        <v>9</v>
      </c>
    </row>
    <row r="57" spans="2:12">
      <c r="B57" s="95"/>
      <c r="C57" s="95"/>
      <c r="D57" s="145"/>
      <c r="E57" s="146"/>
      <c r="F57" s="26"/>
      <c r="G57" s="147"/>
      <c r="H57" s="26"/>
      <c r="I57" s="22"/>
      <c r="J57" s="95"/>
      <c r="K57" s="95"/>
      <c r="L57" s="95"/>
    </row>
    <row r="58" spans="2:12">
      <c r="D58" s="9"/>
      <c r="E58" s="9"/>
      <c r="G58" s="9"/>
      <c r="H58" s="9"/>
    </row>
    <row r="59" spans="2:12">
      <c r="D59" s="9"/>
      <c r="E59" s="9"/>
      <c r="G59" s="9"/>
      <c r="H59" s="9"/>
    </row>
    <row r="60" spans="2:12">
      <c r="D60" s="9"/>
      <c r="E60" s="9"/>
      <c r="G60" s="9"/>
      <c r="H60" s="9"/>
    </row>
    <row r="61" spans="2:12" ht="20.100000000000001" customHeight="1">
      <c r="B61" s="258" t="s">
        <v>571</v>
      </c>
      <c r="C61" s="257"/>
      <c r="D61" s="257"/>
      <c r="E61" s="257"/>
      <c r="F61" s="257"/>
      <c r="G61" s="257"/>
      <c r="H61" s="257"/>
      <c r="I61" s="257"/>
      <c r="J61" s="257"/>
      <c r="K61" s="257"/>
      <c r="L61" s="259"/>
    </row>
    <row r="62" spans="2:12" ht="24" hidden="1" customHeight="1" outlineLevel="1">
      <c r="B62" s="99" t="s">
        <v>439</v>
      </c>
      <c r="C62" s="100"/>
      <c r="D62" s="100"/>
      <c r="E62" s="100"/>
      <c r="F62" s="100"/>
      <c r="G62" s="100"/>
      <c r="H62" s="100"/>
      <c r="I62" s="100"/>
      <c r="J62" s="100"/>
      <c r="K62" s="100"/>
      <c r="L62" s="101"/>
    </row>
    <row r="63" spans="2:12" hidden="1" outlineLevel="1">
      <c r="B63" s="277" t="s">
        <v>271</v>
      </c>
      <c r="C63" s="344" t="s">
        <v>272</v>
      </c>
      <c r="D63" s="345"/>
      <c r="E63" s="347"/>
      <c r="F63" s="344"/>
      <c r="G63" s="345"/>
      <c r="H63" s="347"/>
      <c r="I63" s="344" t="s">
        <v>273</v>
      </c>
      <c r="J63" s="345"/>
      <c r="K63" s="346"/>
      <c r="L63" s="101"/>
    </row>
    <row r="64" spans="2:12" ht="15" hidden="1" customHeight="1" outlineLevel="1">
      <c r="B64" s="40" t="s">
        <v>275</v>
      </c>
      <c r="C64" s="300" t="s">
        <v>572</v>
      </c>
      <c r="D64" s="301"/>
      <c r="E64" s="301"/>
      <c r="F64" s="301"/>
      <c r="G64" s="301"/>
      <c r="H64" s="302"/>
      <c r="I64" s="310" t="s">
        <v>573</v>
      </c>
      <c r="J64" s="311"/>
      <c r="K64" s="311"/>
      <c r="L64" s="101">
        <v>8</v>
      </c>
    </row>
    <row r="65" spans="2:12" ht="29.25" hidden="1" customHeight="1" outlineLevel="1">
      <c r="B65" s="40" t="s">
        <v>275</v>
      </c>
      <c r="C65" s="300" t="s">
        <v>574</v>
      </c>
      <c r="D65" s="301"/>
      <c r="E65" s="301"/>
      <c r="F65" s="301"/>
      <c r="G65" s="301"/>
      <c r="H65" s="302"/>
      <c r="I65" s="310" t="s">
        <v>575</v>
      </c>
      <c r="J65" s="311"/>
      <c r="K65" s="311"/>
      <c r="L65" s="101">
        <v>8</v>
      </c>
    </row>
    <row r="66" spans="2:12" ht="15" hidden="1" customHeight="1" outlineLevel="1">
      <c r="B66" s="40" t="s">
        <v>275</v>
      </c>
      <c r="C66" s="300" t="s">
        <v>576</v>
      </c>
      <c r="D66" s="301"/>
      <c r="E66" s="301"/>
      <c r="F66" s="301"/>
      <c r="G66" s="301"/>
      <c r="H66" s="302"/>
      <c r="I66" s="310" t="s">
        <v>577</v>
      </c>
      <c r="J66" s="311"/>
      <c r="K66" s="311"/>
      <c r="L66" s="101">
        <v>8</v>
      </c>
    </row>
    <row r="67" spans="2:12" ht="15" hidden="1" customHeight="1" outlineLevel="1">
      <c r="B67" s="148" t="s">
        <v>275</v>
      </c>
      <c r="C67" s="300" t="s">
        <v>578</v>
      </c>
      <c r="D67" s="301"/>
      <c r="E67" s="301"/>
      <c r="F67" s="301"/>
      <c r="G67" s="301"/>
      <c r="H67" s="302"/>
      <c r="I67" s="310"/>
      <c r="J67" s="311"/>
      <c r="K67" s="311"/>
      <c r="L67" s="101">
        <v>8</v>
      </c>
    </row>
    <row r="68" spans="2:12" hidden="1" outlineLevel="1">
      <c r="B68" s="99" t="s">
        <v>579</v>
      </c>
      <c r="C68" s="100"/>
      <c r="D68" s="100"/>
      <c r="E68" s="100"/>
      <c r="F68" s="100"/>
      <c r="G68" s="100"/>
      <c r="H68" s="100"/>
      <c r="I68" s="100"/>
      <c r="J68" s="100"/>
      <c r="K68" s="100"/>
      <c r="L68" s="101"/>
    </row>
    <row r="69" spans="2:12" ht="15" hidden="1" customHeight="1" outlineLevel="1">
      <c r="B69" s="277" t="s">
        <v>271</v>
      </c>
      <c r="C69" s="312" t="s">
        <v>272</v>
      </c>
      <c r="D69" s="313"/>
      <c r="E69" s="313"/>
      <c r="F69" s="312"/>
      <c r="G69" s="313"/>
      <c r="H69" s="313"/>
      <c r="I69" s="312" t="s">
        <v>273</v>
      </c>
      <c r="J69" s="313"/>
      <c r="K69" s="314"/>
      <c r="L69" s="101"/>
    </row>
    <row r="70" spans="2:12" ht="15" hidden="1" customHeight="1" outlineLevel="1">
      <c r="B70" s="40" t="s">
        <v>275</v>
      </c>
      <c r="C70" s="300" t="s">
        <v>580</v>
      </c>
      <c r="D70" s="301"/>
      <c r="E70" s="301"/>
      <c r="F70" s="301"/>
      <c r="G70" s="301"/>
      <c r="H70" s="302"/>
      <c r="I70" s="310" t="s">
        <v>581</v>
      </c>
      <c r="J70" s="311"/>
      <c r="K70" s="311"/>
      <c r="L70" s="101">
        <v>8</v>
      </c>
    </row>
    <row r="71" spans="2:12" ht="15" hidden="1" customHeight="1" outlineLevel="1">
      <c r="B71" s="40" t="s">
        <v>275</v>
      </c>
      <c r="C71" s="300" t="s">
        <v>582</v>
      </c>
      <c r="D71" s="301"/>
      <c r="E71" s="301"/>
      <c r="F71" s="301"/>
      <c r="G71" s="301"/>
      <c r="H71" s="302"/>
      <c r="I71" s="310" t="s">
        <v>583</v>
      </c>
      <c r="J71" s="311"/>
      <c r="K71" s="311"/>
      <c r="L71" s="101"/>
    </row>
    <row r="72" spans="2:12" ht="15" hidden="1" customHeight="1" outlineLevel="1">
      <c r="B72" s="40" t="s">
        <v>275</v>
      </c>
      <c r="C72" s="300" t="s">
        <v>584</v>
      </c>
      <c r="D72" s="301"/>
      <c r="E72" s="301"/>
      <c r="F72" s="301"/>
      <c r="G72" s="301"/>
      <c r="H72" s="302"/>
      <c r="I72" s="310" t="s">
        <v>585</v>
      </c>
      <c r="J72" s="311"/>
      <c r="K72" s="311"/>
      <c r="L72" s="101">
        <v>8</v>
      </c>
    </row>
    <row r="73" spans="2:12" ht="15" customHeight="1" collapsed="1">
      <c r="D73" s="9"/>
      <c r="E73" s="9"/>
      <c r="G73" s="9"/>
      <c r="H73" s="9"/>
    </row>
    <row r="74" spans="2:12">
      <c r="D74" s="9"/>
      <c r="E74" s="9"/>
      <c r="G74" s="9"/>
      <c r="H74" s="9"/>
    </row>
    <row r="75" spans="2:12">
      <c r="B75" s="258" t="s">
        <v>586</v>
      </c>
      <c r="C75" s="257"/>
      <c r="D75" s="257"/>
      <c r="E75" s="257"/>
      <c r="F75" s="257"/>
      <c r="G75" s="257"/>
      <c r="H75" s="257"/>
      <c r="I75" s="257"/>
      <c r="J75" s="257"/>
      <c r="K75" s="257"/>
      <c r="L75" s="259"/>
    </row>
    <row r="76" spans="2:12" hidden="1" outlineLevel="1">
      <c r="B76" s="99" t="s">
        <v>446</v>
      </c>
      <c r="C76" s="100"/>
      <c r="D76" s="100"/>
      <c r="E76" s="100"/>
      <c r="F76" s="100"/>
      <c r="G76" s="100"/>
      <c r="H76" s="100"/>
      <c r="I76" s="100"/>
      <c r="J76" s="100"/>
      <c r="K76" s="100"/>
      <c r="L76" s="101"/>
    </row>
    <row r="77" spans="2:12" ht="34.5" hidden="1" customHeight="1" outlineLevel="1">
      <c r="B77" s="277" t="s">
        <v>271</v>
      </c>
      <c r="C77" s="344" t="s">
        <v>272</v>
      </c>
      <c r="D77" s="345"/>
      <c r="E77" s="347"/>
      <c r="F77" s="344"/>
      <c r="G77" s="345"/>
      <c r="H77" s="347"/>
      <c r="I77" s="344" t="s">
        <v>273</v>
      </c>
      <c r="J77" s="345"/>
      <c r="K77" s="346"/>
      <c r="L77" s="101"/>
    </row>
    <row r="78" spans="2:12" hidden="1" outlineLevel="1">
      <c r="B78" s="40" t="s">
        <v>275</v>
      </c>
      <c r="C78" s="300" t="s">
        <v>289</v>
      </c>
      <c r="D78" s="301"/>
      <c r="E78" s="301"/>
      <c r="F78" s="301"/>
      <c r="G78" s="301"/>
      <c r="H78" s="302"/>
      <c r="I78" s="310"/>
      <c r="J78" s="311"/>
      <c r="K78" s="331"/>
      <c r="L78" s="101">
        <v>8.3000000000000007</v>
      </c>
    </row>
    <row r="79" spans="2:12" ht="24" hidden="1" customHeight="1" outlineLevel="1">
      <c r="B79" s="40" t="s">
        <v>275</v>
      </c>
      <c r="C79" s="300" t="s">
        <v>292</v>
      </c>
      <c r="D79" s="301"/>
      <c r="E79" s="301"/>
      <c r="F79" s="301"/>
      <c r="G79" s="301"/>
      <c r="H79" s="302"/>
      <c r="I79" s="310" t="s">
        <v>587</v>
      </c>
      <c r="J79" s="311"/>
      <c r="K79" s="331"/>
      <c r="L79" s="101">
        <v>8.3000000000000007</v>
      </c>
    </row>
    <row r="80" spans="2:12" ht="15.95" hidden="1" customHeight="1" outlineLevel="1">
      <c r="B80" s="40" t="s">
        <v>275</v>
      </c>
      <c r="C80" s="300" t="s">
        <v>414</v>
      </c>
      <c r="D80" s="301"/>
      <c r="E80" s="301"/>
      <c r="F80" s="301"/>
      <c r="G80" s="301"/>
      <c r="H80" s="302"/>
      <c r="I80" s="310" t="s">
        <v>301</v>
      </c>
      <c r="J80" s="311"/>
      <c r="K80" s="331"/>
      <c r="L80" s="101">
        <v>8.3000000000000007</v>
      </c>
    </row>
    <row r="81" spans="2:12" ht="15.75" hidden="1" customHeight="1" outlineLevel="1">
      <c r="B81" s="40" t="s">
        <v>275</v>
      </c>
      <c r="C81" s="300" t="s">
        <v>588</v>
      </c>
      <c r="D81" s="301"/>
      <c r="E81" s="301"/>
      <c r="F81" s="301"/>
      <c r="G81" s="301"/>
      <c r="H81" s="302"/>
      <c r="I81" s="310"/>
      <c r="J81" s="311"/>
      <c r="K81" s="331"/>
      <c r="L81" s="101">
        <v>8.3000000000000007</v>
      </c>
    </row>
    <row r="82" spans="2:12" ht="15.95" hidden="1" customHeight="1" outlineLevel="1">
      <c r="B82" s="40" t="s">
        <v>275</v>
      </c>
      <c r="C82" s="300" t="s">
        <v>589</v>
      </c>
      <c r="D82" s="301"/>
      <c r="E82" s="301"/>
      <c r="F82" s="301"/>
      <c r="G82" s="301"/>
      <c r="H82" s="302"/>
      <c r="I82" s="310" t="s">
        <v>590</v>
      </c>
      <c r="J82" s="311"/>
      <c r="K82" s="331"/>
      <c r="L82" s="101">
        <v>8.3000000000000007</v>
      </c>
    </row>
    <row r="83" spans="2:12" ht="15.95" hidden="1" customHeight="1" outlineLevel="1">
      <c r="B83" s="40" t="s">
        <v>275</v>
      </c>
      <c r="C83" s="300" t="s">
        <v>591</v>
      </c>
      <c r="D83" s="301"/>
      <c r="E83" s="301"/>
      <c r="F83" s="301"/>
      <c r="G83" s="301"/>
      <c r="H83" s="302"/>
      <c r="I83" s="310" t="s">
        <v>592</v>
      </c>
      <c r="J83" s="311"/>
      <c r="K83" s="331"/>
      <c r="L83" s="101">
        <v>8.3000000000000007</v>
      </c>
    </row>
    <row r="84" spans="2:12" ht="15" hidden="1" customHeight="1" outlineLevel="1">
      <c r="B84" s="40" t="s">
        <v>275</v>
      </c>
      <c r="C84" s="300" t="s">
        <v>582</v>
      </c>
      <c r="D84" s="301"/>
      <c r="E84" s="301"/>
      <c r="F84" s="301"/>
      <c r="G84" s="301"/>
      <c r="H84" s="302"/>
      <c r="I84" s="310" t="s">
        <v>593</v>
      </c>
      <c r="J84" s="311"/>
      <c r="K84" s="311"/>
      <c r="L84" s="101"/>
    </row>
    <row r="85" spans="2:12" ht="14.1" customHeight="1" collapsed="1">
      <c r="D85" s="9"/>
      <c r="E85" s="9"/>
      <c r="G85" s="9"/>
      <c r="H85" s="9"/>
    </row>
    <row r="86" spans="2:12">
      <c r="D86" s="9"/>
      <c r="E86" s="9"/>
      <c r="G86" s="9"/>
      <c r="H86" s="9"/>
    </row>
    <row r="87" spans="2:12" ht="38.25" customHeight="1">
      <c r="D87" s="9"/>
      <c r="E87" s="9"/>
      <c r="G87" s="9"/>
      <c r="H87" s="9"/>
    </row>
    <row r="88" spans="2:12">
      <c r="D88" s="9"/>
      <c r="E88" s="9"/>
      <c r="G88" s="9"/>
      <c r="H88" s="9"/>
    </row>
    <row r="89" spans="2:12">
      <c r="D89" s="9"/>
      <c r="E89" s="9"/>
      <c r="G89" s="9"/>
      <c r="H89" s="9"/>
    </row>
    <row r="90" spans="2:12">
      <c r="D90" s="9"/>
      <c r="E90" s="9"/>
      <c r="G90" s="9"/>
      <c r="H90" s="9"/>
    </row>
    <row r="91" spans="2:12">
      <c r="D91" s="9"/>
      <c r="E91" s="9"/>
      <c r="G91" s="9"/>
      <c r="H91" s="9"/>
    </row>
    <row r="92" spans="2:12">
      <c r="D92" s="9"/>
      <c r="E92" s="9"/>
      <c r="G92" s="9"/>
      <c r="H92" s="9"/>
    </row>
    <row r="93" spans="2:12">
      <c r="D93" s="9"/>
      <c r="E93" s="9"/>
      <c r="G93" s="9"/>
      <c r="H93" s="9"/>
    </row>
    <row r="94" spans="2:12">
      <c r="D94" s="9"/>
      <c r="E94" s="9"/>
      <c r="G94" s="9"/>
      <c r="H94" s="9"/>
    </row>
    <row r="95" spans="2:12" ht="15.75" customHeight="1">
      <c r="D95" s="9"/>
      <c r="E95" s="9"/>
      <c r="G95" s="9"/>
      <c r="H95" s="9"/>
    </row>
    <row r="96" spans="2:12" ht="15.75" customHeight="1">
      <c r="D96" s="9"/>
      <c r="E96" s="9"/>
      <c r="G96" s="9"/>
      <c r="H96" s="9"/>
    </row>
    <row r="97" spans="4:8" ht="15.75" customHeight="1">
      <c r="D97" s="9"/>
      <c r="E97" s="9"/>
      <c r="G97" s="9"/>
      <c r="H97" s="9"/>
    </row>
    <row r="98" spans="4:8" ht="15.75" customHeight="1">
      <c r="D98" s="9"/>
      <c r="E98" s="9"/>
      <c r="G98" s="9"/>
      <c r="H98" s="9"/>
    </row>
    <row r="99" spans="4:8" ht="15.75" customHeight="1">
      <c r="D99" s="9"/>
      <c r="E99" s="9"/>
      <c r="G99" s="9"/>
      <c r="H99" s="9"/>
    </row>
    <row r="100" spans="4:8">
      <c r="D100" s="9"/>
      <c r="E100" s="9"/>
      <c r="G100" s="9"/>
      <c r="H100" s="9"/>
    </row>
    <row r="101" spans="4:8">
      <c r="D101" s="9"/>
      <c r="E101" s="9"/>
      <c r="G101" s="9"/>
      <c r="H101" s="9"/>
    </row>
    <row r="102" spans="4:8">
      <c r="D102" s="9"/>
      <c r="E102" s="9"/>
      <c r="G102" s="9"/>
      <c r="H102" s="9"/>
    </row>
    <row r="103" spans="4:8">
      <c r="D103" s="9"/>
      <c r="E103" s="9"/>
      <c r="G103" s="9"/>
      <c r="H103" s="9"/>
    </row>
    <row r="104" spans="4:8" ht="15" customHeight="1">
      <c r="D104" s="9"/>
      <c r="E104" s="9"/>
      <c r="G104" s="9"/>
      <c r="H104" s="9"/>
    </row>
    <row r="105" spans="4:8">
      <c r="D105" s="9"/>
      <c r="E105" s="9"/>
      <c r="G105" s="9"/>
      <c r="H105" s="9"/>
    </row>
    <row r="106" spans="4:8">
      <c r="D106" s="9"/>
      <c r="E106" s="9"/>
      <c r="G106" s="9"/>
      <c r="H106" s="9"/>
    </row>
    <row r="107" spans="4:8">
      <c r="D107" s="9"/>
      <c r="E107" s="9"/>
      <c r="G107" s="9"/>
      <c r="H107" s="9"/>
    </row>
    <row r="108" spans="4:8">
      <c r="D108" s="9"/>
      <c r="E108" s="9"/>
      <c r="G108" s="9"/>
      <c r="H108" s="9"/>
    </row>
    <row r="109" spans="4:8">
      <c r="D109" s="9"/>
      <c r="E109" s="9"/>
      <c r="G109" s="9"/>
      <c r="H109" s="9"/>
    </row>
    <row r="110" spans="4:8">
      <c r="D110" s="9"/>
      <c r="E110" s="9"/>
      <c r="G110" s="9"/>
      <c r="H110" s="9"/>
    </row>
    <row r="111" spans="4:8">
      <c r="D111" s="9"/>
      <c r="E111" s="9"/>
      <c r="G111" s="9"/>
      <c r="H111" s="9"/>
    </row>
    <row r="112" spans="4:8">
      <c r="D112" s="9"/>
      <c r="E112" s="9"/>
      <c r="G112" s="9"/>
      <c r="H112" s="9"/>
    </row>
    <row r="114" ht="15" customHeight="1"/>
  </sheetData>
  <autoFilter ref="L4:L49" xr:uid="{00000000-0009-0000-0000-000008000000}"/>
  <mergeCells count="62">
    <mergeCell ref="C71:H71"/>
    <mergeCell ref="I71:K71"/>
    <mergeCell ref="F69:H69"/>
    <mergeCell ref="C70:H70"/>
    <mergeCell ref="I67:K67"/>
    <mergeCell ref="C67:H67"/>
    <mergeCell ref="I70:K70"/>
    <mergeCell ref="C69:E69"/>
    <mergeCell ref="C18:E18"/>
    <mergeCell ref="F18:H18"/>
    <mergeCell ref="C63:E63"/>
    <mergeCell ref="C8:H8"/>
    <mergeCell ref="I8:K8"/>
    <mergeCell ref="B11:L11"/>
    <mergeCell ref="B17:L17"/>
    <mergeCell ref="B10:L10"/>
    <mergeCell ref="B2:L2"/>
    <mergeCell ref="C66:H66"/>
    <mergeCell ref="I66:K66"/>
    <mergeCell ref="C65:H65"/>
    <mergeCell ref="I65:K65"/>
    <mergeCell ref="I63:K63"/>
    <mergeCell ref="C64:H64"/>
    <mergeCell ref="I64:K64"/>
    <mergeCell ref="B3:L3"/>
    <mergeCell ref="C4:E4"/>
    <mergeCell ref="F4:H4"/>
    <mergeCell ref="I4:K4"/>
    <mergeCell ref="I12:K12"/>
    <mergeCell ref="C5:H5"/>
    <mergeCell ref="I5:K5"/>
    <mergeCell ref="C7:H7"/>
    <mergeCell ref="I7:K7"/>
    <mergeCell ref="I6:K6"/>
    <mergeCell ref="C6:H6"/>
    <mergeCell ref="C81:H81"/>
    <mergeCell ref="I81:K81"/>
    <mergeCell ref="C79:H79"/>
    <mergeCell ref="I13:K13"/>
    <mergeCell ref="C12:E12"/>
    <mergeCell ref="F12:H12"/>
    <mergeCell ref="C13:H13"/>
    <mergeCell ref="C14:H14"/>
    <mergeCell ref="I14:K14"/>
    <mergeCell ref="C72:H72"/>
    <mergeCell ref="I72:K72"/>
    <mergeCell ref="F63:H63"/>
    <mergeCell ref="I69:K69"/>
    <mergeCell ref="C84:H84"/>
    <mergeCell ref="I84:K84"/>
    <mergeCell ref="C83:H83"/>
    <mergeCell ref="I83:K83"/>
    <mergeCell ref="C82:H82"/>
    <mergeCell ref="I82:K82"/>
    <mergeCell ref="I79:K79"/>
    <mergeCell ref="C80:H80"/>
    <mergeCell ref="I80:K80"/>
    <mergeCell ref="I77:K77"/>
    <mergeCell ref="C78:H78"/>
    <mergeCell ref="I78:K78"/>
    <mergeCell ref="C77:E77"/>
    <mergeCell ref="F77:H77"/>
  </mergeCells>
  <conditionalFormatting sqref="B57">
    <cfRule type="cellIs" dxfId="616" priority="537" operator="equal">
      <formula>"Complete"</formula>
    </cfRule>
    <cfRule type="cellIs" dxfId="615" priority="538" operator="equal">
      <formula>"N/A"</formula>
    </cfRule>
    <cfRule type="cellIs" dxfId="614" priority="539" operator="equal">
      <formula>"Open"</formula>
    </cfRule>
  </conditionalFormatting>
  <conditionalFormatting sqref="B14 L6 L63:L72 L14 L61 L42 L38:L39 L18:L21 L16 L27:L28 L34:L36 L32">
    <cfRule type="cellIs" dxfId="613" priority="496" operator="equal">
      <formula>"Complete"</formula>
    </cfRule>
    <cfRule type="cellIs" dxfId="612" priority="497" operator="equal">
      <formula>"Pending"</formula>
    </cfRule>
  </conditionalFormatting>
  <conditionalFormatting sqref="B18">
    <cfRule type="cellIs" dxfId="611" priority="504" operator="equal">
      <formula>"Complete"</formula>
    </cfRule>
    <cfRule type="cellIs" dxfId="610" priority="505" operator="equal">
      <formula>"Pending"</formula>
    </cfRule>
  </conditionalFormatting>
  <conditionalFormatting sqref="B19">
    <cfRule type="cellIs" dxfId="609" priority="502" operator="equal">
      <formula>"Complete"</formula>
    </cfRule>
    <cfRule type="cellIs" dxfId="608" priority="503" operator="equal">
      <formula>"Pending"</formula>
    </cfRule>
  </conditionalFormatting>
  <conditionalFormatting sqref="B21:B28 B34 B32">
    <cfRule type="cellIs" dxfId="607" priority="488" operator="equal">
      <formula>"Complete"</formula>
    </cfRule>
    <cfRule type="cellIs" dxfId="606" priority="489" operator="equal">
      <formula>"Pending"</formula>
    </cfRule>
  </conditionalFormatting>
  <conditionalFormatting sqref="L57">
    <cfRule type="cellIs" dxfId="605" priority="475" operator="equal">
      <formula>"Complete"</formula>
    </cfRule>
    <cfRule type="cellIs" dxfId="604" priority="476" operator="equal">
      <formula>"N/A"</formula>
    </cfRule>
    <cfRule type="cellIs" dxfId="603" priority="477" operator="equal">
      <formula>"Open"</formula>
    </cfRule>
  </conditionalFormatting>
  <conditionalFormatting sqref="L7">
    <cfRule type="cellIs" dxfId="602" priority="146" operator="equal">
      <formula>"Complete"</formula>
    </cfRule>
    <cfRule type="cellIs" dxfId="601" priority="147" operator="equal">
      <formula>"Pending"</formula>
    </cfRule>
  </conditionalFormatting>
  <conditionalFormatting sqref="B5">
    <cfRule type="cellIs" dxfId="600" priority="144" operator="equal">
      <formula>"Complete"</formula>
    </cfRule>
    <cfRule type="cellIs" dxfId="599" priority="145" operator="equal">
      <formula>"Pending"</formula>
    </cfRule>
  </conditionalFormatting>
  <conditionalFormatting sqref="L5">
    <cfRule type="cellIs" dxfId="598" priority="142" operator="equal">
      <formula>"Complete"</formula>
    </cfRule>
    <cfRule type="cellIs" dxfId="597" priority="143" operator="equal">
      <formula>"Pending"</formula>
    </cfRule>
  </conditionalFormatting>
  <conditionalFormatting sqref="B13">
    <cfRule type="cellIs" dxfId="596" priority="136" operator="equal">
      <formula>"Complete"</formula>
    </cfRule>
    <cfRule type="cellIs" dxfId="595" priority="137" operator="equal">
      <formula>"Pending"</formula>
    </cfRule>
  </conditionalFormatting>
  <conditionalFormatting sqref="B12">
    <cfRule type="cellIs" dxfId="594" priority="138" operator="equal">
      <formula>"Complete"</formula>
    </cfRule>
    <cfRule type="cellIs" dxfId="593" priority="139" operator="equal">
      <formula>"Pending"</formula>
    </cfRule>
  </conditionalFormatting>
  <conditionalFormatting sqref="B6">
    <cfRule type="cellIs" dxfId="592" priority="130" operator="equal">
      <formula>"Complete"</formula>
    </cfRule>
    <cfRule type="cellIs" dxfId="591" priority="131" operator="equal">
      <formula>"Pending"</formula>
    </cfRule>
  </conditionalFormatting>
  <conditionalFormatting sqref="B64:B67 B72">
    <cfRule type="cellIs" dxfId="590" priority="176" operator="equal">
      <formula>"Complete"</formula>
    </cfRule>
    <cfRule type="cellIs" dxfId="589" priority="177" operator="equal">
      <formula>"Pending"</formula>
    </cfRule>
  </conditionalFormatting>
  <conditionalFormatting sqref="B3">
    <cfRule type="cellIs" dxfId="588" priority="188" operator="equal">
      <formula>"Complete"</formula>
    </cfRule>
    <cfRule type="cellIs" dxfId="587" priority="189" operator="equal">
      <formula>"Pending"</formula>
    </cfRule>
  </conditionalFormatting>
  <conditionalFormatting sqref="B4">
    <cfRule type="cellIs" dxfId="586" priority="186" operator="equal">
      <formula>"Complete"</formula>
    </cfRule>
    <cfRule type="cellIs" dxfId="585" priority="187" operator="equal">
      <formula>"Pending"</formula>
    </cfRule>
  </conditionalFormatting>
  <conditionalFormatting sqref="B68">
    <cfRule type="cellIs" dxfId="584" priority="180" operator="equal">
      <formula>"Complete"</formula>
    </cfRule>
    <cfRule type="cellIs" dxfId="583" priority="181" operator="equal">
      <formula>"Pending"</formula>
    </cfRule>
  </conditionalFormatting>
  <conditionalFormatting sqref="B63">
    <cfRule type="cellIs" dxfId="582" priority="182" operator="equal">
      <formula>"Complete"</formula>
    </cfRule>
    <cfRule type="cellIs" dxfId="581" priority="183" operator="equal">
      <formula>"Pending"</formula>
    </cfRule>
  </conditionalFormatting>
  <conditionalFormatting sqref="B69">
    <cfRule type="cellIs" dxfId="580" priority="178" operator="equal">
      <formula>"Complete"</formula>
    </cfRule>
    <cfRule type="cellIs" dxfId="579" priority="179" operator="equal">
      <formula>"Pending"</formula>
    </cfRule>
  </conditionalFormatting>
  <conditionalFormatting sqref="B70">
    <cfRule type="cellIs" dxfId="578" priority="174" operator="equal">
      <formula>"Complete"</formula>
    </cfRule>
    <cfRule type="cellIs" dxfId="577" priority="175" operator="equal">
      <formula>"Pending"</formula>
    </cfRule>
  </conditionalFormatting>
  <conditionalFormatting sqref="L7">
    <cfRule type="cellIs" dxfId="576" priority="148" operator="equal">
      <formula>"Complete"</formula>
    </cfRule>
    <cfRule type="cellIs" dxfId="575" priority="149" operator="equal">
      <formula>"Pending"</formula>
    </cfRule>
  </conditionalFormatting>
  <conditionalFormatting sqref="B71">
    <cfRule type="cellIs" dxfId="574" priority="166" operator="equal">
      <formula>"Complete"</formula>
    </cfRule>
    <cfRule type="cellIs" dxfId="573" priority="167" operator="equal">
      <formula>"Pending"</formula>
    </cfRule>
  </conditionalFormatting>
  <conditionalFormatting sqref="B7">
    <cfRule type="cellIs" dxfId="572" priority="158" operator="equal">
      <formula>"Complete"</formula>
    </cfRule>
    <cfRule type="cellIs" dxfId="571" priority="159" operator="equal">
      <formula>"Pending"</formula>
    </cfRule>
  </conditionalFormatting>
  <conditionalFormatting sqref="L9 L45:L46 L49 L12:L13">
    <cfRule type="cellIs" dxfId="570" priority="104" operator="equal">
      <formula>"Complete"</formula>
    </cfRule>
    <cfRule type="cellIs" dxfId="569" priority="105" operator="equal">
      <formula>"Pending"</formula>
    </cfRule>
  </conditionalFormatting>
  <conditionalFormatting sqref="L62">
    <cfRule type="cellIs" dxfId="568" priority="95" operator="equal">
      <formula>"Complete"</formula>
    </cfRule>
    <cfRule type="cellIs" dxfId="567" priority="96" operator="equal">
      <formula>"Pending"</formula>
    </cfRule>
  </conditionalFormatting>
  <conditionalFormatting sqref="B62">
    <cfRule type="cellIs" dxfId="566" priority="93" operator="equal">
      <formula>"Complete"</formula>
    </cfRule>
    <cfRule type="cellIs" dxfId="565" priority="94" operator="equal">
      <formula>"Pending"</formula>
    </cfRule>
  </conditionalFormatting>
  <conditionalFormatting sqref="L43">
    <cfRule type="cellIs" dxfId="564" priority="89" operator="equal">
      <formula>"Complete"</formula>
    </cfRule>
    <cfRule type="cellIs" dxfId="563" priority="90" operator="equal">
      <formula>"Pending"</formula>
    </cfRule>
  </conditionalFormatting>
  <conditionalFormatting sqref="L47:L48">
    <cfRule type="cellIs" dxfId="562" priority="85" operator="equal">
      <formula>"Complete"</formula>
    </cfRule>
    <cfRule type="cellIs" dxfId="561" priority="86" operator="equal">
      <formula>"Pending"</formula>
    </cfRule>
  </conditionalFormatting>
  <conditionalFormatting sqref="L56">
    <cfRule type="cellIs" dxfId="560" priority="79" operator="equal">
      <formula>"Complete"</formula>
    </cfRule>
    <cfRule type="cellIs" dxfId="559" priority="80" operator="equal">
      <formula>"Pending"</formula>
    </cfRule>
  </conditionalFormatting>
  <conditionalFormatting sqref="L55">
    <cfRule type="cellIs" dxfId="558" priority="81" operator="equal">
      <formula>"Complete"</formula>
    </cfRule>
    <cfRule type="cellIs" dxfId="557" priority="82" operator="equal">
      <formula>"Pending"</formula>
    </cfRule>
  </conditionalFormatting>
  <conditionalFormatting sqref="L75:L83">
    <cfRule type="cellIs" dxfId="556" priority="75" operator="equal">
      <formula>"Complete"</formula>
    </cfRule>
    <cfRule type="cellIs" dxfId="555" priority="76" operator="equal">
      <formula>"Pending"</formula>
    </cfRule>
  </conditionalFormatting>
  <conditionalFormatting sqref="B8 L8">
    <cfRule type="cellIs" dxfId="554" priority="77" operator="equal">
      <formula>"Complete"</formula>
    </cfRule>
    <cfRule type="cellIs" dxfId="553" priority="78" operator="equal">
      <formula>"Pending"</formula>
    </cfRule>
  </conditionalFormatting>
  <conditionalFormatting sqref="B78:B80">
    <cfRule type="cellIs" dxfId="552" priority="65" operator="equal">
      <formula>"Complete"</formula>
    </cfRule>
    <cfRule type="cellIs" dxfId="551" priority="66" operator="equal">
      <formula>"Pending"</formula>
    </cfRule>
  </conditionalFormatting>
  <conditionalFormatting sqref="L78:L80">
    <cfRule type="cellIs" dxfId="550" priority="63" operator="equal">
      <formula>"Complete"</formula>
    </cfRule>
    <cfRule type="cellIs" dxfId="549" priority="64" operator="equal">
      <formula>"Pending"</formula>
    </cfRule>
  </conditionalFormatting>
  <conditionalFormatting sqref="B81">
    <cfRule type="cellIs" dxfId="548" priority="59" operator="equal">
      <formula>"Complete"</formula>
    </cfRule>
    <cfRule type="cellIs" dxfId="547" priority="60" operator="equal">
      <formula>"Pending"</formula>
    </cfRule>
  </conditionalFormatting>
  <conditionalFormatting sqref="L81:L82">
    <cfRule type="cellIs" dxfId="546" priority="57" operator="equal">
      <formula>"Complete"</formula>
    </cfRule>
    <cfRule type="cellIs" dxfId="545" priority="58" operator="equal">
      <formula>"Pending"</formula>
    </cfRule>
  </conditionalFormatting>
  <conditionalFormatting sqref="L83">
    <cfRule type="cellIs" dxfId="544" priority="71" operator="equal">
      <formula>"Complete"</formula>
    </cfRule>
    <cfRule type="cellIs" dxfId="543" priority="72" operator="equal">
      <formula>"Pending"</formula>
    </cfRule>
  </conditionalFormatting>
  <conditionalFormatting sqref="B83">
    <cfRule type="cellIs" dxfId="542" priority="73" operator="equal">
      <formula>"Complete"</formula>
    </cfRule>
    <cfRule type="cellIs" dxfId="541" priority="74" operator="equal">
      <formula>"Pending"</formula>
    </cfRule>
  </conditionalFormatting>
  <conditionalFormatting sqref="B76">
    <cfRule type="cellIs" dxfId="540" priority="69" operator="equal">
      <formula>"Complete"</formula>
    </cfRule>
    <cfRule type="cellIs" dxfId="539" priority="70" operator="equal">
      <formula>"Pending"</formula>
    </cfRule>
  </conditionalFormatting>
  <conditionalFormatting sqref="B77">
    <cfRule type="cellIs" dxfId="538" priority="67" operator="equal">
      <formula>"Complete"</formula>
    </cfRule>
    <cfRule type="cellIs" dxfId="537" priority="68" operator="equal">
      <formula>"Pending"</formula>
    </cfRule>
  </conditionalFormatting>
  <conditionalFormatting sqref="B82">
    <cfRule type="cellIs" dxfId="536" priority="61" operator="equal">
      <formula>"Complete"</formula>
    </cfRule>
    <cfRule type="cellIs" dxfId="535" priority="62" operator="equal">
      <formula>"Pending"</formula>
    </cfRule>
  </conditionalFormatting>
  <conditionalFormatting sqref="L22">
    <cfRule type="cellIs" dxfId="534" priority="55" operator="equal">
      <formula>"Complete"</formula>
    </cfRule>
    <cfRule type="cellIs" dxfId="533" priority="56" operator="equal">
      <formula>"Pending"</formula>
    </cfRule>
  </conditionalFormatting>
  <conditionalFormatting sqref="L24:L25">
    <cfRule type="cellIs" dxfId="532" priority="49" operator="equal">
      <formula>"Complete"</formula>
    </cfRule>
    <cfRule type="cellIs" dxfId="531" priority="50" operator="equal">
      <formula>"Pending"</formula>
    </cfRule>
  </conditionalFormatting>
  <conditionalFormatting sqref="L26">
    <cfRule type="cellIs" dxfId="530" priority="51" operator="equal">
      <formula>"Complete"</formula>
    </cfRule>
    <cfRule type="cellIs" dxfId="529" priority="52" operator="equal">
      <formula>"Pending"</formula>
    </cfRule>
  </conditionalFormatting>
  <conditionalFormatting sqref="L40:L41">
    <cfRule type="cellIs" dxfId="528" priority="45" operator="equal">
      <formula>"Complete"</formula>
    </cfRule>
    <cfRule type="cellIs" dxfId="527" priority="46" operator="equal">
      <formula>"Pending"</formula>
    </cfRule>
  </conditionalFormatting>
  <conditionalFormatting sqref="L24:L25">
    <cfRule type="cellIs" dxfId="526" priority="47" operator="equal">
      <formula>"Complete"</formula>
    </cfRule>
    <cfRule type="cellIs" dxfId="525" priority="48" operator="equal">
      <formula>"Pending"</formula>
    </cfRule>
  </conditionalFormatting>
  <conditionalFormatting sqref="L37">
    <cfRule type="cellIs" dxfId="524" priority="41" operator="equal">
      <formula>"Complete"</formula>
    </cfRule>
    <cfRule type="cellIs" dxfId="523" priority="42" operator="equal">
      <formula>"Pending"</formula>
    </cfRule>
  </conditionalFormatting>
  <conditionalFormatting sqref="L40:L41">
    <cfRule type="cellIs" dxfId="522" priority="43" operator="equal">
      <formula>"Complete"</formula>
    </cfRule>
    <cfRule type="cellIs" dxfId="521" priority="44" operator="equal">
      <formula>"Pending"</formula>
    </cfRule>
  </conditionalFormatting>
  <conditionalFormatting sqref="L37">
    <cfRule type="cellIs" dxfId="520" priority="39" operator="equal">
      <formula>"Complete"</formula>
    </cfRule>
    <cfRule type="cellIs" dxfId="519" priority="40" operator="equal">
      <formula>"Pending"</formula>
    </cfRule>
  </conditionalFormatting>
  <conditionalFormatting sqref="L44">
    <cfRule type="cellIs" dxfId="518" priority="37" operator="equal">
      <formula>"Complete"</formula>
    </cfRule>
    <cfRule type="cellIs" dxfId="517" priority="38" operator="equal">
      <formula>"Pending"</formula>
    </cfRule>
  </conditionalFormatting>
  <conditionalFormatting sqref="L44">
    <cfRule type="cellIs" dxfId="516" priority="35" operator="equal">
      <formula>"Complete"</formula>
    </cfRule>
    <cfRule type="cellIs" dxfId="515" priority="36" operator="equal">
      <formula>"Pending"</formula>
    </cfRule>
  </conditionalFormatting>
  <conditionalFormatting sqref="L84">
    <cfRule type="cellIs" dxfId="514" priority="33" operator="equal">
      <formula>"Complete"</formula>
    </cfRule>
    <cfRule type="cellIs" dxfId="513" priority="34" operator="equal">
      <formula>"Pending"</formula>
    </cfRule>
  </conditionalFormatting>
  <conditionalFormatting sqref="B84">
    <cfRule type="cellIs" dxfId="512" priority="31" operator="equal">
      <formula>"Complete"</formula>
    </cfRule>
    <cfRule type="cellIs" dxfId="511" priority="32" operator="equal">
      <formula>"Pending"</formula>
    </cfRule>
  </conditionalFormatting>
  <conditionalFormatting sqref="L23">
    <cfRule type="cellIs" dxfId="510" priority="29" operator="equal">
      <formula>"Complete"</formula>
    </cfRule>
    <cfRule type="cellIs" dxfId="509" priority="30" operator="equal">
      <formula>"Pending"</formula>
    </cfRule>
  </conditionalFormatting>
  <conditionalFormatting sqref="L23">
    <cfRule type="cellIs" dxfId="508" priority="27" operator="equal">
      <formula>"Complete"</formula>
    </cfRule>
    <cfRule type="cellIs" dxfId="507" priority="28" operator="equal">
      <formula>"Pending"</formula>
    </cfRule>
  </conditionalFormatting>
  <conditionalFormatting sqref="B11">
    <cfRule type="cellIs" dxfId="506" priority="25" operator="equal">
      <formula>"Complete"</formula>
    </cfRule>
    <cfRule type="cellIs" dxfId="505" priority="26" operator="equal">
      <formula>"Pending"</formula>
    </cfRule>
  </conditionalFormatting>
  <conditionalFormatting sqref="B17">
    <cfRule type="cellIs" dxfId="504" priority="23" operator="equal">
      <formula>"Complete"</formula>
    </cfRule>
    <cfRule type="cellIs" dxfId="503" priority="24" operator="equal">
      <formula>"Pending"</formula>
    </cfRule>
  </conditionalFormatting>
  <conditionalFormatting sqref="L52:L53">
    <cfRule type="cellIs" dxfId="502" priority="15" operator="equal">
      <formula>"Complete"</formula>
    </cfRule>
    <cfRule type="cellIs" dxfId="501" priority="16" operator="equal">
      <formula>"Pending"</formula>
    </cfRule>
  </conditionalFormatting>
  <conditionalFormatting sqref="L50:L51 L54">
    <cfRule type="cellIs" dxfId="500" priority="19" operator="equal">
      <formula>"Complete"</formula>
    </cfRule>
    <cfRule type="cellIs" dxfId="499" priority="20" operator="equal">
      <formula>"Pending"</formula>
    </cfRule>
  </conditionalFormatting>
  <conditionalFormatting sqref="B36:B56">
    <cfRule type="cellIs" dxfId="498" priority="13" operator="equal">
      <formula>"Complete"</formula>
    </cfRule>
    <cfRule type="cellIs" dxfId="497" priority="14" operator="equal">
      <formula>"Pending"</formula>
    </cfRule>
  </conditionalFormatting>
  <conditionalFormatting sqref="L33">
    <cfRule type="cellIs" dxfId="496" priority="11" operator="equal">
      <formula>"Complete"</formula>
    </cfRule>
    <cfRule type="cellIs" dxfId="495" priority="12" operator="equal">
      <formula>"Pending"</formula>
    </cfRule>
  </conditionalFormatting>
  <conditionalFormatting sqref="B33">
    <cfRule type="cellIs" dxfId="494" priority="9" operator="equal">
      <formula>"Complete"</formula>
    </cfRule>
    <cfRule type="cellIs" dxfId="493" priority="10" operator="equal">
      <formula>"Pending"</formula>
    </cfRule>
  </conditionalFormatting>
  <conditionalFormatting sqref="L29:L30">
    <cfRule type="cellIs" dxfId="492" priority="7" operator="equal">
      <formula>"Complete"</formula>
    </cfRule>
    <cfRule type="cellIs" dxfId="491" priority="8" operator="equal">
      <formula>"Pending"</formula>
    </cfRule>
  </conditionalFormatting>
  <conditionalFormatting sqref="B29:B30">
    <cfRule type="cellIs" dxfId="490" priority="5" operator="equal">
      <formula>"Complete"</formula>
    </cfRule>
    <cfRule type="cellIs" dxfId="489" priority="6" operator="equal">
      <formula>"Pending"</formula>
    </cfRule>
  </conditionalFormatting>
  <conditionalFormatting sqref="L31">
    <cfRule type="cellIs" dxfId="488" priority="3" operator="equal">
      <formula>"Complete"</formula>
    </cfRule>
    <cfRule type="cellIs" dxfId="487" priority="4" operator="equal">
      <formula>"Pending"</formula>
    </cfRule>
  </conditionalFormatting>
  <conditionalFormatting sqref="B31">
    <cfRule type="cellIs" dxfId="486" priority="1" operator="equal">
      <formula>"Complete"</formula>
    </cfRule>
    <cfRule type="cellIs" dxfId="485" priority="2" operator="equal">
      <formula>"Pending"</formula>
    </cfRule>
  </conditionalFormatting>
  <dataValidations count="2">
    <dataValidation type="list" allowBlank="1" showInputMessage="1" showErrorMessage="1" sqref="B57" xr:uid="{00000000-0002-0000-0800-000000000000}">
      <formula1>"Open, N/A, Complete"</formula1>
    </dataValidation>
    <dataValidation type="list" allowBlank="1" showInputMessage="1" showErrorMessage="1" sqref="B36:B56 B64:B67 B70:B72 B78:B84 B13:B14 B5:B8 B21:B34" xr:uid="{00000000-0002-0000-0800-000001000000}">
      <formula1>"Pending, Complete, N/A"</formula1>
    </dataValidation>
  </dataValidations>
  <pageMargins left="0.7" right="0.7" top="0.75" bottom="0.75" header="0.3" footer="0.3"/>
  <pageSetup scale="55"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
    <tabColor theme="3" tint="-0.499984740745262"/>
    <pageSetUpPr fitToPage="1"/>
  </sheetPr>
  <dimension ref="B2:L71"/>
  <sheetViews>
    <sheetView showGridLines="0" topLeftCell="A33" zoomScaleNormal="100" zoomScalePageLayoutView="140" workbookViewId="0">
      <selection activeCell="E39" sqref="E39"/>
    </sheetView>
  </sheetViews>
  <sheetFormatPr defaultColWidth="27.28515625" defaultRowHeight="13.9" outlineLevelRow="2"/>
  <cols>
    <col min="1" max="1" width="2.7109375" style="9" customWidth="1"/>
    <col min="2" max="2" width="9.140625" style="9" customWidth="1"/>
    <col min="3" max="3" width="27.28515625" style="9"/>
    <col min="4" max="4" width="25.7109375" style="44" customWidth="1"/>
    <col min="5" max="5" width="19.7109375" style="19" customWidth="1"/>
    <col min="6" max="6" width="32.42578125" style="9" customWidth="1"/>
    <col min="7" max="7" width="25.7109375" style="44" customWidth="1"/>
    <col min="8" max="8" width="15.7109375" style="19" customWidth="1"/>
    <col min="9" max="9" width="23.42578125" style="9" customWidth="1"/>
    <col min="10" max="10" width="27.28515625" style="9" customWidth="1"/>
    <col min="11" max="11" width="52" style="9" customWidth="1"/>
    <col min="12" max="12" width="17.7109375" style="9" bestFit="1" customWidth="1"/>
    <col min="13" max="16384" width="27.28515625" style="9"/>
  </cols>
  <sheetData>
    <row r="2" spans="2:12" ht="46.5" customHeight="1">
      <c r="B2" s="315" t="s">
        <v>594</v>
      </c>
      <c r="C2" s="316"/>
      <c r="D2" s="316"/>
      <c r="E2" s="316"/>
      <c r="F2" s="316"/>
      <c r="G2" s="316"/>
      <c r="H2" s="316"/>
      <c r="I2" s="316"/>
      <c r="J2" s="316"/>
      <c r="K2" s="316"/>
      <c r="L2" s="316"/>
    </row>
    <row r="3" spans="2:12" ht="22.35" customHeight="1" outlineLevel="1" thickBot="1">
      <c r="B3" s="317" t="s">
        <v>270</v>
      </c>
      <c r="C3" s="318"/>
      <c r="D3" s="318"/>
      <c r="E3" s="318"/>
      <c r="F3" s="318"/>
      <c r="G3" s="318"/>
      <c r="H3" s="318"/>
      <c r="I3" s="318"/>
      <c r="J3" s="318"/>
      <c r="K3" s="318"/>
      <c r="L3" s="318"/>
    </row>
    <row r="4" spans="2:12" outlineLevel="1">
      <c r="B4" s="277" t="s">
        <v>271</v>
      </c>
      <c r="C4" s="344" t="s">
        <v>272</v>
      </c>
      <c r="D4" s="345"/>
      <c r="E4" s="347"/>
      <c r="F4" s="344"/>
      <c r="G4" s="345"/>
      <c r="H4" s="347"/>
      <c r="I4" s="344" t="s">
        <v>273</v>
      </c>
      <c r="J4" s="345"/>
      <c r="K4" s="346"/>
      <c r="L4" s="39" t="s">
        <v>274</v>
      </c>
    </row>
    <row r="5" spans="2:12" ht="31.35" customHeight="1" outlineLevel="1">
      <c r="B5" s="40" t="s">
        <v>275</v>
      </c>
      <c r="C5" s="310" t="s">
        <v>595</v>
      </c>
      <c r="D5" s="311"/>
      <c r="E5" s="311"/>
      <c r="F5" s="311"/>
      <c r="G5" s="311"/>
      <c r="H5" s="332"/>
      <c r="I5" s="300" t="s">
        <v>277</v>
      </c>
      <c r="J5" s="301"/>
      <c r="K5" s="301"/>
      <c r="L5" s="156" t="s">
        <v>291</v>
      </c>
    </row>
    <row r="6" spans="2:12" outlineLevel="1">
      <c r="B6" s="45"/>
      <c r="C6" s="46"/>
      <c r="D6" s="46"/>
      <c r="E6" s="46"/>
      <c r="F6" s="46"/>
      <c r="G6" s="46"/>
      <c r="H6" s="46"/>
      <c r="I6" s="47"/>
      <c r="J6" s="47"/>
      <c r="K6" s="47"/>
      <c r="L6" s="156"/>
    </row>
    <row r="7" spans="2:12" ht="21" customHeight="1" outlineLevel="1">
      <c r="B7" s="317" t="s">
        <v>596</v>
      </c>
      <c r="C7" s="318"/>
      <c r="D7" s="318"/>
      <c r="E7" s="318"/>
      <c r="F7" s="318"/>
      <c r="G7" s="318"/>
      <c r="H7" s="318"/>
      <c r="I7" s="318"/>
      <c r="J7" s="318"/>
      <c r="K7" s="318"/>
      <c r="L7" s="318"/>
    </row>
    <row r="8" spans="2:12" outlineLevel="1">
      <c r="B8" s="277" t="s">
        <v>271</v>
      </c>
      <c r="C8" s="344" t="s">
        <v>272</v>
      </c>
      <c r="D8" s="345"/>
      <c r="E8" s="347"/>
      <c r="F8" s="344"/>
      <c r="G8" s="345"/>
      <c r="H8" s="347"/>
      <c r="I8" s="344" t="s">
        <v>273</v>
      </c>
      <c r="J8" s="345"/>
      <c r="K8" s="346"/>
      <c r="L8" s="156"/>
    </row>
    <row r="9" spans="2:12" ht="15" customHeight="1" outlineLevel="1">
      <c r="B9" s="40" t="s">
        <v>275</v>
      </c>
      <c r="C9" s="300" t="s">
        <v>597</v>
      </c>
      <c r="D9" s="301"/>
      <c r="E9" s="301"/>
      <c r="F9" s="301"/>
      <c r="G9" s="301"/>
      <c r="H9" s="302"/>
      <c r="I9" s="310"/>
      <c r="J9" s="311"/>
      <c r="K9" s="331"/>
      <c r="L9" s="156">
        <v>6.4</v>
      </c>
    </row>
    <row r="10" spans="2:12" outlineLevel="1">
      <c r="B10" s="40" t="s">
        <v>275</v>
      </c>
      <c r="C10" s="300" t="s">
        <v>598</v>
      </c>
      <c r="D10" s="301"/>
      <c r="E10" s="301"/>
      <c r="F10" s="301"/>
      <c r="G10" s="301"/>
      <c r="H10" s="302"/>
      <c r="I10" s="310"/>
      <c r="J10" s="311"/>
      <c r="K10" s="331"/>
      <c r="L10" s="156">
        <v>6.4</v>
      </c>
    </row>
    <row r="11" spans="2:12" ht="15" customHeight="1" outlineLevel="1">
      <c r="B11" s="40" t="s">
        <v>275</v>
      </c>
      <c r="C11" s="300" t="s">
        <v>599</v>
      </c>
      <c r="D11" s="301"/>
      <c r="E11" s="301"/>
      <c r="F11" s="301"/>
      <c r="G11" s="301"/>
      <c r="H11" s="302"/>
      <c r="I11" s="310" t="s">
        <v>600</v>
      </c>
      <c r="J11" s="311"/>
      <c r="K11" s="331"/>
      <c r="L11" s="156">
        <v>6.4</v>
      </c>
    </row>
    <row r="12" spans="2:12" ht="27" customHeight="1" outlineLevel="1">
      <c r="B12" s="40" t="s">
        <v>275</v>
      </c>
      <c r="C12" s="300" t="s">
        <v>601</v>
      </c>
      <c r="D12" s="301"/>
      <c r="E12" s="301"/>
      <c r="F12" s="301"/>
      <c r="G12" s="301"/>
      <c r="H12" s="302"/>
      <c r="I12" s="310" t="s">
        <v>602</v>
      </c>
      <c r="J12" s="311"/>
      <c r="K12" s="331"/>
      <c r="L12" s="156">
        <v>6.4</v>
      </c>
    </row>
    <row r="13" spans="2:12" outlineLevel="1">
      <c r="B13" s="40" t="s">
        <v>275</v>
      </c>
      <c r="C13" s="300" t="s">
        <v>603</v>
      </c>
      <c r="D13" s="301"/>
      <c r="E13" s="301"/>
      <c r="F13" s="301"/>
      <c r="G13" s="301"/>
      <c r="H13" s="302"/>
      <c r="I13" s="310" t="s">
        <v>604</v>
      </c>
      <c r="J13" s="311"/>
      <c r="K13" s="331"/>
      <c r="L13" s="156">
        <v>6.4</v>
      </c>
    </row>
    <row r="14" spans="2:12" outlineLevel="1">
      <c r="D14" s="9"/>
      <c r="E14" s="9"/>
      <c r="G14" s="9"/>
      <c r="H14" s="9"/>
    </row>
    <row r="15" spans="2:12" ht="24.95" customHeight="1" outlineLevel="1">
      <c r="B15" s="317" t="s">
        <v>605</v>
      </c>
      <c r="C15" s="318"/>
      <c r="D15" s="318"/>
      <c r="E15" s="318"/>
      <c r="F15" s="318"/>
      <c r="G15" s="318"/>
      <c r="H15" s="318"/>
      <c r="I15" s="318"/>
      <c r="J15" s="318"/>
      <c r="K15" s="318"/>
      <c r="L15" s="318"/>
    </row>
    <row r="16" spans="2:12" ht="36" customHeight="1" outlineLevel="2">
      <c r="B16" s="277" t="s">
        <v>271</v>
      </c>
      <c r="C16" s="344" t="s">
        <v>272</v>
      </c>
      <c r="D16" s="345"/>
      <c r="E16" s="347"/>
      <c r="F16" s="344"/>
      <c r="G16" s="345"/>
      <c r="H16" s="347"/>
      <c r="I16" s="344" t="s">
        <v>273</v>
      </c>
      <c r="J16" s="345"/>
      <c r="K16" s="345"/>
      <c r="L16" s="101"/>
    </row>
    <row r="17" spans="2:12" ht="45" customHeight="1" outlineLevel="2">
      <c r="B17" s="40" t="s">
        <v>275</v>
      </c>
      <c r="C17" s="310" t="s">
        <v>550</v>
      </c>
      <c r="D17" s="301"/>
      <c r="E17" s="301"/>
      <c r="F17" s="301"/>
      <c r="G17" s="301"/>
      <c r="H17" s="302"/>
      <c r="I17" s="310" t="s">
        <v>551</v>
      </c>
      <c r="J17" s="311"/>
      <c r="K17" s="311"/>
      <c r="L17" s="159">
        <v>19.07</v>
      </c>
    </row>
    <row r="18" spans="2:12" ht="54.95" customHeight="1" outlineLevel="2">
      <c r="B18" s="40" t="s">
        <v>275</v>
      </c>
      <c r="C18" s="310" t="s">
        <v>552</v>
      </c>
      <c r="D18" s="301"/>
      <c r="E18" s="301"/>
      <c r="F18" s="301"/>
      <c r="G18" s="301"/>
      <c r="H18" s="302"/>
      <c r="I18" s="310" t="s">
        <v>553</v>
      </c>
      <c r="J18" s="311"/>
      <c r="K18" s="311"/>
      <c r="L18" s="159">
        <v>19.07</v>
      </c>
    </row>
    <row r="19" spans="2:12" ht="18" customHeight="1" outlineLevel="1">
      <c r="D19" s="9"/>
      <c r="E19" s="9"/>
      <c r="G19" s="9"/>
      <c r="H19" s="9"/>
    </row>
    <row r="20" spans="2:12" ht="24" customHeight="1" outlineLevel="1">
      <c r="B20" s="317" t="s">
        <v>606</v>
      </c>
      <c r="C20" s="318"/>
      <c r="D20" s="318"/>
      <c r="E20" s="318"/>
      <c r="F20" s="318"/>
      <c r="G20" s="318"/>
      <c r="H20" s="318"/>
      <c r="I20" s="318"/>
      <c r="J20" s="318"/>
      <c r="K20" s="318"/>
      <c r="L20" s="318"/>
    </row>
    <row r="21" spans="2:12" hidden="1" outlineLevel="2" collapsed="1">
      <c r="B21" s="277" t="s">
        <v>271</v>
      </c>
      <c r="C21" s="344" t="s">
        <v>272</v>
      </c>
      <c r="D21" s="345"/>
      <c r="E21" s="347"/>
      <c r="F21" s="344"/>
      <c r="G21" s="345"/>
      <c r="H21" s="347"/>
      <c r="I21" s="344" t="s">
        <v>273</v>
      </c>
      <c r="J21" s="345"/>
      <c r="K21" s="346"/>
      <c r="L21" s="156"/>
    </row>
    <row r="22" spans="2:12" ht="20.45" hidden="1" customHeight="1" outlineLevel="2">
      <c r="B22" s="40" t="s">
        <v>275</v>
      </c>
      <c r="C22" s="275" t="s">
        <v>607</v>
      </c>
      <c r="D22" s="274"/>
      <c r="E22" s="274"/>
      <c r="F22" s="274"/>
      <c r="G22" s="274"/>
      <c r="H22" s="276"/>
      <c r="I22" s="272" t="s">
        <v>608</v>
      </c>
      <c r="J22" s="273"/>
      <c r="K22" s="283"/>
      <c r="L22" s="157">
        <v>9</v>
      </c>
    </row>
    <row r="23" spans="2:12" hidden="1" outlineLevel="2">
      <c r="B23" s="40" t="s">
        <v>275</v>
      </c>
      <c r="C23" s="275" t="s">
        <v>609</v>
      </c>
      <c r="D23" s="274"/>
      <c r="E23" s="274"/>
      <c r="F23" s="274"/>
      <c r="G23" s="274"/>
      <c r="H23" s="276"/>
      <c r="I23" s="272"/>
      <c r="J23" s="273"/>
      <c r="K23" s="283"/>
      <c r="L23" s="156">
        <v>9</v>
      </c>
    </row>
    <row r="24" spans="2:12" hidden="1" outlineLevel="2">
      <c r="B24" s="40" t="s">
        <v>275</v>
      </c>
      <c r="C24" s="300" t="s">
        <v>610</v>
      </c>
      <c r="D24" s="301"/>
      <c r="E24" s="301"/>
      <c r="F24" s="301"/>
      <c r="G24" s="301"/>
      <c r="H24" s="302"/>
      <c r="I24" s="310" t="s">
        <v>611</v>
      </c>
      <c r="J24" s="311"/>
      <c r="K24" s="311"/>
      <c r="L24" s="101">
        <v>9</v>
      </c>
    </row>
    <row r="25" spans="2:12" outlineLevel="1" collapsed="1">
      <c r="B25" s="45"/>
      <c r="C25" s="46"/>
      <c r="D25" s="46"/>
      <c r="E25" s="46"/>
      <c r="F25" s="46"/>
      <c r="G25" s="46"/>
      <c r="H25" s="46"/>
      <c r="I25" s="47"/>
      <c r="J25" s="47"/>
      <c r="K25" s="47"/>
      <c r="L25" s="156"/>
    </row>
    <row r="26" spans="2:12" ht="24" customHeight="1" outlineLevel="1">
      <c r="B26" s="317" t="s">
        <v>612</v>
      </c>
      <c r="C26" s="318"/>
      <c r="D26" s="318"/>
      <c r="E26" s="318"/>
      <c r="F26" s="318"/>
      <c r="G26" s="318"/>
      <c r="H26" s="318"/>
      <c r="I26" s="318"/>
      <c r="J26" s="318"/>
      <c r="K26" s="318"/>
      <c r="L26" s="318"/>
    </row>
    <row r="27" spans="2:12" ht="48.95" hidden="1" customHeight="1" outlineLevel="2">
      <c r="B27" s="277" t="s">
        <v>271</v>
      </c>
      <c r="C27" s="344" t="s">
        <v>272</v>
      </c>
      <c r="D27" s="345"/>
      <c r="E27" s="347"/>
      <c r="F27" s="344"/>
      <c r="G27" s="345"/>
      <c r="H27" s="347"/>
      <c r="I27" s="344" t="s">
        <v>273</v>
      </c>
      <c r="J27" s="345"/>
      <c r="K27" s="346"/>
      <c r="L27" s="156"/>
    </row>
    <row r="28" spans="2:12" ht="17.100000000000001" hidden="1" customHeight="1" outlineLevel="2">
      <c r="B28" s="40" t="s">
        <v>275</v>
      </c>
      <c r="C28" s="300" t="s">
        <v>292</v>
      </c>
      <c r="D28" s="301"/>
      <c r="E28" s="301"/>
      <c r="F28" s="301"/>
      <c r="G28" s="301"/>
      <c r="H28" s="302"/>
      <c r="I28" s="310" t="s">
        <v>587</v>
      </c>
      <c r="J28" s="311"/>
      <c r="K28" s="331"/>
      <c r="L28" s="156">
        <v>6.4</v>
      </c>
    </row>
    <row r="29" spans="2:12" ht="15" hidden="1" customHeight="1" outlineLevel="2">
      <c r="B29" s="40" t="s">
        <v>275</v>
      </c>
      <c r="C29" s="275" t="s">
        <v>294</v>
      </c>
      <c r="D29" s="274"/>
      <c r="E29" s="274"/>
      <c r="F29" s="274"/>
      <c r="G29" s="274"/>
      <c r="H29" s="276"/>
      <c r="I29" s="310" t="s">
        <v>613</v>
      </c>
      <c r="J29" s="311"/>
      <c r="K29" s="331"/>
      <c r="L29" s="156"/>
    </row>
    <row r="30" spans="2:12" ht="48" hidden="1" customHeight="1" outlineLevel="2">
      <c r="B30" s="40" t="s">
        <v>275</v>
      </c>
      <c r="C30" s="300" t="s">
        <v>414</v>
      </c>
      <c r="D30" s="301"/>
      <c r="E30" s="301"/>
      <c r="F30" s="301"/>
      <c r="G30" s="301"/>
      <c r="H30" s="302"/>
      <c r="I30" s="310" t="s">
        <v>415</v>
      </c>
      <c r="J30" s="311"/>
      <c r="K30" s="331"/>
      <c r="L30" s="156" t="s">
        <v>302</v>
      </c>
    </row>
    <row r="31" spans="2:12" hidden="1" outlineLevel="2">
      <c r="B31" s="40" t="s">
        <v>275</v>
      </c>
      <c r="C31" s="300" t="s">
        <v>296</v>
      </c>
      <c r="D31" s="301"/>
      <c r="E31" s="301"/>
      <c r="F31" s="301"/>
      <c r="G31" s="301"/>
      <c r="H31" s="302"/>
      <c r="I31" s="310" t="s">
        <v>614</v>
      </c>
      <c r="J31" s="311"/>
      <c r="K31" s="331"/>
      <c r="L31" s="156">
        <v>6.4</v>
      </c>
    </row>
    <row r="32" spans="2:12" ht="27" hidden="1" customHeight="1" outlineLevel="2">
      <c r="B32" s="40" t="s">
        <v>275</v>
      </c>
      <c r="C32" s="300" t="s">
        <v>615</v>
      </c>
      <c r="D32" s="301"/>
      <c r="E32" s="301"/>
      <c r="F32" s="301"/>
      <c r="G32" s="301"/>
      <c r="H32" s="302"/>
      <c r="I32" s="310" t="s">
        <v>616</v>
      </c>
      <c r="J32" s="311"/>
      <c r="K32" s="331"/>
      <c r="L32" s="156">
        <v>6.4</v>
      </c>
    </row>
    <row r="33" spans="2:12" ht="15" customHeight="1" outlineLevel="1" collapsed="1">
      <c r="B33" s="160"/>
      <c r="C33" s="161"/>
      <c r="D33" s="161"/>
      <c r="E33" s="161"/>
      <c r="F33" s="161"/>
      <c r="G33" s="161"/>
      <c r="H33" s="161"/>
      <c r="I33" s="162"/>
      <c r="J33" s="162"/>
      <c r="K33" s="162"/>
      <c r="L33" s="156"/>
    </row>
    <row r="34" spans="2:12" ht="26.1" customHeight="1" outlineLevel="1">
      <c r="B34" s="317" t="s">
        <v>316</v>
      </c>
      <c r="C34" s="318"/>
      <c r="D34" s="318"/>
      <c r="E34" s="318"/>
      <c r="F34" s="318"/>
      <c r="G34" s="318"/>
      <c r="H34" s="318"/>
      <c r="I34" s="318"/>
      <c r="J34" s="318"/>
      <c r="K34" s="318"/>
      <c r="L34" s="318"/>
    </row>
    <row r="35" spans="2:12" ht="24" customHeight="1" outlineLevel="1">
      <c r="B35" s="52"/>
      <c r="C35" s="303" t="s">
        <v>317</v>
      </c>
      <c r="D35" s="304"/>
      <c r="E35" s="304"/>
      <c r="F35" s="305" t="s">
        <v>318</v>
      </c>
      <c r="G35" s="306"/>
      <c r="H35" s="306"/>
      <c r="I35" s="53"/>
      <c r="J35" s="53"/>
      <c r="K35" s="54"/>
      <c r="L35" s="156"/>
    </row>
    <row r="36" spans="2:12" ht="21.95" customHeight="1" outlineLevel="1">
      <c r="B36" s="55" t="s">
        <v>271</v>
      </c>
      <c r="C36" s="56" t="s">
        <v>319</v>
      </c>
      <c r="D36" s="57" t="s">
        <v>320</v>
      </c>
      <c r="E36" s="57" t="s">
        <v>321</v>
      </c>
      <c r="F36" s="58" t="s">
        <v>322</v>
      </c>
      <c r="G36" s="58" t="s">
        <v>323</v>
      </c>
      <c r="H36" s="58" t="s">
        <v>324</v>
      </c>
      <c r="I36" s="59" t="s">
        <v>325</v>
      </c>
      <c r="J36" s="59" t="s">
        <v>326</v>
      </c>
      <c r="K36" s="60" t="s">
        <v>159</v>
      </c>
      <c r="L36" s="156"/>
    </row>
    <row r="37" spans="2:12" ht="36" customHeight="1" outlineLevel="1">
      <c r="B37" s="40" t="s">
        <v>275</v>
      </c>
      <c r="C37" s="64" t="str">
        <f>Devices_Internet_Name</f>
        <v>Devices on Internet or Wi-Fi</v>
      </c>
      <c r="D37" s="61"/>
      <c r="E37" s="61"/>
      <c r="F37" s="24" t="str">
        <f>ComSEG</f>
        <v>Secure Email Gateway</v>
      </c>
      <c r="G37" s="137" t="str">
        <f>SegDNS</f>
        <v>seg.haramco.xyz</v>
      </c>
      <c r="H37" s="137" t="str">
        <f>SegDNSIp</f>
        <v>192.168.1.30</v>
      </c>
      <c r="I37" s="127" t="s">
        <v>330</v>
      </c>
      <c r="J37" s="84">
        <v>443</v>
      </c>
      <c r="K37" s="286" t="s">
        <v>617</v>
      </c>
      <c r="L37" s="166">
        <v>6.4</v>
      </c>
    </row>
    <row r="38" spans="2:12" ht="36" customHeight="1" outlineLevel="1">
      <c r="B38" s="40" t="s">
        <v>275</v>
      </c>
      <c r="C38" s="106" t="str">
        <f>ComUEMCN</f>
        <v>UEM Console Server</v>
      </c>
      <c r="D38" s="267" t="str">
        <f>cnservername</f>
        <v>uemc1.haramco.xyz</v>
      </c>
      <c r="E38" s="267" t="str">
        <f>cnip</f>
        <v>192.168.1.80</v>
      </c>
      <c r="F38" s="24" t="str">
        <f>ComSEG</f>
        <v>Secure Email Gateway</v>
      </c>
      <c r="G38" s="137" t="str">
        <f>SegDNS</f>
        <v>seg.haramco.xyz</v>
      </c>
      <c r="H38" s="137" t="str">
        <f>SegDNSIp</f>
        <v>192.168.1.30</v>
      </c>
      <c r="I38" s="163" t="s">
        <v>330</v>
      </c>
      <c r="J38" s="158">
        <v>443</v>
      </c>
      <c r="K38" s="164"/>
      <c r="L38" s="166">
        <v>6.4</v>
      </c>
    </row>
    <row r="39" spans="2:12" outlineLevel="1">
      <c r="B39" s="40" t="s">
        <v>275</v>
      </c>
      <c r="C39" s="106" t="str">
        <f>ComUEMDS</f>
        <v>UEM Device Services Server</v>
      </c>
      <c r="D39" s="268" t="str">
        <f>dsservername</f>
        <v>uds1.haramco.xyz</v>
      </c>
      <c r="E39" s="268" t="str">
        <f>dsip</f>
        <v>192.168.1.82</v>
      </c>
      <c r="F39" s="24" t="str">
        <f>ComSEG</f>
        <v>Secure Email Gateway</v>
      </c>
      <c r="G39" s="137" t="str">
        <f>SegDNS</f>
        <v>seg.haramco.xyz</v>
      </c>
      <c r="H39" s="137" t="str">
        <f>SegDNSIp</f>
        <v>192.168.1.30</v>
      </c>
      <c r="I39" s="128" t="s">
        <v>330</v>
      </c>
      <c r="J39" s="111">
        <v>443</v>
      </c>
      <c r="K39" s="129"/>
      <c r="L39" s="166">
        <v>6.4</v>
      </c>
    </row>
    <row r="40" spans="2:12" ht="27.6" outlineLevel="1">
      <c r="B40" s="40" t="s">
        <v>275</v>
      </c>
      <c r="C40" s="106" t="str">
        <f>ComSEG</f>
        <v>Secure Email Gateway</v>
      </c>
      <c r="D40" s="106" t="str">
        <f>SegServerName</f>
        <v>seg1.haramco.xyz
seg2.haramco.xyz</v>
      </c>
      <c r="E40" s="269" t="str">
        <f>SegIp</f>
        <v>192.168.1.64
192.168.1.65</v>
      </c>
      <c r="F40" s="24" t="str">
        <f>ComUEMAWCM</f>
        <v>UEM AWCM Server</v>
      </c>
      <c r="G40" s="66" t="str">
        <f>awcmdns</f>
        <v>tcuds.haramco.xyz</v>
      </c>
      <c r="H40" s="66" t="str">
        <f>awcmdnsip</f>
        <v>192.168.1.30</v>
      </c>
      <c r="I40" s="128" t="s">
        <v>330</v>
      </c>
      <c r="J40" s="127">
        <v>2001</v>
      </c>
      <c r="K40" s="285" t="s">
        <v>618</v>
      </c>
      <c r="L40" s="166">
        <v>8.1999999999999993</v>
      </c>
    </row>
    <row r="41" spans="2:12" ht="41.45" outlineLevel="1">
      <c r="B41" s="40" t="s">
        <v>275</v>
      </c>
      <c r="C41" s="106" t="str">
        <f>ComSEG</f>
        <v>Secure Email Gateway</v>
      </c>
      <c r="D41" s="106" t="str">
        <f>SegServerName</f>
        <v>seg1.haramco.xyz
seg2.haramco.xyz</v>
      </c>
      <c r="E41" s="269" t="str">
        <f>SegIp</f>
        <v>192.168.1.64
192.168.1.65</v>
      </c>
      <c r="F41" s="24" t="str">
        <f>ComUEMAPI</f>
        <v>UEM API Server</v>
      </c>
      <c r="G41" s="266" t="str">
        <f>apidns</f>
        <v>tcuds.haramco.xyz</v>
      </c>
      <c r="H41" s="266" t="str">
        <f>apidnsip</f>
        <v>192.168.1.30</v>
      </c>
      <c r="I41" s="128" t="s">
        <v>330</v>
      </c>
      <c r="J41" s="111">
        <v>443</v>
      </c>
      <c r="K41" s="286" t="str">
        <f>"Verify that the following URL prompts for credentials and is trusted from the browser on the SEG servers: 
https://"&amp;G41&amp;"/api/help"</f>
        <v>Verify that the following URL prompts for credentials and is trusted from the browser on the SEG servers: 
https://tcuds.haramco.xyz/api/help</v>
      </c>
      <c r="L41" s="167" t="s">
        <v>302</v>
      </c>
    </row>
    <row r="42" spans="2:12" ht="27.6" outlineLevel="1">
      <c r="B42" s="40" t="str">
        <f>IF(SEG_Server_Count=1, "N/A", "Pending")</f>
        <v>Pending</v>
      </c>
      <c r="C42" s="106" t="str">
        <f>ComSEG</f>
        <v>Secure Email Gateway</v>
      </c>
      <c r="D42" s="106" t="str">
        <f>SegServerName</f>
        <v>seg1.haramco.xyz
seg2.haramco.xyz</v>
      </c>
      <c r="E42" s="269" t="str">
        <f>SegIp</f>
        <v>192.168.1.64
192.168.1.65</v>
      </c>
      <c r="F42" s="24" t="str">
        <f>_xlfn.CONCAT(ComSEG, " (Servers)")</f>
        <v>Secure Email Gateway (Servers)</v>
      </c>
      <c r="G42" s="266" t="str">
        <f>SegServerName</f>
        <v>seg1.haramco.xyz
seg2.haramco.xyz</v>
      </c>
      <c r="H42" s="266" t="str">
        <f>SegIp</f>
        <v>192.168.1.64
192.168.1.65</v>
      </c>
      <c r="I42" s="127" t="s">
        <v>619</v>
      </c>
      <c r="J42" s="84" t="s">
        <v>620</v>
      </c>
      <c r="K42" s="152" t="s">
        <v>621</v>
      </c>
      <c r="L42" s="166">
        <v>6.4</v>
      </c>
    </row>
    <row r="43" spans="2:12" ht="207" outlineLevel="1">
      <c r="B43" s="40" t="s">
        <v>275</v>
      </c>
      <c r="C43" s="106" t="str">
        <f>ComSEG</f>
        <v>Secure Email Gateway</v>
      </c>
      <c r="D43" s="106" t="str">
        <f>SegServerName</f>
        <v>seg1.haramco.xyz
seg2.haramco.xyz</v>
      </c>
      <c r="E43" s="269" t="str">
        <f>SegIp</f>
        <v>192.168.1.64
192.168.1.65</v>
      </c>
      <c r="F43" s="24" t="str">
        <f>ComMailServer</f>
        <v>Mail Server</v>
      </c>
      <c r="G43" s="137" t="str">
        <f>MailServerName</f>
        <v>mail.fqdn.com</v>
      </c>
      <c r="H43" s="137" t="str">
        <f>MailServerIp</f>
        <v>#.#.#.#</v>
      </c>
      <c r="I43" s="127" t="str">
        <f>IF(Mail_Port=443,"HTTPS","HTTP")</f>
        <v>HTTPS</v>
      </c>
      <c r="J43" s="127">
        <f>Mail_Port</f>
        <v>443</v>
      </c>
      <c r="K43" s="165" t="str">
        <f>"For Lotus Notes, Novell Groupwise, or Google the Classic SEG would need to be used. Verify that the following URL is trusted from the browser on the SEG server and gives a prompt for credentials: 
For Exchange: http(s)://"&amp;G43&amp;"/Microsoft-server-activesync 
For IBM Notes: http(s)://"&amp;G43&amp;"/servlet/traveler/Microsoft-server-activesync 
For Google: https://m.google.com/Microsoft-server-activesync 
For Groupwise (depending on version): http(s)://"&amp;G43&amp;"/EAS or http(s)://"&amp;G43&amp;"/Microsoft-server-activesync
verify that a 501/505 HTTP page comes up."</f>
        <v>For Lotus Notes, Novell Groupwise, or Google the Classic SEG would need to be used. Verify that the following URL is trusted from the browser on the SEG server and gives a prompt for credentials: 
For Exchange: http(s)://mail.fqdn.com/Microsoft-server-activesync 
For IBM Notes: http(s)://mail.fqdn.com/servlet/traveler/Microsoft-server-activesync 
For Google: https://m.google.com/Microsoft-server-activesync 
For Groupwise (depending on version): http(s)://mail.fqdn.com/EAS or http(s)://mail.fqdn.com/Microsoft-server-activesync
verify that a 501/505 HTTP page comes up.</v>
      </c>
      <c r="L43" s="166">
        <v>6.4</v>
      </c>
    </row>
    <row r="44" spans="2:12" ht="27.6" outlineLevel="1">
      <c r="B44" s="40" t="s">
        <v>275</v>
      </c>
      <c r="C44" s="106" t="s">
        <v>622</v>
      </c>
      <c r="D44" s="61"/>
      <c r="E44" s="61"/>
      <c r="F44" s="24" t="str">
        <f>_xlfn.CONCAT(ComSEG, " (Servers)")</f>
        <v>Secure Email Gateway (Servers)</v>
      </c>
      <c r="G44" s="266" t="str">
        <f>SegServerName</f>
        <v>seg1.haramco.xyz
seg2.haramco.xyz</v>
      </c>
      <c r="H44" s="266" t="str">
        <f>SegIp</f>
        <v>192.168.1.64
192.168.1.65</v>
      </c>
      <c r="I44" s="127" t="s">
        <v>330</v>
      </c>
      <c r="J44" s="84">
        <v>9443</v>
      </c>
      <c r="K44" s="84" t="s">
        <v>623</v>
      </c>
      <c r="L44" s="154">
        <v>19.07</v>
      </c>
    </row>
    <row r="46" spans="2:12" ht="48.95" customHeight="1">
      <c r="B46" s="315" t="s">
        <v>624</v>
      </c>
      <c r="C46" s="316"/>
      <c r="D46" s="316"/>
      <c r="E46" s="316"/>
      <c r="F46" s="316"/>
      <c r="G46" s="316"/>
      <c r="H46" s="316"/>
      <c r="I46" s="316"/>
      <c r="J46" s="316"/>
      <c r="K46" s="316"/>
      <c r="L46" s="316"/>
    </row>
    <row r="47" spans="2:12" ht="30" hidden="1" customHeight="1" outlineLevel="2">
      <c r="B47" s="317" t="s">
        <v>625</v>
      </c>
      <c r="C47" s="318"/>
      <c r="D47" s="318"/>
      <c r="E47" s="318"/>
      <c r="F47" s="318"/>
      <c r="G47" s="318"/>
      <c r="H47" s="318"/>
      <c r="I47" s="318"/>
      <c r="J47" s="318"/>
      <c r="K47" s="318"/>
      <c r="L47" s="318"/>
    </row>
    <row r="48" spans="2:12" hidden="1" outlineLevel="2">
      <c r="B48" s="277" t="s">
        <v>271</v>
      </c>
      <c r="C48" s="312" t="s">
        <v>272</v>
      </c>
      <c r="D48" s="313"/>
      <c r="E48" s="313"/>
      <c r="F48" s="312"/>
      <c r="G48" s="313"/>
      <c r="H48" s="313"/>
      <c r="I48" s="312" t="s">
        <v>273</v>
      </c>
      <c r="J48" s="313"/>
      <c r="K48" s="314"/>
      <c r="L48" s="117"/>
    </row>
    <row r="49" spans="2:12" ht="30.95" hidden="1" customHeight="1" outlineLevel="2">
      <c r="B49" s="40" t="s">
        <v>275</v>
      </c>
      <c r="C49" s="310" t="s">
        <v>626</v>
      </c>
      <c r="D49" s="301"/>
      <c r="E49" s="301"/>
      <c r="F49" s="301"/>
      <c r="G49" s="301"/>
      <c r="H49" s="302"/>
      <c r="I49" s="310" t="s">
        <v>627</v>
      </c>
      <c r="J49" s="311"/>
      <c r="K49" s="311"/>
      <c r="L49" s="117">
        <v>6.4</v>
      </c>
    </row>
    <row r="50" spans="2:12" ht="30.95" hidden="1" customHeight="1" outlineLevel="2">
      <c r="B50" s="40" t="s">
        <v>275</v>
      </c>
      <c r="C50" s="310" t="s">
        <v>628</v>
      </c>
      <c r="D50" s="311"/>
      <c r="E50" s="311"/>
      <c r="F50" s="311"/>
      <c r="G50" s="311"/>
      <c r="H50" s="332"/>
      <c r="I50" s="310" t="s">
        <v>629</v>
      </c>
      <c r="J50" s="311"/>
      <c r="K50" s="311"/>
      <c r="L50" s="117">
        <v>6.4</v>
      </c>
    </row>
    <row r="51" spans="2:12" ht="30.95" hidden="1" customHeight="1" outlineLevel="2">
      <c r="B51" s="40" t="s">
        <v>275</v>
      </c>
      <c r="C51" s="310" t="s">
        <v>630</v>
      </c>
      <c r="D51" s="311"/>
      <c r="E51" s="311"/>
      <c r="F51" s="311"/>
      <c r="G51" s="311"/>
      <c r="H51" s="332"/>
      <c r="I51" s="310" t="s">
        <v>631</v>
      </c>
      <c r="J51" s="311"/>
      <c r="K51" s="311"/>
      <c r="L51" s="117">
        <v>6.4</v>
      </c>
    </row>
    <row r="52" spans="2:12" ht="78.95" hidden="1" customHeight="1" outlineLevel="2">
      <c r="B52" s="40" t="s">
        <v>275</v>
      </c>
      <c r="C52" s="310" t="s">
        <v>632</v>
      </c>
      <c r="D52" s="311"/>
      <c r="E52" s="311"/>
      <c r="F52" s="311"/>
      <c r="G52" s="311"/>
      <c r="H52" s="332"/>
      <c r="I52" s="310" t="s">
        <v>631</v>
      </c>
      <c r="J52" s="311"/>
      <c r="K52" s="311"/>
      <c r="L52" s="117">
        <v>6.4</v>
      </c>
    </row>
    <row r="53" spans="2:12" collapsed="1"/>
    <row r="54" spans="2:12" ht="35.25" customHeight="1">
      <c r="B54" s="323" t="s">
        <v>633</v>
      </c>
      <c r="C54" s="323"/>
      <c r="D54" s="323"/>
      <c r="E54" s="323"/>
      <c r="F54" s="323"/>
      <c r="G54" s="323"/>
      <c r="H54" s="323"/>
      <c r="I54" s="323"/>
      <c r="J54" s="323"/>
      <c r="K54" s="323"/>
      <c r="L54" s="323"/>
    </row>
    <row r="55" spans="2:12" ht="27" hidden="1" customHeight="1" outlineLevel="1">
      <c r="B55" s="178" t="s">
        <v>439</v>
      </c>
      <c r="C55" s="185"/>
      <c r="D55" s="120"/>
      <c r="E55" s="120"/>
      <c r="F55" s="120"/>
      <c r="G55" s="120"/>
      <c r="H55" s="120"/>
      <c r="I55" s="120"/>
      <c r="J55" s="120"/>
      <c r="K55" s="120"/>
      <c r="L55" s="282"/>
    </row>
    <row r="56" spans="2:12" ht="15.75" hidden="1" customHeight="1" outlineLevel="1">
      <c r="B56" s="277" t="s">
        <v>271</v>
      </c>
      <c r="C56" s="344" t="s">
        <v>272</v>
      </c>
      <c r="D56" s="345"/>
      <c r="E56" s="347"/>
      <c r="F56" s="344"/>
      <c r="G56" s="345"/>
      <c r="H56" s="347"/>
      <c r="I56" s="344" t="s">
        <v>273</v>
      </c>
      <c r="J56" s="345"/>
      <c r="K56" s="345"/>
      <c r="L56" s="282"/>
    </row>
    <row r="57" spans="2:12" hidden="1" outlineLevel="1">
      <c r="B57" s="40" t="s">
        <v>275</v>
      </c>
      <c r="C57" s="310" t="s">
        <v>634</v>
      </c>
      <c r="D57" s="311"/>
      <c r="E57" s="311"/>
      <c r="F57" s="311"/>
      <c r="G57" s="311"/>
      <c r="H57" s="332"/>
      <c r="I57" s="310" t="s">
        <v>635</v>
      </c>
      <c r="J57" s="311"/>
      <c r="K57" s="311"/>
      <c r="L57" s="282">
        <v>7.3</v>
      </c>
    </row>
    <row r="58" spans="2:12" ht="35.25" hidden="1" customHeight="1" outlineLevel="1">
      <c r="B58" s="40" t="s">
        <v>275</v>
      </c>
      <c r="C58" s="300" t="s">
        <v>636</v>
      </c>
      <c r="D58" s="301"/>
      <c r="E58" s="301"/>
      <c r="F58" s="301"/>
      <c r="G58" s="301"/>
      <c r="H58" s="302"/>
      <c r="I58" s="310" t="s">
        <v>637</v>
      </c>
      <c r="J58" s="311"/>
      <c r="K58" s="311"/>
      <c r="L58" s="282">
        <v>7.3</v>
      </c>
    </row>
    <row r="59" spans="2:12" ht="35.25" hidden="1" customHeight="1" outlineLevel="1">
      <c r="B59" s="40" t="s">
        <v>275</v>
      </c>
      <c r="C59" s="310" t="s">
        <v>638</v>
      </c>
      <c r="D59" s="311"/>
      <c r="E59" s="311"/>
      <c r="F59" s="311"/>
      <c r="G59" s="311"/>
      <c r="H59" s="332"/>
      <c r="I59" s="310" t="s">
        <v>639</v>
      </c>
      <c r="J59" s="311"/>
      <c r="K59" s="311"/>
      <c r="L59" s="282">
        <v>7.3</v>
      </c>
    </row>
    <row r="60" spans="2:12" ht="21.75" hidden="1" customHeight="1" outlineLevel="1">
      <c r="B60" s="40" t="s">
        <v>275</v>
      </c>
      <c r="C60" s="310" t="s">
        <v>640</v>
      </c>
      <c r="D60" s="311"/>
      <c r="E60" s="311"/>
      <c r="F60" s="311"/>
      <c r="G60" s="311"/>
      <c r="H60" s="332"/>
      <c r="I60" s="310" t="s">
        <v>641</v>
      </c>
      <c r="J60" s="311"/>
      <c r="K60" s="311"/>
      <c r="L60" s="282">
        <v>7.3</v>
      </c>
    </row>
    <row r="61" spans="2:12" ht="68.099999999999994" hidden="1" customHeight="1" outlineLevel="1">
      <c r="B61" s="40" t="s">
        <v>275</v>
      </c>
      <c r="C61" s="310" t="s">
        <v>642</v>
      </c>
      <c r="D61" s="311"/>
      <c r="E61" s="311"/>
      <c r="F61" s="311"/>
      <c r="G61" s="311"/>
      <c r="H61" s="332"/>
      <c r="I61" s="310" t="s">
        <v>643</v>
      </c>
      <c r="J61" s="311"/>
      <c r="K61" s="311"/>
      <c r="L61" s="282">
        <v>7.3</v>
      </c>
    </row>
    <row r="62" spans="2:12" ht="38.25" hidden="1" customHeight="1" outlineLevel="1">
      <c r="B62" s="40" t="s">
        <v>275</v>
      </c>
      <c r="C62" s="300" t="s">
        <v>644</v>
      </c>
      <c r="D62" s="301"/>
      <c r="E62" s="301"/>
      <c r="F62" s="301"/>
      <c r="G62" s="301"/>
      <c r="H62" s="302"/>
      <c r="I62" s="310" t="s">
        <v>645</v>
      </c>
      <c r="J62" s="311"/>
      <c r="K62" s="311"/>
      <c r="L62" s="282">
        <v>7.3</v>
      </c>
    </row>
    <row r="63" spans="2:12" ht="22.5" hidden="1" customHeight="1" outlineLevel="1">
      <c r="B63" s="40" t="s">
        <v>275</v>
      </c>
      <c r="C63" s="300" t="s">
        <v>646</v>
      </c>
      <c r="D63" s="301"/>
      <c r="E63" s="301"/>
      <c r="F63" s="301"/>
      <c r="G63" s="301"/>
      <c r="H63" s="302"/>
      <c r="I63" s="310" t="s">
        <v>647</v>
      </c>
      <c r="J63" s="311"/>
      <c r="K63" s="311"/>
      <c r="L63" s="282">
        <v>7.3</v>
      </c>
    </row>
    <row r="64" spans="2:12" ht="66" hidden="1" customHeight="1" outlineLevel="1">
      <c r="B64" s="40" t="s">
        <v>275</v>
      </c>
      <c r="C64" s="300" t="s">
        <v>648</v>
      </c>
      <c r="D64" s="301"/>
      <c r="E64" s="301"/>
      <c r="F64" s="301"/>
      <c r="G64" s="301"/>
      <c r="H64" s="302"/>
      <c r="I64" s="310" t="s">
        <v>649</v>
      </c>
      <c r="J64" s="311"/>
      <c r="K64" s="311"/>
      <c r="L64" s="282">
        <v>7.3</v>
      </c>
    </row>
    <row r="65" spans="2:12" ht="24" hidden="1" customHeight="1" outlineLevel="1">
      <c r="B65" s="178" t="s">
        <v>316</v>
      </c>
      <c r="C65" s="120"/>
      <c r="D65" s="120"/>
      <c r="E65" s="120"/>
      <c r="F65" s="120"/>
      <c r="G65" s="120"/>
      <c r="H65" s="120"/>
      <c r="I65" s="120"/>
      <c r="J65" s="120"/>
      <c r="K65" s="120"/>
      <c r="L65" s="282"/>
    </row>
    <row r="66" spans="2:12" hidden="1" outlineLevel="1">
      <c r="B66" s="52"/>
      <c r="C66" s="303" t="s">
        <v>317</v>
      </c>
      <c r="D66" s="304"/>
      <c r="E66" s="304"/>
      <c r="F66" s="305" t="s">
        <v>318</v>
      </c>
      <c r="G66" s="306"/>
      <c r="H66" s="306"/>
      <c r="I66" s="53"/>
      <c r="J66" s="53"/>
      <c r="K66" s="54"/>
      <c r="L66" s="282"/>
    </row>
    <row r="67" spans="2:12" ht="20.45" hidden="1" customHeight="1" outlineLevel="1">
      <c r="B67" s="55" t="s">
        <v>271</v>
      </c>
      <c r="C67" s="56" t="s">
        <v>319</v>
      </c>
      <c r="D67" s="57" t="s">
        <v>320</v>
      </c>
      <c r="E67" s="57" t="s">
        <v>321</v>
      </c>
      <c r="F67" s="58" t="s">
        <v>322</v>
      </c>
      <c r="G67" s="58" t="s">
        <v>323</v>
      </c>
      <c r="H67" s="58" t="s">
        <v>324</v>
      </c>
      <c r="I67" s="59" t="s">
        <v>325</v>
      </c>
      <c r="J67" s="59" t="s">
        <v>326</v>
      </c>
      <c r="K67" s="60" t="s">
        <v>159</v>
      </c>
      <c r="L67" s="282"/>
    </row>
    <row r="68" spans="2:12" ht="31.5" hidden="1" customHeight="1" outlineLevel="1">
      <c r="B68" s="40" t="s">
        <v>275</v>
      </c>
      <c r="C68" s="106" t="s">
        <v>650</v>
      </c>
      <c r="D68" s="86" t="str">
        <f>SegServerName</f>
        <v>seg1.haramco.xyz
seg2.haramco.xyz</v>
      </c>
      <c r="E68" s="86" t="str">
        <f>SegIp</f>
        <v>192.168.1.64
192.168.1.65</v>
      </c>
      <c r="F68" s="24" t="s">
        <v>651</v>
      </c>
      <c r="G68" s="93" t="str">
        <f>InternalPKIServerName</f>
        <v>pki.fqdn.com</v>
      </c>
      <c r="H68" s="93" t="str">
        <f>InternalPKIIp</f>
        <v>#.#.#.#</v>
      </c>
      <c r="I68" s="128" t="s">
        <v>345</v>
      </c>
      <c r="J68" s="111">
        <v>80</v>
      </c>
      <c r="K68" s="129" t="s">
        <v>652</v>
      </c>
      <c r="L68" s="282">
        <v>7.3</v>
      </c>
    </row>
    <row r="69" spans="2:12" ht="27" hidden="1" customHeight="1" outlineLevel="1">
      <c r="B69" s="40" t="s">
        <v>275</v>
      </c>
      <c r="C69" s="106" t="s">
        <v>650</v>
      </c>
      <c r="D69" s="86" t="str">
        <f>SegServerName</f>
        <v>seg1.haramco.xyz
seg2.haramco.xyz</v>
      </c>
      <c r="E69" s="86" t="str">
        <f>SegIp</f>
        <v>192.168.1.64
192.168.1.65</v>
      </c>
      <c r="F69" s="24" t="s">
        <v>653</v>
      </c>
      <c r="G69" s="93" t="str">
        <f>ADServerName</f>
        <v>haramco.xyz</v>
      </c>
      <c r="H69" s="93" t="str">
        <f>ADIp</f>
        <v>192.168.77.211</v>
      </c>
      <c r="I69" s="127" t="s">
        <v>462</v>
      </c>
      <c r="J69" s="84">
        <v>88</v>
      </c>
      <c r="K69" s="286" t="s">
        <v>654</v>
      </c>
      <c r="L69" s="282">
        <v>7.3</v>
      </c>
    </row>
    <row r="70" spans="2:12" ht="62.1" customHeight="1" collapsed="1"/>
    <row r="71" spans="2:12" ht="48.95" customHeight="1"/>
  </sheetData>
  <autoFilter ref="L4:L43" xr:uid="{00000000-0009-0000-0000-00000A000000}"/>
  <mergeCells count="86">
    <mergeCell ref="B54:L54"/>
    <mergeCell ref="C56:E56"/>
    <mergeCell ref="F56:H56"/>
    <mergeCell ref="I56:K56"/>
    <mergeCell ref="C57:H57"/>
    <mergeCell ref="I57:K57"/>
    <mergeCell ref="C58:H58"/>
    <mergeCell ref="I58:K58"/>
    <mergeCell ref="C59:H59"/>
    <mergeCell ref="I59:K59"/>
    <mergeCell ref="C60:H60"/>
    <mergeCell ref="I60:K60"/>
    <mergeCell ref="C64:H64"/>
    <mergeCell ref="I64:K64"/>
    <mergeCell ref="C66:E66"/>
    <mergeCell ref="F66:H66"/>
    <mergeCell ref="C61:H61"/>
    <mergeCell ref="I61:K61"/>
    <mergeCell ref="C62:H62"/>
    <mergeCell ref="I62:K62"/>
    <mergeCell ref="C63:H63"/>
    <mergeCell ref="I63:K63"/>
    <mergeCell ref="C8:E8"/>
    <mergeCell ref="F8:H8"/>
    <mergeCell ref="I8:K8"/>
    <mergeCell ref="I10:K10"/>
    <mergeCell ref="C9:H9"/>
    <mergeCell ref="I9:K9"/>
    <mergeCell ref="C10:H10"/>
    <mergeCell ref="B2:L2"/>
    <mergeCell ref="B3:L3"/>
    <mergeCell ref="C5:H5"/>
    <mergeCell ref="C4:E4"/>
    <mergeCell ref="F4:H4"/>
    <mergeCell ref="I4:K4"/>
    <mergeCell ref="I5:K5"/>
    <mergeCell ref="C32:H32"/>
    <mergeCell ref="I31:K31"/>
    <mergeCell ref="C30:H30"/>
    <mergeCell ref="C27:E27"/>
    <mergeCell ref="F27:H27"/>
    <mergeCell ref="I27:K27"/>
    <mergeCell ref="I30:K30"/>
    <mergeCell ref="I28:K28"/>
    <mergeCell ref="C28:H28"/>
    <mergeCell ref="C31:H31"/>
    <mergeCell ref="I29:K29"/>
    <mergeCell ref="C17:H17"/>
    <mergeCell ref="I17:K17"/>
    <mergeCell ref="I18:K18"/>
    <mergeCell ref="I12:K12"/>
    <mergeCell ref="I11:K11"/>
    <mergeCell ref="C11:H11"/>
    <mergeCell ref="C12:H12"/>
    <mergeCell ref="C18:H18"/>
    <mergeCell ref="B46:L46"/>
    <mergeCell ref="C35:E35"/>
    <mergeCell ref="F35:H35"/>
    <mergeCell ref="C52:H52"/>
    <mergeCell ref="I52:K52"/>
    <mergeCell ref="C48:E48"/>
    <mergeCell ref="F48:H48"/>
    <mergeCell ref="I48:K48"/>
    <mergeCell ref="C49:H49"/>
    <mergeCell ref="I49:K49"/>
    <mergeCell ref="C50:H50"/>
    <mergeCell ref="I50:K50"/>
    <mergeCell ref="C51:H51"/>
    <mergeCell ref="I51:K51"/>
    <mergeCell ref="B47:L47"/>
    <mergeCell ref="B7:L7"/>
    <mergeCell ref="B20:L20"/>
    <mergeCell ref="B15:L15"/>
    <mergeCell ref="B26:L26"/>
    <mergeCell ref="B34:L34"/>
    <mergeCell ref="C21:E21"/>
    <mergeCell ref="F21:H21"/>
    <mergeCell ref="I21:K21"/>
    <mergeCell ref="C13:H13"/>
    <mergeCell ref="I13:K13"/>
    <mergeCell ref="C24:H24"/>
    <mergeCell ref="I24:K24"/>
    <mergeCell ref="I32:K32"/>
    <mergeCell ref="C16:E16"/>
    <mergeCell ref="F16:H16"/>
    <mergeCell ref="I16:K16"/>
  </mergeCells>
  <conditionalFormatting sqref="B28:B32 B41:B43 L16:L17 B10:B19 B21:B24">
    <cfRule type="cellIs" dxfId="484" priority="119" operator="equal">
      <formula>"Complete"</formula>
    </cfRule>
    <cfRule type="cellIs" dxfId="483" priority="120" operator="equal">
      <formula>"Pending"</formula>
    </cfRule>
  </conditionalFormatting>
  <conditionalFormatting sqref="B35">
    <cfRule type="cellIs" dxfId="482" priority="117" operator="equal">
      <formula>"Complete"</formula>
    </cfRule>
    <cfRule type="cellIs" dxfId="481" priority="118" operator="equal">
      <formula>"Pending"</formula>
    </cfRule>
  </conditionalFormatting>
  <conditionalFormatting sqref="B36">
    <cfRule type="cellIs" dxfId="480" priority="115" operator="equal">
      <formula>"Complete"</formula>
    </cfRule>
    <cfRule type="cellIs" dxfId="479" priority="116" operator="equal">
      <formula>"Pending"</formula>
    </cfRule>
  </conditionalFormatting>
  <conditionalFormatting sqref="B37:B39">
    <cfRule type="cellIs" dxfId="478" priority="107" operator="equal">
      <formula>"Complete"</formula>
    </cfRule>
    <cfRule type="cellIs" dxfId="477" priority="108" operator="equal">
      <formula>"Pending"</formula>
    </cfRule>
  </conditionalFormatting>
  <conditionalFormatting sqref="B40">
    <cfRule type="cellIs" dxfId="476" priority="103" operator="equal">
      <formula>"Complete"</formula>
    </cfRule>
    <cfRule type="cellIs" dxfId="475" priority="104" operator="equal">
      <formula>"Pending"</formula>
    </cfRule>
  </conditionalFormatting>
  <conditionalFormatting sqref="B3">
    <cfRule type="cellIs" dxfId="474" priority="101" operator="equal">
      <formula>"Complete"</formula>
    </cfRule>
    <cfRule type="cellIs" dxfId="473" priority="102" operator="equal">
      <formula>"Pending"</formula>
    </cfRule>
  </conditionalFormatting>
  <conditionalFormatting sqref="B4">
    <cfRule type="cellIs" dxfId="472" priority="99" operator="equal">
      <formula>"Complete"</formula>
    </cfRule>
    <cfRule type="cellIs" dxfId="471" priority="100" operator="equal">
      <formula>"Pending"</formula>
    </cfRule>
  </conditionalFormatting>
  <conditionalFormatting sqref="B21:B23">
    <cfRule type="cellIs" dxfId="470" priority="85" operator="equal">
      <formula>"Complete"</formula>
    </cfRule>
    <cfRule type="cellIs" dxfId="469" priority="86" operator="equal">
      <formula>"Pending"</formula>
    </cfRule>
  </conditionalFormatting>
  <conditionalFormatting sqref="B8">
    <cfRule type="cellIs" dxfId="468" priority="95" operator="equal">
      <formula>"Complete"</formula>
    </cfRule>
    <cfRule type="cellIs" dxfId="467" priority="96" operator="equal">
      <formula>"Pending"</formula>
    </cfRule>
  </conditionalFormatting>
  <conditionalFormatting sqref="B27">
    <cfRule type="cellIs" dxfId="466" priority="91" operator="equal">
      <formula>"Complete"</formula>
    </cfRule>
    <cfRule type="cellIs" dxfId="465" priority="92" operator="equal">
      <formula>"Pending"</formula>
    </cfRule>
  </conditionalFormatting>
  <conditionalFormatting sqref="B5">
    <cfRule type="cellIs" dxfId="464" priority="89" operator="equal">
      <formula>"Complete"</formula>
    </cfRule>
    <cfRule type="cellIs" dxfId="463" priority="90" operator="equal">
      <formula>"Pending"</formula>
    </cfRule>
  </conditionalFormatting>
  <conditionalFormatting sqref="B24">
    <cfRule type="cellIs" dxfId="462" priority="83" operator="equal">
      <formula>"Complete"</formula>
    </cfRule>
    <cfRule type="cellIs" dxfId="461" priority="84" operator="equal">
      <formula>"Pending"</formula>
    </cfRule>
  </conditionalFormatting>
  <conditionalFormatting sqref="L24">
    <cfRule type="cellIs" dxfId="460" priority="81" operator="equal">
      <formula>"Complete"</formula>
    </cfRule>
    <cfRule type="cellIs" dxfId="459" priority="82" operator="equal">
      <formula>"Pending"</formula>
    </cfRule>
  </conditionalFormatting>
  <conditionalFormatting sqref="L48 L50 B49:B50">
    <cfRule type="cellIs" dxfId="458" priority="69" operator="equal">
      <formula>"Complete"</formula>
    </cfRule>
    <cfRule type="cellIs" dxfId="457" priority="70" operator="equal">
      <formula>"Pending"</formula>
    </cfRule>
  </conditionalFormatting>
  <conditionalFormatting sqref="B22">
    <cfRule type="cellIs" dxfId="456" priority="77" operator="equal">
      <formula>"Complete"</formula>
    </cfRule>
    <cfRule type="cellIs" dxfId="455" priority="78" operator="equal">
      <formula>"Pending"</formula>
    </cfRule>
  </conditionalFormatting>
  <conditionalFormatting sqref="B23">
    <cfRule type="cellIs" dxfId="454" priority="75" operator="equal">
      <formula>"Complete"</formula>
    </cfRule>
    <cfRule type="cellIs" dxfId="453" priority="76" operator="equal">
      <formula>"Pending"</formula>
    </cfRule>
  </conditionalFormatting>
  <conditionalFormatting sqref="B9">
    <cfRule type="cellIs" dxfId="452" priority="71" operator="equal">
      <formula>"Complete"</formula>
    </cfRule>
    <cfRule type="cellIs" dxfId="451" priority="72" operator="equal">
      <formula>"Pending"</formula>
    </cfRule>
  </conditionalFormatting>
  <conditionalFormatting sqref="L51">
    <cfRule type="cellIs" dxfId="450" priority="51" operator="equal">
      <formula>"Complete"</formula>
    </cfRule>
    <cfRule type="cellIs" dxfId="449" priority="52" operator="equal">
      <formula>"Pending"</formula>
    </cfRule>
  </conditionalFormatting>
  <conditionalFormatting sqref="B48">
    <cfRule type="cellIs" dxfId="448" priority="65" operator="equal">
      <formula>"Complete"</formula>
    </cfRule>
    <cfRule type="cellIs" dxfId="447" priority="66" operator="equal">
      <formula>"Pending"</formula>
    </cfRule>
  </conditionalFormatting>
  <conditionalFormatting sqref="L50">
    <cfRule type="cellIs" dxfId="446" priority="63" operator="equal">
      <formula>"Complete"</formula>
    </cfRule>
    <cfRule type="cellIs" dxfId="445" priority="64" operator="equal">
      <formula>"Pending"</formula>
    </cfRule>
  </conditionalFormatting>
  <conditionalFormatting sqref="L49">
    <cfRule type="cellIs" dxfId="444" priority="61" operator="equal">
      <formula>"Complete"</formula>
    </cfRule>
    <cfRule type="cellIs" dxfId="443" priority="62" operator="equal">
      <formula>"Pending"</formula>
    </cfRule>
  </conditionalFormatting>
  <conditionalFormatting sqref="L49">
    <cfRule type="cellIs" dxfId="442" priority="59" operator="equal">
      <formula>"Complete"</formula>
    </cfRule>
    <cfRule type="cellIs" dxfId="441" priority="60" operator="equal">
      <formula>"Pending"</formula>
    </cfRule>
  </conditionalFormatting>
  <conditionalFormatting sqref="L52 B52">
    <cfRule type="cellIs" dxfId="440" priority="57" operator="equal">
      <formula>"Complete"</formula>
    </cfRule>
    <cfRule type="cellIs" dxfId="439" priority="58" operator="equal">
      <formula>"Pending"</formula>
    </cfRule>
  </conditionalFormatting>
  <conditionalFormatting sqref="L52">
    <cfRule type="cellIs" dxfId="438" priority="55" operator="equal">
      <formula>"Complete"</formula>
    </cfRule>
    <cfRule type="cellIs" dxfId="437" priority="56" operator="equal">
      <formula>"Pending"</formula>
    </cfRule>
  </conditionalFormatting>
  <conditionalFormatting sqref="L51 B51">
    <cfRule type="cellIs" dxfId="436" priority="53" operator="equal">
      <formula>"Complete"</formula>
    </cfRule>
    <cfRule type="cellIs" dxfId="435" priority="54" operator="equal">
      <formula>"Pending"</formula>
    </cfRule>
  </conditionalFormatting>
  <conditionalFormatting sqref="B18 L18">
    <cfRule type="cellIs" dxfId="434" priority="49" operator="equal">
      <formula>"Complete"</formula>
    </cfRule>
    <cfRule type="cellIs" dxfId="433" priority="50" operator="equal">
      <formula>"Pending"</formula>
    </cfRule>
  </conditionalFormatting>
  <conditionalFormatting sqref="B44">
    <cfRule type="cellIs" dxfId="432" priority="39" operator="equal">
      <formula>"Complete"</formula>
    </cfRule>
    <cfRule type="cellIs" dxfId="431" priority="40" operator="equal">
      <formula>"Pending"</formula>
    </cfRule>
  </conditionalFormatting>
  <conditionalFormatting sqref="B16">
    <cfRule type="cellIs" dxfId="430" priority="45" operator="equal">
      <formula>"Complete"</formula>
    </cfRule>
    <cfRule type="cellIs" dxfId="429" priority="46" operator="equal">
      <formula>"Pending"</formula>
    </cfRule>
  </conditionalFormatting>
  <conditionalFormatting sqref="B17">
    <cfRule type="cellIs" dxfId="428" priority="43" operator="equal">
      <formula>"Complete"</formula>
    </cfRule>
    <cfRule type="cellIs" dxfId="427" priority="44" operator="equal">
      <formula>"Pending"</formula>
    </cfRule>
  </conditionalFormatting>
  <conditionalFormatting sqref="L44">
    <cfRule type="cellIs" dxfId="426" priority="37" operator="equal">
      <formula>"Complete"</formula>
    </cfRule>
    <cfRule type="cellIs" dxfId="425" priority="38" operator="equal">
      <formula>"Pending"</formula>
    </cfRule>
  </conditionalFormatting>
  <conditionalFormatting sqref="B7">
    <cfRule type="cellIs" dxfId="424" priority="35" operator="equal">
      <formula>"Complete"</formula>
    </cfRule>
    <cfRule type="cellIs" dxfId="423" priority="36" operator="equal">
      <formula>"Pending"</formula>
    </cfRule>
  </conditionalFormatting>
  <conditionalFormatting sqref="B20">
    <cfRule type="cellIs" dxfId="422" priority="33" operator="equal">
      <formula>"Complete"</formula>
    </cfRule>
    <cfRule type="cellIs" dxfId="421" priority="34" operator="equal">
      <formula>"Pending"</formula>
    </cfRule>
  </conditionalFormatting>
  <conditionalFormatting sqref="B15">
    <cfRule type="cellIs" dxfId="420" priority="31" operator="equal">
      <formula>"Complete"</formula>
    </cfRule>
    <cfRule type="cellIs" dxfId="419" priority="32" operator="equal">
      <formula>"Pending"</formula>
    </cfRule>
  </conditionalFormatting>
  <conditionalFormatting sqref="B26">
    <cfRule type="cellIs" dxfId="418" priority="29" operator="equal">
      <formula>"Complete"</formula>
    </cfRule>
    <cfRule type="cellIs" dxfId="417" priority="30" operator="equal">
      <formula>"Pending"</formula>
    </cfRule>
  </conditionalFormatting>
  <conditionalFormatting sqref="B34">
    <cfRule type="cellIs" dxfId="416" priority="27" operator="equal">
      <formula>"Complete"</formula>
    </cfRule>
    <cfRule type="cellIs" dxfId="415" priority="28" operator="equal">
      <formula>"Pending"</formula>
    </cfRule>
  </conditionalFormatting>
  <conditionalFormatting sqref="B47">
    <cfRule type="cellIs" dxfId="414" priority="25" operator="equal">
      <formula>"Complete"</formula>
    </cfRule>
    <cfRule type="cellIs" dxfId="413" priority="26" operator="equal">
      <formula>"Pending"</formula>
    </cfRule>
  </conditionalFormatting>
  <conditionalFormatting sqref="B69">
    <cfRule type="cellIs" dxfId="412" priority="23" operator="equal">
      <formula>"Complete"</formula>
    </cfRule>
    <cfRule type="cellIs" dxfId="411" priority="24" operator="equal">
      <formula>"Pending"</formula>
    </cfRule>
  </conditionalFormatting>
  <conditionalFormatting sqref="B58 B63 B60:B61">
    <cfRule type="cellIs" dxfId="410" priority="21" operator="equal">
      <formula>"Complete"</formula>
    </cfRule>
    <cfRule type="cellIs" dxfId="409" priority="22" operator="equal">
      <formula>"Pending"</formula>
    </cfRule>
  </conditionalFormatting>
  <conditionalFormatting sqref="B56">
    <cfRule type="cellIs" dxfId="408" priority="19" operator="equal">
      <formula>"Complete"</formula>
    </cfRule>
    <cfRule type="cellIs" dxfId="407" priority="20" operator="equal">
      <formula>"Pending"</formula>
    </cfRule>
  </conditionalFormatting>
  <conditionalFormatting sqref="B57">
    <cfRule type="cellIs" dxfId="406" priority="17" operator="equal">
      <formula>"Complete"</formula>
    </cfRule>
    <cfRule type="cellIs" dxfId="405" priority="18" operator="equal">
      <formula>"Pending"</formula>
    </cfRule>
  </conditionalFormatting>
  <conditionalFormatting sqref="B62">
    <cfRule type="cellIs" dxfId="404" priority="15" operator="equal">
      <formula>"Complete"</formula>
    </cfRule>
    <cfRule type="cellIs" dxfId="403" priority="16" operator="equal">
      <formula>"Pending"</formula>
    </cfRule>
  </conditionalFormatting>
  <conditionalFormatting sqref="B66">
    <cfRule type="cellIs" dxfId="402" priority="13" operator="equal">
      <formula>"Complete"</formula>
    </cfRule>
    <cfRule type="cellIs" dxfId="401" priority="14" operator="equal">
      <formula>"Pending"</formula>
    </cfRule>
  </conditionalFormatting>
  <conditionalFormatting sqref="B67">
    <cfRule type="cellIs" dxfId="400" priority="11" operator="equal">
      <formula>"Complete"</formula>
    </cfRule>
    <cfRule type="cellIs" dxfId="399" priority="12" operator="equal">
      <formula>"Pending"</formula>
    </cfRule>
  </conditionalFormatting>
  <conditionalFormatting sqref="B68">
    <cfRule type="cellIs" dxfId="398" priority="9" operator="equal">
      <formula>"Complete"</formula>
    </cfRule>
    <cfRule type="cellIs" dxfId="397" priority="10" operator="equal">
      <formula>"Pending"</formula>
    </cfRule>
  </conditionalFormatting>
  <conditionalFormatting sqref="B64">
    <cfRule type="cellIs" dxfId="396" priority="7" operator="equal">
      <formula>"Complete"</formula>
    </cfRule>
    <cfRule type="cellIs" dxfId="395" priority="8" operator="equal">
      <formula>"Pending"</formula>
    </cfRule>
  </conditionalFormatting>
  <conditionalFormatting sqref="B59">
    <cfRule type="cellIs" dxfId="394" priority="5" operator="equal">
      <formula>"Complete"</formula>
    </cfRule>
    <cfRule type="cellIs" dxfId="393" priority="6" operator="equal">
      <formula>"Pending"</formula>
    </cfRule>
  </conditionalFormatting>
  <conditionalFormatting sqref="B55">
    <cfRule type="cellIs" dxfId="392" priority="3" operator="equal">
      <formula>"Complete"</formula>
    </cfRule>
    <cfRule type="cellIs" dxfId="391" priority="4" operator="equal">
      <formula>"Pending"</formula>
    </cfRule>
  </conditionalFormatting>
  <conditionalFormatting sqref="B65">
    <cfRule type="cellIs" dxfId="390" priority="1" operator="equal">
      <formula>"Complete"</formula>
    </cfRule>
    <cfRule type="cellIs" dxfId="389" priority="2" operator="equal">
      <formula>"Pending"</formula>
    </cfRule>
  </conditionalFormatting>
  <dataValidations count="2">
    <dataValidation type="list" allowBlank="1" showInputMessage="1" showErrorMessage="1" sqref="B5 B28:B32 B21:B24 B49:B52 B37:B44 B9:B14 B16:B19 B57:B64 B68:B69" xr:uid="{00000000-0002-0000-0A00-000000000000}">
      <formula1>"Pending, Complete, N/A"</formula1>
    </dataValidation>
    <dataValidation type="list" allowBlank="1" showInputMessage="1" sqref="B20" xr:uid="{D0409D79-B0AE-3B4B-ACF2-660724C9DDDD}">
      <formula1>"Pending, Complete, N/A"</formula1>
    </dataValidation>
  </dataValidations>
  <pageMargins left="0.7" right="0.7" top="0.75" bottom="0.75" header="0.3" footer="0.3"/>
  <pageSetup scale="61" orientation="landscape"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tint="-0.499984740745262"/>
  </sheetPr>
  <dimension ref="B2:V81"/>
  <sheetViews>
    <sheetView showGridLines="0" topLeftCell="A34" zoomScaleNormal="100" workbookViewId="0">
      <selection activeCell="C36" sqref="C36:H36"/>
    </sheetView>
  </sheetViews>
  <sheetFormatPr defaultColWidth="11.42578125" defaultRowHeight="13.9" outlineLevelRow="1"/>
  <cols>
    <col min="1" max="1" width="3.7109375" style="9" customWidth="1"/>
    <col min="2" max="2" width="19.85546875" style="9" customWidth="1"/>
    <col min="3" max="3" width="27.28515625" style="9" customWidth="1"/>
    <col min="4" max="4" width="21.28515625" style="9" customWidth="1"/>
    <col min="5" max="5" width="19" style="9" customWidth="1"/>
    <col min="6" max="6" width="23.28515625" style="9" bestFit="1" customWidth="1"/>
    <col min="7" max="7" width="21.28515625" style="9" customWidth="1"/>
    <col min="8" max="8" width="20.28515625" style="9" customWidth="1"/>
    <col min="9" max="10" width="11.42578125" style="9"/>
    <col min="11" max="11" width="56.42578125" style="9" customWidth="1"/>
    <col min="12" max="12" width="14" style="9" bestFit="1" customWidth="1"/>
    <col min="13" max="17" width="11.42578125" style="9"/>
    <col min="18" max="18" width="15.42578125" style="9" customWidth="1"/>
    <col min="19" max="19" width="19.140625" style="9" customWidth="1"/>
    <col min="20" max="20" width="23.7109375" style="9" customWidth="1"/>
    <col min="21" max="21" width="16.140625" style="9" customWidth="1"/>
    <col min="22" max="16384" width="11.42578125" style="9"/>
  </cols>
  <sheetData>
    <row r="2" spans="2:22" ht="42" customHeight="1">
      <c r="B2" s="334" t="s">
        <v>655</v>
      </c>
      <c r="C2" s="335"/>
      <c r="D2" s="335"/>
      <c r="E2" s="335"/>
      <c r="F2" s="335"/>
      <c r="G2" s="335"/>
      <c r="H2" s="335"/>
      <c r="I2" s="335"/>
      <c r="J2" s="335"/>
      <c r="K2" s="335"/>
      <c r="L2" s="336"/>
    </row>
    <row r="3" spans="2:22" ht="24" customHeight="1">
      <c r="B3" s="256" t="s">
        <v>656</v>
      </c>
      <c r="C3" s="257"/>
      <c r="D3" s="257"/>
      <c r="E3" s="257"/>
      <c r="F3" s="257"/>
      <c r="G3" s="257"/>
      <c r="H3" s="257"/>
      <c r="I3" s="257"/>
      <c r="J3" s="257"/>
      <c r="K3" s="257"/>
      <c r="L3" s="142"/>
      <c r="R3" s="28" t="s">
        <v>222</v>
      </c>
      <c r="S3" s="28" t="s">
        <v>223</v>
      </c>
      <c r="T3" s="168" t="s">
        <v>657</v>
      </c>
      <c r="U3" s="28" t="s">
        <v>658</v>
      </c>
      <c r="V3" s="28" t="s">
        <v>659</v>
      </c>
    </row>
    <row r="4" spans="2:22" ht="15.6">
      <c r="B4" s="178" t="s">
        <v>439</v>
      </c>
      <c r="C4" s="120"/>
      <c r="D4" s="120"/>
      <c r="E4" s="120"/>
      <c r="F4" s="120"/>
      <c r="G4" s="120"/>
      <c r="H4" s="120"/>
      <c r="I4" s="120"/>
      <c r="J4" s="120"/>
      <c r="K4" s="120"/>
      <c r="L4" s="40"/>
      <c r="R4" s="28" t="s">
        <v>660</v>
      </c>
      <c r="S4" s="28" t="s">
        <v>226</v>
      </c>
      <c r="T4" s="168" t="s">
        <v>661</v>
      </c>
      <c r="U4" s="28" t="s">
        <v>662</v>
      </c>
      <c r="V4" s="28" t="s">
        <v>663</v>
      </c>
    </row>
    <row r="5" spans="2:22">
      <c r="B5" s="277" t="s">
        <v>271</v>
      </c>
      <c r="C5" s="344" t="s">
        <v>272</v>
      </c>
      <c r="D5" s="345"/>
      <c r="E5" s="347"/>
      <c r="F5" s="344"/>
      <c r="G5" s="345"/>
      <c r="H5" s="347"/>
      <c r="I5" s="344" t="s">
        <v>273</v>
      </c>
      <c r="J5" s="345"/>
      <c r="K5" s="345"/>
      <c r="L5" s="40"/>
      <c r="R5" s="28" t="s">
        <v>228</v>
      </c>
      <c r="S5" s="28" t="s">
        <v>229</v>
      </c>
      <c r="T5" s="168" t="s">
        <v>664</v>
      </c>
      <c r="U5" s="28" t="s">
        <v>665</v>
      </c>
      <c r="V5" s="28" t="s">
        <v>666</v>
      </c>
    </row>
    <row r="6" spans="2:22">
      <c r="B6" s="40" t="s">
        <v>275</v>
      </c>
      <c r="C6" s="300" t="s">
        <v>667</v>
      </c>
      <c r="D6" s="301"/>
      <c r="E6" s="301"/>
      <c r="F6" s="301"/>
      <c r="G6" s="301"/>
      <c r="H6" s="302"/>
      <c r="I6" s="310"/>
      <c r="J6" s="311"/>
      <c r="K6" s="311"/>
      <c r="L6" s="173">
        <v>9.1999999999999993</v>
      </c>
    </row>
    <row r="7" spans="2:22">
      <c r="B7" s="40" t="s">
        <v>275</v>
      </c>
      <c r="C7" s="275" t="s">
        <v>668</v>
      </c>
      <c r="D7" s="274"/>
      <c r="E7" s="274"/>
      <c r="F7" s="274"/>
      <c r="G7" s="274"/>
      <c r="H7" s="276"/>
      <c r="I7" s="272"/>
      <c r="J7" s="273"/>
      <c r="K7" s="273"/>
      <c r="L7" s="173">
        <v>9.1999999999999993</v>
      </c>
    </row>
    <row r="8" spans="2:22">
      <c r="B8" s="40" t="s">
        <v>275</v>
      </c>
      <c r="C8" s="300" t="s">
        <v>669</v>
      </c>
      <c r="D8" s="301"/>
      <c r="E8" s="301"/>
      <c r="F8" s="301"/>
      <c r="G8" s="301"/>
      <c r="H8" s="302"/>
      <c r="I8" s="310"/>
      <c r="J8" s="311"/>
      <c r="K8" s="311"/>
      <c r="L8" s="173">
        <v>9.1999999999999993</v>
      </c>
    </row>
    <row r="9" spans="2:22">
      <c r="B9" s="148" t="s">
        <v>275</v>
      </c>
      <c r="C9" s="300" t="s">
        <v>670</v>
      </c>
      <c r="D9" s="301"/>
      <c r="E9" s="301"/>
      <c r="F9" s="301"/>
      <c r="G9" s="301"/>
      <c r="H9" s="302"/>
      <c r="I9" s="310" t="s">
        <v>671</v>
      </c>
      <c r="J9" s="311"/>
      <c r="K9" s="325"/>
      <c r="L9" s="173">
        <v>9.1999999999999993</v>
      </c>
    </row>
    <row r="10" spans="2:22" ht="15">
      <c r="B10" s="251" t="s">
        <v>219</v>
      </c>
      <c r="C10" s="232" t="s">
        <v>225</v>
      </c>
      <c r="D10" s="169"/>
      <c r="E10" s="169"/>
      <c r="F10" s="169"/>
      <c r="G10" s="169"/>
      <c r="H10" s="169"/>
      <c r="I10" s="170"/>
      <c r="J10" s="170"/>
      <c r="K10" s="78"/>
      <c r="L10" s="173"/>
    </row>
    <row r="11" spans="2:22" ht="15.6">
      <c r="B11" s="178" t="s">
        <v>316</v>
      </c>
      <c r="C11" s="120"/>
      <c r="D11" s="100"/>
      <c r="E11" s="100"/>
      <c r="F11" s="100"/>
      <c r="G11" s="100"/>
      <c r="H11" s="100"/>
      <c r="I11" s="100"/>
      <c r="J11" s="100"/>
      <c r="K11" s="100"/>
      <c r="L11" s="40"/>
    </row>
    <row r="12" spans="2:22">
      <c r="B12" s="52"/>
      <c r="C12" s="278" t="s">
        <v>317</v>
      </c>
      <c r="D12" s="279"/>
      <c r="E12" s="279"/>
      <c r="F12" s="280" t="s">
        <v>318</v>
      </c>
      <c r="G12" s="281"/>
      <c r="H12" s="281"/>
      <c r="I12" s="53"/>
      <c r="J12" s="53"/>
      <c r="K12" s="54"/>
      <c r="L12" s="40"/>
    </row>
    <row r="13" spans="2:22" ht="37.5" customHeight="1">
      <c r="B13" s="55" t="s">
        <v>271</v>
      </c>
      <c r="C13" s="56" t="s">
        <v>319</v>
      </c>
      <c r="D13" s="57" t="s">
        <v>320</v>
      </c>
      <c r="E13" s="57" t="s">
        <v>321</v>
      </c>
      <c r="F13" s="58" t="s">
        <v>322</v>
      </c>
      <c r="G13" s="58" t="s">
        <v>323</v>
      </c>
      <c r="H13" s="58" t="s">
        <v>324</v>
      </c>
      <c r="I13" s="59" t="s">
        <v>325</v>
      </c>
      <c r="J13" s="59" t="s">
        <v>326</v>
      </c>
      <c r="K13" s="60" t="s">
        <v>159</v>
      </c>
      <c r="L13" s="40"/>
    </row>
    <row r="14" spans="2:22" ht="55.15">
      <c r="B14" s="40" t="s">
        <v>275</v>
      </c>
      <c r="C14" s="64" t="str">
        <f t="shared" ref="C14" si="0">Devices_Internet_Name</f>
        <v>Devices on Internet or Wi-Fi</v>
      </c>
      <c r="D14" s="61"/>
      <c r="E14" s="61"/>
      <c r="F14" s="24" t="str">
        <f>ComENS2</f>
        <v>ENSv2 (On Premise)</v>
      </c>
      <c r="G14" s="25" t="str">
        <f>ensdns</f>
        <v>ens.haramco.xyz</v>
      </c>
      <c r="H14" s="21" t="str">
        <f>ensdnsip</f>
        <v>192.168.1.30</v>
      </c>
      <c r="I14" s="127" t="s">
        <v>330</v>
      </c>
      <c r="J14" s="84">
        <v>443</v>
      </c>
      <c r="K14" s="286" t="s">
        <v>672</v>
      </c>
      <c r="L14" s="142">
        <v>9.1999999999999993</v>
      </c>
    </row>
    <row r="15" spans="2:22" ht="28.9">
      <c r="B15" s="40" t="s">
        <v>275</v>
      </c>
      <c r="C15" s="179" t="s">
        <v>673</v>
      </c>
      <c r="D15" s="86" t="str">
        <f>ensservername</f>
        <v>ens1.haramco.xyz
ens2.haramco.xyz</v>
      </c>
      <c r="E15" s="86" t="str">
        <f>ensip</f>
        <v>192.168.1.67
192.168.1.58</v>
      </c>
      <c r="F15" s="24" t="str">
        <f>ComMailServer</f>
        <v>Mail Server</v>
      </c>
      <c r="G15" s="82" t="str">
        <f>MailServerName</f>
        <v>mail.fqdn.com</v>
      </c>
      <c r="H15" s="82" t="str">
        <f>MailServerIp</f>
        <v>#.#.#.#</v>
      </c>
      <c r="I15" s="127" t="str">
        <f>IF(Mail_Port=443,"HTTPS","HTTP")</f>
        <v>HTTPS</v>
      </c>
      <c r="J15" s="127">
        <f>Mail_Port</f>
        <v>443</v>
      </c>
      <c r="K15" s="286" t="s">
        <v>674</v>
      </c>
      <c r="L15" s="40">
        <v>8.1999999999999993</v>
      </c>
    </row>
    <row r="16" spans="2:22" ht="28.9">
      <c r="B16" s="40" t="s">
        <v>275</v>
      </c>
      <c r="C16" s="179" t="s">
        <v>675</v>
      </c>
      <c r="D16" s="86" t="str">
        <f>ensservername</f>
        <v>ens1.haramco.xyz
ens2.haramco.xyz</v>
      </c>
      <c r="E16" s="86" t="str">
        <f>ensip</f>
        <v>192.168.1.67
192.168.1.58</v>
      </c>
      <c r="F16" s="24" t="s">
        <v>676</v>
      </c>
      <c r="G16" s="82" t="str">
        <f>SegDNS</f>
        <v>seg.haramco.xyz</v>
      </c>
      <c r="H16" s="82" t="str">
        <f>SegDNSIp</f>
        <v>192.168.1.30</v>
      </c>
      <c r="I16" s="84" t="s">
        <v>513</v>
      </c>
      <c r="J16" s="84" t="s">
        <v>514</v>
      </c>
      <c r="K16" s="286" t="s">
        <v>677</v>
      </c>
      <c r="L16" s="40">
        <v>9.5</v>
      </c>
    </row>
    <row r="17" spans="2:12" ht="27.6">
      <c r="B17" s="40" t="s">
        <v>275</v>
      </c>
      <c r="C17" s="179" t="str">
        <f>ComMailServer</f>
        <v>Mail Server</v>
      </c>
      <c r="D17" s="86" t="str">
        <f>MailServerName</f>
        <v>mail.fqdn.com</v>
      </c>
      <c r="E17" s="86" t="str">
        <f>MailServerIp</f>
        <v>#.#.#.#</v>
      </c>
      <c r="F17" s="24" t="s">
        <v>678</v>
      </c>
      <c r="G17" s="25" t="str">
        <f>ensdns</f>
        <v>ens.haramco.xyz</v>
      </c>
      <c r="H17" s="21" t="str">
        <f>ensdnsip</f>
        <v>192.168.1.30</v>
      </c>
      <c r="I17" s="84" t="s">
        <v>513</v>
      </c>
      <c r="J17" s="84" t="s">
        <v>514</v>
      </c>
      <c r="K17" s="286" t="s">
        <v>679</v>
      </c>
      <c r="L17" s="173">
        <v>9.1999999999999993</v>
      </c>
    </row>
    <row r="18" spans="2:12" ht="51.95" customHeight="1">
      <c r="B18" s="175"/>
      <c r="C18" s="175"/>
      <c r="D18" s="175"/>
      <c r="E18" s="175"/>
      <c r="F18" s="175"/>
      <c r="G18" s="175"/>
      <c r="H18" s="175"/>
      <c r="I18" s="175"/>
      <c r="J18" s="175"/>
      <c r="K18" s="175"/>
      <c r="L18" s="180"/>
    </row>
    <row r="19" spans="2:12" ht="33.950000000000003" customHeight="1">
      <c r="B19" s="256" t="s">
        <v>680</v>
      </c>
      <c r="C19" s="257"/>
      <c r="D19" s="257"/>
      <c r="E19" s="257"/>
      <c r="F19" s="257"/>
      <c r="G19" s="257"/>
      <c r="H19" s="257"/>
      <c r="I19" s="257"/>
      <c r="J19" s="257"/>
      <c r="K19" s="257"/>
      <c r="L19" s="142"/>
    </row>
    <row r="20" spans="2:12" ht="15.6" outlineLevel="1">
      <c r="B20" s="178" t="s">
        <v>270</v>
      </c>
      <c r="C20" s="178"/>
      <c r="D20" s="178"/>
      <c r="E20" s="178"/>
      <c r="F20" s="178"/>
      <c r="G20" s="178"/>
      <c r="H20" s="178"/>
      <c r="I20" s="178"/>
      <c r="J20" s="178"/>
      <c r="K20" s="178"/>
      <c r="L20" s="181"/>
    </row>
    <row r="21" spans="2:12" outlineLevel="1">
      <c r="B21" s="277" t="s">
        <v>271</v>
      </c>
      <c r="C21" s="344" t="s">
        <v>272</v>
      </c>
      <c r="D21" s="345"/>
      <c r="E21" s="347"/>
      <c r="F21" s="344"/>
      <c r="G21" s="345"/>
      <c r="H21" s="347"/>
      <c r="I21" s="344" t="s">
        <v>273</v>
      </c>
      <c r="J21" s="345"/>
      <c r="K21" s="345"/>
      <c r="L21" s="53" t="s">
        <v>274</v>
      </c>
    </row>
    <row r="22" spans="2:12" outlineLevel="1">
      <c r="B22" s="40" t="s">
        <v>275</v>
      </c>
      <c r="C22" s="300" t="s">
        <v>681</v>
      </c>
      <c r="D22" s="301"/>
      <c r="E22" s="301"/>
      <c r="F22" s="301"/>
      <c r="G22" s="301"/>
      <c r="H22" s="302"/>
      <c r="I22" s="310" t="s">
        <v>682</v>
      </c>
      <c r="J22" s="311"/>
      <c r="K22" s="311"/>
      <c r="L22" s="40">
        <v>9.1999999999999993</v>
      </c>
    </row>
    <row r="23" spans="2:12" ht="15.6" outlineLevel="1">
      <c r="B23" s="178" t="s">
        <v>439</v>
      </c>
      <c r="C23" s="120"/>
      <c r="D23" s="120"/>
      <c r="E23" s="120"/>
      <c r="F23" s="120"/>
      <c r="G23" s="120"/>
      <c r="H23" s="120"/>
      <c r="I23" s="120"/>
      <c r="J23" s="120"/>
      <c r="K23" s="120"/>
      <c r="L23" s="40"/>
    </row>
    <row r="24" spans="2:12" outlineLevel="1">
      <c r="B24" s="277" t="s">
        <v>271</v>
      </c>
      <c r="C24" s="344" t="s">
        <v>272</v>
      </c>
      <c r="D24" s="345"/>
      <c r="E24" s="347"/>
      <c r="F24" s="344"/>
      <c r="G24" s="345"/>
      <c r="H24" s="347"/>
      <c r="I24" s="344" t="s">
        <v>273</v>
      </c>
      <c r="J24" s="345"/>
      <c r="K24" s="345"/>
      <c r="L24" s="40"/>
    </row>
    <row r="25" spans="2:12" outlineLevel="1">
      <c r="B25" s="40" t="s">
        <v>275</v>
      </c>
      <c r="C25" s="300" t="s">
        <v>683</v>
      </c>
      <c r="D25" s="301"/>
      <c r="E25" s="301"/>
      <c r="F25" s="301"/>
      <c r="G25" s="301"/>
      <c r="H25" s="302"/>
      <c r="I25" s="310"/>
      <c r="J25" s="311"/>
      <c r="K25" s="311"/>
      <c r="L25" s="173">
        <v>9.1999999999999993</v>
      </c>
    </row>
    <row r="26" spans="2:12" outlineLevel="1">
      <c r="B26" s="40" t="s">
        <v>275</v>
      </c>
      <c r="C26" s="275" t="s">
        <v>668</v>
      </c>
      <c r="D26" s="274"/>
      <c r="E26" s="274"/>
      <c r="F26" s="274"/>
      <c r="G26" s="274"/>
      <c r="H26" s="276"/>
      <c r="I26" s="272"/>
      <c r="J26" s="273"/>
      <c r="K26" s="273"/>
      <c r="L26" s="282">
        <v>9.1999999999999993</v>
      </c>
    </row>
    <row r="27" spans="2:12" outlineLevel="1">
      <c r="B27" s="40" t="s">
        <v>275</v>
      </c>
      <c r="C27" s="300" t="s">
        <v>684</v>
      </c>
      <c r="D27" s="301"/>
      <c r="E27" s="301"/>
      <c r="F27" s="301"/>
      <c r="G27" s="301"/>
      <c r="H27" s="302"/>
      <c r="I27" s="310" t="s">
        <v>685</v>
      </c>
      <c r="J27" s="311"/>
      <c r="K27" s="311"/>
      <c r="L27" s="282">
        <v>9.1999999999999993</v>
      </c>
    </row>
    <row r="28" spans="2:12" outlineLevel="1">
      <c r="B28" s="40" t="s">
        <v>275</v>
      </c>
      <c r="C28" s="310" t="s">
        <v>686</v>
      </c>
      <c r="D28" s="311"/>
      <c r="E28" s="311"/>
      <c r="F28" s="311"/>
      <c r="G28" s="311"/>
      <c r="H28" s="332"/>
      <c r="I28" s="310"/>
      <c r="J28" s="311"/>
      <c r="K28" s="311"/>
      <c r="L28" s="282">
        <v>9.1999999999999993</v>
      </c>
    </row>
    <row r="29" spans="2:12" outlineLevel="1">
      <c r="B29" s="40" t="s">
        <v>275</v>
      </c>
      <c r="C29" s="275" t="s">
        <v>609</v>
      </c>
      <c r="D29" s="274"/>
      <c r="E29" s="274"/>
      <c r="F29" s="274"/>
      <c r="G29" s="274"/>
      <c r="H29" s="276"/>
      <c r="I29" s="272"/>
      <c r="J29" s="273"/>
      <c r="K29" s="273"/>
      <c r="L29" s="282">
        <v>9.1999999999999993</v>
      </c>
    </row>
    <row r="30" spans="2:12" outlineLevel="1">
      <c r="B30" s="40" t="s">
        <v>275</v>
      </c>
      <c r="C30" s="300" t="s">
        <v>597</v>
      </c>
      <c r="D30" s="301"/>
      <c r="E30" s="301"/>
      <c r="F30" s="301"/>
      <c r="G30" s="301"/>
      <c r="H30" s="302"/>
      <c r="I30" s="310" t="s">
        <v>687</v>
      </c>
      <c r="J30" s="311"/>
      <c r="K30" s="311"/>
      <c r="L30" s="282">
        <v>9.1999999999999993</v>
      </c>
    </row>
    <row r="31" spans="2:12" outlineLevel="1">
      <c r="B31" s="40" t="s">
        <v>275</v>
      </c>
      <c r="C31" s="300" t="s">
        <v>598</v>
      </c>
      <c r="D31" s="301"/>
      <c r="E31" s="301"/>
      <c r="F31" s="301"/>
      <c r="G31" s="301"/>
      <c r="H31" s="302"/>
      <c r="I31" s="310" t="s">
        <v>688</v>
      </c>
      <c r="J31" s="311"/>
      <c r="K31" s="311"/>
      <c r="L31" s="282">
        <v>9.1999999999999993</v>
      </c>
    </row>
    <row r="32" spans="2:12" outlineLevel="1">
      <c r="B32" s="40" t="s">
        <v>275</v>
      </c>
      <c r="C32" s="300" t="s">
        <v>599</v>
      </c>
      <c r="D32" s="301"/>
      <c r="E32" s="301"/>
      <c r="F32" s="301"/>
      <c r="G32" s="301"/>
      <c r="H32" s="302"/>
      <c r="I32" s="310" t="s">
        <v>689</v>
      </c>
      <c r="J32" s="311"/>
      <c r="K32" s="311"/>
      <c r="L32" s="282">
        <v>9.1999999999999993</v>
      </c>
    </row>
    <row r="33" spans="2:12" outlineLevel="1">
      <c r="B33" s="40" t="s">
        <v>275</v>
      </c>
      <c r="C33" s="333" t="s">
        <v>601</v>
      </c>
      <c r="D33" s="333"/>
      <c r="E33" s="333"/>
      <c r="F33" s="333"/>
      <c r="G33" s="333"/>
      <c r="H33" s="333"/>
      <c r="I33" s="310" t="s">
        <v>690</v>
      </c>
      <c r="J33" s="311"/>
      <c r="K33" s="311"/>
      <c r="L33" s="282">
        <v>9.1999999999999993</v>
      </c>
    </row>
    <row r="34" spans="2:12" ht="15.6" outlineLevel="1">
      <c r="B34" s="178" t="s">
        <v>446</v>
      </c>
      <c r="C34" s="100"/>
      <c r="D34" s="100"/>
      <c r="E34" s="100"/>
      <c r="F34" s="100"/>
      <c r="G34" s="100"/>
      <c r="H34" s="100"/>
      <c r="I34" s="120"/>
      <c r="J34" s="120"/>
      <c r="K34" s="120"/>
      <c r="L34" s="40"/>
    </row>
    <row r="35" spans="2:12" outlineLevel="1">
      <c r="B35" s="277" t="s">
        <v>271</v>
      </c>
      <c r="C35" s="344" t="s">
        <v>272</v>
      </c>
      <c r="D35" s="345"/>
      <c r="E35" s="347"/>
      <c r="F35" s="344"/>
      <c r="G35" s="345"/>
      <c r="H35" s="347"/>
      <c r="I35" s="344" t="s">
        <v>273</v>
      </c>
      <c r="J35" s="345"/>
      <c r="K35" s="345"/>
      <c r="L35" s="40"/>
    </row>
    <row r="36" spans="2:12" outlineLevel="1">
      <c r="B36" s="40" t="s">
        <v>275</v>
      </c>
      <c r="C36" s="300" t="str">
        <f>ensOS</f>
        <v>Windows Server 2008 R2 or Windows Server 2012 R2 or Windows Server 2016</v>
      </c>
      <c r="D36" s="301"/>
      <c r="E36" s="301"/>
      <c r="F36" s="301"/>
      <c r="G36" s="301"/>
      <c r="H36" s="302"/>
      <c r="I36" s="310"/>
      <c r="J36" s="311"/>
      <c r="K36" s="311"/>
      <c r="L36" s="40">
        <v>9.1999999999999993</v>
      </c>
    </row>
    <row r="37" spans="2:12" outlineLevel="1">
      <c r="B37" s="40" t="s">
        <v>275</v>
      </c>
      <c r="C37" s="300" t="s">
        <v>292</v>
      </c>
      <c r="D37" s="301"/>
      <c r="E37" s="301"/>
      <c r="F37" s="301"/>
      <c r="G37" s="301"/>
      <c r="H37" s="302"/>
      <c r="I37" s="310" t="s">
        <v>691</v>
      </c>
      <c r="J37" s="311"/>
      <c r="K37" s="311"/>
      <c r="L37" s="40">
        <v>9.1999999999999993</v>
      </c>
    </row>
    <row r="38" spans="2:12" outlineLevel="1">
      <c r="B38" s="40" t="s">
        <v>275</v>
      </c>
      <c r="C38" s="300" t="s">
        <v>294</v>
      </c>
      <c r="D38" s="301"/>
      <c r="E38" s="301"/>
      <c r="F38" s="301"/>
      <c r="G38" s="301"/>
      <c r="H38" s="302"/>
      <c r="I38" s="310" t="s">
        <v>692</v>
      </c>
      <c r="J38" s="311"/>
      <c r="K38" s="311"/>
      <c r="L38" s="40">
        <v>9.1999999999999993</v>
      </c>
    </row>
    <row r="39" spans="2:12" outlineLevel="1">
      <c r="B39" s="40" t="s">
        <v>275</v>
      </c>
      <c r="C39" s="300" t="s">
        <v>418</v>
      </c>
      <c r="D39" s="301"/>
      <c r="E39" s="301"/>
      <c r="F39" s="301"/>
      <c r="G39" s="301"/>
      <c r="H39" s="302"/>
      <c r="I39" s="310" t="s">
        <v>616</v>
      </c>
      <c r="J39" s="311"/>
      <c r="K39" s="311"/>
      <c r="L39" s="40">
        <v>9.1999999999999993</v>
      </c>
    </row>
    <row r="40" spans="2:12" outlineLevel="1">
      <c r="B40" s="40" t="s">
        <v>275</v>
      </c>
      <c r="C40" s="300" t="s">
        <v>414</v>
      </c>
      <c r="D40" s="301"/>
      <c r="E40" s="301"/>
      <c r="F40" s="301"/>
      <c r="G40" s="301"/>
      <c r="H40" s="302"/>
      <c r="I40" s="310" t="s">
        <v>415</v>
      </c>
      <c r="J40" s="311"/>
      <c r="K40" s="311"/>
      <c r="L40" s="40">
        <v>8.1999999999999993</v>
      </c>
    </row>
    <row r="41" spans="2:12" ht="15.6" outlineLevel="1">
      <c r="B41" s="178" t="s">
        <v>693</v>
      </c>
      <c r="C41" s="178"/>
      <c r="D41" s="178"/>
      <c r="E41" s="178"/>
      <c r="F41" s="178"/>
      <c r="G41" s="178"/>
      <c r="H41" s="178"/>
      <c r="I41" s="178"/>
      <c r="J41" s="178"/>
      <c r="K41" s="178"/>
      <c r="L41" s="183"/>
    </row>
    <row r="42" spans="2:12" outlineLevel="1">
      <c r="B42" s="277" t="s">
        <v>271</v>
      </c>
      <c r="C42" s="312" t="s">
        <v>272</v>
      </c>
      <c r="D42" s="313"/>
      <c r="E42" s="313"/>
      <c r="F42" s="312"/>
      <c r="G42" s="313"/>
      <c r="H42" s="313"/>
      <c r="I42" s="312" t="s">
        <v>273</v>
      </c>
      <c r="J42" s="313"/>
      <c r="K42" s="314"/>
      <c r="L42" s="183"/>
    </row>
    <row r="43" spans="2:12" outlineLevel="1">
      <c r="B43" s="40" t="s">
        <v>275</v>
      </c>
      <c r="C43" s="300" t="s">
        <v>309</v>
      </c>
      <c r="D43" s="301"/>
      <c r="E43" s="301"/>
      <c r="F43" s="301"/>
      <c r="G43" s="301"/>
      <c r="H43" s="302"/>
      <c r="I43" s="310" t="s">
        <v>694</v>
      </c>
      <c r="J43" s="311"/>
      <c r="K43" s="311"/>
      <c r="L43" s="184">
        <v>9.1999999999999993</v>
      </c>
    </row>
    <row r="44" spans="2:12" outlineLevel="1">
      <c r="B44" s="40" t="s">
        <v>275</v>
      </c>
      <c r="C44" s="300" t="s">
        <v>695</v>
      </c>
      <c r="D44" s="301"/>
      <c r="E44" s="301"/>
      <c r="F44" s="301"/>
      <c r="G44" s="301"/>
      <c r="H44" s="302"/>
      <c r="I44" s="310" t="s">
        <v>696</v>
      </c>
      <c r="J44" s="311"/>
      <c r="K44" s="311"/>
      <c r="L44" s="184">
        <v>9.1999999999999993</v>
      </c>
    </row>
    <row r="45" spans="2:12" outlineLevel="1">
      <c r="B45" s="40" t="s">
        <v>275</v>
      </c>
      <c r="C45" s="310" t="s">
        <v>697</v>
      </c>
      <c r="D45" s="301"/>
      <c r="E45" s="301"/>
      <c r="F45" s="301"/>
      <c r="G45" s="301"/>
      <c r="H45" s="302"/>
      <c r="I45" s="310" t="s">
        <v>698</v>
      </c>
      <c r="J45" s="311"/>
      <c r="K45" s="311"/>
      <c r="L45" s="184">
        <v>9.1999999999999993</v>
      </c>
    </row>
    <row r="46" spans="2:12" outlineLevel="1">
      <c r="B46" s="176"/>
      <c r="C46" s="273"/>
      <c r="D46" s="274"/>
      <c r="E46" s="274"/>
      <c r="F46" s="274"/>
      <c r="G46" s="274"/>
      <c r="H46" s="274"/>
      <c r="I46" s="273"/>
      <c r="J46" s="273"/>
      <c r="K46" s="273"/>
      <c r="L46" s="184"/>
    </row>
    <row r="47" spans="2:12" ht="15.6" outlineLevel="1">
      <c r="B47" s="178" t="s">
        <v>316</v>
      </c>
      <c r="C47" s="178"/>
      <c r="D47" s="178"/>
      <c r="E47" s="178"/>
      <c r="F47" s="178"/>
      <c r="G47" s="178"/>
      <c r="H47" s="178"/>
      <c r="I47" s="178"/>
      <c r="J47" s="178"/>
      <c r="K47" s="178"/>
      <c r="L47" s="40"/>
    </row>
    <row r="48" spans="2:12" outlineLevel="1">
      <c r="B48" s="52"/>
      <c r="C48" s="278" t="s">
        <v>317</v>
      </c>
      <c r="D48" s="279"/>
      <c r="E48" s="279"/>
      <c r="F48" s="280" t="s">
        <v>318</v>
      </c>
      <c r="G48" s="281"/>
      <c r="H48" s="281"/>
      <c r="I48" s="53"/>
      <c r="J48" s="53"/>
      <c r="K48" s="54"/>
      <c r="L48" s="40"/>
    </row>
    <row r="49" spans="2:12" ht="27.6" outlineLevel="1">
      <c r="B49" s="55" t="s">
        <v>271</v>
      </c>
      <c r="C49" s="56" t="s">
        <v>319</v>
      </c>
      <c r="D49" s="57" t="s">
        <v>320</v>
      </c>
      <c r="E49" s="57" t="s">
        <v>321</v>
      </c>
      <c r="F49" s="58" t="s">
        <v>322</v>
      </c>
      <c r="G49" s="58" t="s">
        <v>323</v>
      </c>
      <c r="H49" s="58" t="s">
        <v>324</v>
      </c>
      <c r="I49" s="59" t="s">
        <v>325</v>
      </c>
      <c r="J49" s="59" t="s">
        <v>326</v>
      </c>
      <c r="K49" s="60" t="s">
        <v>159</v>
      </c>
      <c r="L49" s="40"/>
    </row>
    <row r="50" spans="2:12" ht="14.45" outlineLevel="1">
      <c r="B50" s="40" t="str">
        <f>IF(UsingEns="Yes", "Pending", "N/A")</f>
        <v>Pending</v>
      </c>
      <c r="C50" s="64" t="str">
        <f t="shared" ref="C50" si="1">Devices_Internet_Name</f>
        <v>Devices on Internet or Wi-Fi</v>
      </c>
      <c r="D50" s="61"/>
      <c r="E50" s="61"/>
      <c r="F50" s="24" t="str">
        <f>ComENS2</f>
        <v>ENSv2 (On Premise)</v>
      </c>
      <c r="G50" s="89" t="str">
        <f>ensdns</f>
        <v>ens.haramco.xyz</v>
      </c>
      <c r="H50" s="89" t="str">
        <f>ensdnsip</f>
        <v>192.168.1.30</v>
      </c>
      <c r="I50" s="127" t="s">
        <v>330</v>
      </c>
      <c r="J50" s="84">
        <v>443</v>
      </c>
      <c r="K50" s="286"/>
      <c r="L50" s="142">
        <v>9.1999999999999993</v>
      </c>
    </row>
    <row r="51" spans="2:12" ht="28.9" outlineLevel="1">
      <c r="B51" s="40" t="str">
        <f>IF(UsingEns="Yes", "Pending", "N/A")</f>
        <v>Pending</v>
      </c>
      <c r="C51" s="124" t="str">
        <f>ComENS2</f>
        <v>ENSv2 (On Premise)</v>
      </c>
      <c r="D51" s="125" t="str">
        <f>ensservername</f>
        <v>ens1.haramco.xyz
ens2.haramco.xyz</v>
      </c>
      <c r="E51" s="125" t="str">
        <f>ensip</f>
        <v>192.168.1.67
192.168.1.58</v>
      </c>
      <c r="F51" s="21" t="str">
        <f>ComENS2DB</f>
        <v>ENSv2 [DB] (On Premise)</v>
      </c>
      <c r="G51" s="25" t="e">
        <f>ensdbdns</f>
        <v>#NAME?</v>
      </c>
      <c r="H51" s="116" t="e">
        <f>ensdbdnsip</f>
        <v>#NAME?</v>
      </c>
      <c r="I51" s="127" t="s">
        <v>327</v>
      </c>
      <c r="J51" s="84">
        <v>1433</v>
      </c>
      <c r="K51" s="286" t="s">
        <v>422</v>
      </c>
      <c r="L51" s="40">
        <v>8.1999999999999993</v>
      </c>
    </row>
    <row r="52" spans="2:12" ht="28.9" outlineLevel="1">
      <c r="B52" s="40" t="str">
        <f>IF(UsingEns="Yes", "Pending", "N/A")</f>
        <v>Pending</v>
      </c>
      <c r="C52" s="124" t="str">
        <f>ComENS2</f>
        <v>ENSv2 (On Premise)</v>
      </c>
      <c r="D52" s="125" t="str">
        <f>ensservername</f>
        <v>ens1.haramco.xyz
ens2.haramco.xyz</v>
      </c>
      <c r="E52" s="125" t="str">
        <f>ensip</f>
        <v>192.168.1.67
192.168.1.58</v>
      </c>
      <c r="F52" s="89" t="s">
        <v>699</v>
      </c>
      <c r="G52" s="61"/>
      <c r="H52" s="61"/>
      <c r="I52" s="127" t="s">
        <v>330</v>
      </c>
      <c r="J52" s="84">
        <v>443</v>
      </c>
      <c r="K52" s="286" t="s">
        <v>700</v>
      </c>
      <c r="L52" s="40">
        <v>9.1999999999999993</v>
      </c>
    </row>
    <row r="53" spans="2:12" ht="28.9" outlineLevel="1">
      <c r="B53" s="40" t="str">
        <f>IF(UsingEns="Yes", "Pending", "N/A")</f>
        <v>Pending</v>
      </c>
      <c r="C53" s="124" t="str">
        <f>ComENS2</f>
        <v>ENSv2 (On Premise)</v>
      </c>
      <c r="D53" s="125" t="str">
        <f>ensservername</f>
        <v>ens1.haramco.xyz
ens2.haramco.xyz</v>
      </c>
      <c r="E53" s="125" t="str">
        <f>ensip</f>
        <v>192.168.1.67
192.168.1.58</v>
      </c>
      <c r="F53" s="24" t="str">
        <f>ComMailServer</f>
        <v>Mail Server</v>
      </c>
      <c r="G53" s="89" t="str">
        <f>MailServerName</f>
        <v>mail.fqdn.com</v>
      </c>
      <c r="H53" s="25" t="str">
        <f>MailServerIp</f>
        <v>#.#.#.#</v>
      </c>
      <c r="I53" s="127" t="str">
        <f>IF(Mail_Port=443,"HTTPS","HTTP")</f>
        <v>HTTPS</v>
      </c>
      <c r="J53" s="127">
        <f>Mail_Port</f>
        <v>443</v>
      </c>
      <c r="K53" s="286" t="s">
        <v>701</v>
      </c>
      <c r="L53" s="40">
        <v>8.1999999999999993</v>
      </c>
    </row>
    <row r="54" spans="2:12" ht="27.6" outlineLevel="1">
      <c r="B54" s="40" t="str">
        <f>IF(UsingEns="Yes", "Pending", "N/A")</f>
        <v>Pending</v>
      </c>
      <c r="C54" s="106" t="str">
        <f>ComMailServer</f>
        <v>Mail Server</v>
      </c>
      <c r="D54" s="86" t="str">
        <f>MailServerName</f>
        <v>mail.fqdn.com</v>
      </c>
      <c r="E54" s="86" t="str">
        <f>MailServerIp</f>
        <v>#.#.#.#</v>
      </c>
      <c r="F54" s="24" t="str">
        <f>ComENS2</f>
        <v>ENSv2 (On Premise)</v>
      </c>
      <c r="G54" s="89" t="str">
        <f>ensdns</f>
        <v>ens.haramco.xyz</v>
      </c>
      <c r="H54" s="89" t="str">
        <f>ensdnsip</f>
        <v>192.168.1.30</v>
      </c>
      <c r="I54" s="84" t="s">
        <v>330</v>
      </c>
      <c r="J54" s="84">
        <v>443</v>
      </c>
      <c r="K54" s="286" t="s">
        <v>679</v>
      </c>
      <c r="L54" s="173">
        <v>9.1999999999999993</v>
      </c>
    </row>
    <row r="57" spans="2:12" hidden="1"/>
    <row r="58" spans="2:12" ht="57.95" hidden="1" customHeight="1">
      <c r="B58" s="356" t="s">
        <v>702</v>
      </c>
      <c r="C58" s="357"/>
      <c r="D58" s="357"/>
      <c r="E58" s="357"/>
      <c r="F58" s="357"/>
      <c r="G58" s="357"/>
      <c r="H58" s="357"/>
      <c r="I58" s="357"/>
      <c r="J58" s="357"/>
      <c r="K58" s="357"/>
      <c r="L58" s="358"/>
    </row>
    <row r="59" spans="2:12" ht="14.45" hidden="1" thickBot="1">
      <c r="B59" s="359" t="s">
        <v>270</v>
      </c>
      <c r="C59" s="360"/>
      <c r="D59" s="360"/>
      <c r="E59" s="360"/>
      <c r="F59" s="360"/>
      <c r="G59" s="360"/>
      <c r="H59" s="360"/>
      <c r="I59" s="360"/>
      <c r="J59" s="360"/>
      <c r="K59" s="360"/>
      <c r="L59" s="361"/>
    </row>
    <row r="60" spans="2:12" hidden="1">
      <c r="B60" s="277" t="s">
        <v>271</v>
      </c>
      <c r="C60" s="344" t="s">
        <v>272</v>
      </c>
      <c r="D60" s="345"/>
      <c r="E60" s="347"/>
      <c r="F60" s="344"/>
      <c r="G60" s="345"/>
      <c r="H60" s="347"/>
      <c r="I60" s="344" t="s">
        <v>273</v>
      </c>
      <c r="J60" s="345"/>
      <c r="K60" s="346"/>
      <c r="L60" s="39" t="s">
        <v>274</v>
      </c>
    </row>
    <row r="61" spans="2:12" ht="15.95" hidden="1" customHeight="1">
      <c r="B61" s="40" t="s">
        <v>275</v>
      </c>
      <c r="C61" s="300" t="s">
        <v>681</v>
      </c>
      <c r="D61" s="301"/>
      <c r="E61" s="301"/>
      <c r="F61" s="301"/>
      <c r="G61" s="301"/>
      <c r="H61" s="302"/>
      <c r="I61" s="310" t="s">
        <v>703</v>
      </c>
      <c r="J61" s="311"/>
      <c r="K61" s="331"/>
      <c r="L61" s="139">
        <v>8.1999999999999993</v>
      </c>
    </row>
    <row r="62" spans="2:12" hidden="1">
      <c r="B62" s="95"/>
      <c r="C62" s="96"/>
      <c r="D62" s="96"/>
      <c r="E62" s="96"/>
      <c r="F62" s="96"/>
      <c r="G62" s="96"/>
      <c r="H62" s="96"/>
      <c r="I62" s="97"/>
      <c r="J62" s="97"/>
      <c r="K62" s="97"/>
      <c r="L62" s="139"/>
    </row>
    <row r="63" spans="2:12" hidden="1">
      <c r="B63" s="119" t="s">
        <v>439</v>
      </c>
      <c r="C63" s="120"/>
      <c r="D63" s="120"/>
      <c r="E63" s="120"/>
      <c r="F63" s="120"/>
      <c r="G63" s="120"/>
      <c r="H63" s="120"/>
      <c r="I63" s="120"/>
      <c r="J63" s="120"/>
      <c r="K63" s="120"/>
      <c r="L63" s="139"/>
    </row>
    <row r="64" spans="2:12" hidden="1">
      <c r="B64" s="277" t="s">
        <v>271</v>
      </c>
      <c r="C64" s="344" t="s">
        <v>272</v>
      </c>
      <c r="D64" s="345"/>
      <c r="E64" s="347"/>
      <c r="F64" s="344"/>
      <c r="G64" s="345"/>
      <c r="H64" s="347"/>
      <c r="I64" s="344" t="s">
        <v>273</v>
      </c>
      <c r="J64" s="345"/>
      <c r="K64" s="346"/>
      <c r="L64" s="139"/>
    </row>
    <row r="65" spans="2:12" ht="15.95" hidden="1" customHeight="1">
      <c r="B65" s="40" t="s">
        <v>275</v>
      </c>
      <c r="C65" s="310" t="s">
        <v>686</v>
      </c>
      <c r="D65" s="311"/>
      <c r="E65" s="311"/>
      <c r="F65" s="311"/>
      <c r="G65" s="311"/>
      <c r="H65" s="332"/>
      <c r="I65" s="310"/>
      <c r="J65" s="311"/>
      <c r="K65" s="331"/>
      <c r="L65" s="139">
        <v>8.1999999999999993</v>
      </c>
    </row>
    <row r="66" spans="2:12" ht="15.95" hidden="1" customHeight="1">
      <c r="B66" s="40" t="s">
        <v>275</v>
      </c>
      <c r="C66" s="300" t="s">
        <v>704</v>
      </c>
      <c r="D66" s="301"/>
      <c r="E66" s="301"/>
      <c r="F66" s="301"/>
      <c r="G66" s="301"/>
      <c r="H66" s="302"/>
      <c r="I66" s="310" t="s">
        <v>705</v>
      </c>
      <c r="J66" s="311"/>
      <c r="K66" s="331"/>
      <c r="L66" s="139">
        <v>8.1999999999999993</v>
      </c>
    </row>
    <row r="67" spans="2:12" hidden="1">
      <c r="B67" s="40" t="s">
        <v>275</v>
      </c>
      <c r="C67" s="300" t="s">
        <v>706</v>
      </c>
      <c r="D67" s="301"/>
      <c r="E67" s="301"/>
      <c r="F67" s="301"/>
      <c r="G67" s="301"/>
      <c r="H67" s="302"/>
      <c r="I67" s="310"/>
      <c r="J67" s="311"/>
      <c r="K67" s="331"/>
      <c r="L67" s="117">
        <v>9</v>
      </c>
    </row>
    <row r="68" spans="2:12" hidden="1">
      <c r="B68" s="95"/>
      <c r="C68" s="177"/>
      <c r="D68" s="177"/>
      <c r="E68" s="177"/>
      <c r="F68" s="177"/>
      <c r="G68" s="177"/>
      <c r="H68" s="177"/>
      <c r="I68" s="97"/>
      <c r="J68" s="97"/>
      <c r="K68" s="97"/>
      <c r="L68" s="139"/>
    </row>
    <row r="69" spans="2:12" hidden="1">
      <c r="B69" s="119" t="s">
        <v>446</v>
      </c>
      <c r="C69" s="120"/>
      <c r="D69" s="120"/>
      <c r="E69" s="120"/>
      <c r="F69" s="120"/>
      <c r="G69" s="120"/>
      <c r="H69" s="120"/>
      <c r="I69" s="120"/>
      <c r="J69" s="120"/>
      <c r="K69" s="120"/>
      <c r="L69" s="139"/>
    </row>
    <row r="70" spans="2:12" hidden="1">
      <c r="B70" s="277" t="s">
        <v>271</v>
      </c>
      <c r="C70" s="344" t="s">
        <v>272</v>
      </c>
      <c r="D70" s="345"/>
      <c r="E70" s="347"/>
      <c r="F70" s="344"/>
      <c r="G70" s="345"/>
      <c r="H70" s="347"/>
      <c r="I70" s="344" t="s">
        <v>273</v>
      </c>
      <c r="J70" s="345"/>
      <c r="K70" s="346"/>
      <c r="L70" s="139"/>
    </row>
    <row r="71" spans="2:12" hidden="1">
      <c r="B71" s="40" t="s">
        <v>275</v>
      </c>
      <c r="C71" s="300" t="s">
        <v>707</v>
      </c>
      <c r="D71" s="301"/>
      <c r="E71" s="301"/>
      <c r="F71" s="301"/>
      <c r="G71" s="301"/>
      <c r="H71" s="302"/>
      <c r="I71" s="310"/>
      <c r="J71" s="311"/>
      <c r="K71" s="331"/>
      <c r="L71" s="139">
        <v>8.1999999999999993</v>
      </c>
    </row>
    <row r="72" spans="2:12" ht="15.95" hidden="1" customHeight="1">
      <c r="B72" s="40" t="s">
        <v>275</v>
      </c>
      <c r="C72" s="300" t="s">
        <v>414</v>
      </c>
      <c r="D72" s="301"/>
      <c r="E72" s="301"/>
      <c r="F72" s="301"/>
      <c r="G72" s="301"/>
      <c r="H72" s="302"/>
      <c r="I72" s="310" t="s">
        <v>415</v>
      </c>
      <c r="J72" s="311"/>
      <c r="K72" s="331"/>
      <c r="L72" s="139">
        <v>8.1999999999999993</v>
      </c>
    </row>
    <row r="73" spans="2:12" hidden="1">
      <c r="B73" s="95"/>
      <c r="C73" s="355"/>
      <c r="D73" s="355"/>
      <c r="E73" s="355"/>
      <c r="F73" s="355"/>
      <c r="G73" s="355"/>
      <c r="H73" s="355"/>
      <c r="I73" s="122"/>
      <c r="J73" s="97"/>
      <c r="K73" s="97"/>
      <c r="L73" s="139"/>
    </row>
    <row r="74" spans="2:12" hidden="1">
      <c r="B74" s="119" t="s">
        <v>316</v>
      </c>
      <c r="C74" s="120"/>
      <c r="D74" s="120"/>
      <c r="E74" s="120"/>
      <c r="F74" s="120"/>
      <c r="G74" s="120"/>
      <c r="H74" s="120"/>
      <c r="I74" s="120"/>
      <c r="J74" s="120"/>
      <c r="K74" s="120"/>
      <c r="L74" s="139"/>
    </row>
    <row r="75" spans="2:12" hidden="1">
      <c r="B75" s="52"/>
      <c r="C75" s="278" t="s">
        <v>317</v>
      </c>
      <c r="D75" s="279"/>
      <c r="E75" s="279"/>
      <c r="F75" s="280" t="s">
        <v>318</v>
      </c>
      <c r="G75" s="281"/>
      <c r="H75" s="281"/>
      <c r="I75" s="53"/>
      <c r="J75" s="53"/>
      <c r="K75" s="54"/>
      <c r="L75" s="139"/>
    </row>
    <row r="76" spans="2:12" ht="27.6" hidden="1">
      <c r="B76" s="55" t="s">
        <v>271</v>
      </c>
      <c r="C76" s="56" t="s">
        <v>319</v>
      </c>
      <c r="D76" s="57" t="s">
        <v>320</v>
      </c>
      <c r="E76" s="57" t="s">
        <v>321</v>
      </c>
      <c r="F76" s="58" t="s">
        <v>322</v>
      </c>
      <c r="G76" s="58" t="s">
        <v>323</v>
      </c>
      <c r="H76" s="58" t="s">
        <v>324</v>
      </c>
      <c r="I76" s="59" t="s">
        <v>325</v>
      </c>
      <c r="J76" s="59" t="s">
        <v>326</v>
      </c>
      <c r="K76" s="60" t="s">
        <v>159</v>
      </c>
      <c r="L76" s="139"/>
    </row>
    <row r="77" spans="2:12" ht="28.9" hidden="1">
      <c r="B77" s="40" t="s">
        <v>275</v>
      </c>
      <c r="C77" s="109" t="s">
        <v>678</v>
      </c>
      <c r="D77" s="171" t="str">
        <f>ensservername</f>
        <v>ens1.haramco.xyz
ens2.haramco.xyz</v>
      </c>
      <c r="E77" s="125" t="str">
        <f>ensip</f>
        <v>192.168.1.67
192.168.1.58</v>
      </c>
      <c r="F77" s="81" t="s">
        <v>708</v>
      </c>
      <c r="G77" s="88" t="s">
        <v>699</v>
      </c>
      <c r="H77" s="116" t="s">
        <v>709</v>
      </c>
      <c r="I77" s="83" t="s">
        <v>330</v>
      </c>
      <c r="J77" s="84">
        <v>443</v>
      </c>
      <c r="K77" s="85" t="s">
        <v>700</v>
      </c>
      <c r="L77" s="139">
        <v>8.1999999999999993</v>
      </c>
    </row>
    <row r="78" spans="2:12" ht="28.9" hidden="1">
      <c r="B78" s="40" t="s">
        <v>275</v>
      </c>
      <c r="C78" s="109" t="s">
        <v>678</v>
      </c>
      <c r="D78" s="171" t="str">
        <f>ensservername</f>
        <v>ens1.haramco.xyz
ens2.haramco.xyz</v>
      </c>
      <c r="E78" s="125" t="str">
        <f>ensip</f>
        <v>192.168.1.67
192.168.1.58</v>
      </c>
      <c r="F78" s="81" t="s">
        <v>710</v>
      </c>
      <c r="G78" s="115" t="str">
        <f>apidns</f>
        <v>tcuds.haramco.xyz</v>
      </c>
      <c r="H78" s="116" t="str">
        <f>apidnsip</f>
        <v>192.168.1.30</v>
      </c>
      <c r="I78" s="110" t="s">
        <v>330</v>
      </c>
      <c r="J78" s="111">
        <v>443</v>
      </c>
      <c r="K78" s="172" t="s">
        <v>711</v>
      </c>
      <c r="L78" s="139">
        <v>8.1999999999999993</v>
      </c>
    </row>
    <row r="79" spans="2:12" ht="29.45" hidden="1" thickBot="1">
      <c r="B79" s="40" t="s">
        <v>275</v>
      </c>
      <c r="C79" s="80" t="s">
        <v>678</v>
      </c>
      <c r="D79" s="171" t="str">
        <f>ensservername</f>
        <v>ens1.haramco.xyz
ens2.haramco.xyz</v>
      </c>
      <c r="E79" s="125" t="str">
        <f>ensip</f>
        <v>192.168.1.67
192.168.1.58</v>
      </c>
      <c r="F79" s="81" t="s">
        <v>712</v>
      </c>
      <c r="G79" s="88" t="str">
        <f>MailServerName</f>
        <v>mail.fqdn.com</v>
      </c>
      <c r="H79" s="25" t="str">
        <f>MailServerIp</f>
        <v>#.#.#.#</v>
      </c>
      <c r="I79" s="87" t="s">
        <v>513</v>
      </c>
      <c r="J79" s="87" t="s">
        <v>514</v>
      </c>
      <c r="K79" s="90" t="s">
        <v>701</v>
      </c>
      <c r="L79" s="174">
        <v>8.1999999999999993</v>
      </c>
    </row>
    <row r="80" spans="2:12" ht="42" hidden="1" thickBot="1">
      <c r="B80" s="40" t="s">
        <v>275</v>
      </c>
      <c r="C80" s="80" t="s">
        <v>713</v>
      </c>
      <c r="D80" s="86" t="str">
        <f>MailServerName</f>
        <v>mail.fqdn.com</v>
      </c>
      <c r="E80" s="86" t="str">
        <f>MailServerIp</f>
        <v>#.#.#.#</v>
      </c>
      <c r="F80" s="81" t="s">
        <v>678</v>
      </c>
      <c r="G80" s="91" t="str">
        <f>ensdns</f>
        <v>ens.haramco.xyz</v>
      </c>
      <c r="H80" s="89" t="s">
        <v>714</v>
      </c>
      <c r="I80" s="87" t="s">
        <v>513</v>
      </c>
      <c r="J80" s="87" t="s">
        <v>514</v>
      </c>
      <c r="K80" s="90" t="s">
        <v>715</v>
      </c>
      <c r="L80" s="123">
        <v>9</v>
      </c>
    </row>
    <row r="81" hidden="1"/>
  </sheetData>
  <mergeCells count="78">
    <mergeCell ref="B2:L2"/>
    <mergeCell ref="C5:E5"/>
    <mergeCell ref="F5:H5"/>
    <mergeCell ref="I5:K5"/>
    <mergeCell ref="C6:H6"/>
    <mergeCell ref="I6:K6"/>
    <mergeCell ref="C25:H25"/>
    <mergeCell ref="I25:K25"/>
    <mergeCell ref="C8:H8"/>
    <mergeCell ref="I8:K8"/>
    <mergeCell ref="C9:H9"/>
    <mergeCell ref="I9:K9"/>
    <mergeCell ref="C21:E21"/>
    <mergeCell ref="F21:H21"/>
    <mergeCell ref="I21:K21"/>
    <mergeCell ref="C22:H22"/>
    <mergeCell ref="I22:K22"/>
    <mergeCell ref="C24:E24"/>
    <mergeCell ref="F24:H24"/>
    <mergeCell ref="I24:K24"/>
    <mergeCell ref="C27:H27"/>
    <mergeCell ref="I27:K27"/>
    <mergeCell ref="C28:H28"/>
    <mergeCell ref="I28:K28"/>
    <mergeCell ref="C30:H30"/>
    <mergeCell ref="I30:K30"/>
    <mergeCell ref="C37:H37"/>
    <mergeCell ref="I37:K37"/>
    <mergeCell ref="C31:H31"/>
    <mergeCell ref="I31:K31"/>
    <mergeCell ref="C32:H32"/>
    <mergeCell ref="I32:K32"/>
    <mergeCell ref="C33:H33"/>
    <mergeCell ref="I33:K33"/>
    <mergeCell ref="C35:E35"/>
    <mergeCell ref="F35:H35"/>
    <mergeCell ref="I35:K35"/>
    <mergeCell ref="C36:H36"/>
    <mergeCell ref="I36:K36"/>
    <mergeCell ref="C38:H38"/>
    <mergeCell ref="I38:K38"/>
    <mergeCell ref="C39:H39"/>
    <mergeCell ref="I39:K39"/>
    <mergeCell ref="C40:H40"/>
    <mergeCell ref="I40:K40"/>
    <mergeCell ref="C44:H44"/>
    <mergeCell ref="I44:K44"/>
    <mergeCell ref="C45:H45"/>
    <mergeCell ref="I45:K45"/>
    <mergeCell ref="C42:E42"/>
    <mergeCell ref="F42:H42"/>
    <mergeCell ref="I42:K42"/>
    <mergeCell ref="C43:H43"/>
    <mergeCell ref="I43:K43"/>
    <mergeCell ref="C66:H66"/>
    <mergeCell ref="I66:K66"/>
    <mergeCell ref="B59:L59"/>
    <mergeCell ref="C60:E60"/>
    <mergeCell ref="F60:H60"/>
    <mergeCell ref="I60:K60"/>
    <mergeCell ref="C61:H61"/>
    <mergeCell ref="I61:K61"/>
    <mergeCell ref="C72:H72"/>
    <mergeCell ref="I72:K72"/>
    <mergeCell ref="C73:H73"/>
    <mergeCell ref="B58:L58"/>
    <mergeCell ref="C67:H67"/>
    <mergeCell ref="I67:K67"/>
    <mergeCell ref="C70:E70"/>
    <mergeCell ref="F70:H70"/>
    <mergeCell ref="I70:K70"/>
    <mergeCell ref="C71:H71"/>
    <mergeCell ref="I71:K71"/>
    <mergeCell ref="C64:E64"/>
    <mergeCell ref="F64:H64"/>
    <mergeCell ref="I64:K64"/>
    <mergeCell ref="C65:H65"/>
    <mergeCell ref="I65:K65"/>
  </mergeCells>
  <conditionalFormatting sqref="B28 B6 L22:L24 B43:B46 B36 B40 L5:L10 L52:L53 L34:L40">
    <cfRule type="cellIs" dxfId="388" priority="225" operator="equal">
      <formula>"Complete"</formula>
    </cfRule>
    <cfRule type="cellIs" dxfId="387" priority="226" operator="equal">
      <formula>"Pending"</formula>
    </cfRule>
  </conditionalFormatting>
  <conditionalFormatting sqref="B21">
    <cfRule type="cellIs" dxfId="386" priority="223" operator="equal">
      <formula>"Complete"</formula>
    </cfRule>
    <cfRule type="cellIs" dxfId="385" priority="224" operator="equal">
      <formula>"Pending"</formula>
    </cfRule>
  </conditionalFormatting>
  <conditionalFormatting sqref="B22">
    <cfRule type="cellIs" dxfId="384" priority="213" operator="equal">
      <formula>"Complete"</formula>
    </cfRule>
    <cfRule type="cellIs" dxfId="383" priority="214" operator="equal">
      <formula>"Pending"</formula>
    </cfRule>
  </conditionalFormatting>
  <conditionalFormatting sqref="B24">
    <cfRule type="cellIs" dxfId="382" priority="219" operator="equal">
      <formula>"Complete"</formula>
    </cfRule>
    <cfRule type="cellIs" dxfId="381" priority="220" operator="equal">
      <formula>"Pending"</formula>
    </cfRule>
  </conditionalFormatting>
  <conditionalFormatting sqref="B35">
    <cfRule type="cellIs" dxfId="380" priority="215" operator="equal">
      <formula>"Complete"</formula>
    </cfRule>
    <cfRule type="cellIs" dxfId="379" priority="216" operator="equal">
      <formula>"Pending"</formula>
    </cfRule>
  </conditionalFormatting>
  <conditionalFormatting sqref="L22">
    <cfRule type="cellIs" dxfId="378" priority="208" operator="equal">
      <formula>"Complete"</formula>
    </cfRule>
    <cfRule type="cellIs" dxfId="377" priority="209" operator="equal">
      <formula>"Pending"</formula>
    </cfRule>
  </conditionalFormatting>
  <conditionalFormatting sqref="B48">
    <cfRule type="cellIs" dxfId="376" priority="204" operator="equal">
      <formula>"Complete"</formula>
    </cfRule>
    <cfRule type="cellIs" dxfId="375" priority="205" operator="equal">
      <formula>"Pending"</formula>
    </cfRule>
  </conditionalFormatting>
  <conditionalFormatting sqref="B49">
    <cfRule type="cellIs" dxfId="374" priority="202" operator="equal">
      <formula>"Complete"</formula>
    </cfRule>
    <cfRule type="cellIs" dxfId="373" priority="203" operator="equal">
      <formula>"Pending"</formula>
    </cfRule>
  </conditionalFormatting>
  <conditionalFormatting sqref="L48">
    <cfRule type="cellIs" dxfId="372" priority="200" operator="equal">
      <formula>"Complete"</formula>
    </cfRule>
    <cfRule type="cellIs" dxfId="371" priority="201" operator="equal">
      <formula>"Pending"</formula>
    </cfRule>
  </conditionalFormatting>
  <conditionalFormatting sqref="L47:L49">
    <cfRule type="cellIs" dxfId="370" priority="198" operator="equal">
      <formula>"Complete"</formula>
    </cfRule>
    <cfRule type="cellIs" dxfId="369" priority="199" operator="equal">
      <formula>"Pending"</formula>
    </cfRule>
  </conditionalFormatting>
  <conditionalFormatting sqref="L54">
    <cfRule type="cellIs" dxfId="368" priority="194" operator="equal">
      <formula>"Complete"</formula>
    </cfRule>
    <cfRule type="cellIs" dxfId="367" priority="195" operator="equal">
      <formula>"Pending"</formula>
    </cfRule>
  </conditionalFormatting>
  <conditionalFormatting sqref="B29">
    <cfRule type="cellIs" dxfId="366" priority="192" operator="equal">
      <formula>"Complete"</formula>
    </cfRule>
    <cfRule type="cellIs" dxfId="365" priority="193" operator="equal">
      <formula>"Pending"</formula>
    </cfRule>
  </conditionalFormatting>
  <conditionalFormatting sqref="B30">
    <cfRule type="cellIs" dxfId="364" priority="190" operator="equal">
      <formula>"Complete"</formula>
    </cfRule>
    <cfRule type="cellIs" dxfId="363" priority="191" operator="equal">
      <formula>"Pending"</formula>
    </cfRule>
  </conditionalFormatting>
  <conditionalFormatting sqref="B31:B33">
    <cfRule type="cellIs" dxfId="362" priority="188" operator="equal">
      <formula>"Complete"</formula>
    </cfRule>
    <cfRule type="cellIs" dxfId="361" priority="189" operator="equal">
      <formula>"Pending"</formula>
    </cfRule>
  </conditionalFormatting>
  <conditionalFormatting sqref="L19">
    <cfRule type="cellIs" dxfId="360" priority="186" operator="equal">
      <formula>"Complete"</formula>
    </cfRule>
    <cfRule type="cellIs" dxfId="359" priority="187" operator="equal">
      <formula>"Pending"</formula>
    </cfRule>
  </conditionalFormatting>
  <conditionalFormatting sqref="L6:L10">
    <cfRule type="cellIs" dxfId="358" priority="183" operator="equal">
      <formula>"Complete"</formula>
    </cfRule>
    <cfRule type="cellIs" dxfId="357" priority="184" operator="equal">
      <formula>"N/A"</formula>
    </cfRule>
    <cfRule type="cellIs" dxfId="356" priority="185" operator="equal">
      <formula>"Open"</formula>
    </cfRule>
  </conditionalFormatting>
  <conditionalFormatting sqref="B5">
    <cfRule type="cellIs" dxfId="355" priority="181" operator="equal">
      <formula>"Complete"</formula>
    </cfRule>
    <cfRule type="cellIs" dxfId="354" priority="182" operator="equal">
      <formula>"Pending"</formula>
    </cfRule>
  </conditionalFormatting>
  <conditionalFormatting sqref="B7">
    <cfRule type="cellIs" dxfId="353" priority="179" operator="equal">
      <formula>"Complete"</formula>
    </cfRule>
    <cfRule type="cellIs" dxfId="352" priority="180" operator="equal">
      <formula>"Pending"</formula>
    </cfRule>
  </conditionalFormatting>
  <conditionalFormatting sqref="B8">
    <cfRule type="cellIs" dxfId="351" priority="177" operator="equal">
      <formula>"Complete"</formula>
    </cfRule>
    <cfRule type="cellIs" dxfId="350" priority="178" operator="equal">
      <formula>"Pending"</formula>
    </cfRule>
  </conditionalFormatting>
  <conditionalFormatting sqref="B9">
    <cfRule type="cellIs" dxfId="349" priority="175" operator="equal">
      <formula>"Complete"</formula>
    </cfRule>
    <cfRule type="cellIs" dxfId="348" priority="176" operator="equal">
      <formula>"Pending"</formula>
    </cfRule>
  </conditionalFormatting>
  <conditionalFormatting sqref="L3">
    <cfRule type="cellIs" dxfId="347" priority="173" operator="equal">
      <formula>"Complete"</formula>
    </cfRule>
    <cfRule type="cellIs" dxfId="346" priority="174" operator="equal">
      <formula>"Pending"</formula>
    </cfRule>
  </conditionalFormatting>
  <conditionalFormatting sqref="B25 L25">
    <cfRule type="cellIs" dxfId="345" priority="171" operator="equal">
      <formula>"Complete"</formula>
    </cfRule>
    <cfRule type="cellIs" dxfId="344" priority="172" operator="equal">
      <formula>"Pending"</formula>
    </cfRule>
  </conditionalFormatting>
  <conditionalFormatting sqref="L25">
    <cfRule type="cellIs" dxfId="343" priority="168" operator="equal">
      <formula>"Complete"</formula>
    </cfRule>
    <cfRule type="cellIs" dxfId="342" priority="169" operator="equal">
      <formula>"N/A"</formula>
    </cfRule>
    <cfRule type="cellIs" dxfId="341" priority="170" operator="equal">
      <formula>"Open"</formula>
    </cfRule>
  </conditionalFormatting>
  <conditionalFormatting sqref="B26">
    <cfRule type="cellIs" dxfId="340" priority="166" operator="equal">
      <formula>"Complete"</formula>
    </cfRule>
    <cfRule type="cellIs" dxfId="339" priority="167" operator="equal">
      <formula>"Pending"</formula>
    </cfRule>
  </conditionalFormatting>
  <conditionalFormatting sqref="B27">
    <cfRule type="cellIs" dxfId="338" priority="164" operator="equal">
      <formula>"Complete"</formula>
    </cfRule>
    <cfRule type="cellIs" dxfId="337" priority="165" operator="equal">
      <formula>"Pending"</formula>
    </cfRule>
  </conditionalFormatting>
  <conditionalFormatting sqref="L43:L46">
    <cfRule type="cellIs" dxfId="336" priority="158" operator="equal">
      <formula>"Complete"</formula>
    </cfRule>
    <cfRule type="cellIs" dxfId="335" priority="159" operator="equal">
      <formula>"Pending"</formula>
    </cfRule>
  </conditionalFormatting>
  <conditionalFormatting sqref="B42">
    <cfRule type="cellIs" dxfId="334" priority="162" operator="equal">
      <formula>"Complete"</formula>
    </cfRule>
    <cfRule type="cellIs" dxfId="333" priority="163" operator="equal">
      <formula>"Pending"</formula>
    </cfRule>
  </conditionalFormatting>
  <conditionalFormatting sqref="L50 B50:B54">
    <cfRule type="cellIs" dxfId="332" priority="148" operator="equal">
      <formula>"Complete"</formula>
    </cfRule>
    <cfRule type="cellIs" dxfId="331" priority="149" operator="equal">
      <formula>"Pending"</formula>
    </cfRule>
  </conditionalFormatting>
  <conditionalFormatting sqref="L50">
    <cfRule type="cellIs" dxfId="330" priority="146" operator="equal">
      <formula>"Complete"</formula>
    </cfRule>
    <cfRule type="cellIs" dxfId="329" priority="147" operator="equal">
      <formula>"Pending"</formula>
    </cfRule>
  </conditionalFormatting>
  <conditionalFormatting sqref="B37:B38">
    <cfRule type="cellIs" dxfId="328" priority="144" operator="equal">
      <formula>"Complete"</formula>
    </cfRule>
    <cfRule type="cellIs" dxfId="327" priority="145" operator="equal">
      <formula>"Pending"</formula>
    </cfRule>
  </conditionalFormatting>
  <conditionalFormatting sqref="B39">
    <cfRule type="cellIs" dxfId="326" priority="142" operator="equal">
      <formula>"Complete"</formula>
    </cfRule>
    <cfRule type="cellIs" dxfId="325" priority="143" operator="equal">
      <formula>"Pending"</formula>
    </cfRule>
  </conditionalFormatting>
  <conditionalFormatting sqref="L4">
    <cfRule type="cellIs" dxfId="324" priority="140" operator="equal">
      <formula>"Complete"</formula>
    </cfRule>
    <cfRule type="cellIs" dxfId="323" priority="141" operator="equal">
      <formula>"Pending"</formula>
    </cfRule>
  </conditionalFormatting>
  <conditionalFormatting sqref="B4">
    <cfRule type="cellIs" dxfId="322" priority="138" operator="equal">
      <formula>"Complete"</formula>
    </cfRule>
    <cfRule type="cellIs" dxfId="321" priority="139" operator="equal">
      <formula>"Pending"</formula>
    </cfRule>
  </conditionalFormatting>
  <conditionalFormatting sqref="L51">
    <cfRule type="cellIs" dxfId="320" priority="132" operator="equal">
      <formula>"Complete"</formula>
    </cfRule>
    <cfRule type="cellIs" dxfId="319" priority="133" operator="equal">
      <formula>"Pending"</formula>
    </cfRule>
  </conditionalFormatting>
  <conditionalFormatting sqref="B62 B73">
    <cfRule type="cellIs" dxfId="318" priority="81" operator="equal">
      <formula>"Complete"</formula>
    </cfRule>
    <cfRule type="cellIs" dxfId="317" priority="82" operator="equal">
      <formula>"N/A"</formula>
    </cfRule>
    <cfRule type="cellIs" dxfId="316" priority="83" operator="equal">
      <formula>"Open"</formula>
    </cfRule>
  </conditionalFormatting>
  <conditionalFormatting sqref="B68">
    <cfRule type="cellIs" dxfId="315" priority="78" operator="equal">
      <formula>"Complete"</formula>
    </cfRule>
    <cfRule type="cellIs" dxfId="314" priority="79" operator="equal">
      <formula>"N/A"</formula>
    </cfRule>
    <cfRule type="cellIs" dxfId="313" priority="80" operator="equal">
      <formula>"Open"</formula>
    </cfRule>
  </conditionalFormatting>
  <conditionalFormatting sqref="B59 B65:B67 B71:B72 L61:L73">
    <cfRule type="cellIs" dxfId="312" priority="76" operator="equal">
      <formula>"Complete"</formula>
    </cfRule>
    <cfRule type="cellIs" dxfId="311" priority="77" operator="equal">
      <formula>"Pending"</formula>
    </cfRule>
  </conditionalFormatting>
  <conditionalFormatting sqref="B60">
    <cfRule type="cellIs" dxfId="310" priority="74" operator="equal">
      <formula>"Complete"</formula>
    </cfRule>
    <cfRule type="cellIs" dxfId="309" priority="75" operator="equal">
      <formula>"Pending"</formula>
    </cfRule>
  </conditionalFormatting>
  <conditionalFormatting sqref="B63">
    <cfRule type="cellIs" dxfId="308" priority="72" operator="equal">
      <formula>"Complete"</formula>
    </cfRule>
    <cfRule type="cellIs" dxfId="307" priority="73" operator="equal">
      <formula>"Pending"</formula>
    </cfRule>
  </conditionalFormatting>
  <conditionalFormatting sqref="B64">
    <cfRule type="cellIs" dxfId="306" priority="70" operator="equal">
      <formula>"Complete"</formula>
    </cfRule>
    <cfRule type="cellIs" dxfId="305" priority="71" operator="equal">
      <formula>"Pending"</formula>
    </cfRule>
  </conditionalFormatting>
  <conditionalFormatting sqref="B69">
    <cfRule type="cellIs" dxfId="304" priority="68" operator="equal">
      <formula>"Complete"</formula>
    </cfRule>
    <cfRule type="cellIs" dxfId="303" priority="69" operator="equal">
      <formula>"Pending"</formula>
    </cfRule>
  </conditionalFormatting>
  <conditionalFormatting sqref="B70">
    <cfRule type="cellIs" dxfId="302" priority="66" operator="equal">
      <formula>"Complete"</formula>
    </cfRule>
    <cfRule type="cellIs" dxfId="301" priority="67" operator="equal">
      <formula>"Pending"</formula>
    </cfRule>
  </conditionalFormatting>
  <conditionalFormatting sqref="B61">
    <cfRule type="cellIs" dxfId="300" priority="64" operator="equal">
      <formula>"Complete"</formula>
    </cfRule>
    <cfRule type="cellIs" dxfId="299" priority="65" operator="equal">
      <formula>"Pending"</formula>
    </cfRule>
  </conditionalFormatting>
  <conditionalFormatting sqref="L62 L73">
    <cfRule type="cellIs" dxfId="298" priority="61" operator="equal">
      <formula>"Complete"</formula>
    </cfRule>
    <cfRule type="cellIs" dxfId="297" priority="62" operator="equal">
      <formula>"N/A"</formula>
    </cfRule>
    <cfRule type="cellIs" dxfId="296" priority="63" operator="equal">
      <formula>"Open"</formula>
    </cfRule>
  </conditionalFormatting>
  <conditionalFormatting sqref="L67:L68">
    <cfRule type="cellIs" dxfId="295" priority="58" operator="equal">
      <formula>"Complete"</formula>
    </cfRule>
    <cfRule type="cellIs" dxfId="294" priority="59" operator="equal">
      <formula>"N/A"</formula>
    </cfRule>
    <cfRule type="cellIs" dxfId="293" priority="60" operator="equal">
      <formula>"Open"</formula>
    </cfRule>
  </conditionalFormatting>
  <conditionalFormatting sqref="L61">
    <cfRule type="cellIs" dxfId="292" priority="56" operator="equal">
      <formula>"Complete"</formula>
    </cfRule>
    <cfRule type="cellIs" dxfId="291" priority="57" operator="equal">
      <formula>"Pending"</formula>
    </cfRule>
  </conditionalFormatting>
  <conditionalFormatting sqref="L71:L72">
    <cfRule type="cellIs" dxfId="290" priority="54" operator="equal">
      <formula>"Complete"</formula>
    </cfRule>
    <cfRule type="cellIs" dxfId="289" priority="55" operator="equal">
      <formula>"Pending"</formula>
    </cfRule>
  </conditionalFormatting>
  <conditionalFormatting sqref="B77:B79">
    <cfRule type="cellIs" dxfId="288" priority="52" operator="equal">
      <formula>"Complete"</formula>
    </cfRule>
    <cfRule type="cellIs" dxfId="287" priority="53" operator="equal">
      <formula>"Pending"</formula>
    </cfRule>
  </conditionalFormatting>
  <conditionalFormatting sqref="B74">
    <cfRule type="cellIs" dxfId="286" priority="50" operator="equal">
      <formula>"Complete"</formula>
    </cfRule>
    <cfRule type="cellIs" dxfId="285" priority="51" operator="equal">
      <formula>"Pending"</formula>
    </cfRule>
  </conditionalFormatting>
  <conditionalFormatting sqref="B75">
    <cfRule type="cellIs" dxfId="284" priority="48" operator="equal">
      <formula>"Complete"</formula>
    </cfRule>
    <cfRule type="cellIs" dxfId="283" priority="49" operator="equal">
      <formula>"Pending"</formula>
    </cfRule>
  </conditionalFormatting>
  <conditionalFormatting sqref="B76">
    <cfRule type="cellIs" dxfId="282" priority="46" operator="equal">
      <formula>"Complete"</formula>
    </cfRule>
    <cfRule type="cellIs" dxfId="281" priority="47" operator="equal">
      <formula>"Pending"</formula>
    </cfRule>
  </conditionalFormatting>
  <conditionalFormatting sqref="L75">
    <cfRule type="cellIs" dxfId="280" priority="44" operator="equal">
      <formula>"Complete"</formula>
    </cfRule>
    <cfRule type="cellIs" dxfId="279" priority="45" operator="equal">
      <formula>"Pending"</formula>
    </cfRule>
  </conditionalFormatting>
  <conditionalFormatting sqref="L74:L79">
    <cfRule type="cellIs" dxfId="278" priority="42" operator="equal">
      <formula>"Complete"</formula>
    </cfRule>
    <cfRule type="cellIs" dxfId="277" priority="43" operator="equal">
      <formula>"Pending"</formula>
    </cfRule>
  </conditionalFormatting>
  <conditionalFormatting sqref="B80">
    <cfRule type="cellIs" dxfId="276" priority="40" operator="equal">
      <formula>"Complete"</formula>
    </cfRule>
    <cfRule type="cellIs" dxfId="275" priority="41" operator="equal">
      <formula>"Pending"</formula>
    </cfRule>
  </conditionalFormatting>
  <conditionalFormatting sqref="L80">
    <cfRule type="cellIs" dxfId="274" priority="38" operator="equal">
      <formula>"Complete"</formula>
    </cfRule>
    <cfRule type="cellIs" dxfId="273" priority="39" operator="equal">
      <formula>"Pending"</formula>
    </cfRule>
  </conditionalFormatting>
  <conditionalFormatting sqref="B14 L14">
    <cfRule type="cellIs" dxfId="272" priority="24" operator="equal">
      <formula>"Complete"</formula>
    </cfRule>
    <cfRule type="cellIs" dxfId="271" priority="25" operator="equal">
      <formula>"Pending"</formula>
    </cfRule>
  </conditionalFormatting>
  <conditionalFormatting sqref="B12">
    <cfRule type="cellIs" dxfId="270" priority="34" operator="equal">
      <formula>"Complete"</formula>
    </cfRule>
    <cfRule type="cellIs" dxfId="269" priority="35" operator="equal">
      <formula>"Pending"</formula>
    </cfRule>
  </conditionalFormatting>
  <conditionalFormatting sqref="B13">
    <cfRule type="cellIs" dxfId="268" priority="32" operator="equal">
      <formula>"Complete"</formula>
    </cfRule>
    <cfRule type="cellIs" dxfId="267" priority="33" operator="equal">
      <formula>"Pending"</formula>
    </cfRule>
  </conditionalFormatting>
  <conditionalFormatting sqref="L12">
    <cfRule type="cellIs" dxfId="266" priority="30" operator="equal">
      <formula>"Complete"</formula>
    </cfRule>
    <cfRule type="cellIs" dxfId="265" priority="31" operator="equal">
      <formula>"Pending"</formula>
    </cfRule>
  </conditionalFormatting>
  <conditionalFormatting sqref="L11:L13">
    <cfRule type="cellIs" dxfId="264" priority="28" operator="equal">
      <formula>"Complete"</formula>
    </cfRule>
    <cfRule type="cellIs" dxfId="263" priority="29" operator="equal">
      <formula>"Pending"</formula>
    </cfRule>
  </conditionalFormatting>
  <conditionalFormatting sqref="L14">
    <cfRule type="cellIs" dxfId="262" priority="22" operator="equal">
      <formula>"Complete"</formula>
    </cfRule>
    <cfRule type="cellIs" dxfId="261" priority="23" operator="equal">
      <formula>"Pending"</formula>
    </cfRule>
  </conditionalFormatting>
  <conditionalFormatting sqref="B15 L15">
    <cfRule type="cellIs" dxfId="260" priority="20" operator="equal">
      <formula>"Complete"</formula>
    </cfRule>
    <cfRule type="cellIs" dxfId="259" priority="21" operator="equal">
      <formula>"Pending"</formula>
    </cfRule>
  </conditionalFormatting>
  <conditionalFormatting sqref="B17">
    <cfRule type="cellIs" dxfId="258" priority="18" operator="equal">
      <formula>"Complete"</formula>
    </cfRule>
    <cfRule type="cellIs" dxfId="257" priority="19" operator="equal">
      <formula>"Pending"</formula>
    </cfRule>
  </conditionalFormatting>
  <conditionalFormatting sqref="L17">
    <cfRule type="cellIs" dxfId="256" priority="16" operator="equal">
      <formula>"Complete"</formula>
    </cfRule>
    <cfRule type="cellIs" dxfId="255" priority="17" operator="equal">
      <formula>"Pending"</formula>
    </cfRule>
  </conditionalFormatting>
  <conditionalFormatting sqref="B16 L16">
    <cfRule type="cellIs" dxfId="254" priority="14" operator="equal">
      <formula>"Complete"</formula>
    </cfRule>
    <cfRule type="cellIs" dxfId="253" priority="15" operator="equal">
      <formula>"Pending"</formula>
    </cfRule>
  </conditionalFormatting>
  <conditionalFormatting sqref="B11">
    <cfRule type="cellIs" dxfId="252" priority="12" operator="equal">
      <formula>"Complete"</formula>
    </cfRule>
    <cfRule type="cellIs" dxfId="251" priority="13" operator="equal">
      <formula>"Pending"</formula>
    </cfRule>
  </conditionalFormatting>
  <conditionalFormatting sqref="B20:L20">
    <cfRule type="cellIs" dxfId="250" priority="10" operator="equal">
      <formula>"Complete"</formula>
    </cfRule>
    <cfRule type="cellIs" dxfId="249" priority="11" operator="equal">
      <formula>"Pending"</formula>
    </cfRule>
  </conditionalFormatting>
  <conditionalFormatting sqref="B23">
    <cfRule type="cellIs" dxfId="248" priority="8" operator="equal">
      <formula>"Complete"</formula>
    </cfRule>
    <cfRule type="cellIs" dxfId="247" priority="9" operator="equal">
      <formula>"Pending"</formula>
    </cfRule>
  </conditionalFormatting>
  <conditionalFormatting sqref="B34">
    <cfRule type="cellIs" dxfId="246" priority="6" operator="equal">
      <formula>"Complete"</formula>
    </cfRule>
    <cfRule type="cellIs" dxfId="245" priority="7" operator="equal">
      <formula>"Pending"</formula>
    </cfRule>
  </conditionalFormatting>
  <conditionalFormatting sqref="B47:K47">
    <cfRule type="cellIs" dxfId="244" priority="2" operator="equal">
      <formula>"Complete"</formula>
    </cfRule>
    <cfRule type="cellIs" dxfId="243" priority="3" operator="equal">
      <formula>"Pending"</formula>
    </cfRule>
  </conditionalFormatting>
  <conditionalFormatting sqref="B41:K41">
    <cfRule type="cellIs" dxfId="242" priority="4" operator="equal">
      <formula>"Complete"</formula>
    </cfRule>
    <cfRule type="cellIs" dxfId="241" priority="5" operator="equal">
      <formula>"Pending"</formula>
    </cfRule>
  </conditionalFormatting>
  <conditionalFormatting sqref="B10:C10">
    <cfRule type="expression" dxfId="240" priority="1">
      <formula>$C$6="On-Premise"</formula>
    </cfRule>
  </conditionalFormatting>
  <dataValidations count="3">
    <dataValidation type="list" allowBlank="1" showInputMessage="1" showErrorMessage="1" sqref="B22 B43:B46 B77:B80 B25:B33 B36:B40 B6:B9 B61 B71:B72 B65:B67 B14:B17 B50:B54" xr:uid="{00000000-0002-0000-0B00-000000000000}">
      <formula1>"Pending, Complete, N/A"</formula1>
    </dataValidation>
    <dataValidation type="list" allowBlank="1" showInputMessage="1" showErrorMessage="1" sqref="B73 B62 B68" xr:uid="{00000000-0002-0000-0B00-000001000000}">
      <formula1>"Open, N/A, Complete"</formula1>
    </dataValidation>
    <dataValidation type="list" allowBlank="1" showInputMessage="1" showErrorMessage="1" sqref="C10" xr:uid="{1E79299C-403A-4D06-BBFB-0936D2A534FB}">
      <formula1>Region</formula1>
    </dataValidation>
  </dataValidations>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30C39-F79C-1145-9559-CB7E2E5D576D}">
  <sheetPr>
    <tabColor theme="7" tint="0.39997558519241921"/>
  </sheetPr>
  <dimension ref="B2:P22"/>
  <sheetViews>
    <sheetView showGridLines="0" workbookViewId="0">
      <selection activeCell="C17" sqref="C17"/>
    </sheetView>
  </sheetViews>
  <sheetFormatPr defaultColWidth="11.42578125" defaultRowHeight="13.9"/>
  <cols>
    <col min="1" max="1" width="3.85546875" style="9" customWidth="1"/>
    <col min="2" max="2" width="28.28515625" style="9" bestFit="1" customWidth="1"/>
    <col min="3" max="3" width="27.42578125" style="9" bestFit="1" customWidth="1"/>
    <col min="4" max="4" width="24" style="9" customWidth="1"/>
    <col min="5" max="5" width="24.140625" style="9" customWidth="1"/>
    <col min="6" max="6" width="35.7109375" style="9" bestFit="1" customWidth="1"/>
    <col min="7" max="7" width="21.28515625" style="9" bestFit="1" customWidth="1"/>
    <col min="8" max="8" width="23" style="9" bestFit="1" customWidth="1"/>
    <col min="9" max="10" width="11.42578125" style="9"/>
    <col min="11" max="11" width="33.28515625" style="9" customWidth="1"/>
    <col min="12" max="12" width="18" style="9" customWidth="1"/>
    <col min="13" max="16384" width="11.42578125" style="9"/>
  </cols>
  <sheetData>
    <row r="2" spans="2:16" ht="17.45">
      <c r="B2" s="315" t="s">
        <v>716</v>
      </c>
      <c r="C2" s="316"/>
      <c r="D2" s="316"/>
      <c r="E2" s="316"/>
      <c r="F2" s="316"/>
      <c r="G2" s="316"/>
      <c r="H2" s="316"/>
      <c r="I2" s="316"/>
      <c r="J2" s="316"/>
      <c r="K2" s="316"/>
      <c r="L2" s="316"/>
    </row>
    <row r="3" spans="2:16" ht="16.149999999999999" thickBot="1">
      <c r="B3" s="317" t="s">
        <v>717</v>
      </c>
      <c r="C3" s="318"/>
      <c r="D3" s="318"/>
      <c r="E3" s="318"/>
      <c r="F3" s="318"/>
      <c r="G3" s="318"/>
      <c r="H3" s="318"/>
      <c r="I3" s="318"/>
      <c r="J3" s="318"/>
      <c r="K3" s="318"/>
      <c r="L3" s="318"/>
    </row>
    <row r="4" spans="2:16">
      <c r="B4" s="277" t="s">
        <v>271</v>
      </c>
      <c r="C4" s="312" t="s">
        <v>272</v>
      </c>
      <c r="D4" s="313"/>
      <c r="E4" s="313"/>
      <c r="F4" s="312"/>
      <c r="G4" s="313"/>
      <c r="H4" s="313"/>
      <c r="I4" s="312" t="s">
        <v>273</v>
      </c>
      <c r="J4" s="313"/>
      <c r="K4" s="314"/>
      <c r="L4" s="39" t="s">
        <v>274</v>
      </c>
    </row>
    <row r="5" spans="2:16" ht="14.25" customHeight="1">
      <c r="B5" s="40" t="s">
        <v>275</v>
      </c>
      <c r="C5" s="300" t="s">
        <v>276</v>
      </c>
      <c r="D5" s="301"/>
      <c r="E5" s="301"/>
      <c r="F5" s="301"/>
      <c r="G5" s="301"/>
      <c r="H5" s="302"/>
      <c r="I5" s="300" t="s">
        <v>277</v>
      </c>
      <c r="J5" s="301"/>
      <c r="K5" s="301"/>
      <c r="L5" s="41">
        <v>9.3000000000000007</v>
      </c>
    </row>
    <row r="6" spans="2:16">
      <c r="B6" s="40" t="s">
        <v>275</v>
      </c>
      <c r="C6" s="300" t="s">
        <v>718</v>
      </c>
      <c r="D6" s="301"/>
      <c r="E6" s="301"/>
      <c r="F6" s="301"/>
      <c r="G6" s="301"/>
      <c r="H6" s="302"/>
      <c r="I6" s="310"/>
      <c r="J6" s="311"/>
      <c r="K6" s="311"/>
      <c r="L6" s="41"/>
    </row>
    <row r="7" spans="2:16">
      <c r="B7" s="45"/>
      <c r="C7" s="46"/>
      <c r="D7" s="46"/>
      <c r="E7" s="46"/>
      <c r="F7" s="46"/>
      <c r="G7" s="46"/>
      <c r="H7" s="46"/>
      <c r="I7" s="47"/>
      <c r="J7" s="47"/>
      <c r="K7" s="47"/>
      <c r="L7" s="41"/>
      <c r="O7" s="28" t="s">
        <v>719</v>
      </c>
      <c r="P7" s="28" t="s">
        <v>720</v>
      </c>
    </row>
    <row r="8" spans="2:16" ht="15.6">
      <c r="B8" s="317" t="s">
        <v>400</v>
      </c>
      <c r="C8" s="318"/>
      <c r="D8" s="318"/>
      <c r="E8" s="318"/>
      <c r="F8" s="318"/>
      <c r="G8" s="318"/>
      <c r="H8" s="318"/>
      <c r="I8" s="318"/>
      <c r="J8" s="318"/>
      <c r="K8" s="318"/>
      <c r="L8" s="41"/>
      <c r="O8" s="28" t="s">
        <v>721</v>
      </c>
      <c r="P8" s="28" t="s">
        <v>722</v>
      </c>
    </row>
    <row r="9" spans="2:16">
      <c r="B9" s="277" t="s">
        <v>271</v>
      </c>
      <c r="C9" s="312" t="s">
        <v>272</v>
      </c>
      <c r="D9" s="313"/>
      <c r="E9" s="313"/>
      <c r="F9" s="312"/>
      <c r="G9" s="313"/>
      <c r="H9" s="313"/>
      <c r="I9" s="312" t="s">
        <v>273</v>
      </c>
      <c r="J9" s="313"/>
      <c r="K9" s="314"/>
      <c r="L9" s="41"/>
      <c r="O9" s="28" t="s">
        <v>723</v>
      </c>
      <c r="P9" s="28" t="s">
        <v>724</v>
      </c>
    </row>
    <row r="10" spans="2:16" ht="17.100000000000001" customHeight="1">
      <c r="B10" s="40" t="s">
        <v>275</v>
      </c>
      <c r="C10" s="319" t="s">
        <v>280</v>
      </c>
      <c r="D10" s="320"/>
      <c r="E10" s="320"/>
      <c r="F10" s="320"/>
      <c r="G10" s="320"/>
      <c r="H10" s="321"/>
      <c r="I10" s="310"/>
      <c r="J10" s="311"/>
      <c r="K10" s="311"/>
      <c r="L10" s="41">
        <v>9.3000000000000007</v>
      </c>
      <c r="O10" s="28" t="s">
        <v>725</v>
      </c>
      <c r="P10" s="28" t="s">
        <v>726</v>
      </c>
    </row>
    <row r="11" spans="2:16">
      <c r="B11" s="40" t="s">
        <v>275</v>
      </c>
      <c r="C11" s="300" t="s">
        <v>727</v>
      </c>
      <c r="D11" s="301"/>
      <c r="E11" s="301"/>
      <c r="F11" s="301"/>
      <c r="G11" s="301"/>
      <c r="H11" s="302"/>
      <c r="I11" s="310"/>
      <c r="J11" s="311"/>
      <c r="K11" s="311"/>
      <c r="L11" s="41">
        <v>9.3000000000000007</v>
      </c>
      <c r="O11" s="28" t="s">
        <v>728</v>
      </c>
      <c r="P11" s="28" t="s">
        <v>729</v>
      </c>
    </row>
    <row r="12" spans="2:16" ht="14.45" thickBot="1"/>
    <row r="13" spans="2:16" ht="28.15" thickBot="1">
      <c r="B13" s="186" t="s">
        <v>730</v>
      </c>
      <c r="C13" s="219" t="s">
        <v>719</v>
      </c>
      <c r="D13" s="28" t="str">
        <f>VLOOKUP(C13,O7:P11,2,FALSE)</f>
        <v>na1</v>
      </c>
    </row>
    <row r="14" spans="2:16" ht="15.6">
      <c r="B14" s="317" t="s">
        <v>316</v>
      </c>
      <c r="C14" s="318"/>
      <c r="D14" s="318"/>
      <c r="E14" s="318"/>
      <c r="F14" s="318"/>
      <c r="G14" s="318"/>
      <c r="H14" s="318"/>
      <c r="I14" s="318"/>
      <c r="J14" s="318"/>
      <c r="K14" s="318"/>
      <c r="L14" s="41"/>
    </row>
    <row r="15" spans="2:16">
      <c r="B15" s="52"/>
      <c r="C15" s="303" t="s">
        <v>317</v>
      </c>
      <c r="D15" s="304"/>
      <c r="E15" s="304"/>
      <c r="F15" s="305" t="s">
        <v>318</v>
      </c>
      <c r="G15" s="306"/>
      <c r="H15" s="306"/>
      <c r="I15" s="53"/>
      <c r="J15" s="53"/>
      <c r="K15" s="54"/>
      <c r="L15" s="41"/>
    </row>
    <row r="16" spans="2:16">
      <c r="B16" s="55" t="s">
        <v>271</v>
      </c>
      <c r="C16" s="56" t="s">
        <v>319</v>
      </c>
      <c r="D16" s="57" t="s">
        <v>320</v>
      </c>
      <c r="E16" s="57" t="s">
        <v>321</v>
      </c>
      <c r="F16" s="58" t="s">
        <v>322</v>
      </c>
      <c r="G16" s="58" t="s">
        <v>323</v>
      </c>
      <c r="H16" s="58" t="s">
        <v>324</v>
      </c>
      <c r="I16" s="59" t="s">
        <v>325</v>
      </c>
      <c r="J16" s="59" t="s">
        <v>326</v>
      </c>
      <c r="K16" s="60" t="s">
        <v>159</v>
      </c>
      <c r="L16" s="41"/>
    </row>
    <row r="17" spans="2:12">
      <c r="B17" s="40" t="str">
        <f t="shared" ref="B17:B22" si="0">IF(UsingIntelligent="Basic", "Pending", "N/A")</f>
        <v>N/A</v>
      </c>
      <c r="C17" s="64" t="str">
        <f t="shared" ref="C17:C22" si="1">ComWS1IntelCon</f>
        <v>Intelligent Connector</v>
      </c>
      <c r="D17" s="64" t="str">
        <f t="shared" ref="D17:D22" si="2">IntelligentConnectorServername</f>
        <v>N/A</v>
      </c>
      <c r="E17" s="64" t="str">
        <f t="shared" ref="E17:E22" si="3">IntelligentConnectorIP</f>
        <v>N/A</v>
      </c>
      <c r="F17" s="21" t="str">
        <f>ComUemDatabase</f>
        <v>Workspace ONE UEM [DB]</v>
      </c>
      <c r="G17" s="21" t="str">
        <f>UemDatabase</f>
        <v>database.haramco.xyz</v>
      </c>
      <c r="H17" s="21" t="str">
        <f>UemDatabaseIp</f>
        <v>192.168.1.30</v>
      </c>
      <c r="I17" s="127" t="s">
        <v>731</v>
      </c>
      <c r="J17" s="127">
        <v>1433</v>
      </c>
      <c r="K17" s="286"/>
      <c r="L17" s="41">
        <v>9.3000000000000007</v>
      </c>
    </row>
    <row r="18" spans="2:12">
      <c r="B18" s="40" t="str">
        <f t="shared" si="0"/>
        <v>N/A</v>
      </c>
      <c r="C18" s="64" t="str">
        <f t="shared" si="1"/>
        <v>Intelligent Connector</v>
      </c>
      <c r="D18" s="64" t="str">
        <f t="shared" si="2"/>
        <v>N/A</v>
      </c>
      <c r="E18" s="64" t="str">
        <f t="shared" si="3"/>
        <v>N/A</v>
      </c>
      <c r="F18" s="21" t="str">
        <f>"api."&amp;$D$13&amp;".data.vmwservices.com"</f>
        <v>api.na1.data.vmwservices.com</v>
      </c>
      <c r="G18" s="65"/>
      <c r="H18" s="65"/>
      <c r="I18" s="127" t="s">
        <v>330</v>
      </c>
      <c r="J18" s="127">
        <v>443</v>
      </c>
      <c r="K18" s="286" t="s">
        <v>732</v>
      </c>
      <c r="L18" s="41">
        <v>9.3000000000000007</v>
      </c>
    </row>
    <row r="19" spans="2:12">
      <c r="B19" s="40" t="str">
        <f t="shared" si="0"/>
        <v>N/A</v>
      </c>
      <c r="C19" s="64" t="str">
        <f t="shared" si="1"/>
        <v>Intelligent Connector</v>
      </c>
      <c r="D19" s="64" t="str">
        <f t="shared" si="2"/>
        <v>N/A</v>
      </c>
      <c r="E19" s="64" t="str">
        <f t="shared" si="3"/>
        <v>N/A</v>
      </c>
      <c r="F19" s="21" t="str">
        <f>"eventproxy."&amp;$D$13&amp;".data.vmwservices.com"</f>
        <v>eventproxy.na1.data.vmwservices.com</v>
      </c>
      <c r="G19" s="65"/>
      <c r="H19" s="65"/>
      <c r="I19" s="127" t="s">
        <v>330</v>
      </c>
      <c r="J19" s="127">
        <v>443</v>
      </c>
      <c r="K19" s="286" t="s">
        <v>732</v>
      </c>
      <c r="L19" s="41">
        <v>9.3000000000000007</v>
      </c>
    </row>
    <row r="20" spans="2:12">
      <c r="B20" s="40" t="str">
        <f t="shared" si="0"/>
        <v>N/A</v>
      </c>
      <c r="C20" s="64" t="str">
        <f t="shared" si="1"/>
        <v>Intelligent Connector</v>
      </c>
      <c r="D20" s="64" t="str">
        <f t="shared" si="2"/>
        <v>N/A</v>
      </c>
      <c r="E20" s="64" t="str">
        <f t="shared" si="3"/>
        <v>N/A</v>
      </c>
      <c r="F20" s="21" t="str">
        <f>$D$13&amp;".data.vmwservices.com"</f>
        <v>na1.data.vmwservices.com</v>
      </c>
      <c r="G20" s="187"/>
      <c r="H20" s="187"/>
      <c r="I20" s="127" t="s">
        <v>330</v>
      </c>
      <c r="J20" s="127">
        <v>443</v>
      </c>
      <c r="K20" s="286" t="s">
        <v>732</v>
      </c>
      <c r="L20" s="41">
        <v>9.3000000000000007</v>
      </c>
    </row>
    <row r="21" spans="2:12">
      <c r="B21" s="40" t="str">
        <f t="shared" si="0"/>
        <v>N/A</v>
      </c>
      <c r="C21" s="64" t="str">
        <f t="shared" si="1"/>
        <v>Intelligent Connector</v>
      </c>
      <c r="D21" s="64" t="str">
        <f t="shared" si="2"/>
        <v>N/A</v>
      </c>
      <c r="E21" s="64" t="str">
        <f t="shared" si="3"/>
        <v>N/A</v>
      </c>
      <c r="F21" s="21" t="s">
        <v>733</v>
      </c>
      <c r="G21" s="187"/>
      <c r="H21" s="65"/>
      <c r="I21" s="127" t="s">
        <v>330</v>
      </c>
      <c r="J21" s="127">
        <v>443</v>
      </c>
      <c r="K21" s="286"/>
      <c r="L21" s="41">
        <v>9.3000000000000007</v>
      </c>
    </row>
    <row r="22" spans="2:12">
      <c r="B22" s="40" t="str">
        <f t="shared" si="0"/>
        <v>N/A</v>
      </c>
      <c r="C22" s="64" t="str">
        <f t="shared" si="1"/>
        <v>Intelligent Connector</v>
      </c>
      <c r="D22" s="64" t="str">
        <f t="shared" si="2"/>
        <v>N/A</v>
      </c>
      <c r="E22" s="64" t="str">
        <f t="shared" si="3"/>
        <v>N/A</v>
      </c>
      <c r="F22" s="21" t="s">
        <v>374</v>
      </c>
      <c r="G22" s="187"/>
      <c r="H22" s="187"/>
      <c r="I22" s="127" t="s">
        <v>330</v>
      </c>
      <c r="J22" s="127">
        <v>443</v>
      </c>
      <c r="K22" s="286" t="s">
        <v>734</v>
      </c>
      <c r="L22" s="41">
        <v>9.3000000000000007</v>
      </c>
    </row>
  </sheetData>
  <mergeCells count="20">
    <mergeCell ref="B14:K14"/>
    <mergeCell ref="C15:E15"/>
    <mergeCell ref="F15:H15"/>
    <mergeCell ref="C10:H10"/>
    <mergeCell ref="I10:K10"/>
    <mergeCell ref="C11:H11"/>
    <mergeCell ref="I11:K11"/>
    <mergeCell ref="C6:H6"/>
    <mergeCell ref="I6:K6"/>
    <mergeCell ref="B8:K8"/>
    <mergeCell ref="C9:E9"/>
    <mergeCell ref="F9:H9"/>
    <mergeCell ref="I9:K9"/>
    <mergeCell ref="C5:H5"/>
    <mergeCell ref="I5:K5"/>
    <mergeCell ref="B2:L2"/>
    <mergeCell ref="B3:L3"/>
    <mergeCell ref="C4:E4"/>
    <mergeCell ref="F4:H4"/>
    <mergeCell ref="I4:K4"/>
  </mergeCells>
  <conditionalFormatting sqref="B15">
    <cfRule type="cellIs" dxfId="239" priority="31" operator="equal">
      <formula>"Complete"</formula>
    </cfRule>
    <cfRule type="cellIs" dxfId="238" priority="32" operator="equal">
      <formula>"Pending"</formula>
    </cfRule>
  </conditionalFormatting>
  <conditionalFormatting sqref="B16">
    <cfRule type="cellIs" dxfId="237" priority="29" operator="equal">
      <formula>"Complete"</formula>
    </cfRule>
    <cfRule type="cellIs" dxfId="236" priority="30" operator="equal">
      <formula>"Pending"</formula>
    </cfRule>
  </conditionalFormatting>
  <conditionalFormatting sqref="B17:B22">
    <cfRule type="cellIs" dxfId="235" priority="27" operator="equal">
      <formula>"Complete"</formula>
    </cfRule>
    <cfRule type="cellIs" dxfId="234" priority="28" operator="equal">
      <formula>"Pending"</formula>
    </cfRule>
  </conditionalFormatting>
  <conditionalFormatting sqref="B7">
    <cfRule type="cellIs" dxfId="233" priority="24" operator="equal">
      <formula>"Complete"</formula>
    </cfRule>
    <cfRule type="cellIs" dxfId="232" priority="25" operator="equal">
      <formula>"N/A"</formula>
    </cfRule>
    <cfRule type="cellIs" dxfId="231" priority="26" operator="equal">
      <formula>"Open"</formula>
    </cfRule>
  </conditionalFormatting>
  <conditionalFormatting sqref="B3 B10:B11 B13">
    <cfRule type="cellIs" dxfId="230" priority="22" operator="equal">
      <formula>"Complete"</formula>
    </cfRule>
    <cfRule type="cellIs" dxfId="229" priority="23" operator="equal">
      <formula>"Pending"</formula>
    </cfRule>
  </conditionalFormatting>
  <conditionalFormatting sqref="B4">
    <cfRule type="cellIs" dxfId="228" priority="20" operator="equal">
      <formula>"Complete"</formula>
    </cfRule>
    <cfRule type="cellIs" dxfId="227" priority="21" operator="equal">
      <formula>"Pending"</formula>
    </cfRule>
  </conditionalFormatting>
  <conditionalFormatting sqref="B6">
    <cfRule type="cellIs" dxfId="226" priority="14" operator="equal">
      <formula>"Complete"</formula>
    </cfRule>
    <cfRule type="cellIs" dxfId="225" priority="15" operator="equal">
      <formula>"Pending"</formula>
    </cfRule>
  </conditionalFormatting>
  <conditionalFormatting sqref="B9">
    <cfRule type="cellIs" dxfId="224" priority="16" operator="equal">
      <formula>"Complete"</formula>
    </cfRule>
    <cfRule type="cellIs" dxfId="223" priority="17" operator="equal">
      <formula>"Pending"</formula>
    </cfRule>
  </conditionalFormatting>
  <conditionalFormatting sqref="L7">
    <cfRule type="cellIs" dxfId="222" priority="11" operator="equal">
      <formula>"Complete"</formula>
    </cfRule>
    <cfRule type="cellIs" dxfId="221" priority="12" operator="equal">
      <formula>"N/A"</formula>
    </cfRule>
    <cfRule type="cellIs" dxfId="220" priority="13" operator="equal">
      <formula>"Open"</formula>
    </cfRule>
  </conditionalFormatting>
  <conditionalFormatting sqref="B5">
    <cfRule type="cellIs" dxfId="219" priority="9" operator="equal">
      <formula>"Complete"</formula>
    </cfRule>
    <cfRule type="cellIs" dxfId="218" priority="10" operator="equal">
      <formula>"Pending"</formula>
    </cfRule>
  </conditionalFormatting>
  <conditionalFormatting sqref="B8">
    <cfRule type="cellIs" dxfId="217" priority="3" operator="equal">
      <formula>"Complete"</formula>
    </cfRule>
    <cfRule type="cellIs" dxfId="216" priority="4" operator="equal">
      <formula>"Pending"</formula>
    </cfRule>
  </conditionalFormatting>
  <conditionalFormatting sqref="B14">
    <cfRule type="cellIs" dxfId="215" priority="1" operator="equal">
      <formula>"Complete"</formula>
    </cfRule>
    <cfRule type="cellIs" dxfId="214" priority="2" operator="equal">
      <formula>"Pending"</formula>
    </cfRule>
  </conditionalFormatting>
  <dataValidations count="3">
    <dataValidation type="list" allowBlank="1" showInputMessage="1" showErrorMessage="1" sqref="C13" xr:uid="{3FA1850A-4BA2-5441-8503-3123AD10ABA1}">
      <formula1>$O$7:$O$11</formula1>
    </dataValidation>
    <dataValidation type="list" allowBlank="1" showInputMessage="1" showErrorMessage="1" sqref="B7" xr:uid="{FB214F80-76E4-314B-BCF6-8BEA5A7F095D}">
      <formula1>"Open, N/A, Complete"</formula1>
    </dataValidation>
    <dataValidation type="list" allowBlank="1" showInputMessage="1" showErrorMessage="1" sqref="B10:B11 B5:B6 B17:B22" xr:uid="{4932090C-5A20-B04F-A324-213CA644C373}">
      <formula1>"Pending, Complete, N/A"</formula1>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D5709-D4D9-3142-9E2F-3C1254A0AFB9}">
  <dimension ref="B1:K11"/>
  <sheetViews>
    <sheetView showGridLines="0" topLeftCell="B1" zoomScale="110" zoomScaleNormal="110" workbookViewId="0">
      <selection activeCell="C11" sqref="C11"/>
    </sheetView>
  </sheetViews>
  <sheetFormatPr defaultColWidth="11" defaultRowHeight="13.9"/>
  <cols>
    <col min="1" max="1" width="2.28515625" style="9" customWidth="1"/>
    <col min="2" max="2" width="11" style="9"/>
    <col min="3" max="3" width="23.140625" style="9" bestFit="1" customWidth="1"/>
    <col min="4" max="5" width="21.42578125" style="9" customWidth="1"/>
    <col min="6" max="6" width="20.7109375" style="9" customWidth="1"/>
    <col min="7" max="7" width="21.42578125" style="9" customWidth="1"/>
    <col min="8" max="8" width="16.42578125" style="9" customWidth="1"/>
    <col min="9" max="9" width="11" style="9"/>
    <col min="10" max="10" width="25.140625" style="9" customWidth="1"/>
    <col min="11" max="11" width="47.140625" style="9" customWidth="1"/>
    <col min="12" max="16384" width="11" style="9"/>
  </cols>
  <sheetData>
    <row r="1" spans="2:11" ht="10.5" customHeight="1"/>
    <row r="2" spans="2:11" ht="15.95" customHeight="1">
      <c r="B2" s="188" t="s">
        <v>735</v>
      </c>
      <c r="C2" s="189"/>
      <c r="D2" s="189"/>
      <c r="E2" s="189"/>
      <c r="F2" s="189"/>
      <c r="G2" s="189"/>
      <c r="H2" s="189"/>
      <c r="I2" s="189"/>
      <c r="J2" s="189"/>
      <c r="K2" s="189"/>
    </row>
    <row r="3" spans="2:11" ht="15.6">
      <c r="B3" s="307" t="s">
        <v>736</v>
      </c>
      <c r="C3" s="307"/>
      <c r="D3" s="307"/>
      <c r="E3" s="307"/>
      <c r="F3" s="307"/>
      <c r="G3" s="307"/>
      <c r="H3" s="307"/>
      <c r="I3" s="307"/>
      <c r="J3" s="307"/>
      <c r="K3" s="307"/>
    </row>
    <row r="4" spans="2:11" ht="14.25" customHeight="1">
      <c r="B4" s="40" t="s">
        <v>275</v>
      </c>
      <c r="C4" s="333" t="s">
        <v>399</v>
      </c>
      <c r="D4" s="333"/>
      <c r="E4" s="333"/>
      <c r="F4" s="333"/>
      <c r="G4" s="333"/>
      <c r="H4" s="333"/>
      <c r="I4" s="300" t="s">
        <v>277</v>
      </c>
      <c r="J4" s="301"/>
      <c r="K4" s="301"/>
    </row>
    <row r="5" spans="2:11">
      <c r="B5" s="40" t="s">
        <v>275</v>
      </c>
      <c r="C5" s="330" t="s">
        <v>255</v>
      </c>
      <c r="D5" s="330"/>
      <c r="E5" s="330"/>
      <c r="F5" s="330"/>
      <c r="G5" s="330"/>
      <c r="H5" s="330"/>
      <c r="I5" s="330"/>
      <c r="J5" s="330"/>
      <c r="K5" s="330"/>
    </row>
    <row r="7" spans="2:11" ht="15.6">
      <c r="B7" s="317" t="s">
        <v>737</v>
      </c>
      <c r="C7" s="318"/>
      <c r="D7" s="318"/>
      <c r="E7" s="318"/>
      <c r="F7" s="318"/>
      <c r="G7" s="318"/>
      <c r="H7" s="318"/>
      <c r="I7" s="318"/>
      <c r="J7" s="318"/>
      <c r="K7" s="318"/>
    </row>
    <row r="8" spans="2:11">
      <c r="B8" s="52"/>
      <c r="C8" s="348" t="s">
        <v>317</v>
      </c>
      <c r="D8" s="349"/>
      <c r="E8" s="350"/>
      <c r="F8" s="351" t="s">
        <v>318</v>
      </c>
      <c r="G8" s="352"/>
      <c r="H8" s="353"/>
      <c r="I8" s="53"/>
      <c r="J8" s="53"/>
      <c r="K8" s="53"/>
    </row>
    <row r="9" spans="2:11" ht="27.6">
      <c r="B9" s="55" t="s">
        <v>271</v>
      </c>
      <c r="C9" s="56" t="s">
        <v>319</v>
      </c>
      <c r="D9" s="57" t="s">
        <v>320</v>
      </c>
      <c r="E9" s="57" t="s">
        <v>321</v>
      </c>
      <c r="F9" s="58" t="s">
        <v>322</v>
      </c>
      <c r="G9" s="58" t="s">
        <v>323</v>
      </c>
      <c r="H9" s="58" t="s">
        <v>324</v>
      </c>
      <c r="I9" s="59" t="s">
        <v>325</v>
      </c>
      <c r="J9" s="59" t="s">
        <v>326</v>
      </c>
      <c r="K9" s="182" t="s">
        <v>159</v>
      </c>
    </row>
    <row r="10" spans="2:11">
      <c r="B10" s="40" t="str">
        <f>IF(UsingMemcached="No", "N/A", "Pending")</f>
        <v>N/A</v>
      </c>
      <c r="C10" s="106" t="str">
        <f>ComUEMCN</f>
        <v>UEM Console Server</v>
      </c>
      <c r="D10" s="106" t="str">
        <f>cnservername</f>
        <v>uemc1.haramco.xyz</v>
      </c>
      <c r="E10" s="106" t="str">
        <f>cnip</f>
        <v>192.168.1.80</v>
      </c>
      <c r="F10" s="24" t="str">
        <f>ComMemcache</f>
        <v>Memcache Server</v>
      </c>
      <c r="G10" s="137" t="str">
        <f>memcacheservername</f>
        <v>N/A</v>
      </c>
      <c r="H10" s="137" t="str">
        <f>memcacheip</f>
        <v>N/A</v>
      </c>
      <c r="I10" s="127" t="s">
        <v>327</v>
      </c>
      <c r="J10" s="84">
        <v>11211</v>
      </c>
      <c r="K10" s="87"/>
    </row>
    <row r="11" spans="2:11" ht="27.6">
      <c r="B11" s="40" t="str">
        <f>IF(UsingMemcached="No", "N/A", "Pending")</f>
        <v>N/A</v>
      </c>
      <c r="C11" s="106" t="str">
        <f>ComUEMDS</f>
        <v>UEM Device Services Server</v>
      </c>
      <c r="D11" s="106" t="str">
        <f>dsservername</f>
        <v>uds1.haramco.xyz</v>
      </c>
      <c r="E11" s="106" t="str">
        <f>dsip</f>
        <v>192.168.1.82</v>
      </c>
      <c r="F11" s="24" t="str">
        <f>ComMemcache</f>
        <v>Memcache Server</v>
      </c>
      <c r="G11" s="137" t="str">
        <f>memcacheservername</f>
        <v>N/A</v>
      </c>
      <c r="H11" s="137" t="str">
        <f>memcacheip</f>
        <v>N/A</v>
      </c>
      <c r="I11" s="127" t="s">
        <v>327</v>
      </c>
      <c r="J11" s="84">
        <v>11211</v>
      </c>
      <c r="K11" s="87"/>
    </row>
  </sheetData>
  <mergeCells count="8">
    <mergeCell ref="C8:E8"/>
    <mergeCell ref="F8:H8"/>
    <mergeCell ref="B3:K3"/>
    <mergeCell ref="C4:H4"/>
    <mergeCell ref="I4:K4"/>
    <mergeCell ref="C5:H5"/>
    <mergeCell ref="I5:K5"/>
    <mergeCell ref="B7:K7"/>
  </mergeCells>
  <conditionalFormatting sqref="B10:B11">
    <cfRule type="cellIs" dxfId="213" priority="11" operator="equal">
      <formula>"Complete"</formula>
    </cfRule>
    <cfRule type="cellIs" dxfId="212" priority="12" operator="equal">
      <formula>"Pending"</formula>
    </cfRule>
  </conditionalFormatting>
  <conditionalFormatting sqref="B9">
    <cfRule type="cellIs" dxfId="211" priority="13" operator="equal">
      <formula>"Complete"</formula>
    </cfRule>
    <cfRule type="cellIs" dxfId="210" priority="14" operator="equal">
      <formula>"Pending"</formula>
    </cfRule>
  </conditionalFormatting>
  <conditionalFormatting sqref="B8">
    <cfRule type="cellIs" dxfId="209" priority="15" operator="equal">
      <formula>"Complete"</formula>
    </cfRule>
    <cfRule type="cellIs" dxfId="208" priority="16" operator="equal">
      <formula>"Pending"</formula>
    </cfRule>
  </conditionalFormatting>
  <conditionalFormatting sqref="B3">
    <cfRule type="cellIs" dxfId="207" priority="9" operator="equal">
      <formula>"Complete"</formula>
    </cfRule>
    <cfRule type="cellIs" dxfId="206" priority="10" operator="equal">
      <formula>"Pending"</formula>
    </cfRule>
  </conditionalFormatting>
  <conditionalFormatting sqref="B5">
    <cfRule type="cellIs" dxfId="205" priority="5" operator="equal">
      <formula>"Complete"</formula>
    </cfRule>
    <cfRule type="cellIs" dxfId="204" priority="6" operator="equal">
      <formula>"Pending"</formula>
    </cfRule>
  </conditionalFormatting>
  <conditionalFormatting sqref="B4">
    <cfRule type="cellIs" dxfId="203" priority="7" operator="equal">
      <formula>"Complete"</formula>
    </cfRule>
    <cfRule type="cellIs" dxfId="202" priority="8" operator="equal">
      <formula>"Pending"</formula>
    </cfRule>
  </conditionalFormatting>
  <conditionalFormatting sqref="B7">
    <cfRule type="cellIs" dxfId="201" priority="1" operator="equal">
      <formula>"Complete"</formula>
    </cfRule>
    <cfRule type="cellIs" dxfId="200" priority="2" operator="equal">
      <formula>"Pending"</formula>
    </cfRule>
  </conditionalFormatting>
  <dataValidations count="1">
    <dataValidation type="list" allowBlank="1" showInputMessage="1" showErrorMessage="1" sqref="B4:B5 B10:B11" xr:uid="{4495BA7C-BF70-A54A-B172-3209141633AD}">
      <formula1>"Pending, Complete, N/A"</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70C0"/>
    <pageSetUpPr fitToPage="1"/>
  </sheetPr>
  <dimension ref="B2:L19"/>
  <sheetViews>
    <sheetView showGridLines="0" topLeftCell="A10" zoomScaleNormal="100" zoomScalePageLayoutView="120" workbookViewId="0">
      <selection activeCell="E19" sqref="E19"/>
    </sheetView>
  </sheetViews>
  <sheetFormatPr defaultColWidth="27.28515625" defaultRowHeight="13.9"/>
  <cols>
    <col min="1" max="1" width="3.140625" style="9" customWidth="1"/>
    <col min="2" max="2" width="11.28515625" style="9" customWidth="1"/>
    <col min="3" max="3" width="30.42578125" style="9" customWidth="1"/>
    <col min="4" max="4" width="25.7109375" style="44" customWidth="1"/>
    <col min="5" max="5" width="15.7109375" style="19" customWidth="1"/>
    <col min="6" max="6" width="33.7109375" style="9" customWidth="1"/>
    <col min="7" max="7" width="25.7109375" style="44" customWidth="1"/>
    <col min="8" max="8" width="16.140625" style="19" customWidth="1"/>
    <col min="9" max="9" width="27.28515625" style="9"/>
    <col min="10" max="10" width="22.42578125" style="9" customWidth="1"/>
    <col min="11" max="11" width="148.7109375" style="9" customWidth="1"/>
    <col min="12" max="12" width="17.7109375" style="72" bestFit="1" customWidth="1"/>
    <col min="13" max="16384" width="27.28515625" style="9"/>
  </cols>
  <sheetData>
    <row r="2" spans="2:12" ht="42" customHeight="1">
      <c r="B2" s="323" t="s">
        <v>738</v>
      </c>
      <c r="C2" s="323"/>
      <c r="D2" s="323"/>
      <c r="E2" s="323"/>
      <c r="F2" s="323"/>
      <c r="G2" s="323"/>
      <c r="H2" s="323"/>
      <c r="I2" s="323"/>
      <c r="J2" s="323"/>
      <c r="K2" s="323"/>
      <c r="L2" s="323"/>
    </row>
    <row r="3" spans="2:12" ht="16.149999999999999" thickBot="1">
      <c r="B3" s="317" t="s">
        <v>270</v>
      </c>
      <c r="C3" s="318"/>
      <c r="D3" s="318"/>
      <c r="E3" s="318"/>
      <c r="F3" s="318"/>
      <c r="G3" s="318"/>
      <c r="H3" s="318"/>
      <c r="I3" s="318"/>
      <c r="J3" s="318"/>
      <c r="K3" s="318"/>
      <c r="L3" s="318"/>
    </row>
    <row r="4" spans="2:12" ht="15" customHeight="1">
      <c r="B4" s="277" t="s">
        <v>271</v>
      </c>
      <c r="C4" s="312" t="s">
        <v>272</v>
      </c>
      <c r="D4" s="313"/>
      <c r="E4" s="313"/>
      <c r="F4" s="312"/>
      <c r="G4" s="313"/>
      <c r="H4" s="313"/>
      <c r="I4" s="312" t="s">
        <v>273</v>
      </c>
      <c r="J4" s="313"/>
      <c r="K4" s="314"/>
      <c r="L4" s="94" t="s">
        <v>274</v>
      </c>
    </row>
    <row r="5" spans="2:12" ht="17.25" customHeight="1">
      <c r="B5" s="40" t="s">
        <v>275</v>
      </c>
      <c r="C5" s="300" t="s">
        <v>739</v>
      </c>
      <c r="D5" s="301"/>
      <c r="E5" s="301"/>
      <c r="F5" s="301"/>
      <c r="G5" s="301"/>
      <c r="H5" s="302"/>
      <c r="I5" s="330" t="s">
        <v>740</v>
      </c>
      <c r="J5" s="330"/>
      <c r="K5" s="330"/>
      <c r="L5" s="190"/>
    </row>
    <row r="6" spans="2:12">
      <c r="B6" s="95"/>
      <c r="C6" s="96"/>
      <c r="D6" s="96"/>
      <c r="E6" s="96"/>
      <c r="F6" s="96"/>
      <c r="G6" s="96"/>
      <c r="H6" s="96"/>
      <c r="I6" s="97"/>
      <c r="J6" s="97"/>
      <c r="K6" s="97"/>
      <c r="L6" s="101"/>
    </row>
    <row r="7" spans="2:12" ht="15.6">
      <c r="B7" s="317" t="s">
        <v>439</v>
      </c>
      <c r="C7" s="318"/>
      <c r="D7" s="318"/>
      <c r="E7" s="318"/>
      <c r="F7" s="318"/>
      <c r="G7" s="318"/>
      <c r="H7" s="318"/>
      <c r="I7" s="318"/>
      <c r="J7" s="318"/>
      <c r="K7" s="318"/>
      <c r="L7" s="318"/>
    </row>
    <row r="8" spans="2:12">
      <c r="B8" s="277" t="s">
        <v>271</v>
      </c>
      <c r="C8" s="312" t="s">
        <v>272</v>
      </c>
      <c r="D8" s="313"/>
      <c r="E8" s="313"/>
      <c r="F8" s="312"/>
      <c r="G8" s="313"/>
      <c r="H8" s="313"/>
      <c r="I8" s="312" t="s">
        <v>273</v>
      </c>
      <c r="J8" s="313"/>
      <c r="K8" s="314"/>
      <c r="L8" s="101"/>
    </row>
    <row r="9" spans="2:12" ht="66" customHeight="1">
      <c r="B9" s="148" t="s">
        <v>275</v>
      </c>
      <c r="C9" s="300" t="s">
        <v>741</v>
      </c>
      <c r="D9" s="301"/>
      <c r="E9" s="301"/>
      <c r="F9" s="301"/>
      <c r="G9" s="301"/>
      <c r="H9" s="301"/>
      <c r="I9" s="330" t="s">
        <v>742</v>
      </c>
      <c r="J9" s="362"/>
      <c r="K9" s="362"/>
      <c r="L9" s="190"/>
    </row>
    <row r="10" spans="2:12" ht="206.25" customHeight="1">
      <c r="B10" s="40" t="s">
        <v>275</v>
      </c>
      <c r="C10" s="300" t="s">
        <v>294</v>
      </c>
      <c r="D10" s="301"/>
      <c r="E10" s="301"/>
      <c r="F10" s="301"/>
      <c r="G10" s="301"/>
      <c r="H10" s="302"/>
      <c r="I10" s="327" t="s">
        <v>743</v>
      </c>
      <c r="J10" s="328"/>
      <c r="K10" s="328"/>
      <c r="L10" s="191"/>
    </row>
    <row r="11" spans="2:12" ht="76.5" customHeight="1">
      <c r="B11" s="40" t="s">
        <v>275</v>
      </c>
      <c r="C11" s="300" t="s">
        <v>296</v>
      </c>
      <c r="D11" s="301"/>
      <c r="E11" s="301"/>
      <c r="F11" s="301"/>
      <c r="G11" s="301"/>
      <c r="H11" s="302"/>
      <c r="I11" s="327" t="s">
        <v>744</v>
      </c>
      <c r="J11" s="328"/>
      <c r="K11" s="328"/>
      <c r="L11" s="191"/>
    </row>
    <row r="12" spans="2:12" ht="35.25" customHeight="1">
      <c r="B12" s="40" t="s">
        <v>275</v>
      </c>
      <c r="C12" s="300" t="s">
        <v>745</v>
      </c>
      <c r="D12" s="301"/>
      <c r="E12" s="301"/>
      <c r="F12" s="301"/>
      <c r="G12" s="301"/>
      <c r="H12" s="302"/>
      <c r="I12" s="310" t="s">
        <v>746</v>
      </c>
      <c r="J12" s="311"/>
      <c r="K12" s="311"/>
      <c r="L12" s="191"/>
    </row>
    <row r="13" spans="2:12" ht="18" customHeight="1">
      <c r="B13" s="40" t="s">
        <v>275</v>
      </c>
      <c r="C13" s="300" t="s">
        <v>747</v>
      </c>
      <c r="D13" s="301"/>
      <c r="E13" s="301"/>
      <c r="F13" s="301"/>
      <c r="G13" s="301"/>
      <c r="H13" s="302"/>
      <c r="I13" s="310" t="s">
        <v>748</v>
      </c>
      <c r="J13" s="311"/>
      <c r="K13" s="311"/>
      <c r="L13" s="191"/>
    </row>
    <row r="14" spans="2:12" ht="18" customHeight="1">
      <c r="B14" s="40" t="s">
        <v>275</v>
      </c>
      <c r="C14" s="300" t="s">
        <v>749</v>
      </c>
      <c r="D14" s="301"/>
      <c r="E14" s="301"/>
      <c r="F14" s="301"/>
      <c r="G14" s="301"/>
      <c r="H14" s="302"/>
      <c r="I14" s="310" t="s">
        <v>750</v>
      </c>
      <c r="J14" s="311"/>
      <c r="K14" s="311"/>
      <c r="L14" s="191"/>
    </row>
    <row r="15" spans="2:12">
      <c r="B15" s="95"/>
      <c r="C15" s="96"/>
      <c r="D15" s="96"/>
      <c r="E15" s="96"/>
      <c r="F15" s="96"/>
      <c r="G15" s="96"/>
      <c r="H15" s="96"/>
      <c r="I15" s="97"/>
      <c r="J15" s="97"/>
      <c r="K15" s="97"/>
      <c r="L15" s="101"/>
    </row>
    <row r="16" spans="2:12" ht="15.6">
      <c r="B16" s="317" t="s">
        <v>316</v>
      </c>
      <c r="C16" s="318"/>
      <c r="D16" s="318"/>
      <c r="E16" s="318"/>
      <c r="F16" s="318"/>
      <c r="G16" s="318"/>
      <c r="H16" s="318"/>
      <c r="I16" s="318"/>
      <c r="J16" s="318"/>
      <c r="K16" s="318"/>
      <c r="L16" s="318"/>
    </row>
    <row r="17" spans="2:12">
      <c r="B17" s="52"/>
      <c r="C17" s="303" t="s">
        <v>317</v>
      </c>
      <c r="D17" s="304"/>
      <c r="E17" s="304"/>
      <c r="F17" s="305" t="s">
        <v>318</v>
      </c>
      <c r="G17" s="306"/>
      <c r="H17" s="306"/>
      <c r="I17" s="53"/>
      <c r="J17" s="53"/>
      <c r="K17" s="54"/>
      <c r="L17" s="101"/>
    </row>
    <row r="18" spans="2:12">
      <c r="B18" s="55" t="s">
        <v>271</v>
      </c>
      <c r="C18" s="56" t="s">
        <v>319</v>
      </c>
      <c r="D18" s="57" t="s">
        <v>320</v>
      </c>
      <c r="E18" s="57" t="s">
        <v>321</v>
      </c>
      <c r="F18" s="58" t="s">
        <v>322</v>
      </c>
      <c r="G18" s="58" t="s">
        <v>323</v>
      </c>
      <c r="H18" s="58" t="s">
        <v>324</v>
      </c>
      <c r="I18" s="59" t="s">
        <v>325</v>
      </c>
      <c r="J18" s="59" t="s">
        <v>326</v>
      </c>
      <c r="K18" s="60" t="s">
        <v>751</v>
      </c>
      <c r="L18" s="101"/>
    </row>
    <row r="19" spans="2:12" ht="27.6">
      <c r="B19" s="40" t="str">
        <f>IF(UsingIntegrationBroker="Yes", "Pending", "N/A")</f>
        <v>N/A</v>
      </c>
      <c r="C19" s="106" t="str">
        <f>ComCIB</f>
        <v>Citrix Integration Broker</v>
      </c>
      <c r="D19" s="192" t="str">
        <f>CibServerName</f>
        <v>N/A</v>
      </c>
      <c r="E19" s="86" t="str">
        <f>CibIp</f>
        <v>N/A</v>
      </c>
      <c r="F19" s="137" t="str">
        <f>ComCitrixFarm</f>
        <v>Citrix Server Farm
Provisioning Server</v>
      </c>
      <c r="G19" s="193" t="str">
        <f>CitrixFarmServerName</f>
        <v>citrixfarm.fqdn.com</v>
      </c>
      <c r="H19" s="82" t="str">
        <f>CitrixFarmIp</f>
        <v>#.#.#.#</v>
      </c>
      <c r="I19" s="84" t="s">
        <v>339</v>
      </c>
      <c r="J19" s="92" t="s">
        <v>340</v>
      </c>
      <c r="K19" s="127"/>
      <c r="L19" s="144">
        <v>8</v>
      </c>
    </row>
  </sheetData>
  <autoFilter ref="L4:L18" xr:uid="{00000000-0009-0000-0000-00000E000000}"/>
  <mergeCells count="26">
    <mergeCell ref="C13:H13"/>
    <mergeCell ref="I13:K13"/>
    <mergeCell ref="C17:E17"/>
    <mergeCell ref="F17:H17"/>
    <mergeCell ref="C10:H10"/>
    <mergeCell ref="I10:K10"/>
    <mergeCell ref="C11:H11"/>
    <mergeCell ref="I11:K11"/>
    <mergeCell ref="C12:H12"/>
    <mergeCell ref="I12:K12"/>
    <mergeCell ref="C14:H14"/>
    <mergeCell ref="I14:K14"/>
    <mergeCell ref="B16:L16"/>
    <mergeCell ref="C9:H9"/>
    <mergeCell ref="I9:K9"/>
    <mergeCell ref="C5:H5"/>
    <mergeCell ref="I5:K5"/>
    <mergeCell ref="C8:E8"/>
    <mergeCell ref="F8:H8"/>
    <mergeCell ref="I8:K8"/>
    <mergeCell ref="B7:L7"/>
    <mergeCell ref="B2:L2"/>
    <mergeCell ref="B3:L3"/>
    <mergeCell ref="C4:E4"/>
    <mergeCell ref="F4:H4"/>
    <mergeCell ref="I4:K4"/>
  </mergeCells>
  <conditionalFormatting sqref="B6">
    <cfRule type="cellIs" dxfId="199" priority="80" operator="equal">
      <formula>"Complete"</formula>
    </cfRule>
    <cfRule type="cellIs" dxfId="198" priority="81" operator="equal">
      <formula>"N/A"</formula>
    </cfRule>
    <cfRule type="cellIs" dxfId="197" priority="82" operator="equal">
      <formula>"Open"</formula>
    </cfRule>
  </conditionalFormatting>
  <conditionalFormatting sqref="B15">
    <cfRule type="cellIs" dxfId="196" priority="77" operator="equal">
      <formula>"Complete"</formula>
    </cfRule>
    <cfRule type="cellIs" dxfId="195" priority="78" operator="equal">
      <formula>"N/A"</formula>
    </cfRule>
    <cfRule type="cellIs" dxfId="194" priority="79" operator="equal">
      <formula>"Open"</formula>
    </cfRule>
  </conditionalFormatting>
  <conditionalFormatting sqref="B3 B9:B13 B5 L5:L6 L15 L8:L13 L17:L19">
    <cfRule type="cellIs" dxfId="193" priority="75" operator="equal">
      <formula>"Complete"</formula>
    </cfRule>
    <cfRule type="cellIs" dxfId="192" priority="76" operator="equal">
      <formula>"Pending"</formula>
    </cfRule>
  </conditionalFormatting>
  <conditionalFormatting sqref="B4">
    <cfRule type="cellIs" dxfId="191" priority="73" operator="equal">
      <formula>"Complete"</formula>
    </cfRule>
    <cfRule type="cellIs" dxfId="190" priority="74" operator="equal">
      <formula>"Pending"</formula>
    </cfRule>
  </conditionalFormatting>
  <conditionalFormatting sqref="B8">
    <cfRule type="cellIs" dxfId="189" priority="69" operator="equal">
      <formula>"Complete"</formula>
    </cfRule>
    <cfRule type="cellIs" dxfId="188" priority="70" operator="equal">
      <formula>"Pending"</formula>
    </cfRule>
  </conditionalFormatting>
  <conditionalFormatting sqref="B17">
    <cfRule type="cellIs" dxfId="187" priority="65" operator="equal">
      <formula>"Complete"</formula>
    </cfRule>
    <cfRule type="cellIs" dxfId="186" priority="66" operator="equal">
      <formula>"Pending"</formula>
    </cfRule>
  </conditionalFormatting>
  <conditionalFormatting sqref="B18">
    <cfRule type="cellIs" dxfId="185" priority="63" operator="equal">
      <formula>"Complete"</formula>
    </cfRule>
    <cfRule type="cellIs" dxfId="184" priority="64" operator="equal">
      <formula>"Pending"</formula>
    </cfRule>
  </conditionalFormatting>
  <conditionalFormatting sqref="L14 B14">
    <cfRule type="cellIs" dxfId="183" priority="7" operator="equal">
      <formula>"Complete"</formula>
    </cfRule>
    <cfRule type="cellIs" dxfId="182" priority="8" operator="equal">
      <formula>"Pending"</formula>
    </cfRule>
  </conditionalFormatting>
  <conditionalFormatting sqref="B7">
    <cfRule type="cellIs" dxfId="181" priority="5" operator="equal">
      <formula>"Complete"</formula>
    </cfRule>
    <cfRule type="cellIs" dxfId="180" priority="6" operator="equal">
      <formula>"Pending"</formula>
    </cfRule>
  </conditionalFormatting>
  <conditionalFormatting sqref="B16">
    <cfRule type="cellIs" dxfId="179" priority="3" operator="equal">
      <formula>"Complete"</formula>
    </cfRule>
    <cfRule type="cellIs" dxfId="178" priority="4" operator="equal">
      <formula>"Pending"</formula>
    </cfRule>
  </conditionalFormatting>
  <conditionalFormatting sqref="B19">
    <cfRule type="cellIs" dxfId="177" priority="1" operator="equal">
      <formula>"Complete"</formula>
    </cfRule>
    <cfRule type="cellIs" dxfId="176" priority="2" operator="equal">
      <formula>"Pending"</formula>
    </cfRule>
  </conditionalFormatting>
  <dataValidations count="2">
    <dataValidation type="list" allowBlank="1" showInputMessage="1" showErrorMessage="1" sqref="B15 B6" xr:uid="{00000000-0002-0000-0E00-000000000000}">
      <formula1>"Open, N/A, Complete"</formula1>
    </dataValidation>
    <dataValidation type="list" allowBlank="1" showInputMessage="1" showErrorMessage="1" sqref="B5 B9:B14 B19" xr:uid="{00000000-0002-0000-0E00-000001000000}">
      <formula1>"Pending, Complete, N/A"</formula1>
    </dataValidation>
  </dataValidations>
  <pageMargins left="0.7" right="0.7" top="0.75" bottom="0.75" header="0.3" footer="0.3"/>
  <pageSetup scale="76"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tint="0.39997558519241921"/>
  </sheetPr>
  <dimension ref="B2:L45"/>
  <sheetViews>
    <sheetView showGridLines="0" topLeftCell="A31" zoomScaleNormal="100" zoomScalePageLayoutView="90" workbookViewId="0">
      <selection activeCell="C15" sqref="C15:H15"/>
    </sheetView>
  </sheetViews>
  <sheetFormatPr defaultColWidth="11.42578125" defaultRowHeight="13.9"/>
  <cols>
    <col min="1" max="1" width="2.42578125" style="9" customWidth="1"/>
    <col min="2" max="2" width="15.28515625" style="9" customWidth="1"/>
    <col min="3" max="3" width="28.85546875" style="9" customWidth="1"/>
    <col min="4" max="4" width="24.28515625" style="9" customWidth="1"/>
    <col min="5" max="5" width="23.5703125" style="9" customWidth="1"/>
    <col min="6" max="6" width="27.42578125" style="9" customWidth="1"/>
    <col min="7" max="7" width="27" style="9" customWidth="1"/>
    <col min="8" max="8" width="25.42578125" style="9" customWidth="1"/>
    <col min="9" max="9" width="13.85546875" style="9" bestFit="1" customWidth="1"/>
    <col min="10" max="10" width="20.42578125" style="9" customWidth="1"/>
    <col min="11" max="11" width="88.85546875" style="9" customWidth="1"/>
    <col min="12" max="12" width="38" style="9" customWidth="1"/>
    <col min="13" max="16384" width="11.42578125" style="9"/>
  </cols>
  <sheetData>
    <row r="2" spans="2:12" ht="15.95" customHeight="1">
      <c r="B2" s="334" t="s">
        <v>752</v>
      </c>
      <c r="C2" s="335"/>
      <c r="D2" s="335"/>
      <c r="E2" s="335"/>
      <c r="F2" s="335"/>
      <c r="G2" s="335"/>
      <c r="H2" s="335"/>
      <c r="I2" s="335"/>
      <c r="J2" s="335"/>
      <c r="K2" s="335"/>
      <c r="L2" s="336"/>
    </row>
    <row r="3" spans="2:12" ht="16.149999999999999" thickBot="1">
      <c r="B3" s="296" t="s">
        <v>270</v>
      </c>
      <c r="C3" s="297"/>
      <c r="D3" s="297"/>
      <c r="E3" s="297"/>
      <c r="F3" s="297"/>
      <c r="G3" s="297"/>
      <c r="H3" s="297"/>
      <c r="I3" s="297"/>
      <c r="J3" s="297"/>
      <c r="K3" s="297"/>
      <c r="L3" s="340"/>
    </row>
    <row r="4" spans="2:12">
      <c r="B4" s="277" t="s">
        <v>271</v>
      </c>
      <c r="C4" s="312" t="s">
        <v>272</v>
      </c>
      <c r="D4" s="313"/>
      <c r="E4" s="313"/>
      <c r="F4" s="312"/>
      <c r="G4" s="313"/>
      <c r="H4" s="313"/>
      <c r="I4" s="344" t="s">
        <v>273</v>
      </c>
      <c r="J4" s="345"/>
      <c r="K4" s="346"/>
      <c r="L4" s="39" t="s">
        <v>274</v>
      </c>
    </row>
    <row r="5" spans="2:12" ht="15.95" customHeight="1">
      <c r="B5" s="40" t="s">
        <v>275</v>
      </c>
      <c r="C5" s="300" t="s">
        <v>399</v>
      </c>
      <c r="D5" s="301"/>
      <c r="E5" s="301"/>
      <c r="F5" s="301"/>
      <c r="G5" s="301"/>
      <c r="H5" s="302"/>
      <c r="I5" s="310" t="s">
        <v>753</v>
      </c>
      <c r="J5" s="311"/>
      <c r="K5" s="311"/>
      <c r="L5" s="117">
        <v>9.1999999999999993</v>
      </c>
    </row>
    <row r="6" spans="2:12">
      <c r="B6" s="95"/>
      <c r="C6" s="96"/>
      <c r="D6" s="96"/>
      <c r="E6" s="96"/>
      <c r="F6" s="96"/>
      <c r="G6" s="96"/>
      <c r="H6" s="96"/>
      <c r="I6" s="97"/>
      <c r="J6" s="97"/>
      <c r="K6" s="97"/>
      <c r="L6" s="118"/>
    </row>
    <row r="7" spans="2:12" ht="15.6">
      <c r="B7" s="296" t="s">
        <v>439</v>
      </c>
      <c r="C7" s="297"/>
      <c r="D7" s="297"/>
      <c r="E7" s="297"/>
      <c r="F7" s="297"/>
      <c r="G7" s="297"/>
      <c r="H7" s="297"/>
      <c r="I7" s="297"/>
      <c r="J7" s="297"/>
      <c r="K7" s="297"/>
      <c r="L7" s="340"/>
    </row>
    <row r="8" spans="2:12">
      <c r="B8" s="277" t="s">
        <v>271</v>
      </c>
      <c r="C8" s="312" t="s">
        <v>272</v>
      </c>
      <c r="D8" s="313"/>
      <c r="E8" s="313"/>
      <c r="F8" s="312"/>
      <c r="G8" s="313"/>
      <c r="H8" s="313"/>
      <c r="I8" s="312" t="s">
        <v>273</v>
      </c>
      <c r="J8" s="313"/>
      <c r="K8" s="314"/>
      <c r="L8" s="117"/>
    </row>
    <row r="9" spans="2:12" ht="15.95" customHeight="1">
      <c r="B9" s="40" t="s">
        <v>275</v>
      </c>
      <c r="C9" s="310" t="s">
        <v>754</v>
      </c>
      <c r="D9" s="311"/>
      <c r="E9" s="311"/>
      <c r="F9" s="311"/>
      <c r="G9" s="311"/>
      <c r="H9" s="332"/>
      <c r="I9" s="310" t="s">
        <v>755</v>
      </c>
      <c r="J9" s="311"/>
      <c r="K9" s="311"/>
      <c r="L9" s="117">
        <v>9.1999999999999993</v>
      </c>
    </row>
    <row r="10" spans="2:12" ht="15.95" customHeight="1">
      <c r="B10" s="40" t="s">
        <v>275</v>
      </c>
      <c r="C10" s="300" t="s">
        <v>756</v>
      </c>
      <c r="D10" s="301"/>
      <c r="E10" s="301"/>
      <c r="F10" s="301"/>
      <c r="G10" s="301"/>
      <c r="H10" s="302"/>
      <c r="I10" s="310" t="s">
        <v>757</v>
      </c>
      <c r="J10" s="311"/>
      <c r="K10" s="311"/>
      <c r="L10" s="117">
        <v>9.1999999999999993</v>
      </c>
    </row>
    <row r="11" spans="2:12" ht="30.75" customHeight="1">
      <c r="B11" s="40" t="s">
        <v>275</v>
      </c>
      <c r="C11" s="300" t="s">
        <v>758</v>
      </c>
      <c r="D11" s="301"/>
      <c r="E11" s="301"/>
      <c r="F11" s="301"/>
      <c r="G11" s="301"/>
      <c r="H11" s="302"/>
      <c r="I11" s="310" t="s">
        <v>759</v>
      </c>
      <c r="J11" s="311"/>
      <c r="K11" s="311"/>
      <c r="L11" s="117">
        <v>9.1999999999999993</v>
      </c>
    </row>
    <row r="12" spans="2:12">
      <c r="B12" s="95"/>
      <c r="C12" s="96"/>
      <c r="D12" s="96"/>
      <c r="E12" s="96"/>
      <c r="F12" s="96"/>
      <c r="G12" s="96"/>
      <c r="H12" s="96"/>
      <c r="I12" s="97"/>
      <c r="J12" s="97"/>
      <c r="K12" s="97"/>
      <c r="L12" s="117"/>
    </row>
    <row r="13" spans="2:12" ht="15.6">
      <c r="B13" s="296" t="s">
        <v>446</v>
      </c>
      <c r="C13" s="297"/>
      <c r="D13" s="297"/>
      <c r="E13" s="297"/>
      <c r="F13" s="297"/>
      <c r="G13" s="297"/>
      <c r="H13" s="297"/>
      <c r="I13" s="297"/>
      <c r="J13" s="297"/>
      <c r="K13" s="297"/>
      <c r="L13" s="340"/>
    </row>
    <row r="14" spans="2:12">
      <c r="B14" s="277" t="s">
        <v>271</v>
      </c>
      <c r="C14" s="312" t="s">
        <v>272</v>
      </c>
      <c r="D14" s="313"/>
      <c r="E14" s="313"/>
      <c r="F14" s="312"/>
      <c r="G14" s="313"/>
      <c r="H14" s="313"/>
      <c r="I14" s="312" t="s">
        <v>273</v>
      </c>
      <c r="J14" s="313"/>
      <c r="K14" s="314"/>
      <c r="L14" s="117"/>
    </row>
    <row r="15" spans="2:12">
      <c r="B15" s="40" t="s">
        <v>275</v>
      </c>
      <c r="C15" s="300" t="str">
        <f>AssistOS</f>
        <v>Windows Server 2012 R2, or Windows Server 2016</v>
      </c>
      <c r="D15" s="301"/>
      <c r="E15" s="301"/>
      <c r="F15" s="301"/>
      <c r="G15" s="301"/>
      <c r="H15" s="302"/>
      <c r="I15" s="310"/>
      <c r="J15" s="311"/>
      <c r="K15" s="311"/>
      <c r="L15" s="117">
        <v>9.1999999999999993</v>
      </c>
    </row>
    <row r="16" spans="2:12" ht="15.95" customHeight="1">
      <c r="B16" s="40" t="s">
        <v>275</v>
      </c>
      <c r="C16" s="310" t="s">
        <v>760</v>
      </c>
      <c r="D16" s="301"/>
      <c r="E16" s="301"/>
      <c r="F16" s="301"/>
      <c r="G16" s="301"/>
      <c r="H16" s="302"/>
      <c r="I16" s="310"/>
      <c r="J16" s="311"/>
      <c r="K16" s="331"/>
      <c r="L16" s="117">
        <v>9.1999999999999993</v>
      </c>
    </row>
    <row r="17" spans="2:12" ht="60.95" customHeight="1">
      <c r="B17" s="40" t="s">
        <v>275</v>
      </c>
      <c r="C17" s="300" t="s">
        <v>296</v>
      </c>
      <c r="D17" s="301"/>
      <c r="E17" s="301"/>
      <c r="F17" s="301"/>
      <c r="G17" s="301"/>
      <c r="H17" s="302"/>
      <c r="I17" s="363" t="s">
        <v>761</v>
      </c>
      <c r="J17" s="311"/>
      <c r="K17" s="331"/>
      <c r="L17" s="117">
        <v>9.1999999999999993</v>
      </c>
    </row>
    <row r="18" spans="2:12" ht="32.25" customHeight="1">
      <c r="B18" s="40" t="s">
        <v>275</v>
      </c>
      <c r="C18" s="300" t="s">
        <v>762</v>
      </c>
      <c r="D18" s="301"/>
      <c r="E18" s="301"/>
      <c r="F18" s="301"/>
      <c r="G18" s="301"/>
      <c r="H18" s="302"/>
      <c r="I18" s="310" t="s">
        <v>763</v>
      </c>
      <c r="J18" s="311"/>
      <c r="K18" s="331"/>
      <c r="L18" s="117">
        <v>9.1999999999999993</v>
      </c>
    </row>
    <row r="19" spans="2:12" ht="15.95" customHeight="1">
      <c r="B19" s="40" t="s">
        <v>275</v>
      </c>
      <c r="C19" s="300" t="s">
        <v>764</v>
      </c>
      <c r="D19" s="301"/>
      <c r="E19" s="301"/>
      <c r="F19" s="301"/>
      <c r="G19" s="301"/>
      <c r="H19" s="302"/>
      <c r="I19" s="310"/>
      <c r="J19" s="311"/>
      <c r="K19" s="331"/>
      <c r="L19" s="117">
        <v>9.1999999999999993</v>
      </c>
    </row>
    <row r="20" spans="2:12" ht="15.95" customHeight="1">
      <c r="B20" s="95"/>
      <c r="C20" s="121"/>
      <c r="D20" s="121"/>
      <c r="E20" s="121"/>
      <c r="F20" s="121"/>
      <c r="G20" s="121"/>
      <c r="H20" s="121"/>
      <c r="I20" s="122"/>
      <c r="J20" s="97"/>
      <c r="K20" s="97"/>
      <c r="L20" s="117"/>
    </row>
    <row r="21" spans="2:12" ht="15.6">
      <c r="B21" s="296" t="s">
        <v>765</v>
      </c>
      <c r="C21" s="297"/>
      <c r="D21" s="297"/>
      <c r="E21" s="297"/>
      <c r="F21" s="297"/>
      <c r="G21" s="297"/>
      <c r="H21" s="297"/>
      <c r="I21" s="297"/>
      <c r="J21" s="297"/>
      <c r="K21" s="297"/>
      <c r="L21" s="41"/>
    </row>
    <row r="22" spans="2:12">
      <c r="B22" s="277" t="s">
        <v>271</v>
      </c>
      <c r="C22" s="344" t="s">
        <v>272</v>
      </c>
      <c r="D22" s="345"/>
      <c r="E22" s="347"/>
      <c r="F22" s="344"/>
      <c r="G22" s="345"/>
      <c r="H22" s="347"/>
      <c r="I22" s="344" t="s">
        <v>273</v>
      </c>
      <c r="J22" s="345"/>
      <c r="K22" s="346"/>
      <c r="L22" s="41"/>
    </row>
    <row r="23" spans="2:12" ht="89.25" customHeight="1">
      <c r="B23" s="40" t="s">
        <v>275</v>
      </c>
      <c r="C23" s="300" t="s">
        <v>766</v>
      </c>
      <c r="D23" s="301"/>
      <c r="E23" s="301"/>
      <c r="F23" s="301"/>
      <c r="G23" s="301"/>
      <c r="H23" s="302"/>
      <c r="I23" s="310" t="s">
        <v>767</v>
      </c>
      <c r="J23" s="311"/>
      <c r="K23" s="311"/>
      <c r="L23" s="117">
        <v>9.1999999999999993</v>
      </c>
    </row>
    <row r="24" spans="2:12" ht="54" customHeight="1">
      <c r="B24" s="40" t="s">
        <v>275</v>
      </c>
      <c r="C24" s="310" t="s">
        <v>768</v>
      </c>
      <c r="D24" s="301"/>
      <c r="E24" s="301"/>
      <c r="F24" s="301"/>
      <c r="G24" s="301"/>
      <c r="H24" s="302"/>
      <c r="I24" s="310" t="s">
        <v>769</v>
      </c>
      <c r="J24" s="311"/>
      <c r="K24" s="311"/>
      <c r="L24" s="117">
        <v>9.1999999999999993</v>
      </c>
    </row>
    <row r="25" spans="2:12" ht="17.100000000000001" customHeight="1">
      <c r="B25" s="40" t="s">
        <v>44</v>
      </c>
      <c r="C25" s="310" t="s">
        <v>770</v>
      </c>
      <c r="D25" s="301"/>
      <c r="E25" s="301"/>
      <c r="F25" s="301"/>
      <c r="G25" s="301"/>
      <c r="H25" s="302"/>
      <c r="I25" s="310" t="s">
        <v>771</v>
      </c>
      <c r="J25" s="311"/>
      <c r="K25" s="311"/>
      <c r="L25" s="117">
        <v>9.1999999999999993</v>
      </c>
    </row>
    <row r="27" spans="2:12" ht="15.6">
      <c r="B27" s="296" t="s">
        <v>772</v>
      </c>
      <c r="C27" s="297"/>
      <c r="D27" s="297"/>
      <c r="E27" s="297"/>
      <c r="F27" s="297"/>
      <c r="G27" s="297"/>
      <c r="H27" s="297"/>
      <c r="I27" s="297"/>
      <c r="J27" s="297"/>
      <c r="K27" s="297"/>
      <c r="L27" s="41"/>
    </row>
    <row r="28" spans="2:12" ht="27.75" customHeight="1">
      <c r="B28" s="277" t="s">
        <v>271</v>
      </c>
      <c r="C28" s="312" t="s">
        <v>272</v>
      </c>
      <c r="D28" s="313"/>
      <c r="E28" s="313"/>
      <c r="F28" s="312"/>
      <c r="G28" s="313"/>
      <c r="H28" s="313"/>
      <c r="I28" s="312" t="s">
        <v>273</v>
      </c>
      <c r="J28" s="313"/>
      <c r="K28" s="314"/>
      <c r="L28" s="41"/>
    </row>
    <row r="29" spans="2:12">
      <c r="B29" s="40" t="s">
        <v>275</v>
      </c>
      <c r="C29" s="310" t="s">
        <v>773</v>
      </c>
      <c r="D29" s="301"/>
      <c r="E29" s="301"/>
      <c r="F29" s="301"/>
      <c r="G29" s="301"/>
      <c r="H29" s="302"/>
      <c r="I29" s="310" t="s">
        <v>774</v>
      </c>
      <c r="J29" s="311"/>
      <c r="K29" s="311"/>
      <c r="L29" s="117">
        <v>9.1999999999999993</v>
      </c>
    </row>
    <row r="30" spans="2:12">
      <c r="B30" s="40" t="s">
        <v>275</v>
      </c>
      <c r="C30" s="310" t="s">
        <v>775</v>
      </c>
      <c r="D30" s="301"/>
      <c r="E30" s="301"/>
      <c r="F30" s="301"/>
      <c r="G30" s="301"/>
      <c r="H30" s="302"/>
      <c r="I30" s="310" t="s">
        <v>776</v>
      </c>
      <c r="J30" s="311"/>
      <c r="K30" s="311"/>
      <c r="L30" s="117">
        <v>9.1999999999999993</v>
      </c>
    </row>
    <row r="31" spans="2:12">
      <c r="B31" s="40" t="s">
        <v>275</v>
      </c>
      <c r="C31" s="310" t="s">
        <v>777</v>
      </c>
      <c r="D31" s="301"/>
      <c r="E31" s="301"/>
      <c r="F31" s="301"/>
      <c r="G31" s="301"/>
      <c r="H31" s="302"/>
      <c r="I31" s="310" t="s">
        <v>778</v>
      </c>
      <c r="J31" s="311"/>
      <c r="K31" s="311"/>
      <c r="L31" s="117">
        <v>9.1999999999999993</v>
      </c>
    </row>
    <row r="32" spans="2:12" ht="26.1" customHeight="1"/>
    <row r="33" spans="2:12" ht="15.6">
      <c r="B33" s="296" t="s">
        <v>316</v>
      </c>
      <c r="C33" s="297"/>
      <c r="D33" s="297"/>
      <c r="E33" s="297"/>
      <c r="F33" s="297"/>
      <c r="G33" s="297"/>
      <c r="H33" s="297"/>
      <c r="I33" s="297"/>
      <c r="J33" s="297"/>
      <c r="K33" s="297"/>
      <c r="L33" s="340"/>
    </row>
    <row r="34" spans="2:12" ht="39.950000000000003" customHeight="1">
      <c r="B34" s="52"/>
      <c r="C34" s="303" t="s">
        <v>317</v>
      </c>
      <c r="D34" s="304"/>
      <c r="E34" s="304"/>
      <c r="F34" s="305" t="s">
        <v>318</v>
      </c>
      <c r="G34" s="306"/>
      <c r="H34" s="306"/>
      <c r="I34" s="53"/>
      <c r="J34" s="53"/>
      <c r="K34" s="54"/>
      <c r="L34" s="117"/>
    </row>
    <row r="35" spans="2:12" ht="42.95" customHeight="1">
      <c r="B35" s="55" t="s">
        <v>271</v>
      </c>
      <c r="C35" s="56" t="s">
        <v>319</v>
      </c>
      <c r="D35" s="57" t="s">
        <v>320</v>
      </c>
      <c r="E35" s="57" t="s">
        <v>321</v>
      </c>
      <c r="F35" s="58" t="s">
        <v>322</v>
      </c>
      <c r="G35" s="58" t="s">
        <v>323</v>
      </c>
      <c r="H35" s="58" t="s">
        <v>324</v>
      </c>
      <c r="I35" s="59" t="s">
        <v>325</v>
      </c>
      <c r="J35" s="59" t="s">
        <v>326</v>
      </c>
      <c r="K35" s="60" t="s">
        <v>159</v>
      </c>
      <c r="L35" s="117"/>
    </row>
    <row r="36" spans="2:12" ht="14.45">
      <c r="B36" s="40" t="str">
        <f t="shared" ref="B36:B43" si="0">IF(UsingAssist="Yes","Pending","N/A")</f>
        <v>Pending</v>
      </c>
      <c r="C36" s="106" t="str">
        <f>Devices_Internet_Name</f>
        <v>Devices on Internet or Wi-Fi</v>
      </c>
      <c r="D36" s="113"/>
      <c r="E36" s="113"/>
      <c r="F36" s="24" t="str">
        <f>ComAssistServer</f>
        <v>Ws1 Assist Core/App Server</v>
      </c>
      <c r="G36" s="265" t="str">
        <f>AssistDNS</f>
        <v>assist.haramco.xyz</v>
      </c>
      <c r="H36" s="265" t="str">
        <f>AssistIP</f>
        <v>192.168.1.87</v>
      </c>
      <c r="I36" s="127" t="s">
        <v>339</v>
      </c>
      <c r="J36" s="84" t="s">
        <v>340</v>
      </c>
      <c r="K36" s="286"/>
      <c r="L36" s="117">
        <v>9.1999999999999993</v>
      </c>
    </row>
    <row r="37" spans="2:12" ht="27.6">
      <c r="B37" s="40" t="str">
        <f t="shared" si="0"/>
        <v>Pending</v>
      </c>
      <c r="C37" s="106" t="str">
        <f>Devices_Internet_Name</f>
        <v>Devices on Internet or Wi-Fi</v>
      </c>
      <c r="D37" s="113"/>
      <c r="E37" s="113"/>
      <c r="F37" s="24" t="str">
        <f>ComAssistProctor</f>
        <v>Ws1 Assist Connection Proctor</v>
      </c>
      <c r="G37" s="24" t="str">
        <f>AssistProctorDNS</f>
        <v>assist.haramco.xyz</v>
      </c>
      <c r="H37" s="24" t="str">
        <f>AssistProctorIP</f>
        <v>192.168.1.87</v>
      </c>
      <c r="I37" s="127" t="s">
        <v>731</v>
      </c>
      <c r="J37" s="84">
        <v>8443</v>
      </c>
      <c r="K37" s="286"/>
      <c r="L37" s="117">
        <v>9.1999999999999993</v>
      </c>
    </row>
    <row r="38" spans="2:12" ht="14.45">
      <c r="B38" s="40" t="str">
        <f t="shared" si="0"/>
        <v>Pending</v>
      </c>
      <c r="C38" s="124" t="str">
        <f>ComBrowser</f>
        <v>Browser (for admin access)</v>
      </c>
      <c r="D38" s="113"/>
      <c r="E38" s="113"/>
      <c r="F38" s="24" t="str">
        <f>ComAssistServer</f>
        <v>Ws1 Assist Core/App Server</v>
      </c>
      <c r="G38" s="265" t="str">
        <f>AssistDNS</f>
        <v>assist.haramco.xyz</v>
      </c>
      <c r="H38" s="265" t="str">
        <f>AssistIP</f>
        <v>192.168.1.87</v>
      </c>
      <c r="I38" s="127" t="s">
        <v>339</v>
      </c>
      <c r="J38" s="84" t="s">
        <v>340</v>
      </c>
      <c r="K38" s="286"/>
      <c r="L38" s="117">
        <v>9.1999999999999993</v>
      </c>
    </row>
    <row r="39" spans="2:12" ht="27.6">
      <c r="B39" s="40" t="str">
        <f t="shared" si="0"/>
        <v>Pending</v>
      </c>
      <c r="C39" s="124" t="str">
        <f>ComBrowser</f>
        <v>Browser (for admin access)</v>
      </c>
      <c r="D39" s="113"/>
      <c r="E39" s="113"/>
      <c r="F39" s="24" t="str">
        <f>ComAssistProctor</f>
        <v>Ws1 Assist Connection Proctor</v>
      </c>
      <c r="G39" s="24" t="str">
        <f>AssistProctorDNS</f>
        <v>assist.haramco.xyz</v>
      </c>
      <c r="H39" s="24" t="str">
        <f>AssistProctorIP</f>
        <v>192.168.1.87</v>
      </c>
      <c r="I39" s="127" t="s">
        <v>330</v>
      </c>
      <c r="J39" s="84">
        <v>8443</v>
      </c>
      <c r="K39" s="286"/>
      <c r="L39" s="117">
        <v>9.1999999999999993</v>
      </c>
    </row>
    <row r="40" spans="2:12" ht="14.45">
      <c r="B40" s="40" t="str">
        <f t="shared" si="0"/>
        <v>Pending</v>
      </c>
      <c r="C40" s="124" t="str">
        <f>ComUEMCN</f>
        <v>UEM Console Server</v>
      </c>
      <c r="D40" s="125" t="str">
        <f>cnservername</f>
        <v>uemc1.haramco.xyz</v>
      </c>
      <c r="E40" s="125" t="str">
        <f>cnip</f>
        <v>192.168.1.80</v>
      </c>
      <c r="F40" s="24" t="str">
        <f>ComAssistServer</f>
        <v>Ws1 Assist Core/App Server</v>
      </c>
      <c r="G40" s="265" t="str">
        <f>AssistDNS</f>
        <v>assist.haramco.xyz</v>
      </c>
      <c r="H40" s="265" t="str">
        <f>AssistIP</f>
        <v>192.168.1.87</v>
      </c>
      <c r="I40" s="127" t="s">
        <v>339</v>
      </c>
      <c r="J40" s="84" t="s">
        <v>340</v>
      </c>
      <c r="K40" s="286" t="s">
        <v>779</v>
      </c>
      <c r="L40" s="117">
        <v>9.1999999999999993</v>
      </c>
    </row>
    <row r="41" spans="2:12" ht="14.45">
      <c r="B41" s="40" t="str">
        <f t="shared" si="0"/>
        <v>Pending</v>
      </c>
      <c r="C41" s="124" t="str">
        <f>ComUEMCN</f>
        <v>UEM Console Server</v>
      </c>
      <c r="D41" s="125" t="str">
        <f>cnservername</f>
        <v>uemc1.haramco.xyz</v>
      </c>
      <c r="E41" s="125" t="str">
        <f>cnip</f>
        <v>192.168.1.80</v>
      </c>
      <c r="F41" s="24" t="str">
        <f>ComAssistServer</f>
        <v>Ws1 Assist Core/App Server</v>
      </c>
      <c r="G41" s="265" t="str">
        <f>AssistDNS</f>
        <v>assist.haramco.xyz</v>
      </c>
      <c r="H41" s="265" t="str">
        <f>AssistIP</f>
        <v>192.168.1.87</v>
      </c>
      <c r="I41" s="127" t="s">
        <v>327</v>
      </c>
      <c r="J41" s="84">
        <v>8443</v>
      </c>
      <c r="K41" s="286" t="s">
        <v>779</v>
      </c>
      <c r="L41" s="117">
        <v>9.1999999999999993</v>
      </c>
    </row>
    <row r="42" spans="2:12" ht="14.45">
      <c r="B42" s="40" t="str">
        <f t="shared" si="0"/>
        <v>Pending</v>
      </c>
      <c r="C42" s="106" t="str">
        <f>ComAssistServer</f>
        <v>Ws1 Assist Core/App Server</v>
      </c>
      <c r="D42" s="107" t="str">
        <f>AssistServerName</f>
        <v>assist1.haramco.xyz</v>
      </c>
      <c r="E42" s="107" t="str">
        <f>AssistIP</f>
        <v>192.168.1.87</v>
      </c>
      <c r="F42" s="24" t="str">
        <f>ComAssistDatabase</f>
        <v>Workspace ONE Assist [DB]</v>
      </c>
      <c r="G42" s="24" t="str">
        <f>AssistDatabase</f>
        <v>assistdb.haramco.xyz</v>
      </c>
      <c r="H42" s="24" t="str">
        <f>AssistDatabaseIp</f>
        <v>192.168.1.30</v>
      </c>
      <c r="I42" s="128" t="s">
        <v>327</v>
      </c>
      <c r="J42" s="111">
        <v>1433</v>
      </c>
      <c r="K42" s="129" t="s">
        <v>780</v>
      </c>
      <c r="L42" s="117">
        <v>9.1999999999999993</v>
      </c>
    </row>
    <row r="43" spans="2:12" ht="27.6">
      <c r="B43" s="40" t="str">
        <f t="shared" si="0"/>
        <v>Pending</v>
      </c>
      <c r="C43" s="106" t="str">
        <f>ComAssistServer</f>
        <v>Ws1 Assist Core/App Server</v>
      </c>
      <c r="D43" s="107" t="str">
        <f>AssistServerName</f>
        <v>assist1.haramco.xyz</v>
      </c>
      <c r="E43" s="107" t="str">
        <f>AssistIP</f>
        <v>192.168.1.87</v>
      </c>
      <c r="F43" s="24" t="str">
        <f>ComAssistServer</f>
        <v>Ws1 Assist Core/App Server</v>
      </c>
      <c r="G43" s="265" t="str">
        <f>AssistDNS</f>
        <v>assist.haramco.xyz</v>
      </c>
      <c r="H43" s="265" t="str">
        <f>AssistIP</f>
        <v>192.168.1.87</v>
      </c>
      <c r="I43" s="128" t="s">
        <v>327</v>
      </c>
      <c r="J43" s="111" t="s">
        <v>781</v>
      </c>
      <c r="K43" s="129" t="s">
        <v>782</v>
      </c>
      <c r="L43" s="117">
        <v>9.1999999999999993</v>
      </c>
    </row>
    <row r="44" spans="2:12" ht="27.6">
      <c r="B44" s="40" t="str">
        <f>IF(UsingAssistProctor="Yes","Pending","N/A")</f>
        <v>N/A</v>
      </c>
      <c r="C44" s="106" t="str">
        <f>ComAssistServer</f>
        <v>Ws1 Assist Core/App Server</v>
      </c>
      <c r="D44" s="107" t="str">
        <f>AssistServerName</f>
        <v>assist1.haramco.xyz</v>
      </c>
      <c r="E44" s="107" t="str">
        <f>AssistIP</f>
        <v>192.168.1.87</v>
      </c>
      <c r="F44" s="24" t="str">
        <f>ComAssistProctor</f>
        <v>Ws1 Assist Connection Proctor</v>
      </c>
      <c r="G44" s="24" t="str">
        <f>AssistProctorDNS</f>
        <v>assist.haramco.xyz</v>
      </c>
      <c r="H44" s="24" t="str">
        <f>AssistProctorIP</f>
        <v>192.168.1.87</v>
      </c>
      <c r="I44" s="128" t="s">
        <v>327</v>
      </c>
      <c r="J44" s="111">
        <v>12780</v>
      </c>
      <c r="K44" s="129" t="s">
        <v>783</v>
      </c>
      <c r="L44" s="117">
        <v>9.1999999999999993</v>
      </c>
    </row>
    <row r="45" spans="2:12" ht="14.45">
      <c r="B45" s="40" t="str">
        <f>IF(UsingAssist="Yes","Pending","N/A")</f>
        <v>Pending</v>
      </c>
      <c r="C45" s="106" t="str">
        <f>ComAssistServer</f>
        <v>Ws1 Assist Core/App Server</v>
      </c>
      <c r="D45" s="107" t="str">
        <f>AssistServerName</f>
        <v>assist1.haramco.xyz</v>
      </c>
      <c r="E45" s="107" t="str">
        <f>AssistIP</f>
        <v>192.168.1.87</v>
      </c>
      <c r="F45" s="24" t="str">
        <f>ComDNS</f>
        <v>DNS Server</v>
      </c>
      <c r="G45" s="266" t="str">
        <f>DNSServerName</f>
        <v>dns.fqdn.com</v>
      </c>
      <c r="H45" s="266" t="str">
        <f>DNSIP</f>
        <v>192.168.1.31</v>
      </c>
      <c r="I45" s="128" t="s">
        <v>327</v>
      </c>
      <c r="J45" s="111">
        <v>53</v>
      </c>
      <c r="K45" s="194" t="s">
        <v>784</v>
      </c>
      <c r="L45" s="117">
        <v>9.1999999999999993</v>
      </c>
    </row>
  </sheetData>
  <mergeCells count="54">
    <mergeCell ref="C5:H5"/>
    <mergeCell ref="I5:K5"/>
    <mergeCell ref="B2:L2"/>
    <mergeCell ref="B3:L3"/>
    <mergeCell ref="C4:E4"/>
    <mergeCell ref="F4:H4"/>
    <mergeCell ref="I4:K4"/>
    <mergeCell ref="C15:H15"/>
    <mergeCell ref="I15:K15"/>
    <mergeCell ref="C8:E8"/>
    <mergeCell ref="F8:H8"/>
    <mergeCell ref="I8:K8"/>
    <mergeCell ref="C9:H9"/>
    <mergeCell ref="I9:K9"/>
    <mergeCell ref="C10:H10"/>
    <mergeCell ref="I10:K10"/>
    <mergeCell ref="C11:H11"/>
    <mergeCell ref="I11:K11"/>
    <mergeCell ref="C14:E14"/>
    <mergeCell ref="F14:H14"/>
    <mergeCell ref="I14:K14"/>
    <mergeCell ref="C16:H16"/>
    <mergeCell ref="I16:K16"/>
    <mergeCell ref="C17:H17"/>
    <mergeCell ref="I17:K17"/>
    <mergeCell ref="C18:H18"/>
    <mergeCell ref="I18:K18"/>
    <mergeCell ref="I28:K28"/>
    <mergeCell ref="C30:H30"/>
    <mergeCell ref="I30:K30"/>
    <mergeCell ref="C29:H29"/>
    <mergeCell ref="I29:K29"/>
    <mergeCell ref="C19:H19"/>
    <mergeCell ref="I19:K19"/>
    <mergeCell ref="B21:K21"/>
    <mergeCell ref="C22:E22"/>
    <mergeCell ref="F22:H22"/>
    <mergeCell ref="I22:K22"/>
    <mergeCell ref="B7:L7"/>
    <mergeCell ref="B13:L13"/>
    <mergeCell ref="B33:L33"/>
    <mergeCell ref="C34:E34"/>
    <mergeCell ref="F34:H34"/>
    <mergeCell ref="C23:H23"/>
    <mergeCell ref="I23:K23"/>
    <mergeCell ref="C24:H24"/>
    <mergeCell ref="I24:K24"/>
    <mergeCell ref="C25:H25"/>
    <mergeCell ref="I25:K25"/>
    <mergeCell ref="B27:K27"/>
    <mergeCell ref="C28:E28"/>
    <mergeCell ref="F28:H28"/>
    <mergeCell ref="C31:H31"/>
    <mergeCell ref="I31:K31"/>
  </mergeCells>
  <phoneticPr fontId="62" type="noConversion"/>
  <conditionalFormatting sqref="L36 L38 L40 L42:L44">
    <cfRule type="cellIs" dxfId="175" priority="105" operator="equal">
      <formula>"Complete"</formula>
    </cfRule>
    <cfRule type="cellIs" dxfId="174" priority="106" operator="equal">
      <formula>"Pending"</formula>
    </cfRule>
  </conditionalFormatting>
  <conditionalFormatting sqref="B8">
    <cfRule type="cellIs" dxfId="173" priority="91" operator="equal">
      <formula>"Complete"</formula>
    </cfRule>
    <cfRule type="cellIs" dxfId="172" priority="92" operator="equal">
      <formula>"Pending"</formula>
    </cfRule>
  </conditionalFormatting>
  <conditionalFormatting sqref="B34">
    <cfRule type="cellIs" dxfId="171" priority="83" operator="equal">
      <formula>"Complete"</formula>
    </cfRule>
    <cfRule type="cellIs" dxfId="170" priority="84" operator="equal">
      <formula>"Pending"</formula>
    </cfRule>
  </conditionalFormatting>
  <conditionalFormatting sqref="B35">
    <cfRule type="cellIs" dxfId="169" priority="81" operator="equal">
      <formula>"Complete"</formula>
    </cfRule>
    <cfRule type="cellIs" dxfId="168" priority="82" operator="equal">
      <formula>"Pending"</formula>
    </cfRule>
  </conditionalFormatting>
  <conditionalFormatting sqref="B3 B9:B10 L34:L35 B23:B24 L20">
    <cfRule type="cellIs" dxfId="167" priority="97" operator="equal">
      <formula>"Complete"</formula>
    </cfRule>
    <cfRule type="cellIs" dxfId="166" priority="98" operator="equal">
      <formula>"Pending"</formula>
    </cfRule>
  </conditionalFormatting>
  <conditionalFormatting sqref="B4">
    <cfRule type="cellIs" dxfId="165" priority="95" operator="equal">
      <formula>"Complete"</formula>
    </cfRule>
    <cfRule type="cellIs" dxfId="164" priority="96" operator="equal">
      <formula>"Pending"</formula>
    </cfRule>
  </conditionalFormatting>
  <conditionalFormatting sqref="B5">
    <cfRule type="cellIs" dxfId="163" priority="79" operator="equal">
      <formula>"Complete"</formula>
    </cfRule>
    <cfRule type="cellIs" dxfId="162" priority="80" operator="equal">
      <formula>"Pending"</formula>
    </cfRule>
  </conditionalFormatting>
  <conditionalFormatting sqref="B15">
    <cfRule type="cellIs" dxfId="161" priority="77" operator="equal">
      <formula>"Complete"</formula>
    </cfRule>
    <cfRule type="cellIs" dxfId="160" priority="78" operator="equal">
      <formula>"Pending"</formula>
    </cfRule>
  </conditionalFormatting>
  <conditionalFormatting sqref="B36 B38 B40 B42:B45">
    <cfRule type="cellIs" dxfId="159" priority="75" operator="equal">
      <formula>"Complete"</formula>
    </cfRule>
    <cfRule type="cellIs" dxfId="158" priority="76" operator="equal">
      <formula>"Pending"</formula>
    </cfRule>
  </conditionalFormatting>
  <conditionalFormatting sqref="L5">
    <cfRule type="cellIs" dxfId="157" priority="65" operator="equal">
      <formula>"Complete"</formula>
    </cfRule>
    <cfRule type="cellIs" dxfId="156" priority="66" operator="equal">
      <formula>"Pending"</formula>
    </cfRule>
  </conditionalFormatting>
  <conditionalFormatting sqref="L34">
    <cfRule type="cellIs" dxfId="155" priority="67" operator="equal">
      <formula>"Complete"</formula>
    </cfRule>
    <cfRule type="cellIs" dxfId="154" priority="68" operator="equal">
      <formula>"Pending"</formula>
    </cfRule>
  </conditionalFormatting>
  <conditionalFormatting sqref="L8 L12 L14">
    <cfRule type="cellIs" dxfId="153" priority="63" operator="equal">
      <formula>"Complete"</formula>
    </cfRule>
    <cfRule type="cellIs" dxfId="152" priority="64" operator="equal">
      <formula>"Pending"</formula>
    </cfRule>
  </conditionalFormatting>
  <conditionalFormatting sqref="B19">
    <cfRule type="cellIs" dxfId="151" priority="61" operator="equal">
      <formula>"Complete"</formula>
    </cfRule>
    <cfRule type="cellIs" dxfId="150" priority="62" operator="equal">
      <formula>"Pending"</formula>
    </cfRule>
  </conditionalFormatting>
  <conditionalFormatting sqref="B16">
    <cfRule type="cellIs" dxfId="149" priority="59" operator="equal">
      <formula>"Complete"</formula>
    </cfRule>
    <cfRule type="cellIs" dxfId="148" priority="60" operator="equal">
      <formula>"Pending"</formula>
    </cfRule>
  </conditionalFormatting>
  <conditionalFormatting sqref="B17:B18">
    <cfRule type="cellIs" dxfId="147" priority="57" operator="equal">
      <formula>"Complete"</formula>
    </cfRule>
    <cfRule type="cellIs" dxfId="146" priority="58" operator="equal">
      <formula>"Pending"</formula>
    </cfRule>
  </conditionalFormatting>
  <conditionalFormatting sqref="B22">
    <cfRule type="cellIs" dxfId="145" priority="55" operator="equal">
      <formula>"Complete"</formula>
    </cfRule>
    <cfRule type="cellIs" dxfId="144" priority="56" operator="equal">
      <formula>"Pending"</formula>
    </cfRule>
  </conditionalFormatting>
  <conditionalFormatting sqref="B28">
    <cfRule type="cellIs" dxfId="143" priority="45" operator="equal">
      <formula>"Complete"</formula>
    </cfRule>
    <cfRule type="cellIs" dxfId="142" priority="46" operator="equal">
      <formula>"Pending"</formula>
    </cfRule>
  </conditionalFormatting>
  <conditionalFormatting sqref="B29:B30">
    <cfRule type="cellIs" dxfId="141" priority="47" operator="equal">
      <formula>"Complete"</formula>
    </cfRule>
    <cfRule type="cellIs" dxfId="140" priority="48" operator="equal">
      <formula>"Pending"</formula>
    </cfRule>
  </conditionalFormatting>
  <conditionalFormatting sqref="B11">
    <cfRule type="cellIs" dxfId="139" priority="49" operator="equal">
      <formula>"Complete"</formula>
    </cfRule>
    <cfRule type="cellIs" dxfId="138" priority="50" operator="equal">
      <formula>"Pending"</formula>
    </cfRule>
  </conditionalFormatting>
  <conditionalFormatting sqref="L9:L11">
    <cfRule type="cellIs" dxfId="137" priority="39" operator="equal">
      <formula>"Complete"</formula>
    </cfRule>
    <cfRule type="cellIs" dxfId="136" priority="40" operator="equal">
      <formula>"Pending"</formula>
    </cfRule>
  </conditionalFormatting>
  <conditionalFormatting sqref="L15:L19">
    <cfRule type="cellIs" dxfId="135" priority="37" operator="equal">
      <formula>"Complete"</formula>
    </cfRule>
    <cfRule type="cellIs" dxfId="134" priority="38" operator="equal">
      <formula>"Pending"</formula>
    </cfRule>
  </conditionalFormatting>
  <conditionalFormatting sqref="B31">
    <cfRule type="cellIs" dxfId="133" priority="41" operator="equal">
      <formula>"Complete"</formula>
    </cfRule>
    <cfRule type="cellIs" dxfId="132" priority="42" operator="equal">
      <formula>"Pending"</formula>
    </cfRule>
  </conditionalFormatting>
  <conditionalFormatting sqref="L23:L24">
    <cfRule type="cellIs" dxfId="131" priority="35" operator="equal">
      <formula>"Complete"</formula>
    </cfRule>
    <cfRule type="cellIs" dxfId="130" priority="36" operator="equal">
      <formula>"Pending"</formula>
    </cfRule>
  </conditionalFormatting>
  <conditionalFormatting sqref="L29:L31">
    <cfRule type="cellIs" dxfId="129" priority="33" operator="equal">
      <formula>"Complete"</formula>
    </cfRule>
    <cfRule type="cellIs" dxfId="128" priority="34" operator="equal">
      <formula>"Pending"</formula>
    </cfRule>
  </conditionalFormatting>
  <conditionalFormatting sqref="L45">
    <cfRule type="cellIs" dxfId="127" priority="31" operator="equal">
      <formula>"Complete"</formula>
    </cfRule>
    <cfRule type="cellIs" dxfId="126" priority="32" operator="equal">
      <formula>"Pending"</formula>
    </cfRule>
  </conditionalFormatting>
  <conditionalFormatting sqref="B25">
    <cfRule type="cellIs" dxfId="125" priority="29" operator="equal">
      <formula>"Complete"</formula>
    </cfRule>
    <cfRule type="cellIs" dxfId="124" priority="30" operator="equal">
      <formula>"Pending"</formula>
    </cfRule>
  </conditionalFormatting>
  <conditionalFormatting sqref="L25">
    <cfRule type="cellIs" dxfId="123" priority="27" operator="equal">
      <formula>"Complete"</formula>
    </cfRule>
    <cfRule type="cellIs" dxfId="122" priority="28" operator="equal">
      <formula>"Pending"</formula>
    </cfRule>
  </conditionalFormatting>
  <conditionalFormatting sqref="B14">
    <cfRule type="cellIs" dxfId="121" priority="87" operator="equal">
      <formula>"Complete"</formula>
    </cfRule>
    <cfRule type="cellIs" dxfId="120" priority="88" operator="equal">
      <formula>"Pending"</formula>
    </cfRule>
  </conditionalFormatting>
  <conditionalFormatting sqref="B6 B20 L20">
    <cfRule type="cellIs" dxfId="119" priority="102" operator="equal">
      <formula>"Complete"</formula>
    </cfRule>
    <cfRule type="cellIs" dxfId="118" priority="103" operator="equal">
      <formula>"N/A"</formula>
    </cfRule>
    <cfRule type="cellIs" dxfId="117" priority="104" operator="equal">
      <formula>"Open"</formula>
    </cfRule>
  </conditionalFormatting>
  <conditionalFormatting sqref="B12">
    <cfRule type="cellIs" dxfId="116" priority="99" operator="equal">
      <formula>"Complete"</formula>
    </cfRule>
    <cfRule type="cellIs" dxfId="115" priority="100" operator="equal">
      <formula>"N/A"</formula>
    </cfRule>
    <cfRule type="cellIs" dxfId="114" priority="101" operator="equal">
      <formula>"Open"</formula>
    </cfRule>
  </conditionalFormatting>
  <conditionalFormatting sqref="L6">
    <cfRule type="cellIs" dxfId="113" priority="72" operator="equal">
      <formula>"Complete"</formula>
    </cfRule>
    <cfRule type="cellIs" dxfId="112" priority="73" operator="equal">
      <formula>"N/A"</formula>
    </cfRule>
    <cfRule type="cellIs" dxfId="111" priority="74" operator="equal">
      <formula>"Open"</formula>
    </cfRule>
  </conditionalFormatting>
  <conditionalFormatting sqref="L12">
    <cfRule type="cellIs" dxfId="110" priority="69" operator="equal">
      <formula>"Complete"</formula>
    </cfRule>
    <cfRule type="cellIs" dxfId="109" priority="70" operator="equal">
      <formula>"N/A"</formula>
    </cfRule>
    <cfRule type="cellIs" dxfId="108" priority="71" operator="equal">
      <formula>"Open"</formula>
    </cfRule>
  </conditionalFormatting>
  <conditionalFormatting sqref="B13">
    <cfRule type="cellIs" dxfId="107" priority="21" operator="equal">
      <formula>"Complete"</formula>
    </cfRule>
    <cfRule type="cellIs" dxfId="106" priority="22" operator="equal">
      <formula>"Pending"</formula>
    </cfRule>
  </conditionalFormatting>
  <conditionalFormatting sqref="B7">
    <cfRule type="cellIs" dxfId="105" priority="23" operator="equal">
      <formula>"Complete"</formula>
    </cfRule>
    <cfRule type="cellIs" dxfId="104" priority="24" operator="equal">
      <formula>"Pending"</formula>
    </cfRule>
  </conditionalFormatting>
  <conditionalFormatting sqref="B33">
    <cfRule type="cellIs" dxfId="103" priority="13" operator="equal">
      <formula>"Complete"</formula>
    </cfRule>
    <cfRule type="cellIs" dxfId="102" priority="14" operator="equal">
      <formula>"Pending"</formula>
    </cfRule>
  </conditionalFormatting>
  <conditionalFormatting sqref="B21">
    <cfRule type="cellIs" dxfId="101" priority="19" operator="equal">
      <formula>"Complete"</formula>
    </cfRule>
    <cfRule type="cellIs" dxfId="100" priority="20" operator="equal">
      <formula>"Pending"</formula>
    </cfRule>
  </conditionalFormatting>
  <conditionalFormatting sqref="B27">
    <cfRule type="cellIs" dxfId="99" priority="17" operator="equal">
      <formula>"Complete"</formula>
    </cfRule>
    <cfRule type="cellIs" dxfId="98" priority="18" operator="equal">
      <formula>"Pending"</formula>
    </cfRule>
  </conditionalFormatting>
  <conditionalFormatting sqref="L37">
    <cfRule type="cellIs" dxfId="97" priority="11" operator="equal">
      <formula>"Complete"</formula>
    </cfRule>
    <cfRule type="cellIs" dxfId="96" priority="12" operator="equal">
      <formula>"Pending"</formula>
    </cfRule>
  </conditionalFormatting>
  <conditionalFormatting sqref="B37">
    <cfRule type="cellIs" dxfId="95" priority="9" operator="equal">
      <formula>"Complete"</formula>
    </cfRule>
    <cfRule type="cellIs" dxfId="94" priority="10" operator="equal">
      <formula>"Pending"</formula>
    </cfRule>
  </conditionalFormatting>
  <conditionalFormatting sqref="L39">
    <cfRule type="cellIs" dxfId="93" priority="7" operator="equal">
      <formula>"Complete"</formula>
    </cfRule>
    <cfRule type="cellIs" dxfId="92" priority="8" operator="equal">
      <formula>"Pending"</formula>
    </cfRule>
  </conditionalFormatting>
  <conditionalFormatting sqref="B39">
    <cfRule type="cellIs" dxfId="91" priority="5" operator="equal">
      <formula>"Complete"</formula>
    </cfRule>
    <cfRule type="cellIs" dxfId="90" priority="6" operator="equal">
      <formula>"Pending"</formula>
    </cfRule>
  </conditionalFormatting>
  <conditionalFormatting sqref="L41">
    <cfRule type="cellIs" dxfId="89" priority="3" operator="equal">
      <formula>"Complete"</formula>
    </cfRule>
    <cfRule type="cellIs" dxfId="88" priority="4" operator="equal">
      <formula>"Pending"</formula>
    </cfRule>
  </conditionalFormatting>
  <conditionalFormatting sqref="B41">
    <cfRule type="cellIs" dxfId="87" priority="1" operator="equal">
      <formula>"Complete"</formula>
    </cfRule>
    <cfRule type="cellIs" dxfId="86" priority="2" operator="equal">
      <formula>"Pending"</formula>
    </cfRule>
  </conditionalFormatting>
  <dataValidations count="2">
    <dataValidation type="list" allowBlank="1" showInputMessage="1" showErrorMessage="1" sqref="B12 B6 B20" xr:uid="{6EE7295B-59ED-D34C-9B8A-0C8B1DA7C74C}">
      <formula1>"Open, N/A, Complete"</formula1>
    </dataValidation>
    <dataValidation type="list" allowBlank="1" showInputMessage="1" showErrorMessage="1" sqref="B5 B15:B19 B9:B11 B29:B31 B23:B25 B36:B45" xr:uid="{52E2B85D-F115-5A4C-88CA-E14A93B11837}">
      <formula1>"Pending, Complete, N/A"</formula1>
    </dataValidation>
  </dataValidation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tint="0.59999389629810485"/>
  </sheetPr>
  <dimension ref="B2:L28"/>
  <sheetViews>
    <sheetView showGridLines="0" topLeftCell="A17" workbookViewId="0">
      <selection activeCell="F25" sqref="F25"/>
    </sheetView>
  </sheetViews>
  <sheetFormatPr defaultColWidth="8.85546875" defaultRowHeight="13.9"/>
  <cols>
    <col min="1" max="1" width="3" style="9" customWidth="1"/>
    <col min="2" max="2" width="8.85546875" style="9"/>
    <col min="3" max="3" width="26.140625" style="9" bestFit="1" customWidth="1"/>
    <col min="4" max="4" width="25.7109375" style="9" customWidth="1"/>
    <col min="5" max="5" width="20.85546875" style="9" customWidth="1"/>
    <col min="6" max="6" width="35.28515625" style="9" customWidth="1"/>
    <col min="7" max="7" width="25.7109375" style="9" customWidth="1"/>
    <col min="8" max="8" width="15.7109375" style="9" customWidth="1"/>
    <col min="9" max="9" width="22.28515625" style="9" customWidth="1"/>
    <col min="10" max="10" width="22.85546875" style="9" customWidth="1"/>
    <col min="11" max="11" width="40.42578125" style="9" customWidth="1"/>
    <col min="12" max="12" width="17.7109375" style="9" bestFit="1" customWidth="1"/>
    <col min="13" max="16384" width="8.85546875" style="9"/>
  </cols>
  <sheetData>
    <row r="2" spans="2:12" ht="46.5" customHeight="1">
      <c r="B2" s="323" t="s">
        <v>785</v>
      </c>
      <c r="C2" s="323"/>
      <c r="D2" s="323"/>
      <c r="E2" s="323"/>
      <c r="F2" s="323"/>
      <c r="G2" s="323"/>
      <c r="H2" s="323"/>
      <c r="I2" s="323"/>
      <c r="J2" s="323"/>
      <c r="K2" s="323"/>
      <c r="L2" s="323"/>
    </row>
    <row r="3" spans="2:12" ht="15.6">
      <c r="B3" s="317" t="s">
        <v>270</v>
      </c>
      <c r="C3" s="318"/>
      <c r="D3" s="318"/>
      <c r="E3" s="318"/>
      <c r="F3" s="318"/>
      <c r="G3" s="318"/>
      <c r="H3" s="318"/>
      <c r="I3" s="318"/>
      <c r="J3" s="318"/>
      <c r="K3" s="318"/>
      <c r="L3" s="318"/>
    </row>
    <row r="4" spans="2:12" ht="14.45" thickBot="1">
      <c r="B4" s="277" t="s">
        <v>271</v>
      </c>
      <c r="C4" s="312" t="s">
        <v>272</v>
      </c>
      <c r="D4" s="313"/>
      <c r="E4" s="313"/>
      <c r="F4" s="312"/>
      <c r="G4" s="313"/>
      <c r="H4" s="313"/>
      <c r="I4" s="312" t="s">
        <v>273</v>
      </c>
      <c r="J4" s="313"/>
      <c r="K4" s="313"/>
      <c r="L4" s="195" t="s">
        <v>274</v>
      </c>
    </row>
    <row r="5" spans="2:12" ht="15" customHeight="1">
      <c r="B5" s="40" t="s">
        <v>275</v>
      </c>
      <c r="C5" s="364" t="s">
        <v>399</v>
      </c>
      <c r="D5" s="365"/>
      <c r="E5" s="365"/>
      <c r="F5" s="365"/>
      <c r="G5" s="365"/>
      <c r="H5" s="366"/>
      <c r="I5" s="364" t="s">
        <v>786</v>
      </c>
      <c r="J5" s="365"/>
      <c r="K5" s="365"/>
      <c r="L5" s="196" t="s">
        <v>302</v>
      </c>
    </row>
    <row r="6" spans="2:12">
      <c r="B6" s="95"/>
      <c r="C6" s="96"/>
      <c r="D6" s="96"/>
      <c r="E6" s="96"/>
      <c r="F6" s="96"/>
      <c r="G6" s="96"/>
      <c r="H6" s="96"/>
      <c r="I6" s="97"/>
      <c r="J6" s="97"/>
      <c r="K6" s="97"/>
      <c r="L6" s="197"/>
    </row>
    <row r="7" spans="2:12" ht="15.6">
      <c r="B7" s="317" t="s">
        <v>439</v>
      </c>
      <c r="C7" s="318"/>
      <c r="D7" s="318"/>
      <c r="E7" s="318"/>
      <c r="F7" s="318"/>
      <c r="G7" s="318"/>
      <c r="H7" s="318"/>
      <c r="I7" s="318"/>
      <c r="J7" s="318"/>
      <c r="K7" s="318"/>
      <c r="L7" s="318"/>
    </row>
    <row r="8" spans="2:12" ht="14.45" customHeight="1">
      <c r="B8" s="277" t="s">
        <v>271</v>
      </c>
      <c r="C8" s="312" t="s">
        <v>272</v>
      </c>
      <c r="D8" s="313"/>
      <c r="E8" s="313"/>
      <c r="F8" s="312"/>
      <c r="G8" s="313"/>
      <c r="H8" s="313"/>
      <c r="I8" s="312" t="s">
        <v>273</v>
      </c>
      <c r="J8" s="313"/>
      <c r="K8" s="314"/>
      <c r="L8" s="197"/>
    </row>
    <row r="9" spans="2:12" ht="42" customHeight="1">
      <c r="B9" s="40" t="s">
        <v>275</v>
      </c>
      <c r="C9" s="310" t="s">
        <v>686</v>
      </c>
      <c r="D9" s="311"/>
      <c r="E9" s="311"/>
      <c r="F9" s="311"/>
      <c r="G9" s="311"/>
      <c r="H9" s="332"/>
      <c r="I9" s="364" t="s">
        <v>787</v>
      </c>
      <c r="J9" s="365"/>
      <c r="K9" s="365"/>
      <c r="L9" s="197" t="s">
        <v>302</v>
      </c>
    </row>
    <row r="10" spans="2:12" ht="15" customHeight="1">
      <c r="B10" s="40" t="s">
        <v>275</v>
      </c>
      <c r="C10" s="364" t="s">
        <v>788</v>
      </c>
      <c r="D10" s="365"/>
      <c r="E10" s="365"/>
      <c r="F10" s="365"/>
      <c r="G10" s="365"/>
      <c r="H10" s="366"/>
      <c r="I10" s="364" t="s">
        <v>789</v>
      </c>
      <c r="J10" s="365"/>
      <c r="K10" s="365"/>
      <c r="L10" s="197" t="s">
        <v>302</v>
      </c>
    </row>
    <row r="11" spans="2:12">
      <c r="B11" s="95"/>
      <c r="C11" s="96"/>
      <c r="D11" s="96"/>
      <c r="E11" s="96"/>
      <c r="F11" s="96"/>
      <c r="G11" s="96"/>
      <c r="H11" s="96"/>
      <c r="I11" s="97"/>
      <c r="J11" s="97"/>
      <c r="K11" s="97"/>
      <c r="L11" s="197"/>
    </row>
    <row r="12" spans="2:12" ht="15.6">
      <c r="B12" s="317" t="s">
        <v>446</v>
      </c>
      <c r="C12" s="318"/>
      <c r="D12" s="318"/>
      <c r="E12" s="318"/>
      <c r="F12" s="318"/>
      <c r="G12" s="318"/>
      <c r="H12" s="318"/>
      <c r="I12" s="318"/>
      <c r="J12" s="318"/>
      <c r="K12" s="318"/>
      <c r="L12" s="318"/>
    </row>
    <row r="13" spans="2:12" ht="14.45" customHeight="1">
      <c r="B13" s="277" t="s">
        <v>271</v>
      </c>
      <c r="C13" s="312" t="s">
        <v>272</v>
      </c>
      <c r="D13" s="313"/>
      <c r="E13" s="313"/>
      <c r="F13" s="312"/>
      <c r="G13" s="313"/>
      <c r="H13" s="313"/>
      <c r="I13" s="312" t="s">
        <v>273</v>
      </c>
      <c r="J13" s="313"/>
      <c r="K13" s="314"/>
      <c r="L13" s="197"/>
    </row>
    <row r="14" spans="2:12" ht="30" customHeight="1">
      <c r="B14" s="40" t="s">
        <v>275</v>
      </c>
      <c r="C14" s="364" t="s">
        <v>790</v>
      </c>
      <c r="D14" s="365"/>
      <c r="E14" s="365"/>
      <c r="F14" s="365"/>
      <c r="G14" s="365"/>
      <c r="H14" s="366"/>
      <c r="I14" s="367" t="s">
        <v>791</v>
      </c>
      <c r="J14" s="368"/>
      <c r="K14" s="368"/>
      <c r="L14" s="197" t="s">
        <v>302</v>
      </c>
    </row>
    <row r="15" spans="2:12" ht="28.5" customHeight="1">
      <c r="B15" s="40" t="s">
        <v>275</v>
      </c>
      <c r="C15" s="364" t="s">
        <v>792</v>
      </c>
      <c r="D15" s="365"/>
      <c r="E15" s="365"/>
      <c r="F15" s="365"/>
      <c r="G15" s="365"/>
      <c r="H15" s="366"/>
      <c r="I15" s="367" t="str">
        <f>"For Windows &amp; Linux:  https://"&amp;D24&amp;"/AirWatch/RelayServers/PullServiceInstaller/ (see Appendix - Pull Relay Server Configuration in Windows Mobile or Android Rugged Platform Guide)"</f>
        <v>For Windows &amp; Linux:  https:///AirWatch/RelayServers/PullServiceInstaller/ (see Appendix - Pull Relay Server Configuration in Windows Mobile or Android Rugged Platform Guide)</v>
      </c>
      <c r="J15" s="368"/>
      <c r="K15" s="368"/>
      <c r="L15" s="197" t="s">
        <v>302</v>
      </c>
    </row>
    <row r="16" spans="2:12">
      <c r="B16" s="40" t="s">
        <v>275</v>
      </c>
      <c r="C16" s="364" t="s">
        <v>793</v>
      </c>
      <c r="D16" s="365"/>
      <c r="E16" s="365"/>
      <c r="F16" s="365"/>
      <c r="G16" s="365"/>
      <c r="H16" s="366"/>
      <c r="I16" s="367"/>
      <c r="J16" s="368"/>
      <c r="K16" s="368"/>
      <c r="L16" s="197" t="s">
        <v>302</v>
      </c>
    </row>
    <row r="17" spans="2:12">
      <c r="B17" s="40" t="s">
        <v>275</v>
      </c>
      <c r="C17" s="364" t="s">
        <v>794</v>
      </c>
      <c r="D17" s="365"/>
      <c r="E17" s="365"/>
      <c r="F17" s="365"/>
      <c r="G17" s="365"/>
      <c r="H17" s="366"/>
      <c r="I17" s="367"/>
      <c r="J17" s="368"/>
      <c r="K17" s="368"/>
      <c r="L17" s="197" t="s">
        <v>302</v>
      </c>
    </row>
    <row r="18" spans="2:12" ht="33.75" customHeight="1">
      <c r="B18" s="40" t="s">
        <v>275</v>
      </c>
      <c r="C18" s="364" t="s">
        <v>408</v>
      </c>
      <c r="D18" s="365"/>
      <c r="E18" s="365"/>
      <c r="F18" s="365"/>
      <c r="G18" s="365"/>
      <c r="H18" s="366"/>
      <c r="I18" s="367" t="s">
        <v>795</v>
      </c>
      <c r="J18" s="368"/>
      <c r="K18" s="368"/>
      <c r="L18" s="197" t="s">
        <v>302</v>
      </c>
    </row>
    <row r="19" spans="2:12">
      <c r="B19" s="95"/>
      <c r="C19" s="121"/>
      <c r="D19" s="121"/>
      <c r="E19" s="121"/>
      <c r="F19" s="121"/>
      <c r="G19" s="121"/>
      <c r="H19" s="121"/>
      <c r="I19" s="121"/>
      <c r="J19" s="121"/>
      <c r="K19" s="121"/>
      <c r="L19" s="197"/>
    </row>
    <row r="20" spans="2:12" ht="33.75" customHeight="1">
      <c r="B20" s="317" t="s">
        <v>316</v>
      </c>
      <c r="C20" s="318"/>
      <c r="D20" s="318"/>
      <c r="E20" s="318"/>
      <c r="F20" s="318"/>
      <c r="G20" s="318"/>
      <c r="H20" s="318"/>
      <c r="I20" s="318"/>
      <c r="J20" s="318"/>
      <c r="K20" s="318"/>
      <c r="L20" s="318"/>
    </row>
    <row r="21" spans="2:12">
      <c r="B21" s="52"/>
      <c r="C21" s="303" t="s">
        <v>317</v>
      </c>
      <c r="D21" s="304"/>
      <c r="E21" s="304"/>
      <c r="F21" s="305" t="s">
        <v>318</v>
      </c>
      <c r="G21" s="306"/>
      <c r="H21" s="306"/>
      <c r="I21" s="53"/>
      <c r="J21" s="53"/>
      <c r="K21" s="54"/>
      <c r="L21" s="197"/>
    </row>
    <row r="22" spans="2:12" ht="26.45" customHeight="1">
      <c r="B22" s="55" t="s">
        <v>271</v>
      </c>
      <c r="C22" s="56" t="s">
        <v>319</v>
      </c>
      <c r="D22" s="57" t="s">
        <v>320</v>
      </c>
      <c r="E22" s="57" t="s">
        <v>321</v>
      </c>
      <c r="F22" s="58" t="s">
        <v>322</v>
      </c>
      <c r="G22" s="58" t="s">
        <v>323</v>
      </c>
      <c r="H22" s="58" t="s">
        <v>324</v>
      </c>
      <c r="I22" s="59" t="s">
        <v>325</v>
      </c>
      <c r="J22" s="59" t="s">
        <v>326</v>
      </c>
      <c r="K22" s="60" t="s">
        <v>751</v>
      </c>
      <c r="L22" s="197"/>
    </row>
    <row r="23" spans="2:12">
      <c r="B23" s="140" t="s">
        <v>796</v>
      </c>
      <c r="C23" s="141"/>
      <c r="D23" s="141"/>
      <c r="E23" s="141"/>
      <c r="F23" s="141"/>
      <c r="G23" s="141"/>
      <c r="H23" s="141"/>
      <c r="I23" s="141"/>
      <c r="J23" s="141"/>
      <c r="K23" s="141"/>
      <c r="L23" s="101"/>
    </row>
    <row r="24" spans="2:12" ht="27" customHeight="1">
      <c r="B24" s="40" t="str">
        <f>IF(AND(deploymenttype="SaaS",UsingFtp="Yes"),"Pending","N/A")</f>
        <v>N/A</v>
      </c>
      <c r="C24" s="64" t="str">
        <f t="shared" ref="C24" si="0">Devices_Internet_Name</f>
        <v>Devices on Internet or Wi-Fi</v>
      </c>
      <c r="D24" s="61"/>
      <c r="E24" s="61"/>
      <c r="F24" s="24" t="str">
        <f>ComFTP</f>
        <v>FTP Relay Server</v>
      </c>
      <c r="G24" s="137" t="str">
        <f>FtpDNS</f>
        <v>ftpr.haramco.xyz</v>
      </c>
      <c r="H24" s="137" t="str">
        <f>FtpDnsIp</f>
        <v>192.168.1.30</v>
      </c>
      <c r="I24" s="127" t="s">
        <v>797</v>
      </c>
      <c r="J24" s="84" t="s">
        <v>798</v>
      </c>
      <c r="K24" s="286" t="s">
        <v>799</v>
      </c>
      <c r="L24" s="197" t="s">
        <v>302</v>
      </c>
    </row>
    <row r="25" spans="2:12" ht="28.15" thickBot="1">
      <c r="B25" s="40" t="str">
        <f>IF(AND(deploymenttype="SaaS",UsingFtp="Yes"),"Pending","N/A")</f>
        <v>N/A</v>
      </c>
      <c r="C25" s="106" t="str">
        <f>ComFTP</f>
        <v>FTP Relay Server</v>
      </c>
      <c r="D25" s="179" t="str">
        <f>FtpServerName</f>
        <v>ftpr.haramco.xyz</v>
      </c>
      <c r="E25" s="179" t="str">
        <f>FtpServerIp</f>
        <v>192.168.1.77</v>
      </c>
      <c r="F25" s="24" t="str">
        <f>ComUEMCN</f>
        <v>UEM Console Server</v>
      </c>
      <c r="G25" s="137" t="str">
        <f>cndns</f>
        <v>uemc.haramco.xyz</v>
      </c>
      <c r="H25" s="137" t="str">
        <f>cndnsip</f>
        <v>192.168.1.30</v>
      </c>
      <c r="I25" s="127" t="s">
        <v>797</v>
      </c>
      <c r="J25" s="84" t="s">
        <v>798</v>
      </c>
      <c r="K25" s="286" t="s">
        <v>800</v>
      </c>
      <c r="L25" s="198" t="s">
        <v>302</v>
      </c>
    </row>
    <row r="26" spans="2:12">
      <c r="B26" s="140" t="s">
        <v>801</v>
      </c>
      <c r="C26" s="143"/>
      <c r="D26" s="199"/>
      <c r="E26" s="199"/>
      <c r="F26" s="143"/>
      <c r="G26" s="199"/>
      <c r="H26" s="199"/>
      <c r="I26" s="149"/>
      <c r="J26" s="149"/>
      <c r="K26" s="149"/>
      <c r="L26" s="101"/>
    </row>
    <row r="27" spans="2:12">
      <c r="B27" s="40" t="str">
        <f>IF(AND(deploymenttype="On-Premise",UsingFtp="Yes"),"Pending","N/A")</f>
        <v>Pending</v>
      </c>
      <c r="C27" s="64" t="str">
        <f t="shared" ref="C27" si="1">Devices_Internet_Name</f>
        <v>Devices on Internet or Wi-Fi</v>
      </c>
      <c r="D27" s="200"/>
      <c r="E27" s="200"/>
      <c r="F27" s="24" t="str">
        <f>ComFTP</f>
        <v>FTP Relay Server</v>
      </c>
      <c r="G27" s="137" t="str">
        <f>FtpDNS</f>
        <v>ftpr.haramco.xyz</v>
      </c>
      <c r="H27" s="137" t="str">
        <f>FtpDnsIp</f>
        <v>192.168.1.30</v>
      </c>
      <c r="I27" s="127" t="s">
        <v>797</v>
      </c>
      <c r="J27" s="84" t="s">
        <v>798</v>
      </c>
      <c r="K27" s="286" t="s">
        <v>799</v>
      </c>
      <c r="L27" s="197"/>
    </row>
    <row r="28" spans="2:12">
      <c r="B28" s="40" t="str">
        <f>IF(AND(deploymenttype="On-Premise",UsingFtp="Yes"),"Pending","N/A")</f>
        <v>Pending</v>
      </c>
      <c r="C28" s="106" t="str">
        <f>ComUEMCN</f>
        <v>UEM Console Server</v>
      </c>
      <c r="D28" s="179" t="str">
        <f>cnservername</f>
        <v>uemc1.haramco.xyz</v>
      </c>
      <c r="E28" s="179" t="str">
        <f>cnip</f>
        <v>192.168.1.80</v>
      </c>
      <c r="F28" s="24" t="str">
        <f>ComFTP</f>
        <v>FTP Relay Server</v>
      </c>
      <c r="G28" s="137" t="str">
        <f>FtpDNS</f>
        <v>ftpr.haramco.xyz</v>
      </c>
      <c r="H28" s="137" t="str">
        <f>FtpDnsIp</f>
        <v>192.168.1.30</v>
      </c>
      <c r="I28" s="127" t="s">
        <v>797</v>
      </c>
      <c r="J28" s="84" t="s">
        <v>798</v>
      </c>
      <c r="K28" s="286" t="s">
        <v>802</v>
      </c>
      <c r="L28" s="197" t="s">
        <v>302</v>
      </c>
    </row>
  </sheetData>
  <autoFilter ref="L4:L25" xr:uid="{00000000-0009-0000-0000-000012000000}"/>
  <mergeCells count="32">
    <mergeCell ref="C5:H5"/>
    <mergeCell ref="I5:K5"/>
    <mergeCell ref="B2:L2"/>
    <mergeCell ref="B3:L3"/>
    <mergeCell ref="C4:E4"/>
    <mergeCell ref="F4:H4"/>
    <mergeCell ref="I4:K4"/>
    <mergeCell ref="I10:K10"/>
    <mergeCell ref="C13:E13"/>
    <mergeCell ref="F13:H13"/>
    <mergeCell ref="I13:K13"/>
    <mergeCell ref="C8:E8"/>
    <mergeCell ref="F8:H8"/>
    <mergeCell ref="I8:K8"/>
    <mergeCell ref="C9:H9"/>
    <mergeCell ref="I9:K9"/>
    <mergeCell ref="B7:L7"/>
    <mergeCell ref="B12:L12"/>
    <mergeCell ref="B20:L20"/>
    <mergeCell ref="C21:E21"/>
    <mergeCell ref="F21:H21"/>
    <mergeCell ref="C14:H14"/>
    <mergeCell ref="I14:K14"/>
    <mergeCell ref="C15:H15"/>
    <mergeCell ref="I15:K15"/>
    <mergeCell ref="C16:H16"/>
    <mergeCell ref="I16:K16"/>
    <mergeCell ref="C17:H17"/>
    <mergeCell ref="I17:K17"/>
    <mergeCell ref="C18:H18"/>
    <mergeCell ref="I18:K18"/>
    <mergeCell ref="C10:H10"/>
  </mergeCells>
  <conditionalFormatting sqref="B4 L27:L28">
    <cfRule type="cellIs" dxfId="85" priority="149" operator="equal">
      <formula>"Complete"</formula>
    </cfRule>
    <cfRule type="cellIs" dxfId="84" priority="150" operator="equal">
      <formula>"Pending"</formula>
    </cfRule>
  </conditionalFormatting>
  <conditionalFormatting sqref="B8">
    <cfRule type="cellIs" dxfId="83" priority="147" operator="equal">
      <formula>"Complete"</formula>
    </cfRule>
    <cfRule type="cellIs" dxfId="82" priority="148" operator="equal">
      <formula>"Pending"</formula>
    </cfRule>
  </conditionalFormatting>
  <conditionalFormatting sqref="B13">
    <cfRule type="cellIs" dxfId="81" priority="145" operator="equal">
      <formula>"Complete"</formula>
    </cfRule>
    <cfRule type="cellIs" dxfId="80" priority="146" operator="equal">
      <formula>"Pending"</formula>
    </cfRule>
  </conditionalFormatting>
  <conditionalFormatting sqref="B14:B18">
    <cfRule type="cellIs" dxfId="79" priority="137" operator="equal">
      <formula>"Complete"</formula>
    </cfRule>
    <cfRule type="cellIs" dxfId="78" priority="138" operator="equal">
      <formula>"Pending"</formula>
    </cfRule>
  </conditionalFormatting>
  <conditionalFormatting sqref="B5">
    <cfRule type="cellIs" dxfId="77" priority="135" operator="equal">
      <formula>"Complete"</formula>
    </cfRule>
    <cfRule type="cellIs" dxfId="76" priority="136" operator="equal">
      <formula>"Pending"</formula>
    </cfRule>
  </conditionalFormatting>
  <conditionalFormatting sqref="B9">
    <cfRule type="cellIs" dxfId="75" priority="133" operator="equal">
      <formula>"Complete"</formula>
    </cfRule>
    <cfRule type="cellIs" dxfId="74" priority="134" operator="equal">
      <formula>"Pending"</formula>
    </cfRule>
  </conditionalFormatting>
  <conditionalFormatting sqref="B10">
    <cfRule type="cellIs" dxfId="73" priority="131" operator="equal">
      <formula>"Complete"</formula>
    </cfRule>
    <cfRule type="cellIs" dxfId="72" priority="132" operator="equal">
      <formula>"Pending"</formula>
    </cfRule>
  </conditionalFormatting>
  <conditionalFormatting sqref="L5:L6 L8:L11 L13:L19">
    <cfRule type="cellIs" dxfId="71" priority="129" operator="equal">
      <formula>"Complete"</formula>
    </cfRule>
    <cfRule type="cellIs" dxfId="70" priority="130" operator="equal">
      <formula>"Pending"</formula>
    </cfRule>
  </conditionalFormatting>
  <conditionalFormatting sqref="L5:L6 L8:L11 L13:L19">
    <cfRule type="cellIs" dxfId="69" priority="127" operator="equal">
      <formula>"Complete"</formula>
    </cfRule>
    <cfRule type="cellIs" dxfId="68" priority="128" operator="equal">
      <formula>"Pending"</formula>
    </cfRule>
  </conditionalFormatting>
  <conditionalFormatting sqref="L9">
    <cfRule type="cellIs" dxfId="67" priority="125" operator="equal">
      <formula>"Complete"</formula>
    </cfRule>
    <cfRule type="cellIs" dxfId="66" priority="126" operator="equal">
      <formula>"Pending"</formula>
    </cfRule>
  </conditionalFormatting>
  <conditionalFormatting sqref="L9">
    <cfRule type="cellIs" dxfId="65" priority="123" operator="equal">
      <formula>"Complete"</formula>
    </cfRule>
    <cfRule type="cellIs" dxfId="64" priority="124" operator="equal">
      <formula>"Pending"</formula>
    </cfRule>
  </conditionalFormatting>
  <conditionalFormatting sqref="L10">
    <cfRule type="cellIs" dxfId="63" priority="121" operator="equal">
      <formula>"Complete"</formula>
    </cfRule>
    <cfRule type="cellIs" dxfId="62" priority="122" operator="equal">
      <formula>"Pending"</formula>
    </cfRule>
  </conditionalFormatting>
  <conditionalFormatting sqref="L10">
    <cfRule type="cellIs" dxfId="61" priority="119" operator="equal">
      <formula>"Complete"</formula>
    </cfRule>
    <cfRule type="cellIs" dxfId="60" priority="120" operator="equal">
      <formula>"Pending"</formula>
    </cfRule>
  </conditionalFormatting>
  <conditionalFormatting sqref="L14">
    <cfRule type="cellIs" dxfId="59" priority="117" operator="equal">
      <formula>"Complete"</formula>
    </cfRule>
    <cfRule type="cellIs" dxfId="58" priority="118" operator="equal">
      <formula>"Pending"</formula>
    </cfRule>
  </conditionalFormatting>
  <conditionalFormatting sqref="L14">
    <cfRule type="cellIs" dxfId="57" priority="115" operator="equal">
      <formula>"Complete"</formula>
    </cfRule>
    <cfRule type="cellIs" dxfId="56" priority="116" operator="equal">
      <formula>"Pending"</formula>
    </cfRule>
  </conditionalFormatting>
  <conditionalFormatting sqref="L15">
    <cfRule type="cellIs" dxfId="55" priority="113" operator="equal">
      <formula>"Complete"</formula>
    </cfRule>
    <cfRule type="cellIs" dxfId="54" priority="114" operator="equal">
      <formula>"Pending"</formula>
    </cfRule>
  </conditionalFormatting>
  <conditionalFormatting sqref="L15">
    <cfRule type="cellIs" dxfId="53" priority="111" operator="equal">
      <formula>"Complete"</formula>
    </cfRule>
    <cfRule type="cellIs" dxfId="52" priority="112" operator="equal">
      <formula>"Pending"</formula>
    </cfRule>
  </conditionalFormatting>
  <conditionalFormatting sqref="L16">
    <cfRule type="cellIs" dxfId="51" priority="109" operator="equal">
      <formula>"Complete"</formula>
    </cfRule>
    <cfRule type="cellIs" dxfId="50" priority="110" operator="equal">
      <formula>"Pending"</formula>
    </cfRule>
  </conditionalFormatting>
  <conditionalFormatting sqref="L16">
    <cfRule type="cellIs" dxfId="49" priority="107" operator="equal">
      <formula>"Complete"</formula>
    </cfRule>
    <cfRule type="cellIs" dxfId="48" priority="108" operator="equal">
      <formula>"Pending"</formula>
    </cfRule>
  </conditionalFormatting>
  <conditionalFormatting sqref="L17">
    <cfRule type="cellIs" dxfId="47" priority="105" operator="equal">
      <formula>"Complete"</formula>
    </cfRule>
    <cfRule type="cellIs" dxfId="46" priority="106" operator="equal">
      <formula>"Pending"</formula>
    </cfRule>
  </conditionalFormatting>
  <conditionalFormatting sqref="L17">
    <cfRule type="cellIs" dxfId="45" priority="103" operator="equal">
      <formula>"Complete"</formula>
    </cfRule>
    <cfRule type="cellIs" dxfId="44" priority="104" operator="equal">
      <formula>"Pending"</formula>
    </cfRule>
  </conditionalFormatting>
  <conditionalFormatting sqref="L18">
    <cfRule type="cellIs" dxfId="43" priority="101" operator="equal">
      <formula>"Complete"</formula>
    </cfRule>
    <cfRule type="cellIs" dxfId="42" priority="102" operator="equal">
      <formula>"Pending"</formula>
    </cfRule>
  </conditionalFormatting>
  <conditionalFormatting sqref="L18">
    <cfRule type="cellIs" dxfId="41" priority="99" operator="equal">
      <formula>"Complete"</formula>
    </cfRule>
    <cfRule type="cellIs" dxfId="40" priority="100" operator="equal">
      <formula>"Pending"</formula>
    </cfRule>
  </conditionalFormatting>
  <conditionalFormatting sqref="B3">
    <cfRule type="cellIs" dxfId="39" priority="79" operator="equal">
      <formula>"Complete"</formula>
    </cfRule>
    <cfRule type="cellIs" dxfId="38" priority="80" operator="equal">
      <formula>"Pending"</formula>
    </cfRule>
  </conditionalFormatting>
  <conditionalFormatting sqref="L25:L26 B25">
    <cfRule type="cellIs" dxfId="37" priority="75" operator="equal">
      <formula>"Complete"</formula>
    </cfRule>
    <cfRule type="cellIs" dxfId="36" priority="76" operator="equal">
      <formula>"Pending"</formula>
    </cfRule>
  </conditionalFormatting>
  <conditionalFormatting sqref="B21">
    <cfRule type="cellIs" dxfId="35" priority="73" operator="equal">
      <formula>"Complete"</formula>
    </cfRule>
    <cfRule type="cellIs" dxfId="34" priority="74" operator="equal">
      <formula>"Pending"</formula>
    </cfRule>
  </conditionalFormatting>
  <conditionalFormatting sqref="B22">
    <cfRule type="cellIs" dxfId="33" priority="71" operator="equal">
      <formula>"Complete"</formula>
    </cfRule>
    <cfRule type="cellIs" dxfId="32" priority="72" operator="equal">
      <formula>"Pending"</formula>
    </cfRule>
  </conditionalFormatting>
  <conditionalFormatting sqref="L21:L22">
    <cfRule type="cellIs" dxfId="31" priority="69" operator="equal">
      <formula>"Complete"</formula>
    </cfRule>
    <cfRule type="cellIs" dxfId="30" priority="70" operator="equal">
      <formula>"Pending"</formula>
    </cfRule>
  </conditionalFormatting>
  <conditionalFormatting sqref="L21:L22">
    <cfRule type="cellIs" dxfId="29" priority="67" operator="equal">
      <formula>"Complete"</formula>
    </cfRule>
    <cfRule type="cellIs" dxfId="28" priority="68" operator="equal">
      <formula>"Pending"</formula>
    </cfRule>
  </conditionalFormatting>
  <conditionalFormatting sqref="L23">
    <cfRule type="cellIs" dxfId="27" priority="63" operator="equal">
      <formula>"Complete"</formula>
    </cfRule>
    <cfRule type="cellIs" dxfId="26" priority="64" operator="equal">
      <formula>"Pending"</formula>
    </cfRule>
  </conditionalFormatting>
  <conditionalFormatting sqref="L25">
    <cfRule type="cellIs" dxfId="25" priority="55" operator="equal">
      <formula>"Complete"</formula>
    </cfRule>
    <cfRule type="cellIs" dxfId="24" priority="56" operator="equal">
      <formula>"Pending"</formula>
    </cfRule>
  </conditionalFormatting>
  <conditionalFormatting sqref="L25">
    <cfRule type="cellIs" dxfId="23" priority="57" operator="equal">
      <formula>"Complete"</formula>
    </cfRule>
    <cfRule type="cellIs" dxfId="22" priority="58" operator="equal">
      <formula>"Pending"</formula>
    </cfRule>
  </conditionalFormatting>
  <conditionalFormatting sqref="B12">
    <cfRule type="cellIs" dxfId="21" priority="31" operator="equal">
      <formula>"Complete"</formula>
    </cfRule>
    <cfRule type="cellIs" dxfId="20" priority="32" operator="equal">
      <formula>"Pending"</formula>
    </cfRule>
  </conditionalFormatting>
  <conditionalFormatting sqref="L28">
    <cfRule type="cellIs" dxfId="19" priority="43" operator="equal">
      <formula>"Complete"</formula>
    </cfRule>
    <cfRule type="cellIs" dxfId="18" priority="44" operator="equal">
      <formula>"Pending"</formula>
    </cfRule>
  </conditionalFormatting>
  <conditionalFormatting sqref="L28">
    <cfRule type="cellIs" dxfId="17" priority="41" operator="equal">
      <formula>"Complete"</formula>
    </cfRule>
    <cfRule type="cellIs" dxfId="16" priority="42" operator="equal">
      <formula>"Pending"</formula>
    </cfRule>
  </conditionalFormatting>
  <conditionalFormatting sqref="L24">
    <cfRule type="cellIs" dxfId="15" priority="39" operator="equal">
      <formula>"Complete"</formula>
    </cfRule>
    <cfRule type="cellIs" dxfId="14" priority="40" operator="equal">
      <formula>"Pending"</formula>
    </cfRule>
  </conditionalFormatting>
  <conditionalFormatting sqref="L24">
    <cfRule type="cellIs" dxfId="13" priority="37" operator="equal">
      <formula>"Complete"</formula>
    </cfRule>
    <cfRule type="cellIs" dxfId="12" priority="38" operator="equal">
      <formula>"Pending"</formula>
    </cfRule>
  </conditionalFormatting>
  <conditionalFormatting sqref="L24">
    <cfRule type="cellIs" dxfId="11" priority="35" operator="equal">
      <formula>"Complete"</formula>
    </cfRule>
    <cfRule type="cellIs" dxfId="10" priority="36" operator="equal">
      <formula>"Pending"</formula>
    </cfRule>
  </conditionalFormatting>
  <conditionalFormatting sqref="B7">
    <cfRule type="cellIs" dxfId="9" priority="33" operator="equal">
      <formula>"Complete"</formula>
    </cfRule>
    <cfRule type="cellIs" dxfId="8" priority="34" operator="equal">
      <formula>"Pending"</formula>
    </cfRule>
  </conditionalFormatting>
  <conditionalFormatting sqref="B20">
    <cfRule type="cellIs" dxfId="7" priority="29" operator="equal">
      <formula>"Complete"</formula>
    </cfRule>
    <cfRule type="cellIs" dxfId="6" priority="30" operator="equal">
      <formula>"Pending"</formula>
    </cfRule>
  </conditionalFormatting>
  <conditionalFormatting sqref="B24">
    <cfRule type="cellIs" dxfId="5" priority="11" operator="equal">
      <formula>"Complete"</formula>
    </cfRule>
    <cfRule type="cellIs" dxfId="4" priority="12" operator="equal">
      <formula>"Pending"</formula>
    </cfRule>
  </conditionalFormatting>
  <conditionalFormatting sqref="B28">
    <cfRule type="cellIs" dxfId="3" priority="1" operator="equal">
      <formula>"Complete"</formula>
    </cfRule>
    <cfRule type="cellIs" dxfId="2" priority="2" operator="equal">
      <formula>"Pending"</formula>
    </cfRule>
  </conditionalFormatting>
  <conditionalFormatting sqref="B27">
    <cfRule type="cellIs" dxfId="1" priority="3" operator="equal">
      <formula>"Complete"</formula>
    </cfRule>
    <cfRule type="cellIs" dxfId="0" priority="4" operator="equal">
      <formula>"Pending"</formula>
    </cfRule>
  </conditionalFormatting>
  <dataValidations count="1">
    <dataValidation type="list" allowBlank="1" showInputMessage="1" showErrorMessage="1" sqref="B9:B10 B14:B18 B5 B27:B28 B24:B25" xr:uid="{00000000-0002-0000-1200-000000000000}">
      <formula1>"Pending, Complete, N/A"</formula1>
    </dataValidation>
  </dataValidations>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3E8E2-DFA0-4303-9542-30F1CAD2184F}">
  <sheetPr>
    <tabColor theme="1" tint="0.499984740745262"/>
  </sheetPr>
  <dimension ref="A1:AC109"/>
  <sheetViews>
    <sheetView showGridLines="0" topLeftCell="A9" zoomScale="80" zoomScaleNormal="80" zoomScalePageLayoutView="145" workbookViewId="0">
      <selection activeCell="D19" sqref="D19"/>
    </sheetView>
  </sheetViews>
  <sheetFormatPr defaultColWidth="10.28515625" defaultRowHeight="13.9"/>
  <cols>
    <col min="1" max="1" width="4.140625" style="9" customWidth="1"/>
    <col min="2" max="2" width="34.7109375" style="9" customWidth="1"/>
    <col min="3" max="3" width="50.42578125" style="9" customWidth="1"/>
    <col min="4" max="4" width="45.7109375" style="10" customWidth="1"/>
    <col min="5" max="6" width="45.7109375" style="9" customWidth="1"/>
    <col min="7" max="7" width="30.5703125" style="9" bestFit="1" customWidth="1"/>
    <col min="8" max="8" width="31.28515625" style="9" customWidth="1"/>
    <col min="9" max="9" width="32.7109375" style="9" bestFit="1" customWidth="1"/>
    <col min="10" max="10" width="22.28515625" style="9" customWidth="1"/>
    <col min="11" max="11" width="28.42578125" style="9" customWidth="1"/>
    <col min="12" max="12" width="20.85546875" style="9" bestFit="1" customWidth="1"/>
    <col min="13" max="13" width="51.28515625" style="9" customWidth="1"/>
    <col min="14" max="14" width="32.85546875" style="9" customWidth="1"/>
    <col min="15" max="15" width="30.42578125" style="27" bestFit="1" customWidth="1"/>
    <col min="16" max="16" width="35.140625" style="9" customWidth="1"/>
    <col min="17" max="17" width="13.85546875" style="9" bestFit="1" customWidth="1"/>
    <col min="18" max="18" width="13.7109375" style="9" bestFit="1" customWidth="1"/>
    <col min="19" max="19" width="8.140625" style="9" bestFit="1" customWidth="1"/>
    <col min="20" max="16384" width="10.28515625" style="9"/>
  </cols>
  <sheetData>
    <row r="1" spans="2:13" ht="6.75" customHeight="1"/>
    <row r="2" spans="2:13">
      <c r="B2" s="209" t="s">
        <v>1</v>
      </c>
    </row>
    <row r="3" spans="2:13" ht="4.5" customHeight="1"/>
    <row r="4" spans="2:13" ht="21">
      <c r="B4" s="62" t="s">
        <v>2</v>
      </c>
      <c r="C4" s="8"/>
      <c r="D4" s="7"/>
      <c r="E4" s="7"/>
      <c r="F4" s="7"/>
      <c r="G4" s="7"/>
      <c r="H4" s="7"/>
      <c r="I4" s="201"/>
      <c r="J4" s="201"/>
      <c r="K4" s="201"/>
      <c r="L4" s="201"/>
      <c r="M4" s="201"/>
    </row>
    <row r="5" spans="2:13" ht="15">
      <c r="B5" s="33"/>
      <c r="C5" s="222" t="s">
        <v>3</v>
      </c>
      <c r="D5" s="206"/>
      <c r="E5" s="223"/>
      <c r="F5" s="233" t="s">
        <v>4</v>
      </c>
      <c r="G5" s="233" t="s">
        <v>5</v>
      </c>
      <c r="H5" s="223"/>
      <c r="I5" s="223"/>
      <c r="J5" s="223"/>
      <c r="K5" s="223"/>
      <c r="L5" s="223"/>
    </row>
    <row r="6" spans="2:13" ht="15.6">
      <c r="B6" s="203" t="s">
        <v>6</v>
      </c>
      <c r="C6" s="204" t="s">
        <v>7</v>
      </c>
      <c r="D6" s="9"/>
      <c r="E6" s="235" t="s">
        <v>8</v>
      </c>
      <c r="F6" s="224">
        <v>23</v>
      </c>
      <c r="G6" s="225" t="s">
        <v>9</v>
      </c>
      <c r="H6" s="223"/>
    </row>
    <row r="7" spans="2:13" ht="15.6">
      <c r="B7" s="203"/>
      <c r="C7" s="222" t="s">
        <v>10</v>
      </c>
      <c r="E7" s="235"/>
      <c r="F7" s="234" t="s">
        <v>11</v>
      </c>
      <c r="G7" s="226"/>
      <c r="H7" s="223"/>
    </row>
    <row r="8" spans="2:13" ht="15.6">
      <c r="B8" s="203" t="s">
        <v>12</v>
      </c>
      <c r="C8" s="204">
        <v>1000</v>
      </c>
      <c r="E8" s="235" t="s">
        <v>13</v>
      </c>
      <c r="F8" s="227" t="s">
        <v>14</v>
      </c>
      <c r="G8" s="228" t="s">
        <v>15</v>
      </c>
      <c r="H8" s="223"/>
    </row>
    <row r="9" spans="2:13" ht="15.6">
      <c r="B9" s="236"/>
      <c r="C9" s="233"/>
      <c r="G9" s="229"/>
      <c r="H9" s="230"/>
    </row>
    <row r="10" spans="2:13">
      <c r="C10" s="253" t="s">
        <v>16</v>
      </c>
      <c r="D10" s="253" t="s">
        <v>17</v>
      </c>
      <c r="E10" s="29"/>
      <c r="F10" s="253" t="s">
        <v>18</v>
      </c>
      <c r="G10" s="253" t="s">
        <v>19</v>
      </c>
      <c r="H10" s="223"/>
      <c r="I10" s="223"/>
      <c r="J10" s="231"/>
      <c r="K10" s="223"/>
      <c r="L10" s="231"/>
    </row>
    <row r="11" spans="2:13" ht="12.95" customHeight="1">
      <c r="C11" s="254" t="str">
        <f>_xlfn.CONCAT("cn",F6,".awmdm.com")</f>
        <v>cn23.awmdm.com</v>
      </c>
      <c r="D11" s="254" t="str">
        <f>_xlfn.CONCAT("ds",F6,".awmdm.com")</f>
        <v>ds23.awmdm.com</v>
      </c>
      <c r="E11" s="29"/>
      <c r="F11" s="254" t="s">
        <v>20</v>
      </c>
      <c r="G11" s="254" t="s">
        <v>21</v>
      </c>
    </row>
    <row r="12" spans="2:13" ht="12.95" customHeight="1">
      <c r="B12" s="6"/>
      <c r="C12" s="253" t="s">
        <v>22</v>
      </c>
      <c r="D12" s="253" t="s">
        <v>23</v>
      </c>
      <c r="E12" s="29"/>
      <c r="F12" s="253" t="s">
        <v>24</v>
      </c>
      <c r="G12" s="29"/>
    </row>
    <row r="13" spans="2:13" ht="12.95" customHeight="1">
      <c r="B13" s="6"/>
      <c r="C13" s="254" t="str">
        <f>_xlfn.CONCAT(F8,G8)</f>
        <v>test.workspaceoneaccess.com</v>
      </c>
      <c r="D13" s="255" t="s">
        <v>25</v>
      </c>
      <c r="E13" s="29"/>
      <c r="F13" s="254" t="s">
        <v>26</v>
      </c>
      <c r="G13" s="254"/>
    </row>
    <row r="14" spans="2:13" ht="12.95" customHeight="1">
      <c r="C14" s="202"/>
    </row>
    <row r="15" spans="2:13" ht="21">
      <c r="B15" s="62" t="s">
        <v>27</v>
      </c>
      <c r="C15" s="8"/>
      <c r="D15" s="7"/>
      <c r="E15" s="7"/>
      <c r="F15" s="7"/>
      <c r="G15" s="7"/>
      <c r="H15" s="7"/>
      <c r="I15" s="7"/>
      <c r="J15" s="7"/>
      <c r="K15" s="7"/>
      <c r="L15" s="7"/>
      <c r="M15" s="7"/>
    </row>
    <row r="16" spans="2:13" ht="15" customHeight="1">
      <c r="B16" s="205" t="s">
        <v>28</v>
      </c>
      <c r="C16" s="205" t="s">
        <v>29</v>
      </c>
      <c r="D16" s="205" t="s">
        <v>30</v>
      </c>
      <c r="E16" s="205" t="s">
        <v>31</v>
      </c>
      <c r="F16" s="205" t="s">
        <v>32</v>
      </c>
      <c r="G16" s="205" t="s">
        <v>33</v>
      </c>
      <c r="H16" s="205" t="s">
        <v>34</v>
      </c>
      <c r="I16" s="205" t="s">
        <v>35</v>
      </c>
      <c r="J16" s="205" t="s">
        <v>36</v>
      </c>
      <c r="K16" s="205" t="s">
        <v>37</v>
      </c>
      <c r="L16" s="205" t="s">
        <v>38</v>
      </c>
      <c r="M16" s="205" t="s">
        <v>39</v>
      </c>
    </row>
    <row r="17" spans="2:13" ht="30">
      <c r="B17" s="261" t="s">
        <v>40</v>
      </c>
      <c r="C17" s="221" t="s">
        <v>41</v>
      </c>
      <c r="D17" s="260" t="s">
        <v>42</v>
      </c>
      <c r="E17" s="260" t="s">
        <v>43</v>
      </c>
      <c r="F17" s="215" t="s">
        <v>44</v>
      </c>
      <c r="G17" s="215" t="s">
        <v>44</v>
      </c>
      <c r="H17" s="271" t="s">
        <v>45</v>
      </c>
      <c r="I17" s="270" t="s">
        <v>46</v>
      </c>
      <c r="J17" s="270" t="s">
        <v>47</v>
      </c>
      <c r="K17" s="270" t="s">
        <v>48</v>
      </c>
      <c r="L17" s="270" t="s">
        <v>49</v>
      </c>
      <c r="M17" s="270" t="s">
        <v>50</v>
      </c>
    </row>
    <row r="18" spans="2:13" ht="30">
      <c r="B18" s="261" t="s">
        <v>51</v>
      </c>
      <c r="C18" s="221" t="s">
        <v>41</v>
      </c>
      <c r="D18" s="260" t="s">
        <v>52</v>
      </c>
      <c r="E18" s="260" t="s">
        <v>53</v>
      </c>
      <c r="F18" s="215" t="s">
        <v>54</v>
      </c>
      <c r="G18" s="215" t="s">
        <v>55</v>
      </c>
      <c r="H18" s="271" t="s">
        <v>45</v>
      </c>
      <c r="I18" s="270" t="s">
        <v>46</v>
      </c>
      <c r="J18" s="270" t="s">
        <v>47</v>
      </c>
      <c r="K18" s="270" t="s">
        <v>48</v>
      </c>
      <c r="L18" s="270" t="s">
        <v>49</v>
      </c>
      <c r="M18" s="270" t="s">
        <v>50</v>
      </c>
    </row>
    <row r="19" spans="2:13" ht="30">
      <c r="B19" s="261" t="s">
        <v>56</v>
      </c>
      <c r="C19" s="221" t="s">
        <v>41</v>
      </c>
      <c r="D19" s="260" t="s">
        <v>57</v>
      </c>
      <c r="E19" s="260" t="s">
        <v>58</v>
      </c>
      <c r="F19" s="215" t="s">
        <v>59</v>
      </c>
      <c r="G19" s="215" t="s">
        <v>55</v>
      </c>
      <c r="H19" s="271" t="s">
        <v>45</v>
      </c>
      <c r="I19" s="270" t="s">
        <v>46</v>
      </c>
      <c r="J19" s="270" t="s">
        <v>47</v>
      </c>
      <c r="K19" s="270" t="s">
        <v>48</v>
      </c>
      <c r="L19" s="270" t="s">
        <v>49</v>
      </c>
      <c r="M19" s="270" t="s">
        <v>50</v>
      </c>
    </row>
    <row r="20" spans="2:13" ht="30">
      <c r="B20" s="261" t="s">
        <v>60</v>
      </c>
      <c r="C20" s="221" t="s">
        <v>41</v>
      </c>
      <c r="D20" s="260" t="s">
        <v>61</v>
      </c>
      <c r="E20" s="260" t="s">
        <v>62</v>
      </c>
      <c r="F20" s="215" t="s">
        <v>63</v>
      </c>
      <c r="G20" s="215" t="s">
        <v>55</v>
      </c>
      <c r="H20" s="271" t="s">
        <v>45</v>
      </c>
      <c r="I20" s="270" t="s">
        <v>46</v>
      </c>
      <c r="J20" s="270" t="s">
        <v>47</v>
      </c>
      <c r="K20" s="270" t="s">
        <v>48</v>
      </c>
      <c r="L20" s="270" t="s">
        <v>49</v>
      </c>
      <c r="M20" s="270" t="s">
        <v>50</v>
      </c>
    </row>
    <row r="21" spans="2:13" ht="15.6">
      <c r="B21" s="261" t="s">
        <v>64</v>
      </c>
      <c r="C21" s="221" t="s">
        <v>41</v>
      </c>
      <c r="D21" s="215" t="s">
        <v>44</v>
      </c>
      <c r="E21" s="215" t="s">
        <v>44</v>
      </c>
      <c r="F21" s="215" t="s">
        <v>65</v>
      </c>
      <c r="G21" s="215" t="s">
        <v>55</v>
      </c>
      <c r="H21" s="271" t="s">
        <v>45</v>
      </c>
      <c r="I21" s="270" t="s">
        <v>44</v>
      </c>
      <c r="J21" s="270" t="s">
        <v>44</v>
      </c>
      <c r="K21" s="270" t="s">
        <v>44</v>
      </c>
      <c r="L21" s="270" t="s">
        <v>44</v>
      </c>
      <c r="M21" s="270" t="s">
        <v>44</v>
      </c>
    </row>
    <row r="22" spans="2:13" ht="30">
      <c r="B22" s="261" t="s">
        <v>66</v>
      </c>
      <c r="C22" s="221" t="s">
        <v>41</v>
      </c>
      <c r="D22" s="260" t="s">
        <v>67</v>
      </c>
      <c r="E22" s="260" t="s">
        <v>68</v>
      </c>
      <c r="F22" s="215" t="s">
        <v>69</v>
      </c>
      <c r="G22" s="215" t="s">
        <v>55</v>
      </c>
      <c r="H22" s="271" t="s">
        <v>45</v>
      </c>
      <c r="I22" s="270" t="s">
        <v>46</v>
      </c>
      <c r="J22" s="270" t="s">
        <v>47</v>
      </c>
      <c r="K22" s="270" t="s">
        <v>48</v>
      </c>
      <c r="L22" s="270" t="s">
        <v>49</v>
      </c>
      <c r="M22" s="270" t="s">
        <v>50</v>
      </c>
    </row>
    <row r="23" spans="2:13" ht="15.6">
      <c r="B23" s="261" t="s">
        <v>70</v>
      </c>
      <c r="C23" s="221" t="s">
        <v>71</v>
      </c>
      <c r="D23" s="260"/>
      <c r="E23" s="260"/>
      <c r="F23" s="215"/>
      <c r="G23" s="215"/>
      <c r="H23" s="271"/>
      <c r="I23" s="270"/>
      <c r="J23" s="270"/>
      <c r="K23" s="270"/>
      <c r="L23" s="270"/>
      <c r="M23" s="270"/>
    </row>
    <row r="24" spans="2:13" ht="30">
      <c r="B24" s="261" t="s">
        <v>72</v>
      </c>
      <c r="C24" s="221" t="s">
        <v>41</v>
      </c>
      <c r="D24" s="260" t="s">
        <v>73</v>
      </c>
      <c r="E24" s="260" t="s">
        <v>74</v>
      </c>
      <c r="F24" s="215" t="s">
        <v>75</v>
      </c>
      <c r="G24" s="215" t="s">
        <v>55</v>
      </c>
      <c r="H24" s="271" t="s">
        <v>45</v>
      </c>
      <c r="I24" s="270" t="s">
        <v>46</v>
      </c>
      <c r="J24" s="270" t="s">
        <v>47</v>
      </c>
      <c r="K24" s="270" t="s">
        <v>48</v>
      </c>
      <c r="L24" s="270" t="s">
        <v>49</v>
      </c>
      <c r="M24" s="270" t="s">
        <v>50</v>
      </c>
    </row>
    <row r="25" spans="2:13" ht="15.6">
      <c r="B25" s="261" t="s">
        <v>76</v>
      </c>
      <c r="C25" s="221" t="s">
        <v>71</v>
      </c>
      <c r="D25" s="215"/>
      <c r="E25" s="215"/>
      <c r="F25" s="215"/>
      <c r="G25" s="215"/>
      <c r="H25" s="271"/>
      <c r="I25" s="270"/>
      <c r="J25" s="270"/>
      <c r="K25" s="270"/>
      <c r="L25" s="270"/>
      <c r="M25" s="270"/>
    </row>
    <row r="26" spans="2:13" ht="15.6">
      <c r="B26" s="261" t="s">
        <v>77</v>
      </c>
      <c r="C26" s="221" t="s">
        <v>41</v>
      </c>
      <c r="D26" s="215" t="s">
        <v>78</v>
      </c>
      <c r="E26" s="215" t="s">
        <v>79</v>
      </c>
      <c r="F26" s="215" t="s">
        <v>78</v>
      </c>
      <c r="G26" s="215" t="s">
        <v>55</v>
      </c>
      <c r="H26" s="271" t="s">
        <v>45</v>
      </c>
      <c r="I26" s="270" t="s">
        <v>80</v>
      </c>
      <c r="J26" s="270" t="s">
        <v>81</v>
      </c>
      <c r="K26" s="270" t="s">
        <v>82</v>
      </c>
      <c r="L26" s="270" t="s">
        <v>83</v>
      </c>
      <c r="M26" s="270" t="s">
        <v>84</v>
      </c>
    </row>
    <row r="27" spans="2:13" ht="15.6">
      <c r="B27" s="261" t="s">
        <v>85</v>
      </c>
      <c r="C27" s="221" t="s">
        <v>86</v>
      </c>
      <c r="D27" s="215"/>
      <c r="E27" s="215"/>
      <c r="F27" s="215"/>
      <c r="G27" s="215"/>
      <c r="H27" s="271"/>
      <c r="I27" s="270"/>
      <c r="J27" s="270"/>
      <c r="K27" s="270"/>
      <c r="L27" s="270"/>
      <c r="M27" s="270"/>
    </row>
    <row r="28" spans="2:13" ht="18">
      <c r="B28" s="262" t="s">
        <v>7</v>
      </c>
      <c r="C28" s="12"/>
      <c r="D28" s="12"/>
      <c r="E28" s="11"/>
      <c r="H28" s="270"/>
      <c r="I28" s="270"/>
      <c r="J28" s="270"/>
      <c r="K28" s="270"/>
      <c r="L28" s="270"/>
      <c r="M28" s="270"/>
    </row>
    <row r="29" spans="2:13" ht="15.6">
      <c r="B29" s="261" t="s">
        <v>87</v>
      </c>
      <c r="C29" s="221" t="s">
        <v>41</v>
      </c>
      <c r="D29" s="215" t="s">
        <v>44</v>
      </c>
      <c r="E29" s="215" t="s">
        <v>44</v>
      </c>
      <c r="F29" s="215" t="s">
        <v>88</v>
      </c>
      <c r="G29" s="215" t="s">
        <v>55</v>
      </c>
      <c r="H29" s="271" t="s">
        <v>45</v>
      </c>
      <c r="I29" s="270" t="s">
        <v>80</v>
      </c>
      <c r="J29" s="270" t="s">
        <v>81</v>
      </c>
      <c r="K29" s="270" t="s">
        <v>82</v>
      </c>
      <c r="L29" s="270" t="s">
        <v>83</v>
      </c>
      <c r="M29" s="270" t="s">
        <v>84</v>
      </c>
    </row>
    <row r="30" spans="2:13" ht="15" customHeight="1">
      <c r="B30" s="261" t="s">
        <v>89</v>
      </c>
      <c r="C30" s="221" t="s">
        <v>90</v>
      </c>
      <c r="D30" s="215"/>
      <c r="E30" s="215"/>
      <c r="F30" s="215"/>
      <c r="G30" s="215"/>
      <c r="H30" s="271"/>
      <c r="I30" s="270"/>
      <c r="J30" s="270"/>
      <c r="K30" s="270"/>
      <c r="L30" s="270"/>
      <c r="M30" s="270"/>
    </row>
    <row r="31" spans="2:13" ht="15" customHeight="1">
      <c r="B31" s="261" t="s">
        <v>91</v>
      </c>
      <c r="C31" s="221" t="s">
        <v>86</v>
      </c>
      <c r="D31" s="215"/>
      <c r="E31" s="215"/>
      <c r="F31" s="215"/>
      <c r="G31" s="215"/>
      <c r="H31" s="271"/>
      <c r="I31" s="270"/>
      <c r="J31" s="270"/>
      <c r="K31" s="270"/>
      <c r="L31" s="270"/>
      <c r="M31" s="270"/>
    </row>
    <row r="32" spans="2:13" ht="15.6">
      <c r="B32" s="261" t="s">
        <v>92</v>
      </c>
      <c r="C32" s="221" t="s">
        <v>41</v>
      </c>
      <c r="D32" s="215" t="s">
        <v>93</v>
      </c>
      <c r="E32" s="215" t="s">
        <v>94</v>
      </c>
      <c r="F32" s="215" t="s">
        <v>95</v>
      </c>
      <c r="G32" s="215" t="s">
        <v>55</v>
      </c>
      <c r="H32" s="271" t="s">
        <v>45</v>
      </c>
      <c r="I32" s="270" t="s">
        <v>80</v>
      </c>
      <c r="J32" s="270" t="s">
        <v>81</v>
      </c>
      <c r="K32" s="270" t="s">
        <v>82</v>
      </c>
      <c r="L32" s="270" t="s">
        <v>83</v>
      </c>
      <c r="M32" s="270" t="s">
        <v>84</v>
      </c>
    </row>
    <row r="33" spans="2:16" ht="15" customHeight="1">
      <c r="B33" s="261" t="s">
        <v>96</v>
      </c>
      <c r="C33" s="221" t="s">
        <v>41</v>
      </c>
      <c r="D33" s="215" t="s">
        <v>97</v>
      </c>
      <c r="E33" s="215" t="s">
        <v>98</v>
      </c>
      <c r="F33" s="215" t="s">
        <v>99</v>
      </c>
      <c r="G33" s="215" t="s">
        <v>55</v>
      </c>
      <c r="H33" s="271" t="s">
        <v>45</v>
      </c>
      <c r="I33" s="270" t="s">
        <v>80</v>
      </c>
      <c r="J33" s="270" t="s">
        <v>81</v>
      </c>
      <c r="K33" s="270" t="s">
        <v>82</v>
      </c>
      <c r="L33" s="270" t="s">
        <v>83</v>
      </c>
      <c r="M33" s="270" t="s">
        <v>84</v>
      </c>
    </row>
    <row r="34" spans="2:16" ht="15" customHeight="1">
      <c r="B34" s="261" t="s">
        <v>100</v>
      </c>
      <c r="C34" s="221" t="s">
        <v>86</v>
      </c>
      <c r="D34" s="215"/>
      <c r="E34" s="215"/>
      <c r="F34" s="215"/>
      <c r="G34" s="215"/>
      <c r="H34" s="271"/>
      <c r="I34" s="270"/>
      <c r="J34" s="270"/>
      <c r="K34" s="270"/>
      <c r="L34" s="270"/>
      <c r="M34" s="270"/>
    </row>
    <row r="35" spans="2:16" ht="15" customHeight="1">
      <c r="B35" s="261" t="s">
        <v>101</v>
      </c>
      <c r="C35" s="221" t="s">
        <v>86</v>
      </c>
      <c r="D35" s="215"/>
      <c r="E35" s="215"/>
      <c r="F35" s="215"/>
      <c r="G35" s="215"/>
      <c r="H35" s="271"/>
      <c r="I35" s="270"/>
      <c r="J35" s="270"/>
      <c r="K35" s="270"/>
      <c r="L35" s="270"/>
      <c r="M35" s="270"/>
    </row>
    <row r="36" spans="2:16" ht="15.6">
      <c r="B36" s="261" t="s">
        <v>22</v>
      </c>
      <c r="C36" s="221" t="s">
        <v>41</v>
      </c>
      <c r="D36" s="260" t="s">
        <v>102</v>
      </c>
      <c r="E36" s="260" t="s">
        <v>103</v>
      </c>
      <c r="F36" s="215" t="s">
        <v>104</v>
      </c>
      <c r="G36" s="215" t="s">
        <v>55</v>
      </c>
      <c r="H36" s="271" t="s">
        <v>45</v>
      </c>
      <c r="I36" s="270" t="s">
        <v>80</v>
      </c>
      <c r="J36" s="270" t="s">
        <v>81</v>
      </c>
      <c r="K36" s="270" t="s">
        <v>82</v>
      </c>
      <c r="L36" s="270" t="s">
        <v>83</v>
      </c>
      <c r="M36" s="270" t="s">
        <v>84</v>
      </c>
    </row>
    <row r="37" spans="2:16" ht="15.6">
      <c r="B37" s="261" t="s">
        <v>105</v>
      </c>
      <c r="C37" s="221" t="s">
        <v>41</v>
      </c>
      <c r="D37" s="260" t="s">
        <v>44</v>
      </c>
      <c r="E37" s="260" t="s">
        <v>44</v>
      </c>
      <c r="F37" s="215" t="s">
        <v>106</v>
      </c>
      <c r="G37" s="215" t="s">
        <v>55</v>
      </c>
      <c r="H37" s="271" t="s">
        <v>45</v>
      </c>
      <c r="I37" s="270" t="s">
        <v>44</v>
      </c>
      <c r="J37" s="270" t="s">
        <v>44</v>
      </c>
      <c r="K37" s="270" t="s">
        <v>44</v>
      </c>
      <c r="L37" s="270" t="s">
        <v>44</v>
      </c>
      <c r="M37" s="270" t="s">
        <v>44</v>
      </c>
    </row>
    <row r="38" spans="2:16" ht="15.6">
      <c r="B38" s="261" t="s">
        <v>107</v>
      </c>
      <c r="C38" s="221" t="s">
        <v>41</v>
      </c>
      <c r="D38" s="260" t="s">
        <v>108</v>
      </c>
      <c r="E38" s="260" t="s">
        <v>109</v>
      </c>
      <c r="F38" s="215" t="s">
        <v>110</v>
      </c>
      <c r="G38" s="215" t="s">
        <v>55</v>
      </c>
      <c r="H38" s="271" t="s">
        <v>45</v>
      </c>
      <c r="I38" s="270" t="s">
        <v>80</v>
      </c>
      <c r="J38" s="270" t="s">
        <v>81</v>
      </c>
      <c r="K38" s="270" t="s">
        <v>82</v>
      </c>
      <c r="L38" s="270" t="s">
        <v>83</v>
      </c>
      <c r="M38" s="270" t="s">
        <v>84</v>
      </c>
    </row>
    <row r="39" spans="2:16" ht="15.6">
      <c r="B39" s="261" t="s">
        <v>111</v>
      </c>
      <c r="C39" s="221" t="s">
        <v>112</v>
      </c>
      <c r="D39" s="260"/>
      <c r="E39" s="260"/>
      <c r="F39" s="215"/>
      <c r="G39" s="215"/>
      <c r="H39" s="271"/>
      <c r="I39" s="270"/>
      <c r="J39" s="270"/>
      <c r="K39" s="270"/>
      <c r="L39" s="270"/>
      <c r="M39" s="270"/>
    </row>
    <row r="40" spans="2:16" ht="15" customHeight="1">
      <c r="B40" s="261" t="s">
        <v>113</v>
      </c>
      <c r="C40" s="221" t="s">
        <v>86</v>
      </c>
      <c r="D40" s="215"/>
      <c r="E40" s="215"/>
      <c r="F40" s="215"/>
      <c r="G40" s="215"/>
      <c r="H40" s="271"/>
      <c r="I40" s="270"/>
      <c r="J40" s="270"/>
      <c r="K40" s="270"/>
      <c r="L40" s="270"/>
      <c r="M40" s="270"/>
    </row>
    <row r="41" spans="2:16" ht="15" customHeight="1">
      <c r="B41" s="203"/>
      <c r="C41" s="215"/>
      <c r="D41" s="215"/>
      <c r="E41" s="215"/>
      <c r="F41" s="215"/>
      <c r="G41" s="215"/>
      <c r="H41"/>
      <c r="I41" s="29"/>
      <c r="M41" s="270"/>
    </row>
    <row r="42" spans="2:16" ht="21">
      <c r="B42" s="62" t="s">
        <v>114</v>
      </c>
      <c r="C42" s="7"/>
      <c r="D42" s="7"/>
      <c r="E42" s="7"/>
      <c r="F42" s="7"/>
      <c r="M42" s="270"/>
    </row>
    <row r="43" spans="2:16" ht="18" customHeight="1">
      <c r="B43" s="205" t="s">
        <v>28</v>
      </c>
      <c r="C43" s="205" t="s">
        <v>115</v>
      </c>
      <c r="D43" s="205" t="s">
        <v>30</v>
      </c>
      <c r="E43" s="205" t="s">
        <v>31</v>
      </c>
      <c r="F43" s="205" t="s">
        <v>116</v>
      </c>
      <c r="M43" s="270"/>
      <c r="O43" s="9"/>
      <c r="P43" s="27"/>
    </row>
    <row r="44" spans="2:16" ht="15.6">
      <c r="B44" s="203" t="s">
        <v>117</v>
      </c>
      <c r="C44" s="221" t="s">
        <v>41</v>
      </c>
      <c r="D44" s="215" t="s">
        <v>118</v>
      </c>
      <c r="E44" s="215" t="s">
        <v>119</v>
      </c>
      <c r="F44" s="215">
        <v>389</v>
      </c>
      <c r="M44" s="270"/>
    </row>
    <row r="45" spans="2:16" ht="15.6">
      <c r="B45" s="203" t="s">
        <v>120</v>
      </c>
      <c r="C45" s="221" t="s">
        <v>41</v>
      </c>
      <c r="D45" s="215" t="s">
        <v>121</v>
      </c>
      <c r="E45" s="215" t="s">
        <v>122</v>
      </c>
      <c r="F45" s="215">
        <v>25</v>
      </c>
      <c r="M45" s="270"/>
    </row>
    <row r="46" spans="2:16" ht="15.6">
      <c r="B46" s="203" t="s">
        <v>123</v>
      </c>
      <c r="C46" s="221" t="s">
        <v>41</v>
      </c>
      <c r="D46" s="215" t="s">
        <v>124</v>
      </c>
      <c r="E46" s="215" t="s">
        <v>122</v>
      </c>
      <c r="F46" s="215" t="s">
        <v>44</v>
      </c>
      <c r="M46" s="270"/>
    </row>
    <row r="47" spans="2:16" ht="15.6">
      <c r="B47" s="203" t="s">
        <v>125</v>
      </c>
      <c r="C47" s="221" t="s">
        <v>41</v>
      </c>
      <c r="D47" s="215" t="s">
        <v>126</v>
      </c>
      <c r="E47" s="215" t="s">
        <v>122</v>
      </c>
      <c r="F47" s="215">
        <v>443</v>
      </c>
      <c r="M47" s="270"/>
    </row>
    <row r="48" spans="2:16" ht="15.6">
      <c r="B48" s="203" t="s">
        <v>127</v>
      </c>
      <c r="C48" s="221" t="s">
        <v>41</v>
      </c>
      <c r="D48" s="215" t="s">
        <v>128</v>
      </c>
      <c r="E48" s="215" t="s">
        <v>129</v>
      </c>
      <c r="F48" s="215">
        <v>53</v>
      </c>
      <c r="M48" s="270"/>
    </row>
    <row r="49" spans="1:29" ht="15.6">
      <c r="B49" s="203" t="s">
        <v>130</v>
      </c>
      <c r="C49" s="221" t="s">
        <v>41</v>
      </c>
      <c r="D49" s="215" t="s">
        <v>131</v>
      </c>
      <c r="E49" s="215" t="s">
        <v>132</v>
      </c>
      <c r="F49" s="215">
        <v>514</v>
      </c>
      <c r="M49" s="270"/>
    </row>
    <row r="50" spans="1:29" ht="15.6">
      <c r="B50" s="203" t="s">
        <v>133</v>
      </c>
      <c r="C50" s="221" t="s">
        <v>86</v>
      </c>
      <c r="D50" s="215"/>
      <c r="E50" s="215"/>
      <c r="F50" s="215"/>
      <c r="M50" s="270"/>
    </row>
    <row r="51" spans="1:29" ht="15.6">
      <c r="B51" s="203" t="s">
        <v>134</v>
      </c>
      <c r="C51" s="221" t="s">
        <v>86</v>
      </c>
      <c r="D51" s="215"/>
      <c r="E51" s="215"/>
      <c r="F51" s="215"/>
      <c r="M51" s="270"/>
    </row>
    <row r="52" spans="1:29" ht="15.6">
      <c r="B52" s="203" t="s">
        <v>135</v>
      </c>
      <c r="C52" s="221" t="s">
        <v>86</v>
      </c>
      <c r="D52" s="215"/>
      <c r="E52" s="215"/>
      <c r="F52" s="215"/>
      <c r="M52" s="270"/>
    </row>
    <row r="53" spans="1:29" ht="15.6">
      <c r="B53" s="203" t="s">
        <v>136</v>
      </c>
      <c r="C53" s="221" t="s">
        <v>86</v>
      </c>
      <c r="D53" s="215"/>
      <c r="E53" s="215"/>
      <c r="F53" s="215"/>
      <c r="M53" s="270"/>
    </row>
    <row r="54" spans="1:29" ht="31.15">
      <c r="B54" s="252" t="s">
        <v>137</v>
      </c>
      <c r="C54" s="221" t="s">
        <v>41</v>
      </c>
      <c r="D54" s="215" t="s">
        <v>138</v>
      </c>
      <c r="E54" s="215" t="s">
        <v>122</v>
      </c>
      <c r="F54" s="215" t="s">
        <v>44</v>
      </c>
      <c r="M54" s="270"/>
      <c r="O54" s="9"/>
      <c r="P54" s="27"/>
    </row>
    <row r="55" spans="1:29" ht="15" customHeight="1" thickBot="1">
      <c r="C55" s="12"/>
      <c r="D55" s="12"/>
      <c r="E55" s="11"/>
    </row>
    <row r="56" spans="1:29" ht="23.25" customHeight="1" thickBot="1">
      <c r="B56" s="290" t="s">
        <v>139</v>
      </c>
      <c r="C56" s="291"/>
      <c r="D56" s="291"/>
      <c r="E56" s="291"/>
      <c r="F56" s="291"/>
      <c r="G56" s="292" t="s">
        <v>140</v>
      </c>
      <c r="H56" s="292"/>
      <c r="I56" s="288" t="s">
        <v>141</v>
      </c>
      <c r="J56" s="288"/>
      <c r="K56" s="288"/>
      <c r="L56" s="288"/>
      <c r="M56" s="289"/>
      <c r="N56" s="293" t="s">
        <v>142</v>
      </c>
      <c r="O56" s="294"/>
      <c r="P56" s="295"/>
    </row>
    <row r="57" spans="1:29" s="30" customFormat="1" ht="46.9">
      <c r="A57" s="19"/>
      <c r="B57" s="249" t="s">
        <v>28</v>
      </c>
      <c r="C57" s="249" t="s">
        <v>30</v>
      </c>
      <c r="D57" s="249" t="s">
        <v>31</v>
      </c>
      <c r="E57" s="250" t="s">
        <v>32</v>
      </c>
      <c r="F57" s="249" t="s">
        <v>33</v>
      </c>
      <c r="G57" s="249" t="s">
        <v>143</v>
      </c>
      <c r="H57" s="249" t="s">
        <v>144</v>
      </c>
      <c r="I57" s="249" t="s">
        <v>145</v>
      </c>
      <c r="J57" s="249" t="s">
        <v>146</v>
      </c>
      <c r="K57" s="249" t="s">
        <v>147</v>
      </c>
      <c r="L57" s="249" t="s">
        <v>148</v>
      </c>
      <c r="M57" s="249" t="s">
        <v>149</v>
      </c>
      <c r="N57" s="249" t="s">
        <v>150</v>
      </c>
      <c r="O57" s="249" t="s">
        <v>151</v>
      </c>
      <c r="P57" s="249" t="s">
        <v>34</v>
      </c>
      <c r="Q57" s="19"/>
      <c r="R57" s="19"/>
      <c r="S57" s="19"/>
      <c r="T57" s="19"/>
      <c r="U57" s="19"/>
      <c r="V57" s="19"/>
      <c r="W57" s="19"/>
      <c r="X57" s="19"/>
      <c r="Y57" s="19"/>
      <c r="Z57" s="19"/>
      <c r="AA57" s="19"/>
      <c r="AB57" s="19"/>
      <c r="AC57" s="19"/>
    </row>
    <row r="58" spans="1:29" s="19" customFormat="1" ht="27.6">
      <c r="B58" s="34" t="str">
        <f>ComUemDatabase</f>
        <v>Workspace ONE UEM [DB]</v>
      </c>
      <c r="C58" s="32" t="str">
        <f>IF($C$6="SaaS","VMware Hosted - SaaS",IF($C29="Yes",D29,"N/A"))</f>
        <v>N/A</v>
      </c>
      <c r="D58" s="32" t="str">
        <f>IF($C$6="SaaS","VMware Hosted - SaaS",IF($C29="Yes",E29,"N/A"))</f>
        <v>N/A</v>
      </c>
      <c r="E58" s="32" t="str">
        <f>IF($C$6="SaaS","VMware Hosted - SaaS",IF($C29="Yes",F29,"N/A"))</f>
        <v>database.haramco.xyz</v>
      </c>
      <c r="F58" s="32" t="str">
        <f>IF($C$6="SaaS","VMware Hosted - SaaS",IF($C29="Yes",G29,"N/A"))</f>
        <v>192.168.1.30</v>
      </c>
      <c r="G58" s="20" t="str">
        <f>IF($C29="Yes","INT",(IF($C6="SaaS","-","N/A")))</f>
        <v>INT</v>
      </c>
      <c r="H58" s="20" t="str">
        <f>IF($C29="Yes","No",(IF($C6="SaaS","-","N/A")))</f>
        <v>No</v>
      </c>
      <c r="I58" s="20">
        <f>IF($C29="Yes",1,(IF($C6="SaaS","-","N/A")))</f>
        <v>1</v>
      </c>
      <c r="J58" s="20">
        <f>IF($C$6="SaaS","-",IF($C29="Yes",_xlfn.XLOOKUP('Servers &amp; Environment'!$C$8,'Sizing (Hide)'!$B$2:$B$6,'Sizing (Hide)'!D2:D6,,1),"N/A"))</f>
        <v>4</v>
      </c>
      <c r="K58" s="20">
        <f>IF($C$6="SaaS","-",IF($C29="Yes",_xlfn.XLOOKUP('Servers &amp; Environment'!$C$8,'Sizing (Hide)'!$B$2:$B$6,'Sizing (Hide)'!E2:E6,,1),"N/A"))</f>
        <v>16</v>
      </c>
      <c r="L58" s="20">
        <f>IF($C$6="SaaS","-",IF($C29="Yes",_xlfn.XLOOKUP('Servers &amp; Environment'!$C$8,'Sizing (Hide)'!$B$2:$B$6,'Sizing (Hide)'!F2:F6,,1),"N/A"))</f>
        <v>100</v>
      </c>
      <c r="M58" s="20" t="str">
        <f>IF($C$6="SaaS","-",IF(C29="Yes",VLOOKUP('Servers &amp; Environment'!B27,OS[#All],2,FALSE),"N/A"))</f>
        <v>Windows Server 2008 R2, Windows Server 2012, Windows Server 2012 R2, Windows Server 2016</v>
      </c>
      <c r="N58" s="20" t="str">
        <f>IF(OR($C29="Yes",$C30="Yes",$C21="Yes"),IF($C$102="Yes","SQL Always On","Optional"),(IF($C6="SaaS","-","N/A")))</f>
        <v>Optional</v>
      </c>
      <c r="O58" s="20" t="e">
        <f>IF(OR($C29="Yes",$C30="Yes",$C21="Yes"),IF(AND($C$103="Yes",#REF!&gt;=1),#REF!+1,#REF!),IF($C6="SaaS","-","N/A"))</f>
        <v>#REF!</v>
      </c>
      <c r="P58" s="20" t="s">
        <v>44</v>
      </c>
    </row>
    <row r="59" spans="1:29" s="19" customFormat="1" ht="27.6">
      <c r="B59" s="34" t="str">
        <f>ComAccessDB</f>
        <v>Workspace ONE Access [DB]</v>
      </c>
      <c r="C59" s="32" t="str">
        <f>IF($C$6="SaaS","VMware Hosted - SaaS",IF($C30="Yes",D30,IF($C30=INDEX(DB_Boolean,1),D29,"N/A")))</f>
        <v>N/A</v>
      </c>
      <c r="D59" s="32" t="str">
        <f>IF($C$6="SaaS","VMware Hosted - SaaS",IF($C30="Yes",E30,"N/A"))</f>
        <v>N/A</v>
      </c>
      <c r="E59" s="32" t="str">
        <f>IF($C$6="SaaS","VMware Hosted - SaaS",IF($C30="Yes",F30,IF($C30=INDEX(DB_Boolean,1),F29,"N/A")))</f>
        <v>database.haramco.xyz</v>
      </c>
      <c r="F59" s="32" t="str">
        <f>IF($C$6="SaaS","VMware Hosted - SaaS",IF($C30="Yes",G30,IF($C30=INDEX(DB_Boolean,1),G29,"N/A")))</f>
        <v>192.168.1.30</v>
      </c>
      <c r="G59" s="20" t="str">
        <f>IF($C$6="SaaS","-",IF(OR($C30="Yes",$C30=INDEX(DB_Boolean,1)),"INT","N/A"))</f>
        <v>INT</v>
      </c>
      <c r="H59" s="20" t="str">
        <f>IF($C$6="SaaS","-",IF(OR($C30="Yes",$C30=INDEX(DB_Boolean,1)),"No","N/A"))</f>
        <v>No</v>
      </c>
      <c r="I59" s="20">
        <f>IF(OR($C30="Yes",$C30=INDEX(DB_Boolean,1)),1,(IF($C7="SaaS","-","N/A")))</f>
        <v>1</v>
      </c>
      <c r="J59" s="20">
        <f>IF($C$6="SaaS","-",IF(OR($C30="Yes",$C30=INDEX(DB_Boolean,1)),_xlfn.XLOOKUP('Servers &amp; Environment'!$C$8,'Sizing (Hide)'!$B$7:$B$12,'Sizing (Hide)'!D7:D12,,1),"N/A"))</f>
        <v>2</v>
      </c>
      <c r="K59" s="20">
        <f>IF($C$6="SaaS","-",IF(OR($C30="Yes",$C30=INDEX(DB_Boolean,1)),_xlfn.XLOOKUP('Servers &amp; Environment'!$C$8,'Sizing (Hide)'!$B$7:$B$12,'Sizing (Hide)'!E7:E12,,1),"N/A"))</f>
        <v>4</v>
      </c>
      <c r="L59" s="20">
        <f>IF($C$6="SaaS","-",IF(OR($C30="Yes",$C30=INDEX(DB_Boolean,1)),_xlfn.XLOOKUP('Servers &amp; Environment'!$C$8,'Sizing (Hide)'!$B$7:$B$12,'Sizing (Hide)'!F7:F12,,1),"N/A"))</f>
        <v>50</v>
      </c>
      <c r="M59" s="20" t="str">
        <f>IF($C$6="SaaS","-",IF(OR($C30="Yes",$C30=INDEX(DB_Boolean,1)),VLOOKUP('Servers &amp; Environment'!B30,OS[#All],2,FALSE),"N/A"))</f>
        <v>SQL Server 2012, SQL Server 2014, or SQL Server 2016 (64-bit)</v>
      </c>
      <c r="N59" s="20" t="str">
        <f>IF($C$6="SaaS","-",IF(OR($C30="Yes",$C30=INDEX(DB_Boolean,1)),"See Above","N/A"))</f>
        <v>See Above</v>
      </c>
      <c r="O59" s="20" t="str">
        <f>IF($C$6="SaaS","-",IF(OR($C30="Yes",$C30=INDEX(DB_Boolean,1)),"See Above","N/A"))</f>
        <v>See Above</v>
      </c>
      <c r="P59" s="20" t="s">
        <v>44</v>
      </c>
    </row>
    <row r="60" spans="1:29" s="19" customFormat="1">
      <c r="B60" s="34" t="str">
        <f>ComENS2DB</f>
        <v>ENSv2 [DB] (On Premise)</v>
      </c>
      <c r="C60" s="32" t="str">
        <f>IF($C$6="SaaS","VMware Hosted - SaaS",IF($C21="Yes",D21,IF($C21=INDEX(DB_Boolean,1),D29,"N/A")))</f>
        <v>N/A</v>
      </c>
      <c r="D60" s="32" t="str">
        <f>IF($C6="SaaS","VMware Hosted - SaaS",IF($C21="Yes",E21,IF($C21=INDEX(DB_Boolean,1),E29,"N/A")))</f>
        <v>N/A</v>
      </c>
      <c r="E60" s="32" t="str">
        <f>IF($C6="SaaS","VMware Hosted - SaaS",IF($C21="Yes",F21,IF($C21=INDEX(DB_Boolean,1),F29,"N/A")))</f>
        <v>ensdb.haramco.xyz</v>
      </c>
      <c r="F60" s="32" t="str">
        <f>IF($C6="SaaS","VMware Hosted - SaaS",IF($C21="Yes",G21,IF($C21=INDEX(DB_Boolean,1),G29,"N/A")))</f>
        <v>192.168.1.30</v>
      </c>
      <c r="G60" s="20" t="str">
        <f>IF(OR($C21="Yes",$C21=INDEX(DB_Boolean,1)),"INT",(IF($C8="SaaS","-","N/A")))</f>
        <v>INT</v>
      </c>
      <c r="H60" s="20" t="str">
        <f>IF(OR($C21="Yes",$C21=INDEX(DB_Boolean,1)),"No",(IF($C8="SaaS","-","N/A")))</f>
        <v>No</v>
      </c>
      <c r="I60" s="20">
        <f>IF(OR($C21="Yes",$C21=INDEX(DB_Boolean,1)),1,(IF($C8="SaaS","-","N/A")))</f>
        <v>1</v>
      </c>
      <c r="J60" s="20">
        <f>IF(OR($C21="Yes",$C21=INDEX(DB_Boolean,1)),_xlfn.XLOOKUP('Servers &amp; Environment'!$C$8,'Sizing (Hide)'!$B$13:$B$14,'Sizing (Hide)'!D13:D14,,1),IF($C6="SaaS","-","N/A"))</f>
        <v>2</v>
      </c>
      <c r="K60" s="20">
        <f>IF(OR($C21="Yes",$C21=INDEX(DB_Boolean,1)),_xlfn.XLOOKUP('Servers &amp; Environment'!$C$8,'Sizing (Hide)'!$B$13:$B$14,'Sizing (Hide)'!E13:E14,,1),IF($C6="SaaS","-","N/A"))</f>
        <v>16</v>
      </c>
      <c r="L60" s="20">
        <f>IF(OR($C21="Yes",$C21=INDEX(DB_Boolean,1)),_xlfn.XLOOKUP('Servers &amp; Environment'!$C$8,'Sizing (Hide)'!$B$13:$B$14,'Sizing (Hide)'!F13:F14,,1),IF($C6="SaaS","-","N/A"))</f>
        <v>50</v>
      </c>
      <c r="M60" s="20" t="str">
        <f>IF(OR($C21="Yes",$C21=INDEX(DB_Boolean,1)),VLOOKUP('Servers &amp; Environment'!B21,OS[#All],2,FALSE),(IF($C6="SaaS","-","N/A")))</f>
        <v>SQL Server 2017 or SQL Server 2019 (64-bit)</v>
      </c>
      <c r="N60" s="20" t="str">
        <f>IF(OR($C21="Yes",$C21=INDEX(DB_Boolean,1)),"See Above",(IF($C6="SaaS","-","N/A")))</f>
        <v>See Above</v>
      </c>
      <c r="O60" s="20" t="str">
        <f>IF(OR($C21="Yes",$C21=INDEX(DB_Boolean,1)),"See Above",IF($C6="SaaS","-","N/A"))</f>
        <v>See Above</v>
      </c>
      <c r="P60" s="20" t="s">
        <v>44</v>
      </c>
    </row>
    <row r="61" spans="1:29" s="19" customFormat="1">
      <c r="B61" s="34" t="str">
        <f>ComAssistDatabase</f>
        <v>Workspace ONE Assist [DB]</v>
      </c>
      <c r="C61" s="32" t="str">
        <f>IF($C$6="SaaS","VMware Hosted - SaaS",IF($C37="Yes",D37,IF($C37=INDEX(DB_Boolean,1),D29,"N/A")))</f>
        <v>N/A</v>
      </c>
      <c r="D61" s="32" t="str">
        <f>IF($C$6="SaaS","VMware Hosted - SaaS",IF($C37="Yes",E37,IF($C37=INDEX(DB_Boolean,1),E29,"N/A")))</f>
        <v>N/A</v>
      </c>
      <c r="E61" s="32" t="str">
        <f>IF($C$6="SaaS","VMware Hosted - SaaS",IF($C37="Yes",F37,IF($C37=INDEX(DB_Boolean,1),F29,"N/A")))</f>
        <v>assistdb.haramco.xyz</v>
      </c>
      <c r="F61" s="32" t="str">
        <f>IF($C$6="SaaS","VMware Hosted - SaaS",IF($C37="Yes",G37,IF($C37=INDEX(DB_Boolean,1),G29,"N/A")))</f>
        <v>192.168.1.30</v>
      </c>
      <c r="G61" s="20" t="str">
        <f>IF($C$6="SaaS","-",IF(OR($C37="Yes",$C37=INDEX(DB_Boolean,1)),"INT","N/A"))</f>
        <v>INT</v>
      </c>
      <c r="H61" s="20" t="str">
        <f>IF($C$6="SaaS","-",IF(OR($C37="Yes",$C37=INDEX(DB_Boolean,1)),"No","N/A"))</f>
        <v>No</v>
      </c>
      <c r="I61" s="20">
        <f>IF($C$6="SaaS","-",IF(OR($C37="Yes",$C37=INDEX(DB_Boolean,1)),1,"N/A"))</f>
        <v>1</v>
      </c>
      <c r="J61" s="20">
        <f>IF(OR($C37="Yes",$C37=INDEX(DB_Boolean,1)),_xlfn.XLOOKUP('Servers &amp; Environment'!$C$8,'Sizing (Hide)'!$B$84:$B$88,'Sizing (Hide)'!D84:D88,,1),IF($C6="SaaS","-","N/A"))</f>
        <v>2</v>
      </c>
      <c r="K61" s="20">
        <f>IF(OR($C37="Yes",$C37=INDEX(DB_Boolean,1)),_xlfn.XLOOKUP('Servers &amp; Environment'!$C$8,'Sizing (Hide)'!$B$84:$B$88,'Sizing (Hide)'!E84:E88,,1),IF($C6="SaaS","-","N/A"))</f>
        <v>8</v>
      </c>
      <c r="L61" s="20">
        <f>IF(OR($C37="Yes",$C37=INDEX(DB_Boolean,1)),_xlfn.XLOOKUP('Servers &amp; Environment'!$C$8,'Sizing (Hide)'!$B$84:$B$88,'Sizing (Hide)'!F84:F88,,1),IF($C6="SaaS","-","N/A"))</f>
        <v>250</v>
      </c>
      <c r="M61" s="20"/>
      <c r="N61" s="20"/>
      <c r="O61" s="20"/>
      <c r="P61" s="20" t="s">
        <v>44</v>
      </c>
    </row>
    <row r="62" spans="1:29">
      <c r="B62" s="34" t="s">
        <v>152</v>
      </c>
      <c r="C62" s="32" t="str">
        <f>IF($C$6="SaaS","VMware Hosted - SaaS",IF($C31="Yes",D31,"N/A"))</f>
        <v>N/A</v>
      </c>
      <c r="D62" s="32" t="str">
        <f>IF($C$6="SaaS","VMware Hosted - SaaS",IF($C31="Yes",E31,"N/A"))</f>
        <v>N/A</v>
      </c>
      <c r="E62" s="32" t="str">
        <f>IF($C$6="SaaS","VMware Hosted - SaaS",IF($C31="Yes",F31,"N/A"))</f>
        <v>N/A</v>
      </c>
      <c r="F62" s="32" t="str">
        <f>IF($C$6="SaaS","VMware Hosted - SaaS",IF($C31="Yes",G31,"N/A"))</f>
        <v>N/A</v>
      </c>
      <c r="G62" s="20" t="str">
        <f>IF($C$6="SaaS","-",IF(C31="Yes","INT","N/A"))</f>
        <v>N/A</v>
      </c>
      <c r="H62" s="20" t="str">
        <f>IF($C$6="SaaS","-",IF(C31="Yes","No","N/A"))</f>
        <v>N/A</v>
      </c>
      <c r="I62" s="32" t="str">
        <f>IF($C$6="SaaS","-",IF($C31="Yes",_xlfn.XLOOKUP('Servers &amp; Environment'!$C$8,'Sizing (Hide)'!$B$82:$B$83,'Sizing (Hide)'!C82:C83,,1),"N/A"))</f>
        <v>N/A</v>
      </c>
      <c r="J62" s="32" t="str">
        <f>IF($C$6="SaaS","-",IF($C31="Yes",_xlfn.XLOOKUP('Servers &amp; Environment'!$C$8,'Sizing (Hide)'!$B$82:$B$83,'Sizing (Hide)'!D82:D83,,1),"N/A"))</f>
        <v>N/A</v>
      </c>
      <c r="K62" s="32" t="str">
        <f>IF($C$6="SaaS","-",IF($C31="Yes",_xlfn.XLOOKUP('Servers &amp; Environment'!$C$8,'Sizing (Hide)'!$B$82:$B$83,'Sizing (Hide)'!E82:E83,,1),"N/A"))</f>
        <v>N/A</v>
      </c>
      <c r="L62" s="32" t="str">
        <f>IF($C$6="SaaS","-",IF($C31="Yes",_xlfn.XLOOKUP('Servers &amp; Environment'!$C$8,'Sizing (Hide)'!$B$82:$B$83,'Sizing (Hide)'!F82:F83,,1),"N/A"))</f>
        <v>N/A</v>
      </c>
      <c r="M62" s="20" t="str">
        <f>IF($C$6="SaaS","-",IF(C31="Yes",VLOOKUP('Servers &amp; Environment'!B31,OS[#All],2,FALSE),"N/A"))</f>
        <v>N/A</v>
      </c>
      <c r="N62" s="20" t="str">
        <f>IF($C$6="SaaS","-",IF(C31="Yes","No","N/A"))</f>
        <v>N/A</v>
      </c>
      <c r="O62" s="20" t="str">
        <f>IF($C$6="SaaS","-",IF($C31="Yes",IF(AND($C$103="Yes",I62&gt;=1),I62+1,I62),"N/A"))</f>
        <v>N/A</v>
      </c>
      <c r="P62" s="20" t="str">
        <f>IF($C$6="SaaS","-",IF($C31="Yes",IF(AND($C$103="Yes",J62&gt;=1),J62+1,J62),"N/A"))</f>
        <v>N/A</v>
      </c>
    </row>
    <row r="63" spans="1:29" s="19" customFormat="1" ht="27.6">
      <c r="B63" s="34" t="str">
        <f>ComUEMCN</f>
        <v>UEM Console Server</v>
      </c>
      <c r="C63" s="32" t="str">
        <f>IF($C$6="SaaS","VMware Hosted - SaaS",IF($C32="Yes",D32,"N/A"))</f>
        <v>uemc1.haramco.xyz</v>
      </c>
      <c r="D63" s="32" t="str">
        <f>IF($C$6="SaaS","VMware Hosted - SaaS",IF($C32="Yes",E32,"N/A"))</f>
        <v>192.168.1.80</v>
      </c>
      <c r="E63" s="32" t="str">
        <f>IF($C$6="SaaS",CNSaaSURL,IF($C32="Yes",F32,"N/A"))</f>
        <v>uemc.haramco.xyz</v>
      </c>
      <c r="F63" s="32" t="str">
        <f>IF($C$6="SaaS",UEMIPSaaS,IF($C32="Yes",G32,"N/A"))</f>
        <v>192.168.1.30</v>
      </c>
      <c r="G63" s="20" t="str">
        <f>IF($C$6="SaaS","-",IF(C32="Yes","INT","N/A"))</f>
        <v>INT</v>
      </c>
      <c r="H63" s="20" t="str">
        <f>IF($C$6="SaaS","-",IF(C32="Yes","Internal CA Issued, Self-Signed or Public SSL (Optional)","N/A"))</f>
        <v>Internal CA Issued, Self-Signed or Public SSL (Optional)</v>
      </c>
      <c r="I63" s="32">
        <f>IF($C$6="SaaS","-",IF($C32="Yes",_xlfn.XLOOKUP('Servers &amp; Environment'!$C$8,'Sizing (Hide)'!$B$15:$B$19,'Sizing (Hide)'!C15:C19,,1),"N/A"))</f>
        <v>1</v>
      </c>
      <c r="J63" s="32">
        <f>IF($C$6="SaaS","-",IF($C32="Yes",_xlfn.XLOOKUP('Servers &amp; Environment'!$C$8,'Sizing (Hide)'!$B$15:$B$19,'Sizing (Hide)'!D15:D19,,1),"N/A"))</f>
        <v>4</v>
      </c>
      <c r="K63" s="32">
        <f>IF($C$6="SaaS","-",IF($C32="Yes",_xlfn.XLOOKUP('Servers &amp; Environment'!$C$8,'Sizing (Hide)'!$B$15:$B$19,'Sizing (Hide)'!E15:E19,,1),"N/A"))</f>
        <v>8</v>
      </c>
      <c r="L63" s="32">
        <f>IF($C$6="SaaS","-",IF($C32="Yes",_xlfn.XLOOKUP('Servers &amp; Environment'!$C$8,'Sizing (Hide)'!$B$15:$B$19,'Sizing (Hide)'!F15:F19,,1),"N/A"))</f>
        <v>50</v>
      </c>
      <c r="M63" s="20" t="str">
        <f>IF($C$6="SaaS","-",IF(C32="Yes",VLOOKUP('Servers &amp; Environment'!B32,OS[#All],2,FALSE),"N/A"))</f>
        <v>Windows Server 2008 R2 SP1, Windows Server 2012 R2, or Windows Server 2016</v>
      </c>
      <c r="N63" s="20" t="str">
        <f>IF($C$6="SaaS","-",IF(C32="Yes",IF(OR($C$102="Yes",O63&gt;1),"Yes","Optional"),"N/A"))</f>
        <v>Optional</v>
      </c>
      <c r="O63" s="20">
        <f>IF($C$6="SaaS","-",IF($C32="Yes",IF(AND($C$103="Yes",I63&gt;=1),I63+1,I63),"N/A"))</f>
        <v>1</v>
      </c>
      <c r="P63" s="20" t="str">
        <f>IF(H32 &lt;&gt; "",H32,"N/A")</f>
        <v>Passthrough</v>
      </c>
    </row>
    <row r="64" spans="1:29" s="19" customFormat="1" ht="27.6">
      <c r="B64" s="34" t="str">
        <f>ComUEMDS</f>
        <v>UEM Device Services Server</v>
      </c>
      <c r="C64" s="32" t="str">
        <f>IF($C$6="SaaS","VMware Hosted - SaaS",IF($C33="Yes",D33,"N/A"))</f>
        <v>uds1.haramco.xyz</v>
      </c>
      <c r="D64" s="32" t="str">
        <f>IF($C$6="SaaS","VMware Hosted - SaaS",IF($C33="Yes",E33,"N/A"))</f>
        <v>192.168.1.82</v>
      </c>
      <c r="E64" s="32" t="str">
        <f>IF($C$6="SaaS",DSSaaSURL,IF($C33="Yes",F33,"N/A"))</f>
        <v>tcuds.haramco.xyz</v>
      </c>
      <c r="F64" s="32" t="str">
        <f>IF($C$6="SaaS",UEMIPSaaS,IF($C33="Yes",G33,"N/A"))</f>
        <v>192.168.1.30</v>
      </c>
      <c r="G64" s="20" t="str">
        <f>IF($C$6="SaaS","-",IF(C33="Yes","DMZ","N/A"))</f>
        <v>DMZ</v>
      </c>
      <c r="H64" s="20" t="str">
        <f>IF($C$6="SaaS","-",IF(C33="Yes","Public SSL","N/A"))</f>
        <v>Public SSL</v>
      </c>
      <c r="I64" s="32">
        <f>IF($C$6="SaaS","-",IF($C33="Yes",_xlfn.XLOOKUP('Servers &amp; Environment'!$C$8,'Sizing (Hide)'!$B$20:$B$24,'Sizing (Hide)'!C20:C24,,1),"N/A"))</f>
        <v>1</v>
      </c>
      <c r="J64" s="32">
        <f>IF($C$6="SaaS","-",IF($C33="Yes",_xlfn.XLOOKUP('Servers &amp; Environment'!$C$8,'Sizing (Hide)'!$B$20:$B$24,'Sizing (Hide)'!D20:D24,,1),"N/A"))</f>
        <v>4</v>
      </c>
      <c r="K64" s="32">
        <f>IF($C$6="SaaS","-",IF($C33="Yes",_xlfn.XLOOKUP('Servers &amp; Environment'!$C$8,'Sizing (Hide)'!$B$20:$B$24,'Sizing (Hide)'!E20:E24,,1),"N/A"))</f>
        <v>8</v>
      </c>
      <c r="L64" s="32">
        <f>IF($C$6="SaaS","-",IF($C33="Yes",_xlfn.XLOOKUP('Servers &amp; Environment'!$C$8,'Sizing (Hide)'!$B$20:$B$24,'Sizing (Hide)'!F20:F24,,1),"N/A"))</f>
        <v>50</v>
      </c>
      <c r="M64" s="20" t="str">
        <f>IF($C$6="SaaS","-",IF(C33="Yes",VLOOKUP('Servers &amp; Environment'!B33,OS[#All],2,FALSE),"N/A"))</f>
        <v>Windows Server 2008 R2 SP1, Windows Server 2012 R2, or Windows Server 2016</v>
      </c>
      <c r="N64" s="20" t="str">
        <f>IF($C$6="SaaS","-",IF(C33="Yes",IF(OR($C$102="Yes",O64&gt;1),"Yes","Optional"),"N/A"))</f>
        <v>Optional</v>
      </c>
      <c r="O64" s="20">
        <f>IF($C$6="SaaS","-",IF($C33="Yes",IF(AND($C$103="Yes",I64&gt;=1),I64+1,I64),"N/A"))</f>
        <v>1</v>
      </c>
      <c r="P64" s="20" t="str">
        <f>IF(H33 &lt;&gt; "",H33,"N/A")</f>
        <v>Passthrough</v>
      </c>
    </row>
    <row r="65" spans="2:16" s="19" customFormat="1">
      <c r="B65" s="34" t="s">
        <v>153</v>
      </c>
      <c r="C65" s="32" t="str">
        <f>IF($C$6="SaaS","VMware Hosted - SaaS",IF($C34="Yes",D34,IF($C33="Yes",D$33,"N/A")))</f>
        <v>uds1.haramco.xyz</v>
      </c>
      <c r="D65" s="32" t="str">
        <f>IF($C$6="SaaS","VMware Hosted - SaaS",IF($C34="Yes",E34,IF($C33="Yes",E$33,"N/A")))</f>
        <v>192.168.1.82</v>
      </c>
      <c r="E65" s="32" t="str">
        <f>IF($C$6="SaaS",_xlfn.CONCAT("awcm",F6,G6),IF($C34="Yes",F34,IF($C33="Yes",F$33,"N/A")))</f>
        <v>tcuds.haramco.xyz</v>
      </c>
      <c r="F65" s="32" t="str">
        <f>IF($C$6="SaaS",UEMIPSaaS,IF($C34="Yes",G34,IF($C33="Yes",G$33,"N/A")))</f>
        <v>192.168.1.30</v>
      </c>
      <c r="G65" s="20" t="str">
        <f>IF($C$6="SaaS","-",IF(C34="Yes","DMZ","N/A"))</f>
        <v>N/A</v>
      </c>
      <c r="H65" s="20" t="str">
        <f>IF($C$6="SaaS","-",IF(C34="Yes","Public SSL","N/A"))</f>
        <v>N/A</v>
      </c>
      <c r="I65" s="32" t="str">
        <f>IF($C$6="SaaS","-",IF($C34="Yes",_xlfn.XLOOKUP('Servers &amp; Environment'!$C$8,'Sizing (Hide)'!$B$25:$B$26,'Sizing (Hide)'!C25:C26,,1),"N/A"))</f>
        <v>N/A</v>
      </c>
      <c r="J65" s="32" t="str">
        <f>IF($C$6="SaaS","-",IF($C34="Yes",_xlfn.XLOOKUP('Servers &amp; Environment'!$C$8,'Sizing (Hide)'!$B$25:$B$26,'Sizing (Hide)'!D25:D26,,1),"N/A"))</f>
        <v>N/A</v>
      </c>
      <c r="K65" s="32" t="str">
        <f>IF($C$6="SaaS","-",IF($C34="Yes",_xlfn.XLOOKUP('Servers &amp; Environment'!$C$8,'Sizing (Hide)'!$B$25:$B$26,'Sizing (Hide)'!E25:E26,,1),"N/A"))</f>
        <v>N/A</v>
      </c>
      <c r="L65" s="32" t="str">
        <f>IF($C$6="SaaS","-",IF($C34="Yes",_xlfn.XLOOKUP('Servers &amp; Environment'!$C$8,'Sizing (Hide)'!$B$25:$B$26,'Sizing (Hide)'!F25:F26,,1),"N/A"))</f>
        <v>N/A</v>
      </c>
      <c r="M65" s="20" t="str">
        <f>IF($C$6="SaaS","-",IF(C34="Yes",VLOOKUP('Servers &amp; Environment'!B34,OS[#All],2,FALSE),"N/A"))</f>
        <v>N/A</v>
      </c>
      <c r="N65" s="20" t="str">
        <f>IF($C$6="SaaS","-",IF(C34="Yes",IF(OR($C$102="Yes",O65&gt;1),"Yes","Optional"),"N/A"))</f>
        <v>N/A</v>
      </c>
      <c r="O65" s="20" t="str">
        <f>IF($C$6="SaaS","-",IF($C34="Yes",IF(AND($C$103="Yes",I65&gt;=1),I65+1,I65),"N/A"))</f>
        <v>N/A</v>
      </c>
      <c r="P65" s="20" t="str">
        <f>IF(H34 &lt;&gt; "",H34,"N/A")</f>
        <v>N/A</v>
      </c>
    </row>
    <row r="66" spans="2:16" s="19" customFormat="1">
      <c r="B66" s="34" t="s">
        <v>154</v>
      </c>
      <c r="C66" s="32" t="str">
        <f>IF($C$6="SaaS","VMware Hosted - SaaS",IF($C35="Yes",D35,IF($C33="Yes",D$33,"N/A")))</f>
        <v>uds1.haramco.xyz</v>
      </c>
      <c r="D66" s="32" t="str">
        <f>IF($C$6="SaaS","VMware Hosted - SaaS",IF($C35="Yes",E35,IF($C33="Yes",E$33,"N/A")))</f>
        <v>192.168.1.82</v>
      </c>
      <c r="E66" s="32" t="str">
        <f>IF($C$6="SaaS",_xlfn.CONCAT("as",F6,G6),IF($C35="Yes",F35,IF($C33="Yes",F$33,"N/A")))</f>
        <v>tcuds.haramco.xyz</v>
      </c>
      <c r="F66" s="32" t="str">
        <f>IF($C$6="SaaS",UEMIPSaaS,IF($C35="Yes",G35,IF($C33="Yes",G$33,"N/A")))</f>
        <v>192.168.1.30</v>
      </c>
      <c r="G66" s="20" t="str">
        <f>IF($C$6="SaaS","-",IF(C35="Yes","DMZ","N/A"))</f>
        <v>N/A</v>
      </c>
      <c r="H66" s="20" t="str">
        <f>IF($C$6="SaaS","-",IF(C35="Yes","Public SSL","N/A"))</f>
        <v>N/A</v>
      </c>
      <c r="I66" s="32" t="str">
        <f>IF($C$6="SaaS","-",IF($C35="Yes",_xlfn.XLOOKUP('Servers &amp; Environment'!$C$8,'Sizing (Hide)'!$B$27:$B$28,'Sizing (Hide)'!C27:C28,,1),"N/A"))</f>
        <v>N/A</v>
      </c>
      <c r="J66" s="32" t="str">
        <f>IF($C$6="SaaS","-",IF($C35="Yes",_xlfn.XLOOKUP('Servers &amp; Environment'!$C$8,'Sizing (Hide)'!$B$27:$B$28,'Sizing (Hide)'!D27:D28,,1),"N/A"))</f>
        <v>N/A</v>
      </c>
      <c r="K66" s="32" t="str">
        <f>IF($C$6="SaaS","-",IF($C35="Yes",_xlfn.XLOOKUP('Servers &amp; Environment'!$C$8,'Sizing (Hide)'!$B$27:$B$28,'Sizing (Hide)'!E27:E28,,1),"N/A"))</f>
        <v>N/A</v>
      </c>
      <c r="L66" s="32" t="str">
        <f>IF($C$6="SaaS","-",IF($C35="Yes",_xlfn.XLOOKUP('Servers &amp; Environment'!$C$8,'Sizing (Hide)'!$B$27:$B$28,'Sizing (Hide)'!F27:F28,,1),"N/A"))</f>
        <v>N/A</v>
      </c>
      <c r="M66" s="20" t="str">
        <f>IF($C$6="SaaS","-",IF(C35="Yes",VLOOKUP('Servers &amp; Environment'!B35,OS[#All],2,FALSE),"N/A"))</f>
        <v>N/A</v>
      </c>
      <c r="N66" s="20" t="str">
        <f>IF($C$6="SaaS","-",IF(C35="Yes",IF(OR($C$102="Yes",O66&gt;1),"Yes","Optional"),"N/A"))</f>
        <v>N/A</v>
      </c>
      <c r="O66" s="20" t="str">
        <f>IF($C$6="SaaS","-",IF($C35="Yes",IF(AND($C$103="Yes",I66&gt;=1),I66+1,I66),"N/A"))</f>
        <v>N/A</v>
      </c>
      <c r="P66" s="20" t="str">
        <f>IF(H35 &lt;&gt; "",H35,"N/A")</f>
        <v>N/A</v>
      </c>
    </row>
    <row r="67" spans="2:16" s="19" customFormat="1">
      <c r="B67" s="34" t="str">
        <f>ComAccess</f>
        <v>Workspace ONE Access</v>
      </c>
      <c r="C67" s="32" t="str">
        <f>IF($C$6="SaaS","VMware Hosted - SaaS",IF($C36="Yes",D36,"N/A"))</f>
        <v>access1.haramco.xyz</v>
      </c>
      <c r="D67" s="32" t="str">
        <f>IF($C$6="SaaS","VMware Hosted - SaaS",IF($C36="Yes",E36,"N/A"))</f>
        <v>192.168.1.84</v>
      </c>
      <c r="E67" s="32" t="str">
        <f>IF($C$6="SaaS",AccessSaaSURL,IF($C36="Yes",F36,"N/A"))</f>
        <v>access.haramco.xyz</v>
      </c>
      <c r="F67" s="32" t="str">
        <f>IF($C$6="SaaS",AccessSaaSIP,IF($C36="Yes",G36,"N/A"))</f>
        <v>192.168.1.30</v>
      </c>
      <c r="G67" s="20" t="str">
        <f>IF($C$6="SaaS","-",IF(C36="Yes","DMZ","N/A"))</f>
        <v>DMZ</v>
      </c>
      <c r="H67" s="20" t="str">
        <f>IF($C$6="SaaS","-",IF(C36="Yes","Public SSL","N/A"))</f>
        <v>Public SSL</v>
      </c>
      <c r="I67" s="32">
        <f>IF($C$6="SaaS","-",IF($C36="Yes",_xlfn.XLOOKUP('Servers &amp; Environment'!$C$8,'Sizing (Hide)'!$B$63:$B$68,'Sizing (Hide)'!C63:C68,,1),"N/A"))</f>
        <v>1</v>
      </c>
      <c r="J67" s="32">
        <f>IF($C$6="SaaS","-",IF($C36="Yes",_xlfn.XLOOKUP('Servers &amp; Environment'!$C$8,'Sizing (Hide)'!$B$63:$B$68,'Sizing (Hide)'!D63:D68,,1),"N/A"))</f>
        <v>2</v>
      </c>
      <c r="K67" s="32">
        <f>IF($C$6="SaaS","-",IF($C36="Yes",_xlfn.XLOOKUP('Servers &amp; Environment'!$C$8,'Sizing (Hide)'!$B$63:$B$68,'Sizing (Hide)'!E63:E68,,1),"N/A"))</f>
        <v>6</v>
      </c>
      <c r="L67" s="32">
        <f>IF($C$6="SaaS","-",IF($C36="Yes",_xlfn.XLOOKUP('Servers &amp; Environment'!$C$8,'Sizing (Hide)'!$B$63:$B$68,'Sizing (Hide)'!F63:F68,,1),"N/A"))</f>
        <v>60</v>
      </c>
      <c r="M67" s="20" t="str">
        <f>IF($C$6="SaaS","-",IF(C36="Yes",VLOOKUP('Servers &amp; Environment'!B36,OS[#All],2,FALSE),"N/A"))</f>
        <v>Virtual Appliance</v>
      </c>
      <c r="N67" s="20" t="str">
        <f>IF($C$6="SaaS","-",IF(C36="Yes",IF(OR($C$102="Yes",O67&gt;1),"Yes","Optional"),"N/A"))</f>
        <v>Optional</v>
      </c>
      <c r="O67" s="20">
        <f>IF($C$6="SaaS","-",IF($C36="Yes",IF(AND($C$103="Yes",I67&gt;=1),I67,I67),"N/A"))</f>
        <v>1</v>
      </c>
      <c r="P67" s="20" t="str">
        <f>IF(H36 &lt;&gt; "",H36,"N/A")</f>
        <v>Passthrough</v>
      </c>
    </row>
    <row r="68" spans="2:16" s="19" customFormat="1">
      <c r="B68" s="34" t="str">
        <f>ComWS1IntelCon</f>
        <v>Intelligent Connector</v>
      </c>
      <c r="C68" s="32" t="str">
        <f>IF($C$6="SaaS","N/A",IF($C40="Yes",D40,"N/A"))</f>
        <v>N/A</v>
      </c>
      <c r="D68" s="32" t="str">
        <f>IF($C$6="SaaS","N/A",IF($C40="Yes",E40,"N/A"))</f>
        <v>N/A</v>
      </c>
      <c r="E68" s="32" t="str">
        <f>IF($C$6="SaaS","N/A",IF($C40="Yes",F40,"N/A"))</f>
        <v>N/A</v>
      </c>
      <c r="F68" s="32" t="str">
        <f>IF($C$6="SaaS","N/A",IF($C40="Yes",G40,"N/A"))</f>
        <v>N/A</v>
      </c>
      <c r="G68" s="20" t="str">
        <f>IF($C$6="SaaS","-",IF(C40="Yes","INT","N/A"))</f>
        <v>N/A</v>
      </c>
      <c r="H68" s="20" t="str">
        <f>IF($C$6="SaaS","-",IF(C40="Yes","No","N/A"))</f>
        <v>N/A</v>
      </c>
      <c r="I68" s="32" t="str">
        <f>IF($C$6="SaaS","-",IF($C40="Yes",_xlfn.XLOOKUP('Servers &amp; Environment'!$C$8,'Sizing (Hide)'!$B$75:$B$79,'Sizing (Hide)'!C75:C79,,1),"N/A"))</f>
        <v>N/A</v>
      </c>
      <c r="J68" s="32" t="str">
        <f>IF($C$6="SaaS","-",IF($C40="Yes",_xlfn.XLOOKUP('Servers &amp; Environment'!$C$8,'Sizing (Hide)'!$B$75:$B$79,'Sizing (Hide)'!D75:D79,,1),"N/A"))</f>
        <v>N/A</v>
      </c>
      <c r="K68" s="32" t="str">
        <f>IF($C$6="SaaS","-",IF($C40="Yes",_xlfn.XLOOKUP('Servers &amp; Environment'!$C$8,'Sizing (Hide)'!$B$75:$B$79,'Sizing (Hide)'!E75:E79,,1),"N/A"))</f>
        <v>N/A</v>
      </c>
      <c r="L68" s="32" t="str">
        <f>IF($C$6="SaaS","-",IF($C40="Yes",_xlfn.XLOOKUP('Servers &amp; Environment'!$C$8,'Sizing (Hide)'!$B$75:$B$79,'Sizing (Hide)'!F75:F79,,1),"N/A"))</f>
        <v>N/A</v>
      </c>
      <c r="M68" s="20" t="str">
        <f>IF($C$6="SaaS","-",IF(C40="Yes",VLOOKUP('Servers &amp; Environment'!B40,OS[#All],2,FALSE),"N/A"))</f>
        <v>N/A</v>
      </c>
      <c r="N68" s="20" t="str">
        <f>IF($C$6="SaaS","-",IF($C$40="Yes","No","N/A"))</f>
        <v>N/A</v>
      </c>
      <c r="O68" s="20" t="str">
        <f>IF($C$6="SaaS","-",IF($C40="Yes",IF(AND($C$103="Yes",I68&gt;=1),I68+1,I68),"N/A"))</f>
        <v>N/A</v>
      </c>
      <c r="P68" s="20" t="str">
        <f>IF(H40 &lt;&gt; "",H40,"N/A")</f>
        <v>N/A</v>
      </c>
    </row>
    <row r="69" spans="2:16" ht="27.6">
      <c r="B69" s="34" t="str">
        <f>ComAcc</f>
        <v>AirWatch Cloud Connector</v>
      </c>
      <c r="C69" s="32" t="str">
        <f t="shared" ref="C69:F71" si="0">IF($C17="Yes",D17,"N/A")</f>
        <v>acc1.haramco.xyz
acc2.haramco.xyz</v>
      </c>
      <c r="D69" s="32" t="str">
        <f t="shared" si="0"/>
        <v>192.168.1.59
192.168.1.60</v>
      </c>
      <c r="E69" s="32" t="s">
        <v>44</v>
      </c>
      <c r="F69" s="32" t="s">
        <v>44</v>
      </c>
      <c r="G69" s="20" t="str">
        <f>IF(C17="Yes","INT","N/A")</f>
        <v>INT</v>
      </c>
      <c r="H69" s="20" t="str">
        <f>IF(C17="Yes","No","N/A")</f>
        <v>No</v>
      </c>
      <c r="I69" s="20">
        <f>IF(C17="Yes",_xlfn.XLOOKUP('Servers &amp; Environment'!$C$8,'Sizing (Hide)'!$B$29:$B$33,'Sizing (Hide)'!C29:C33,,1),"N/A")</f>
        <v>1</v>
      </c>
      <c r="J69" s="20">
        <f>IF($C17="Yes",_xlfn.XLOOKUP('Servers &amp; Environment'!$C$8,'Sizing (Hide)'!$B$29:$B$33,'Sizing (Hide)'!D29:D33,,1),"N/A")</f>
        <v>2</v>
      </c>
      <c r="K69" s="20">
        <f>IF($C17="Yes",_xlfn.XLOOKUP('Servers &amp; Environment'!$C$8,'Sizing (Hide)'!$B$29:$B$33,'Sizing (Hide)'!E29:E33,,1),"N/A")</f>
        <v>4</v>
      </c>
      <c r="L69" s="20">
        <f>IF($C17="Yes",_xlfn.XLOOKUP('Servers &amp; Environment'!$C$8,'Sizing (Hide)'!$B$29:$B$33,'Sizing (Hide)'!F29:F33,,1),"N/A")</f>
        <v>50</v>
      </c>
      <c r="M69" s="20" t="str">
        <f>IF(C17="Yes",VLOOKUP('Servers &amp; Environment'!B17,OS[#All],2,FALSE),"N/A")</f>
        <v>Windows Server 2008 R2 SP1, Windows Server 2012 R2, or Windows Server 2016</v>
      </c>
      <c r="N69" s="20" t="str">
        <f>IF(C17="Yes","No","N/A")</f>
        <v>No</v>
      </c>
      <c r="O69" s="20">
        <f>IF($C17="Yes",IF(AND($C$103="Yes",I69&gt;=1),I69+1,I69),"N/A")</f>
        <v>1</v>
      </c>
      <c r="P69" s="20" t="s">
        <v>44</v>
      </c>
    </row>
    <row r="70" spans="2:16" ht="27.6">
      <c r="B70" s="34" t="str">
        <f>ComIDMConnector</f>
        <v>Access Connector</v>
      </c>
      <c r="C70" s="32" t="str">
        <f t="shared" si="0"/>
        <v>idmcon1.haramco.xyz
idmcon2.haramco.xyz</v>
      </c>
      <c r="D70" s="32" t="str">
        <f t="shared" si="0"/>
        <v>192.168.1.61
192.168.1.62</v>
      </c>
      <c r="E70" s="32" t="str">
        <f t="shared" si="0"/>
        <v>idmcon.haramco.xyz</v>
      </c>
      <c r="F70" s="32" t="str">
        <f t="shared" si="0"/>
        <v>192.168.1.30</v>
      </c>
      <c r="G70" s="20" t="str">
        <f>IF(C18="Yes","INT","N/A")</f>
        <v>INT</v>
      </c>
      <c r="H70" s="20" t="str">
        <f>IF(C18="Yes","No","N/A")</f>
        <v>No</v>
      </c>
      <c r="I70" s="20">
        <f>IF($C18="Yes",_xlfn.XLOOKUP('Servers &amp; Environment'!$C$8,'Sizing (Hide)'!$B$69:$B$74,'Sizing (Hide)'!C69:C74,,1),"N/A")</f>
        <v>1</v>
      </c>
      <c r="J70" s="20">
        <f>IF($C18="Yes",_xlfn.XLOOKUP('Servers &amp; Environment'!$C$8,'Sizing (Hide)'!$B$69:$B$74,'Sizing (Hide)'!D69:D74,,1),"N/A")</f>
        <v>2</v>
      </c>
      <c r="K70" s="20">
        <f>IF($C18="Yes",_xlfn.XLOOKUP('Servers &amp; Environment'!$C$8,'Sizing (Hide)'!$B$69:$B$74,'Sizing (Hide)'!E69:E74,,1),"N/A")</f>
        <v>6</v>
      </c>
      <c r="L70" s="20">
        <f>IF($C18="Yes",_xlfn.XLOOKUP('Servers &amp; Environment'!$C$8,'Sizing (Hide)'!$B$69:$B$74,'Sizing (Hide)'!F69:F74,,1),"N/A")</f>
        <v>60</v>
      </c>
      <c r="M70" s="20" t="str">
        <f>IF(C18="Yes",VLOOKUP('Servers &amp; Environment'!B18,OS[#All],2,FALSE),"N/A")</f>
        <v>Windows Server 2012 R2, Windows Server 2016, Windows Server 2019</v>
      </c>
      <c r="N70" s="20" t="str">
        <f>IF(C18="Yes",IF(OR($C$102="Yes",I70&gt;1),"Yes - if Windows Kerberos Auth is Required","No"),"N/A")</f>
        <v>No</v>
      </c>
      <c r="O70" s="20">
        <f>IF(C18="Yes",IF(AND($C$103="Yes",I70&gt;=1),I70+1,I70),"N/A")</f>
        <v>1</v>
      </c>
      <c r="P70" s="20" t="s">
        <v>44</v>
      </c>
    </row>
    <row r="71" spans="2:16" ht="27.6">
      <c r="B71" s="34" t="str">
        <f>ComSEG</f>
        <v>Secure Email Gateway</v>
      </c>
      <c r="C71" s="32" t="str">
        <f t="shared" si="0"/>
        <v>seg1.haramco.xyz
seg2.haramco.xyz</v>
      </c>
      <c r="D71" s="32" t="str">
        <f t="shared" si="0"/>
        <v>192.168.1.64
192.168.1.65</v>
      </c>
      <c r="E71" s="32" t="str">
        <f t="shared" si="0"/>
        <v>seg.haramco.xyz</v>
      </c>
      <c r="F71" s="32" t="str">
        <f t="shared" si="0"/>
        <v>192.168.1.30</v>
      </c>
      <c r="G71" s="20" t="str">
        <f>IF($C19="Yes","DMZ","N/A")</f>
        <v>DMZ</v>
      </c>
      <c r="H71" s="20" t="str">
        <f>IF($C19="Yes","Public SSL","N/A")</f>
        <v>Public SSL</v>
      </c>
      <c r="I71" s="20">
        <f>IF($C19="Yes",_xlfn.XLOOKUP('Servers &amp; Environment'!$C$8,'Sizing (Hide)'!$B$34:$B$40,'Sizing (Hide)'!C34:C40,,1),"N/A")</f>
        <v>2</v>
      </c>
      <c r="J71" s="20">
        <f>IF($C19="Yes",_xlfn.XLOOKUP('Servers &amp; Environment'!$C$8,'Sizing (Hide)'!$B$34:$B$40,'Sizing (Hide)'!D34:D40,,1),"N/A")</f>
        <v>2</v>
      </c>
      <c r="K71" s="20">
        <f>IF($C19="Yes",_xlfn.XLOOKUP('Servers &amp; Environment'!$C$8,'Sizing (Hide)'!$B$34:$B$40,'Sizing (Hide)'!E34:E40,,1),"N/A")</f>
        <v>4</v>
      </c>
      <c r="L71" s="20">
        <f>IF($C19="Yes",_xlfn.XLOOKUP('Servers &amp; Environment'!$C$8,'Sizing (Hide)'!$B$34:$B$40,'Sizing (Hide)'!F34:F40,,1),"N/A")</f>
        <v>50</v>
      </c>
      <c r="M71" s="20" t="str">
        <f>IF($C19="Yes",VLOOKUP('Servers &amp; Environment'!B19,OS[#All],2,FALSE),"N/A")</f>
        <v>Virtual Appliance</v>
      </c>
      <c r="N71" s="20" t="str">
        <f>IF($C19="Yes",IF(OR($C$102="Yes",O71&gt;1),"Yes","No"),"N/A")</f>
        <v>Yes</v>
      </c>
      <c r="O71" s="20">
        <f>IF(C19="Yes",IF(AND($C$103="Yes",I71&gt;=1),I71+1,I71),"N/A")</f>
        <v>2</v>
      </c>
      <c r="P71" s="20" t="str">
        <f>IF(H19 &lt;&gt; "",H19,"N/A")</f>
        <v>Passthrough</v>
      </c>
    </row>
    <row r="72" spans="2:16" ht="27.6">
      <c r="B72" s="34" t="s">
        <v>155</v>
      </c>
      <c r="C72" s="32" t="str">
        <f>IF($C20="Yes",D20,IF($C6="SaaS","VMware Hosted - SaaS","N/A"))</f>
        <v>ens1.haramco.xyz
ens2.haramco.xyz</v>
      </c>
      <c r="D72" s="32" t="str">
        <f>IF($C20="Yes",E20,IF($C6="SaaS",VLOOKUP(ENS!$C$10,Table4[#All],3,FALSE),"N/A"))</f>
        <v>192.168.1.67
192.168.1.58</v>
      </c>
      <c r="E72" s="32" t="str">
        <f>IF($C20="Yes",F20,IF($C6="SaaS",VLOOKUP(ENS!$C$10,Table4[#All],2,FALSE),"N/A"))</f>
        <v>ens.haramco.xyz</v>
      </c>
      <c r="F72" s="32" t="str">
        <f>IF($C20="Yes",G20,IF(C6="SaaS","ENS IP Range","N/A"))</f>
        <v>192.168.1.30</v>
      </c>
      <c r="G72" s="20" t="str">
        <f>IF($C20="Yes","DMZ",IF($C6="SaaS","-","N/A"))</f>
        <v>DMZ</v>
      </c>
      <c r="H72" s="20" t="str">
        <f>IF($C20="Yes","Public SSL",IF($C6="SaaS","-","N/A"))</f>
        <v>Public SSL</v>
      </c>
      <c r="I72" s="20">
        <f>IF($C20="Yes",_xlfn.XLOOKUP('Servers &amp; Environment'!$C$8,'Sizing (Hide)'!$B$41:$B$42,'Sizing (Hide)'!C41:C42,,1),IF($C6="SaaS","-","N/A"))</f>
        <v>1</v>
      </c>
      <c r="J72" s="32">
        <f>IF($C20="Yes",_xlfn.XLOOKUP('Servers &amp; Environment'!$C$8,'Sizing (Hide)'!$B$41:$B$42,'Sizing (Hide)'!D41:D42,,1),IF($C6="SaaS","-","N/A"))</f>
        <v>2</v>
      </c>
      <c r="K72" s="32">
        <f>IF($C20="Yes",_xlfn.XLOOKUP('Servers &amp; Environment'!$C$8,'Sizing (Hide)'!$B$41:$B$42,'Sizing (Hide)'!E41:E42,,1),IF($C6="SaaS","-","N/A"))</f>
        <v>16</v>
      </c>
      <c r="L72" s="32">
        <f>IF($C20="Yes",_xlfn.XLOOKUP('Servers &amp; Environment'!$C$8,'Sizing (Hide)'!$B$41:$B$42,'Sizing (Hide)'!F41:F42,,1),IF($C6="SaaS","-","N/A"))</f>
        <v>50</v>
      </c>
      <c r="M72" s="20" t="str">
        <f>IF($C20="Yes",VLOOKUP('Servers &amp; Environment'!B20,OS[#All],2,FALSE),IF($C6="SaaS","-","N/A"))</f>
        <v>Windows Server 2008 R2 or Windows Server 2012 R2 or Windows Server 2016</v>
      </c>
      <c r="N72" s="20" t="str">
        <f>IF($C20="Yes",IF(OR($C$102="Yes",O72&gt;1),"Yes","No"),IF($C6="SaaS","-","N/A"))</f>
        <v>No</v>
      </c>
      <c r="O72" s="20">
        <f>IF(C20="Yes",IF(AND($C$103="Yes",I72&gt;=1),I72+1,I72),IF($C6="SaaS","-","N/A"))</f>
        <v>1</v>
      </c>
      <c r="P72" s="20" t="str">
        <f>IF(H20 &lt;&gt; "",H20,"N/A")</f>
        <v>Passthrough</v>
      </c>
    </row>
    <row r="73" spans="2:16" ht="27.6">
      <c r="B73" s="34" t="str">
        <f>ComUAGRelayTunnel</f>
        <v>UAG Relay for Tunnel</v>
      </c>
      <c r="C73" s="32" t="str">
        <f t="shared" ref="C73:F73" si="1">IF($C22="Yes",D22,"N/A")</f>
        <v>uagr1.haramco.xyz
uagr2.haramco.xyz</v>
      </c>
      <c r="D73" s="32" t="str">
        <f t="shared" si="1"/>
        <v>192.168.1.70
192.168.1.71</v>
      </c>
      <c r="E73" s="32" t="str">
        <f t="shared" si="1"/>
        <v>uagr.haramco.xyz</v>
      </c>
      <c r="F73" s="32" t="str">
        <f t="shared" si="1"/>
        <v>192.168.1.30</v>
      </c>
      <c r="G73" s="32" t="str">
        <f>IF($C22="Yes","DMZ","N/A")</f>
        <v>DMZ</v>
      </c>
      <c r="H73" s="32" t="str">
        <f>IF($C22="Yes","Optional","N/A")</f>
        <v>Optional</v>
      </c>
      <c r="I73" s="32">
        <f>IF($C22="Yes",_xlfn.XLOOKUP('Servers &amp; Environment'!$C$8,'Sizing (Hide)'!$B$43:$B$47,'Sizing (Hide)'!C43:C47,,1),"N/A")</f>
        <v>1</v>
      </c>
      <c r="J73" s="32">
        <f>IF($C22="Yes",_xlfn.XLOOKUP('Servers &amp; Environment'!$C$8,'Sizing (Hide)'!$B$43:$B$47,'Sizing (Hide)'!D43:D47,,1),"N/A")</f>
        <v>2</v>
      </c>
      <c r="K73" s="32">
        <f>IF($C22="Yes",_xlfn.XLOOKUP('Servers &amp; Environment'!$C$8,'Sizing (Hide)'!$B$43:$B$47,'Sizing (Hide)'!E43:E47,,1),"N/A")</f>
        <v>4</v>
      </c>
      <c r="L73" s="32">
        <f>IF($C22="Yes",_xlfn.XLOOKUP('Servers &amp; Environment'!$C$8,'Sizing (Hide)'!$B$43:$B$47,'Sizing (Hide)'!F43:F47,,1),"N/A")</f>
        <v>50</v>
      </c>
      <c r="M73" s="32" t="str">
        <f>IF($C22="Yes",VLOOKUP('Servers &amp; Environment'!B22,OS[#All],2,FALSE),"N/A")</f>
        <v>Virtual Appliance</v>
      </c>
      <c r="N73" s="32" t="str">
        <f>IF($C22="Yes",IF(OR($C$102="Yes",O73&gt;1),"Yes","No"),"N/A")</f>
        <v>No</v>
      </c>
      <c r="O73" s="32">
        <f>IF($C22="Yes",IF(AND($C$103="Yes",I73&gt;=1),I73+1,I73),"N/A")</f>
        <v>1</v>
      </c>
      <c r="P73" s="20" t="str">
        <f>IF(H22 &lt;&gt; "",H22,"N/A")</f>
        <v>Passthrough</v>
      </c>
    </row>
    <row r="74" spans="2:16" ht="27.6">
      <c r="B74" s="34" t="str">
        <f>ComUAGRelayContent</f>
        <v>UAG Relay for Content</v>
      </c>
      <c r="C74" s="32" t="str">
        <f>IF($C23="Yes",D23,IF($C23="Same as Tunnel", D22, "N/A"))</f>
        <v>uagr1.haramco.xyz
uagr2.haramco.xyz</v>
      </c>
      <c r="D74" s="32" t="str">
        <f>IF($C23="Yes",E23,IF($C23="Same as Tunnel", E22, "N/A"))</f>
        <v>192.168.1.70
192.168.1.71</v>
      </c>
      <c r="E74" s="32" t="str">
        <f>IF($C23="Yes",F23,IF($C23="Same as Tunnel", F22, "N/A"))</f>
        <v>uagr.haramco.xyz</v>
      </c>
      <c r="F74" s="32" t="str">
        <f>IF($C23="Yes",G23,IF($C23="Same as Tunnel", G22, "N/A"))</f>
        <v>192.168.1.30</v>
      </c>
      <c r="G74" s="32" t="str">
        <f>IF(OR($C23="Yes",$C23=INDEX(UAG_Boolean,1)),"DMZ","N/A")</f>
        <v>DMZ</v>
      </c>
      <c r="H74" s="32" t="str">
        <f>IF(OR($C23="Yes",$C23=INDEX(UAG_Boolean,1)),"Public SSL","N/A")</f>
        <v>Public SSL</v>
      </c>
      <c r="I74" s="32">
        <f>IF(OR($C23="Yes",$C23=INDEX(UAG_Boolean,1)),_xlfn.XLOOKUP('Servers &amp; Environment'!$C$8,'Sizing (Hide)'!$B$53:$B$57,'Sizing (Hide)'!C53:C57,,1),"N/A")</f>
        <v>1</v>
      </c>
      <c r="J74" s="32">
        <f>IF(OR($C23="Yes",$C23=INDEX(UAG_Boolean,1)),_xlfn.XLOOKUP('Servers &amp; Environment'!$C$8,'Sizing (Hide)'!$B$53:$B$57,'Sizing (Hide)'!D53:D57,,1),"N/A")</f>
        <v>2</v>
      </c>
      <c r="K74" s="32">
        <f>IF(OR($C23="Yes",$C23=INDEX(UAG_Boolean,1)),_xlfn.XLOOKUP('Servers &amp; Environment'!$C$8,'Sizing (Hide)'!$B$53:$B$57,'Sizing (Hide)'!E53:E57,,1),"N/A")</f>
        <v>4</v>
      </c>
      <c r="L74" s="32">
        <f>IF(OR($C23="Yes",$C23=INDEX(UAG_Boolean,1)),_xlfn.XLOOKUP('Servers &amp; Environment'!$C$8,'Sizing (Hide)'!$B$53:$B$57,'Sizing (Hide)'!F53:F57,,1),"N/A")</f>
        <v>50</v>
      </c>
      <c r="M74" s="32" t="str">
        <f>IF(OR($C23="Yes",$C23=INDEX(UAG_Boolean,1)), VLOOKUP('Servers &amp; Environment'!B23,OS[#All],2,FALSE),"N/A")</f>
        <v>Virtual Appliance</v>
      </c>
      <c r="N74" s="32" t="str">
        <f>IF(OR($C23="Yes",$C23=INDEX(UAG_Boolean,1)),IF(OR($C$102="Yes",O74&gt;1),"Yes","No"),"N/A")</f>
        <v>No</v>
      </c>
      <c r="O74" s="32">
        <f>IF(OR($C23="Yes",$C23=INDEX(UAG_Boolean,1)),IF(AND($C$103="Yes",I74&gt;=1),I74+1,I74),"N/A")</f>
        <v>1</v>
      </c>
      <c r="P74" s="20" t="str">
        <f>IF(H23 &lt;&gt; "",H23,"N/A")</f>
        <v>N/A</v>
      </c>
    </row>
    <row r="75" spans="2:16" ht="27.6">
      <c r="B75" s="34" t="str">
        <f>ComUAGEndTunnel</f>
        <v>UAG Endpoint for Tunnel</v>
      </c>
      <c r="C75" s="32" t="str">
        <f t="shared" ref="C75:F75" si="2">IF($C24="Yes",D24,"N/A")</f>
        <v>uage1.harmco.xyz
uage2.haramco.xyz</v>
      </c>
      <c r="D75" s="32" t="str">
        <f t="shared" si="2"/>
        <v>192.168.1.74
192.168.1.75</v>
      </c>
      <c r="E75" s="32" t="str">
        <f t="shared" si="2"/>
        <v>uage.haramco.xyz</v>
      </c>
      <c r="F75" s="32" t="str">
        <f t="shared" si="2"/>
        <v>192.168.1.30</v>
      </c>
      <c r="G75" s="32" t="str">
        <f>IF($C24="Yes","INT","N/A")</f>
        <v>INT</v>
      </c>
      <c r="H75" s="32" t="str">
        <f>IF($C24="Yes","No","N/A")</f>
        <v>No</v>
      </c>
      <c r="I75" s="32">
        <f>IF($C24="Yes",_xlfn.XLOOKUP('Servers &amp; Environment'!$C$8,'Sizing (Hide)'!$B$48:$B$52,'Sizing (Hide)'!C48:C52,,1),"N/A")</f>
        <v>1</v>
      </c>
      <c r="J75" s="32">
        <f>IF($C24="Yes",_xlfn.XLOOKUP('Servers &amp; Environment'!$C$8,'Sizing (Hide)'!$B$48:$B$52,'Sizing (Hide)'!D48:D52,,1),"N/A")</f>
        <v>2</v>
      </c>
      <c r="K75" s="32">
        <f>IF($C24="Yes",_xlfn.XLOOKUP('Servers &amp; Environment'!$C$8,'Sizing (Hide)'!$B$48:$B$52,'Sizing (Hide)'!E48:E52,,1),"N/A")</f>
        <v>4</v>
      </c>
      <c r="L75" s="32">
        <f>IF($C24="Yes",_xlfn.XLOOKUP('Servers &amp; Environment'!$C$8,'Sizing (Hide)'!$B$48:$B$52,'Sizing (Hide)'!F48:F52,,1),"N/A")</f>
        <v>50</v>
      </c>
      <c r="M75" s="32" t="str">
        <f>IF($C24="Yes",VLOOKUP('Servers &amp; Environment'!B24,OS[#All],2,FALSE),"N/A")</f>
        <v>Virtual Appliance</v>
      </c>
      <c r="N75" s="32" t="str">
        <f>IF($C24="Yes",IF(OR($C$102="Yes",O75&gt;1),"Yes","No"),"N/A")</f>
        <v>No</v>
      </c>
      <c r="O75" s="32">
        <f>IF($C24="Yes",IF(AND($C$103="Yes",I75&gt;=1),I75+1,I75),"N/A")</f>
        <v>1</v>
      </c>
      <c r="P75" s="20" t="str">
        <f>IF(H24 &lt;&gt; "",H24,"N/A")</f>
        <v>Passthrough</v>
      </c>
    </row>
    <row r="76" spans="2:16" ht="27.6">
      <c r="B76" s="34" t="str">
        <f>ComUAGEndContent</f>
        <v xml:space="preserve">UAG Endpoint for Content </v>
      </c>
      <c r="C76" s="32" t="str">
        <f>IF($C25="Yes",D25,IF($C25="Same as Tunnel", D24, "N/A"))</f>
        <v>uage1.harmco.xyz
uage2.haramco.xyz</v>
      </c>
      <c r="D76" s="32" t="str">
        <f>IF($C25="Yes",E25,IF($C25="Same as Tunnel", E24, "N/A"))</f>
        <v>192.168.1.74
192.168.1.75</v>
      </c>
      <c r="E76" s="32" t="str">
        <f>IF($C25="Yes",F25,IF($C25="Same as Tunnel", F24, "N/A"))</f>
        <v>uage.haramco.xyz</v>
      </c>
      <c r="F76" s="32" t="str">
        <f>IF($C25="Yes",G25,IF($C25="Same as Tunnel", G24, "N/A"))</f>
        <v>192.168.1.30</v>
      </c>
      <c r="G76" s="32" t="str">
        <f>IF(OR($C25="Yes", $C25=INDEX(UAG_Boolean,1)),"INT","N/A")</f>
        <v>INT</v>
      </c>
      <c r="H76" s="32" t="str">
        <f>IF(OR($C25="Yes", $C25=INDEX(UAG_Boolean,1)),"No","N/A")</f>
        <v>No</v>
      </c>
      <c r="I76" s="32">
        <f>IF(OR($C25="Yes", $C25=INDEX(UAG_Boolean,1)),_xlfn.XLOOKUP('Servers &amp; Environment'!$C$8,'Sizing (Hide)'!$B$58:$B$62,'Sizing (Hide)'!C58:C62,,1),"N/A")</f>
        <v>1</v>
      </c>
      <c r="J76" s="32">
        <f>IF(OR($C25="Yes", $C25=INDEX(UAG_Boolean,1)),_xlfn.XLOOKUP('Servers &amp; Environment'!$C$8,'Sizing (Hide)'!$B$58:$B$62,'Sizing (Hide)'!D58:D62,,1),"N/A")</f>
        <v>2</v>
      </c>
      <c r="K76" s="32">
        <f>IF(OR($C25="Yes", $C25=INDEX(UAG_Boolean,1)),_xlfn.XLOOKUP('Servers &amp; Environment'!$C$8,'Sizing (Hide)'!$B$58:$B$62,'Sizing (Hide)'!E58:E62,,1),"N/A")</f>
        <v>4</v>
      </c>
      <c r="L76" s="32">
        <f>IF(OR($C25="Yes", $C25=INDEX(UAG_Boolean,1)),_xlfn.XLOOKUP('Servers &amp; Environment'!$C$8,'Sizing (Hide)'!$B$58:$B$62,'Sizing (Hide)'!F58:F62,,1),"N/A")</f>
        <v>50</v>
      </c>
      <c r="M76" s="32" t="str">
        <f>IF(OR($C25="Yes", $C25=INDEX(UAG_Boolean,1)),VLOOKUP('Servers &amp; Environment'!B25,OS[#All],2,FALSE),"N/A")</f>
        <v>Virtual Appliance</v>
      </c>
      <c r="N76" s="32" t="str">
        <f>IF(OR($C25="Yes", $C25=INDEX(UAG_Boolean,1)),IF(OR($C$102="Yes",O76&gt;1),"Yes","No"),"N/A")</f>
        <v>No</v>
      </c>
      <c r="O76" s="32">
        <f>IF(OR($C25="Yes", $C25=INDEX(UAG_Boolean,1)),IF(AND($C$103="Yes",I76&gt;=1),I76+1,I76),"N/A")</f>
        <v>1</v>
      </c>
      <c r="P76" s="20" t="str">
        <f>IF(H25 &lt;&gt; "",H25,"N/A")</f>
        <v>N/A</v>
      </c>
    </row>
    <row r="77" spans="2:16" s="19" customFormat="1">
      <c r="B77" s="34" t="str">
        <f>ComAssistServer</f>
        <v>Ws1 Assist Core/App Server</v>
      </c>
      <c r="C77" s="32" t="str">
        <f>IF($C$6="SaaS","VMware Hosted - SaaS",IF($C38="Yes",D38,"N/A"))</f>
        <v>assist1.haramco.xyz</v>
      </c>
      <c r="D77" s="32" t="str">
        <f>IF($C$6="SaaS","VMware Hosted - SaaS",IF($C38="Yes",E38,"N/A"))</f>
        <v>192.168.1.87</v>
      </c>
      <c r="E77" s="32" t="str">
        <f>IF($C$6="SaaS",AccessSaaSURL,IF($C38="Yes",F38,"N/A"))</f>
        <v>assist.haramco.xyz</v>
      </c>
      <c r="F77" s="32" t="str">
        <f>IF($C$6="SaaS",AccessSaaSIP,IF($C38="Yes",G38,"N/A"))</f>
        <v>192.168.1.30</v>
      </c>
      <c r="G77" s="20" t="str">
        <f>IF($C$6="SaaS","-",IF(C38="Yes","DMZ","N/A"))</f>
        <v>DMZ</v>
      </c>
      <c r="H77" s="20" t="str">
        <f>IF($C$6="SaaS","-",IF(C38="Yes","Public SSL","N/A"))</f>
        <v>Public SSL</v>
      </c>
      <c r="I77" s="20">
        <f>IF($C38="Yes",_xlfn.XLOOKUP('Servers &amp; Environment'!$C$8,'Sizing (Hide)'!$B$89:$B$93,'Sizing (Hide)'!C89:C93,,1),IF($C13="SaaS","-","N/A"))</f>
        <v>1</v>
      </c>
      <c r="J77" s="20">
        <f>IF($C38="Yes",_xlfn.XLOOKUP('Servers &amp; Environment'!$C$8,'Sizing (Hide)'!$B$89:$B$93,'Sizing (Hide)'!D89:D93,,1),IF($C13="SaaS","-","N/A"))</f>
        <v>2</v>
      </c>
      <c r="K77" s="20">
        <f>IF($C38="Yes",_xlfn.XLOOKUP('Servers &amp; Environment'!$C$8,'Sizing (Hide)'!$B$89:$B$93,'Sizing (Hide)'!E89:E93,,1),IF($C13="SaaS","-","N/A"))</f>
        <v>32</v>
      </c>
      <c r="L77" s="20">
        <f>IF($C38="Yes",_xlfn.XLOOKUP('Servers &amp; Environment'!$C$8,'Sizing (Hide)'!$B$89:$B$93,'Sizing (Hide)'!F89:F93,,1),IF($C13="SaaS","-","N/A"))</f>
        <v>250</v>
      </c>
      <c r="M77" s="20" t="str">
        <f>IF(C38="Yes",VLOOKUP(ComAssistServer,OS[#All],2,FALSE),"N/A")</f>
        <v>Windows Server 2012 R2, or Windows Server 2016</v>
      </c>
      <c r="N77" s="20" t="str">
        <f>IF($C38="Yes",IF(OR($C$102="Yes",O77&gt;1),"Yes","No"),IF($C13="SaaS","-","N/A"))</f>
        <v>No</v>
      </c>
      <c r="O77" s="20"/>
      <c r="P77" s="20" t="str">
        <f>IF(H38 &lt;&gt; "",H38,"N/A")</f>
        <v>Passthrough</v>
      </c>
    </row>
    <row r="78" spans="2:16" s="19" customFormat="1">
      <c r="B78" s="36" t="str">
        <f>ComAssistProctor</f>
        <v>Ws1 Assist Connection Proctor</v>
      </c>
      <c r="C78" s="32" t="str">
        <f>IF($C$6="SaaS","VMware Hosted - SaaS",IF($C39="Yes",D39,IF($C39=INDEX(Assist_Boolean, 1), $D38, "N/A")))</f>
        <v>assist1.haramco.xyz</v>
      </c>
      <c r="D78" s="32" t="str">
        <f>IF($C$6="SaaS","VMware Hosted - SaaS",IF($C39="Yes",E39,IF($C39=INDEX(Assist_Boolean, 1), $E38, "N/A")))</f>
        <v>192.168.1.87</v>
      </c>
      <c r="E78" s="32" t="str">
        <f>IF($C$6="SaaS",AccessSaaSURL,IF($C39="Yes",F39,IF($C39=INDEX(Assist_Boolean, 1), $F38, "N/A")))</f>
        <v>assist.haramco.xyz</v>
      </c>
      <c r="F78" s="32" t="str">
        <f>IF($C$6="SaaS",AccessSaaSIP,IF($C39="Yes",G39,IF($C39=INDEX(Assist_Boolean, 1), $G38, "N/A")))</f>
        <v>192.168.1.30</v>
      </c>
      <c r="G78" s="20" t="str">
        <f>IF($C$6="SaaS","-",IF(OR(C39="Yes", C39=INDEX(Assist_Boolean, 1)),"DMZ","N/A"))</f>
        <v>DMZ</v>
      </c>
      <c r="H78" s="20" t="str">
        <f>IF($C$6="SaaS","-",IF(OR(C39="Yes", C39=INDEX(Assist_Boolean, 1)),"Public SSL","N/A"))</f>
        <v>Public SSL</v>
      </c>
      <c r="I78" s="20" t="str">
        <f>IF($C39="Yes",_xlfn.XLOOKUP('Servers &amp; Environment'!$C$8,'Sizing (Hide)'!$B$94:$B$98,'Sizing (Hide)'!C94:C98,,1),IF($C14="SaaS","-","N/A"))</f>
        <v>N/A</v>
      </c>
      <c r="J78" s="20" t="str">
        <f>IF($C39="Yes",_xlfn.XLOOKUP('Servers &amp; Environment'!$C$8,'Sizing (Hide)'!$B$94:$B$98,'Sizing (Hide)'!D94:D98,,1),IF($C14="SaaS","-","N/A"))</f>
        <v>N/A</v>
      </c>
      <c r="K78" s="20" t="str">
        <f>IF($C39="Yes",_xlfn.XLOOKUP('Servers &amp; Environment'!$C$8,'Sizing (Hide)'!$B$94:$B$98,'Sizing (Hide)'!E94:E98,,1),IF($C14="SaaS","-","N/A"))</f>
        <v>N/A</v>
      </c>
      <c r="L78" s="20" t="str">
        <f>IF($C39="Yes",_xlfn.XLOOKUP('Servers &amp; Environment'!$C$8,'Sizing (Hide)'!$B$94:$B$98,'Sizing (Hide)'!F94:F98,,1),IF($C14="SaaS","-","N/A"))</f>
        <v>N/A</v>
      </c>
      <c r="M78" s="20" t="str">
        <f>IF(C39="Yes",VLOOKUP(ComAssistProctor,OS[#All],2,FALSE),"N/A")</f>
        <v>N/A</v>
      </c>
      <c r="N78" s="20"/>
      <c r="O78" s="20"/>
      <c r="P78" s="20" t="str">
        <f>IF(H39 &lt;&gt; "",H39,"N/A")</f>
        <v>N/A</v>
      </c>
    </row>
    <row r="79" spans="2:16" s="19" customFormat="1">
      <c r="B79" s="36" t="str">
        <f>ComFTP</f>
        <v>FTP Relay Server</v>
      </c>
      <c r="C79" s="20" t="str">
        <f t="shared" ref="C79:F80" si="3">IF($C26="Yes",D26,"N/A")</f>
        <v>ftpr.haramco.xyz</v>
      </c>
      <c r="D79" s="20" t="str">
        <f t="shared" si="3"/>
        <v>192.168.1.77</v>
      </c>
      <c r="E79" s="20" t="str">
        <f t="shared" si="3"/>
        <v>ftpr.haramco.xyz</v>
      </c>
      <c r="F79" s="20" t="str">
        <f t="shared" si="3"/>
        <v>192.168.1.30</v>
      </c>
      <c r="G79" s="20" t="str">
        <f>IF($C26="Yes","DMZ","N/A")</f>
        <v>DMZ</v>
      </c>
      <c r="H79" s="20"/>
      <c r="I79" s="20"/>
      <c r="J79" s="20"/>
      <c r="K79" s="20"/>
      <c r="L79" s="20"/>
      <c r="M79" s="20"/>
      <c r="N79" s="20"/>
      <c r="O79" s="20"/>
      <c r="P79" s="20" t="str">
        <f>IF(H26 &lt;&gt; "",H26,"N/A")</f>
        <v>Passthrough</v>
      </c>
    </row>
    <row r="80" spans="2:16">
      <c r="B80" s="36" t="str">
        <f>ComCIB</f>
        <v>Citrix Integration Broker</v>
      </c>
      <c r="C80" s="32" t="str">
        <f>IF($C27="Yes",D27,"N/A")</f>
        <v>N/A</v>
      </c>
      <c r="D80" s="32" t="str">
        <f t="shared" si="3"/>
        <v>N/A</v>
      </c>
      <c r="E80" s="32" t="str">
        <f t="shared" si="3"/>
        <v>N/A</v>
      </c>
      <c r="F80" s="32" t="str">
        <f t="shared" si="3"/>
        <v>N/A</v>
      </c>
      <c r="G80" s="20" t="str">
        <f>IF($C27="Yes","INT","N/A")</f>
        <v>N/A</v>
      </c>
      <c r="H80" s="20" t="str">
        <f>IF($C27="Yes","No","N/A")</f>
        <v>N/A</v>
      </c>
      <c r="I80" s="20" t="str">
        <f>IF($C27="Yes",_xlfn.XLOOKUP('Servers &amp; Environment'!$C$8,'Sizing (Hide)'!$B$80:$B$81,'Sizing (Hide)'!C79:C80,,1),"N/A")</f>
        <v>N/A</v>
      </c>
      <c r="J80" s="20" t="str">
        <f>IF($C27="Yes",_xlfn.XLOOKUP('Servers &amp; Environment'!$C$8,'Sizing (Hide)'!$B$80:$B$81,'Sizing (Hide)'!D79:D80,,1),"N/A")</f>
        <v>N/A</v>
      </c>
      <c r="K80" s="20" t="str">
        <f>IF($C27="Yes",_xlfn.XLOOKUP('Servers &amp; Environment'!$C$8,'Sizing (Hide)'!$B$80:$B$81,'Sizing (Hide)'!E79:E80,,1),"N/A")</f>
        <v>N/A</v>
      </c>
      <c r="L80" s="20" t="str">
        <f>IF($C27="Yes",_xlfn.XLOOKUP('Servers &amp; Environment'!$C$8,'Sizing (Hide)'!$B$80:$B$81,'Sizing (Hide)'!F79:F80,,1),"N/A")</f>
        <v>N/A</v>
      </c>
      <c r="M80" s="20" t="str">
        <f>IF($C27="Yes",VLOOKUP('Servers &amp; Environment'!B27,OS[#All],2,FALSE),"N/A")</f>
        <v>N/A</v>
      </c>
      <c r="N80" s="20" t="str">
        <f>IF($C27="Yes","No","N/A")</f>
        <v>N/A</v>
      </c>
      <c r="O80" s="20" t="str">
        <f>IF($C27="Yes",IF(AND($C$103="Yes",I80&gt;=1),I80,I80),"N/A")</f>
        <v>N/A</v>
      </c>
      <c r="P80" s="20" t="str">
        <f>IF(H27 &lt;&gt; "",H27,"N/A")</f>
        <v>N/A</v>
      </c>
    </row>
    <row r="82" spans="2:15" ht="22.9">
      <c r="B82" s="63" t="s">
        <v>156</v>
      </c>
      <c r="C82" s="13"/>
      <c r="D82" s="13"/>
      <c r="E82" s="13"/>
      <c r="F82" s="14"/>
      <c r="G82"/>
      <c r="H82"/>
      <c r="I82"/>
      <c r="J82"/>
      <c r="K82"/>
      <c r="L82"/>
      <c r="M82"/>
      <c r="N82"/>
      <c r="O82"/>
    </row>
    <row r="83" spans="2:15" ht="15.6">
      <c r="B83" s="23" t="s">
        <v>157</v>
      </c>
      <c r="C83" s="23" t="s">
        <v>158</v>
      </c>
      <c r="D83" s="23" t="s">
        <v>159</v>
      </c>
      <c r="E83" s="23" t="s">
        <v>160</v>
      </c>
      <c r="F83" s="23" t="s">
        <v>161</v>
      </c>
    </row>
    <row r="84" spans="2:15" ht="27.6">
      <c r="B84" s="35">
        <v>1</v>
      </c>
      <c r="C84" s="211" t="s">
        <v>162</v>
      </c>
      <c r="D84" s="211" t="s">
        <v>163</v>
      </c>
      <c r="E84" s="212"/>
      <c r="F84" s="213"/>
    </row>
    <row r="85" spans="2:15" ht="27.6">
      <c r="B85" s="35">
        <v>2</v>
      </c>
      <c r="C85" s="211" t="s">
        <v>164</v>
      </c>
      <c r="D85" s="211" t="s">
        <v>165</v>
      </c>
      <c r="E85" s="212"/>
      <c r="F85" s="213"/>
    </row>
    <row r="86" spans="2:15" ht="41.45">
      <c r="B86" s="35">
        <v>3</v>
      </c>
      <c r="C86" s="211" t="s">
        <v>166</v>
      </c>
      <c r="D86" s="211" t="s">
        <v>167</v>
      </c>
      <c r="E86" s="212"/>
      <c r="F86" s="213"/>
    </row>
    <row r="87" spans="2:15" ht="27.6">
      <c r="B87" s="35">
        <v>4</v>
      </c>
      <c r="C87" s="211" t="s">
        <v>168</v>
      </c>
      <c r="D87" s="211" t="s">
        <v>169</v>
      </c>
      <c r="E87" s="212"/>
      <c r="F87" s="213"/>
    </row>
    <row r="88" spans="2:15">
      <c r="B88" s="35">
        <v>5</v>
      </c>
      <c r="C88" s="214"/>
      <c r="D88" s="214"/>
      <c r="E88" s="211"/>
      <c r="F88" s="211"/>
    </row>
    <row r="89" spans="2:15">
      <c r="B89" s="35">
        <v>6</v>
      </c>
      <c r="C89" s="214"/>
      <c r="D89" s="214"/>
      <c r="E89" s="211"/>
      <c r="F89" s="211"/>
    </row>
    <row r="90" spans="2:15">
      <c r="B90" s="35">
        <v>7</v>
      </c>
      <c r="C90" s="214"/>
      <c r="D90" s="214"/>
      <c r="E90" s="211"/>
      <c r="F90" s="211"/>
    </row>
    <row r="91" spans="2:15">
      <c r="B91" s="35">
        <v>8</v>
      </c>
      <c r="C91" s="214"/>
      <c r="D91" s="214"/>
      <c r="E91" s="211"/>
      <c r="F91" s="211"/>
    </row>
    <row r="92" spans="2:15">
      <c r="B92" s="35">
        <v>9</v>
      </c>
      <c r="C92" s="214"/>
      <c r="D92" s="214"/>
      <c r="E92" s="211"/>
      <c r="F92" s="211"/>
    </row>
    <row r="93" spans="2:15">
      <c r="B93" s="35">
        <v>10</v>
      </c>
      <c r="C93" s="214"/>
      <c r="D93" s="214"/>
      <c r="E93" s="211"/>
      <c r="F93" s="211"/>
    </row>
    <row r="94" spans="2:15">
      <c r="B94" s="35">
        <v>11</v>
      </c>
      <c r="C94" s="214"/>
      <c r="D94" s="214"/>
      <c r="E94" s="211"/>
      <c r="F94" s="211"/>
    </row>
    <row r="95" spans="2:15">
      <c r="B95" s="35">
        <v>12</v>
      </c>
      <c r="C95" s="214"/>
      <c r="D95" s="214"/>
      <c r="E95" s="211"/>
      <c r="F95" s="211"/>
    </row>
    <row r="96" spans="2:15">
      <c r="B96" s="35">
        <v>13</v>
      </c>
      <c r="C96" s="214"/>
      <c r="D96" s="214"/>
      <c r="E96" s="211"/>
      <c r="F96" s="211"/>
    </row>
    <row r="99" spans="2:3" ht="21">
      <c r="B99" s="62" t="s">
        <v>170</v>
      </c>
      <c r="C99" s="62"/>
    </row>
    <row r="100" spans="2:3" ht="17.45">
      <c r="B100" s="205" t="s">
        <v>171</v>
      </c>
      <c r="C100" s="205" t="s">
        <v>172</v>
      </c>
    </row>
    <row r="101" spans="2:3">
      <c r="B101" s="6" t="s">
        <v>173</v>
      </c>
      <c r="C101" s="241"/>
    </row>
    <row r="102" spans="2:3" ht="15">
      <c r="B102" s="248" t="s">
        <v>174</v>
      </c>
      <c r="C102" s="204" t="s">
        <v>86</v>
      </c>
    </row>
    <row r="103" spans="2:3" ht="15">
      <c r="B103" s="247" t="s">
        <v>175</v>
      </c>
      <c r="C103" s="204" t="s">
        <v>86</v>
      </c>
    </row>
    <row r="104" spans="2:3" ht="15">
      <c r="B104" s="247" t="s">
        <v>176</v>
      </c>
      <c r="C104" s="204" t="s">
        <v>86</v>
      </c>
    </row>
    <row r="105" spans="2:3" ht="15">
      <c r="B105" s="247" t="s">
        <v>177</v>
      </c>
      <c r="C105" s="204" t="s">
        <v>86</v>
      </c>
    </row>
    <row r="106" spans="2:3" ht="15">
      <c r="B106" s="247" t="s">
        <v>178</v>
      </c>
      <c r="C106" s="204" t="s">
        <v>179</v>
      </c>
    </row>
    <row r="107" spans="2:3" ht="15">
      <c r="B107" s="247" t="s">
        <v>180</v>
      </c>
      <c r="C107" s="204" t="s">
        <v>86</v>
      </c>
    </row>
    <row r="108" spans="2:3" ht="15">
      <c r="B108" s="247" t="s">
        <v>181</v>
      </c>
      <c r="C108" s="204" t="s">
        <v>41</v>
      </c>
    </row>
    <row r="109" spans="2:3" ht="15">
      <c r="B109" s="247" t="s">
        <v>182</v>
      </c>
      <c r="C109" s="204" t="s">
        <v>86</v>
      </c>
    </row>
  </sheetData>
  <sheetProtection selectLockedCells="1"/>
  <mergeCells count="4">
    <mergeCell ref="I56:M56"/>
    <mergeCell ref="B56:F56"/>
    <mergeCell ref="G56:H56"/>
    <mergeCell ref="N56:P56"/>
  </mergeCells>
  <conditionalFormatting sqref="B56 E83:F83 B83:C85 B87:E87 B88:B96 E84:E85">
    <cfRule type="cellIs" dxfId="1072" priority="112" operator="equal">
      <formula>"Complete"</formula>
    </cfRule>
    <cfRule type="cellIs" dxfId="1071" priority="113" operator="equal">
      <formula>"Pending"</formula>
    </cfRule>
  </conditionalFormatting>
  <conditionalFormatting sqref="B57">
    <cfRule type="cellIs" dxfId="1070" priority="110" operator="equal">
      <formula>"Complete"</formula>
    </cfRule>
    <cfRule type="cellIs" dxfId="1069" priority="111" operator="equal">
      <formula>"Pending"</formula>
    </cfRule>
  </conditionalFormatting>
  <conditionalFormatting sqref="C29:C40 C17:C27">
    <cfRule type="expression" dxfId="1068" priority="93">
      <formula>$C$6="On-Premise"</formula>
    </cfRule>
  </conditionalFormatting>
  <conditionalFormatting sqref="B28:G40">
    <cfRule type="expression" dxfId="1067" priority="58">
      <formula>$C$6="SaaS"</formula>
    </cfRule>
  </conditionalFormatting>
  <conditionalFormatting sqref="D17:H40">
    <cfRule type="expression" dxfId="1066" priority="61">
      <formula>$C17="Yes"</formula>
    </cfRule>
  </conditionalFormatting>
  <conditionalFormatting sqref="D19:F19">
    <cfRule type="expression" dxfId="1065" priority="42">
      <formula>$C19="Yes"</formula>
    </cfRule>
  </conditionalFormatting>
  <conditionalFormatting sqref="D23:G23">
    <cfRule type="expression" dxfId="1064" priority="39">
      <formula>$C23="Yes"</formula>
    </cfRule>
  </conditionalFormatting>
  <conditionalFormatting sqref="D24:F24">
    <cfRule type="expression" dxfId="1063" priority="38">
      <formula>$C24="Yes"</formula>
    </cfRule>
  </conditionalFormatting>
  <conditionalFormatting sqref="D25:G25 D26:F26">
    <cfRule type="expression" dxfId="1062" priority="37">
      <formula>$C25="Yes"</formula>
    </cfRule>
  </conditionalFormatting>
  <conditionalFormatting sqref="E5:G14">
    <cfRule type="expression" dxfId="1061" priority="32">
      <formula>$C$6="On-Premise"</formula>
    </cfRule>
  </conditionalFormatting>
  <conditionalFormatting sqref="C10:H13">
    <cfRule type="expression" dxfId="1060" priority="30">
      <formula>$C$6="On-Premise"</formula>
    </cfRule>
  </conditionalFormatting>
  <conditionalFormatting sqref="D22">
    <cfRule type="expression" dxfId="1059" priority="28">
      <formula>$C22="Yes"</formula>
    </cfRule>
  </conditionalFormatting>
  <conditionalFormatting sqref="E22">
    <cfRule type="expression" dxfId="1058" priority="27">
      <formula>$C22="Yes"</formula>
    </cfRule>
  </conditionalFormatting>
  <conditionalFormatting sqref="F22">
    <cfRule type="expression" dxfId="1057" priority="26">
      <formula>$C22="Yes"</formula>
    </cfRule>
  </conditionalFormatting>
  <conditionalFormatting sqref="C44:C54">
    <cfRule type="expression" dxfId="1056" priority="24">
      <formula>$C$6="On-Premise"</formula>
    </cfRule>
  </conditionalFormatting>
  <conditionalFormatting sqref="C44:C54">
    <cfRule type="expression" dxfId="1055" priority="23">
      <formula>$C$6="SaaS"</formula>
    </cfRule>
  </conditionalFormatting>
  <conditionalFormatting sqref="D44:F54">
    <cfRule type="expression" dxfId="1054" priority="19">
      <formula>$C$6="SaaS"</formula>
    </cfRule>
  </conditionalFormatting>
  <conditionalFormatting sqref="D44:F54">
    <cfRule type="expression" dxfId="1053" priority="20">
      <formula>$C44="Yes"</formula>
    </cfRule>
  </conditionalFormatting>
  <conditionalFormatting sqref="B58:B61">
    <cfRule type="cellIs" dxfId="1052" priority="17" operator="equal">
      <formula>"Complete"</formula>
    </cfRule>
    <cfRule type="cellIs" dxfId="1051" priority="18" operator="equal">
      <formula>"Pending"</formula>
    </cfRule>
  </conditionalFormatting>
  <conditionalFormatting sqref="D21">
    <cfRule type="expression" dxfId="1050" priority="16">
      <formula>$C$6="SaaS"</formula>
    </cfRule>
  </conditionalFormatting>
  <conditionalFormatting sqref="E21">
    <cfRule type="expression" dxfId="1049" priority="15">
      <formula>$C$6="SaaS"</formula>
    </cfRule>
  </conditionalFormatting>
  <conditionalFormatting sqref="I15:M40">
    <cfRule type="expression" dxfId="1048" priority="6">
      <formula>$C$108="No"</formula>
    </cfRule>
  </conditionalFormatting>
  <conditionalFormatting sqref="I17:M40">
    <cfRule type="expression" dxfId="1047" priority="11">
      <formula>$C17="Yes"</formula>
    </cfRule>
  </conditionalFormatting>
  <conditionalFormatting sqref="G19">
    <cfRule type="expression" dxfId="1046" priority="5">
      <formula>$C19="Yes"</formula>
    </cfRule>
  </conditionalFormatting>
  <conditionalFormatting sqref="G20:G22">
    <cfRule type="expression" dxfId="1045" priority="4">
      <formula>$C20="Yes"</formula>
    </cfRule>
  </conditionalFormatting>
  <conditionalFormatting sqref="G24">
    <cfRule type="expression" dxfId="1044" priority="3">
      <formula>$C24="Yes"</formula>
    </cfRule>
  </conditionalFormatting>
  <conditionalFormatting sqref="G26">
    <cfRule type="expression" dxfId="1043" priority="2">
      <formula>$C26="Yes"</formula>
    </cfRule>
  </conditionalFormatting>
  <dataValidations count="16">
    <dataValidation type="list" allowBlank="1" showInputMessage="1" showErrorMessage="1" sqref="C44:C54 C7 C40:C41 C24 C26:C27 C102:C105 C22 C17:C20 C29 C31:C36 C38 C107:C109" xr:uid="{4A91243A-C2CA-4865-89B3-5526660D642D}">
      <formula1>Boolean</formula1>
    </dataValidation>
    <dataValidation type="list" allowBlank="1" showInputMessage="1" sqref="C88:C96" xr:uid="{8E7AE46E-B155-4800-8A9B-C7269DF88820}">
      <formula1>ServiceAccountType</formula1>
    </dataValidation>
    <dataValidation type="list" allowBlank="1" showInputMessage="1" sqref="E88:E96" xr:uid="{F3CE885C-225B-4F1D-915C-E31F9A7CCC94}">
      <formula1>ServerAccountName</formula1>
    </dataValidation>
    <dataValidation type="list" allowBlank="1" showInputMessage="1" showErrorMessage="1" sqref="G8" xr:uid="{54E69872-1E4E-4173-9A0B-CB8333CAB9EF}">
      <formula1>ws1accesssaas</formula1>
    </dataValidation>
    <dataValidation type="list" allowBlank="1" showInputMessage="1" sqref="G6" xr:uid="{425E7568-C85E-42AA-8AA6-92DB96E1E58E}">
      <formula1>ws1uemsaas</formula1>
    </dataValidation>
    <dataValidation type="list" allowBlank="1" showInputMessage="1" showErrorMessage="1" sqref="C5:C6" xr:uid="{57A3D442-2A11-444A-B849-3FDE3A87E86F}">
      <formula1>environment</formula1>
    </dataValidation>
    <dataValidation type="list" allowBlank="1" showInputMessage="1" showErrorMessage="1" sqref="F44" xr:uid="{91796B42-7F65-4502-BD93-EF75D97BB19E}">
      <formula1>"389,636,3268,3269"</formula1>
    </dataValidation>
    <dataValidation type="list" allowBlank="1" showInputMessage="1" showErrorMessage="1" sqref="F45" xr:uid="{9A2B3778-96DB-4D29-B2CE-4B15488FEA31}">
      <formula1>"25,465"</formula1>
    </dataValidation>
    <dataValidation type="list" allowBlank="1" showInputMessage="1" showErrorMessage="1" sqref="F47" xr:uid="{D7AD3EFA-4098-496C-A63D-10047541DEE9}">
      <formula1>"80,443"</formula1>
    </dataValidation>
    <dataValidation type="list" allowBlank="1" showInputMessage="1" showErrorMessage="1" sqref="C23 C25" xr:uid="{57E4E0B4-807D-451E-948F-3E36B801709B}">
      <formula1>UAG_Boolean</formula1>
    </dataValidation>
    <dataValidation type="list" allowBlank="1" showInputMessage="1" showErrorMessage="1" sqref="C106" xr:uid="{805682DF-3E17-4B15-8C8E-360EFCBD8076}">
      <formula1>"Basic,Relay-Endpoint"</formula1>
    </dataValidation>
    <dataValidation type="list" allowBlank="1" showInputMessage="1" sqref="C77:H79 N78:N79 C58:H68 M58:N68" xr:uid="{D9C26D34-E1FC-459D-9B4D-8FC04788519F}">
      <formula1>#REF!</formula1>
    </dataValidation>
    <dataValidation type="list" allowBlank="1" showInputMessage="1" showErrorMessage="1" sqref="C39" xr:uid="{55751035-6AFF-4A94-9491-97F8B4ACD659}">
      <formula1>Assist_Boolean</formula1>
    </dataValidation>
    <dataValidation type="list" allowBlank="1" showInputMessage="1" showErrorMessage="1" sqref="C21" xr:uid="{D564DB4D-651A-4DDB-A9F6-DCCDD5B5F32F}">
      <formula1>IF(deploymenttype="SaaS",Boolean,DB_Boolean)</formula1>
    </dataValidation>
    <dataValidation type="list" allowBlank="1" showInputMessage="1" showErrorMessage="1" sqref="C30 C37" xr:uid="{0569E1C9-97E7-4BC0-9A56-A0EE75C91288}">
      <formula1>DB_Boolean</formula1>
    </dataValidation>
    <dataValidation type="list" allowBlank="1" showInputMessage="1" showErrorMessage="1" sqref="H17:H27 H29:H40" xr:uid="{689050E9-29D1-4E6D-B3ED-57213C5F62C4}">
      <formula1>SSL_Handling</formula1>
    </dataValidation>
  </dataValidations>
  <hyperlinks>
    <hyperlink ref="F11" r:id="rId1" display="AirWatch IP Range" xr:uid="{4E44FF5B-2576-4AEA-A58B-D10D45CCA9A5}"/>
    <hyperlink ref="G11" r:id="rId2" xr:uid="{65F7D2BB-94B6-47FB-BF4E-9A5BE9A14D31}"/>
    <hyperlink ref="F13" r:id="rId3" display="IDM IP Range (Americas)" xr:uid="{96DE791A-97DB-4D4A-9B45-5D3F008F6FEF}"/>
  </hyperlinks>
  <pageMargins left="0.7" right="0.7" top="0.75" bottom="0.75" header="0.3" footer="0.3"/>
  <pageSetup orientation="portrait" r:id="rId4"/>
  <legacy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3BD95-002F-4A17-875F-00D388BB2CA4}">
  <sheetPr>
    <tabColor theme="0" tint="-0.14999847407452621"/>
  </sheetPr>
  <dimension ref="B1:G22"/>
  <sheetViews>
    <sheetView showGridLines="0" topLeftCell="A3" zoomScale="150" zoomScaleNormal="150" workbookViewId="0">
      <selection activeCell="C4" sqref="C4"/>
    </sheetView>
  </sheetViews>
  <sheetFormatPr defaultColWidth="9.140625" defaultRowHeight="13.15"/>
  <cols>
    <col min="1" max="1" width="2.42578125" style="6" customWidth="1"/>
    <col min="2" max="2" width="17.42578125" style="6" customWidth="1"/>
    <col min="3" max="3" width="17.140625" style="6" customWidth="1"/>
    <col min="4" max="5" width="22.85546875" style="6" customWidth="1"/>
    <col min="6" max="6" width="72.7109375" style="6" customWidth="1"/>
    <col min="7" max="7" width="19.28515625" style="208" customWidth="1"/>
    <col min="8" max="16384" width="9.140625" style="6"/>
  </cols>
  <sheetData>
    <row r="1" spans="2:6">
      <c r="B1" s="6" t="s">
        <v>183</v>
      </c>
      <c r="C1" s="6" t="s">
        <v>184</v>
      </c>
      <c r="D1" s="6" t="s">
        <v>185</v>
      </c>
      <c r="E1" s="6" t="s">
        <v>186</v>
      </c>
      <c r="F1" s="6" t="s">
        <v>159</v>
      </c>
    </row>
    <row r="2" spans="2:6" ht="91.9">
      <c r="B2" s="216">
        <v>1</v>
      </c>
      <c r="C2" s="217">
        <v>43920</v>
      </c>
      <c r="D2" s="216" t="s">
        <v>187</v>
      </c>
      <c r="E2" s="216" t="s">
        <v>44</v>
      </c>
      <c r="F2" s="218" t="s">
        <v>188</v>
      </c>
    </row>
    <row r="3" spans="2:6" ht="244.9">
      <c r="B3" s="216">
        <v>1.1000000000000001</v>
      </c>
      <c r="C3" s="217">
        <v>43926</v>
      </c>
      <c r="D3" s="216" t="s">
        <v>189</v>
      </c>
      <c r="E3" s="216" t="s">
        <v>44</v>
      </c>
      <c r="F3" s="218" t="s">
        <v>190</v>
      </c>
    </row>
    <row r="4" spans="2:6" ht="285.60000000000002">
      <c r="B4" s="216">
        <v>1.2</v>
      </c>
      <c r="C4" s="217" t="s">
        <v>191</v>
      </c>
      <c r="D4" s="216" t="s">
        <v>189</v>
      </c>
      <c r="E4" s="216" t="s">
        <v>44</v>
      </c>
      <c r="F4" s="218" t="s">
        <v>192</v>
      </c>
    </row>
    <row r="5" spans="2:6" ht="22.5">
      <c r="B5" s="216">
        <v>1.3</v>
      </c>
      <c r="C5" s="217">
        <v>43994</v>
      </c>
      <c r="D5" s="216" t="s">
        <v>189</v>
      </c>
      <c r="E5" s="216" t="s">
        <v>44</v>
      </c>
      <c r="F5" s="218" t="s">
        <v>193</v>
      </c>
    </row>
    <row r="6" spans="2:6">
      <c r="B6" s="216"/>
      <c r="C6" s="217"/>
      <c r="D6" s="216"/>
      <c r="E6" s="216"/>
      <c r="F6" s="218"/>
    </row>
    <row r="18" spans="2:6" ht="15.6">
      <c r="B18" s="296" t="s">
        <v>194</v>
      </c>
      <c r="C18" s="297"/>
      <c r="D18" s="297"/>
      <c r="E18" s="297"/>
      <c r="F18" s="298"/>
    </row>
    <row r="19" spans="2:6" ht="81.75" customHeight="1">
      <c r="B19" s="299" t="s">
        <v>195</v>
      </c>
      <c r="C19" s="299"/>
      <c r="D19" s="299"/>
      <c r="E19" s="299"/>
      <c r="F19" s="299"/>
    </row>
    <row r="20" spans="2:6" ht="20.25" customHeight="1">
      <c r="B20" s="210" t="s">
        <v>196</v>
      </c>
    </row>
    <row r="22" spans="2:6">
      <c r="B22" s="6" t="s">
        <v>197</v>
      </c>
    </row>
  </sheetData>
  <mergeCells count="2">
    <mergeCell ref="B18:F18"/>
    <mergeCell ref="B19:F19"/>
  </mergeCells>
  <conditionalFormatting sqref="B18">
    <cfRule type="cellIs" dxfId="1042" priority="1" operator="equal">
      <formula>"Complete"</formula>
    </cfRule>
    <cfRule type="cellIs" dxfId="1041" priority="2" operator="equal">
      <formula>"Pending"</formula>
    </cfRule>
  </conditionalFormatting>
  <hyperlinks>
    <hyperlink ref="B20" r:id="rId1" xr:uid="{FB9097EA-3A03-42E8-8987-B36166BFC9CE}"/>
  </hyperlinks>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D2E01-E374-4863-B320-89D7300D38C9}">
  <sheetPr>
    <tabColor theme="0" tint="-0.14999847407452621"/>
  </sheetPr>
  <dimension ref="A1:E88"/>
  <sheetViews>
    <sheetView topLeftCell="A5" workbookViewId="0">
      <selection activeCell="A25" sqref="A25"/>
    </sheetView>
  </sheetViews>
  <sheetFormatPr defaultColWidth="9.140625" defaultRowHeight="13.15"/>
  <cols>
    <col min="1" max="1" width="31.28515625" style="6" bestFit="1" customWidth="1"/>
    <col min="2" max="2" width="50.7109375" style="6" customWidth="1"/>
    <col min="3" max="3" width="39.42578125" style="6" customWidth="1"/>
    <col min="4" max="4" width="61.42578125" style="6" customWidth="1"/>
    <col min="5" max="5" width="59" style="6" customWidth="1"/>
    <col min="6" max="16384" width="9.140625" style="6"/>
  </cols>
  <sheetData>
    <row r="1" spans="1:1">
      <c r="A1" s="37" t="s">
        <v>27</v>
      </c>
    </row>
    <row r="2" spans="1:1">
      <c r="A2" s="6" t="s">
        <v>7</v>
      </c>
    </row>
    <row r="3" spans="1:1">
      <c r="A3" s="6" t="s">
        <v>198</v>
      </c>
    </row>
    <row r="5" spans="1:1">
      <c r="A5" s="37" t="s">
        <v>199</v>
      </c>
    </row>
    <row r="6" spans="1:1">
      <c r="A6" s="6" t="s">
        <v>41</v>
      </c>
    </row>
    <row r="7" spans="1:1">
      <c r="A7" s="6" t="s">
        <v>86</v>
      </c>
    </row>
    <row r="9" spans="1:1">
      <c r="A9" s="37" t="s">
        <v>200</v>
      </c>
    </row>
    <row r="10" spans="1:1">
      <c r="A10" s="6" t="s">
        <v>71</v>
      </c>
    </row>
    <row r="11" spans="1:1">
      <c r="A11" s="6" t="s">
        <v>41</v>
      </c>
    </row>
    <row r="12" spans="1:1">
      <c r="A12" s="6" t="s">
        <v>86</v>
      </c>
    </row>
    <row r="14" spans="1:1">
      <c r="A14" s="37" t="s">
        <v>201</v>
      </c>
    </row>
    <row r="15" spans="1:1">
      <c r="A15" s="6" t="s">
        <v>112</v>
      </c>
    </row>
    <row r="16" spans="1:1">
      <c r="A16" s="6" t="s">
        <v>41</v>
      </c>
    </row>
    <row r="17" spans="1:1">
      <c r="A17" s="6" t="s">
        <v>86</v>
      </c>
    </row>
    <row r="19" spans="1:1">
      <c r="A19" s="37" t="s">
        <v>202</v>
      </c>
    </row>
    <row r="20" spans="1:1">
      <c r="A20" s="6" t="s">
        <v>90</v>
      </c>
    </row>
    <row r="21" spans="1:1">
      <c r="A21" s="6" t="s">
        <v>41</v>
      </c>
    </row>
    <row r="22" spans="1:1">
      <c r="A22" s="6" t="s">
        <v>86</v>
      </c>
    </row>
    <row r="24" spans="1:1">
      <c r="A24" s="37" t="s">
        <v>34</v>
      </c>
    </row>
    <row r="25" spans="1:1">
      <c r="A25" s="6" t="s">
        <v>45</v>
      </c>
    </row>
    <row r="26" spans="1:1">
      <c r="A26" s="6" t="s">
        <v>203</v>
      </c>
    </row>
    <row r="27" spans="1:1">
      <c r="A27" s="6" t="s">
        <v>204</v>
      </c>
    </row>
    <row r="28" spans="1:1">
      <c r="A28" s="6" t="s">
        <v>44</v>
      </c>
    </row>
    <row r="30" spans="1:1">
      <c r="A30" s="37" t="s">
        <v>205</v>
      </c>
    </row>
    <row r="31" spans="1:1">
      <c r="A31" s="6" t="s">
        <v>9</v>
      </c>
    </row>
    <row r="32" spans="1:1">
      <c r="A32" s="6" t="s">
        <v>157</v>
      </c>
    </row>
    <row r="34" spans="1:1">
      <c r="A34" s="37" t="s">
        <v>206</v>
      </c>
    </row>
    <row r="35" spans="1:1">
      <c r="A35" s="6" t="s">
        <v>207</v>
      </c>
    </row>
    <row r="36" spans="1:1">
      <c r="A36" s="6" t="s">
        <v>208</v>
      </c>
    </row>
    <row r="37" spans="1:1">
      <c r="A37" s="6" t="s">
        <v>15</v>
      </c>
    </row>
    <row r="38" spans="1:1">
      <c r="A38" s="6" t="s">
        <v>209</v>
      </c>
    </row>
    <row r="39" spans="1:1">
      <c r="A39" s="6" t="s">
        <v>210</v>
      </c>
    </row>
    <row r="40" spans="1:1">
      <c r="A40" s="6" t="s">
        <v>211</v>
      </c>
    </row>
    <row r="41" spans="1:1">
      <c r="A41" s="6" t="s">
        <v>212</v>
      </c>
    </row>
    <row r="42" spans="1:1">
      <c r="A42" s="6" t="s">
        <v>213</v>
      </c>
    </row>
    <row r="43" spans="1:1">
      <c r="A43" s="6" t="s">
        <v>214</v>
      </c>
    </row>
    <row r="44" spans="1:1">
      <c r="A44" s="6" t="s">
        <v>215</v>
      </c>
    </row>
    <row r="47" spans="1:1">
      <c r="A47" s="6" t="s">
        <v>216</v>
      </c>
    </row>
    <row r="48" spans="1:1">
      <c r="A48" s="38" t="s">
        <v>20</v>
      </c>
    </row>
    <row r="49" spans="1:3">
      <c r="A49" s="38" t="s">
        <v>217</v>
      </c>
    </row>
    <row r="51" spans="1:3">
      <c r="A51" s="37" t="s">
        <v>218</v>
      </c>
    </row>
    <row r="52" spans="1:3">
      <c r="A52" s="6" t="s">
        <v>219</v>
      </c>
      <c r="B52" s="6" t="s">
        <v>220</v>
      </c>
      <c r="C52" s="6" t="s">
        <v>221</v>
      </c>
    </row>
    <row r="53" spans="1:3" ht="26.45">
      <c r="A53" s="6" t="s">
        <v>222</v>
      </c>
      <c r="B53" s="6" t="s">
        <v>223</v>
      </c>
      <c r="C53" s="220" t="s">
        <v>224</v>
      </c>
    </row>
    <row r="54" spans="1:3" ht="26.45">
      <c r="A54" s="6" t="s">
        <v>225</v>
      </c>
      <c r="B54" s="6" t="s">
        <v>226</v>
      </c>
      <c r="C54" s="220" t="s">
        <v>227</v>
      </c>
    </row>
    <row r="55" spans="1:3" ht="26.45">
      <c r="A55" s="6" t="s">
        <v>228</v>
      </c>
      <c r="B55" s="6" t="s">
        <v>229</v>
      </c>
      <c r="C55" s="220" t="s">
        <v>230</v>
      </c>
    </row>
    <row r="57" spans="1:3">
      <c r="A57" s="6" t="s">
        <v>231</v>
      </c>
      <c r="B57" s="6" t="s">
        <v>232</v>
      </c>
    </row>
    <row r="58" spans="1:3">
      <c r="A58" s="207" t="s">
        <v>233</v>
      </c>
      <c r="B58" s="207" t="s">
        <v>234</v>
      </c>
    </row>
    <row r="59" spans="1:3">
      <c r="A59" s="207" t="s">
        <v>235</v>
      </c>
      <c r="B59" s="207" t="s">
        <v>236</v>
      </c>
    </row>
    <row r="60" spans="1:3">
      <c r="A60" s="207" t="s">
        <v>237</v>
      </c>
      <c r="B60" s="207" t="s">
        <v>238</v>
      </c>
    </row>
    <row r="61" spans="1:3">
      <c r="A61" s="207" t="s">
        <v>239</v>
      </c>
      <c r="B61" s="207" t="s">
        <v>240</v>
      </c>
    </row>
    <row r="62" spans="1:3">
      <c r="A62" s="207" t="s">
        <v>22</v>
      </c>
      <c r="B62" s="207" t="s">
        <v>236</v>
      </c>
    </row>
    <row r="63" spans="1:3">
      <c r="A63" s="207" t="s">
        <v>241</v>
      </c>
      <c r="B63" s="207" t="s">
        <v>238</v>
      </c>
    </row>
    <row r="64" spans="1:3" ht="26.45">
      <c r="A64" s="207" t="s">
        <v>242</v>
      </c>
      <c r="B64" s="207"/>
    </row>
    <row r="65" spans="1:5">
      <c r="A65" s="239"/>
      <c r="B65" s="239"/>
    </row>
    <row r="66" spans="1:5">
      <c r="A66" s="37" t="s">
        <v>243</v>
      </c>
    </row>
    <row r="67" spans="1:5">
      <c r="A67" s="240" t="s">
        <v>244</v>
      </c>
      <c r="B67" s="240" t="s">
        <v>149</v>
      </c>
      <c r="C67" s="240" t="s">
        <v>245</v>
      </c>
      <c r="D67" s="240" t="s">
        <v>183</v>
      </c>
      <c r="E67" s="240" t="s">
        <v>246</v>
      </c>
    </row>
    <row r="68" spans="1:5" ht="26.45">
      <c r="A68" s="15" t="str">
        <f>ComUemDatabase</f>
        <v>Workspace ONE UEM [DB]</v>
      </c>
      <c r="B68" s="237" t="s">
        <v>247</v>
      </c>
      <c r="C68" s="238">
        <v>43899</v>
      </c>
    </row>
    <row r="69" spans="1:5" ht="26.45">
      <c r="A69" s="15" t="str">
        <f>ComAccessDB</f>
        <v>Workspace ONE Access [DB]</v>
      </c>
      <c r="B69" s="237" t="s">
        <v>247</v>
      </c>
      <c r="C69" s="238">
        <v>43899</v>
      </c>
    </row>
    <row r="70" spans="1:5">
      <c r="A70" s="15" t="str">
        <f>ComENS2DB</f>
        <v>ENSv2 [DB] (On Premise)</v>
      </c>
      <c r="B70" s="237" t="s">
        <v>248</v>
      </c>
      <c r="C70" s="238">
        <v>43956</v>
      </c>
    </row>
    <row r="71" spans="1:5" ht="26.45">
      <c r="A71" s="15" t="str">
        <f>ComUEMCN</f>
        <v>UEM Console Server</v>
      </c>
      <c r="B71" s="237" t="s">
        <v>249</v>
      </c>
      <c r="C71" s="238">
        <v>43899</v>
      </c>
    </row>
    <row r="72" spans="1:5" ht="26.45">
      <c r="A72" s="15" t="str">
        <f>ComUEMDS</f>
        <v>UEM Device Services Server</v>
      </c>
      <c r="B72" s="237" t="s">
        <v>249</v>
      </c>
      <c r="C72" s="238">
        <v>43899</v>
      </c>
    </row>
    <row r="73" spans="1:5" ht="26.45">
      <c r="A73" s="18" t="str">
        <f>ComUEMAWCM</f>
        <v>UEM AWCM Server</v>
      </c>
      <c r="B73" s="237" t="s">
        <v>249</v>
      </c>
      <c r="C73" s="238">
        <v>43899</v>
      </c>
    </row>
    <row r="74" spans="1:5" ht="26.45">
      <c r="A74" s="18" t="str">
        <f>ComUEMAPI</f>
        <v>UEM API Server</v>
      </c>
      <c r="B74" s="237" t="s">
        <v>249</v>
      </c>
      <c r="C74" s="238">
        <v>43899</v>
      </c>
    </row>
    <row r="75" spans="1:5" ht="26.45">
      <c r="A75" s="15" t="str">
        <f>ComAcc</f>
        <v>AirWatch Cloud Connector</v>
      </c>
      <c r="B75" s="237" t="s">
        <v>249</v>
      </c>
      <c r="C75" s="238">
        <v>43899</v>
      </c>
    </row>
    <row r="76" spans="1:5">
      <c r="A76" s="15" t="str">
        <f>ComSEG</f>
        <v>Secure Email Gateway</v>
      </c>
      <c r="B76" s="237" t="s">
        <v>250</v>
      </c>
      <c r="C76" s="238">
        <v>43899</v>
      </c>
    </row>
    <row r="77" spans="1:5" ht="26.45">
      <c r="A77" s="15" t="str">
        <f>ComENS2</f>
        <v>ENSv2 (On Premise)</v>
      </c>
      <c r="B77" s="237" t="s">
        <v>251</v>
      </c>
      <c r="C77" s="238">
        <v>43899</v>
      </c>
    </row>
    <row r="78" spans="1:5">
      <c r="A78" s="15" t="str">
        <f>ComUAGRelayTunnel</f>
        <v>UAG Relay for Tunnel</v>
      </c>
      <c r="B78" s="237" t="s">
        <v>250</v>
      </c>
      <c r="C78" s="238">
        <v>43899</v>
      </c>
    </row>
    <row r="79" spans="1:5">
      <c r="A79" s="15" t="str">
        <f>ComUAGEndTunnel</f>
        <v>UAG Endpoint for Tunnel</v>
      </c>
      <c r="B79" s="237" t="s">
        <v>250</v>
      </c>
      <c r="C79" s="238">
        <v>43899</v>
      </c>
    </row>
    <row r="80" spans="1:5">
      <c r="A80" s="15" t="str">
        <f>ComUAGRelayContent</f>
        <v>UAG Relay for Content</v>
      </c>
      <c r="B80" s="237" t="s">
        <v>250</v>
      </c>
      <c r="C80" s="238">
        <v>43899</v>
      </c>
    </row>
    <row r="81" spans="1:3">
      <c r="A81" s="15" t="str">
        <f>ComUAGEndContent</f>
        <v xml:space="preserve">UAG Endpoint for Content </v>
      </c>
      <c r="B81" s="237" t="s">
        <v>250</v>
      </c>
      <c r="C81" s="238">
        <v>43899</v>
      </c>
    </row>
    <row r="82" spans="1:3">
      <c r="A82" s="15" t="str">
        <f>ComAccess</f>
        <v>Workspace ONE Access</v>
      </c>
      <c r="B82" s="237" t="s">
        <v>250</v>
      </c>
      <c r="C82" s="238">
        <v>43899</v>
      </c>
    </row>
    <row r="83" spans="1:3" ht="26.45">
      <c r="A83" s="15" t="str">
        <f>ComIDMConnector</f>
        <v>Access Connector</v>
      </c>
      <c r="B83" s="237" t="s">
        <v>252</v>
      </c>
      <c r="C83" s="238">
        <v>43899</v>
      </c>
    </row>
    <row r="84" spans="1:3" ht="26.45">
      <c r="A84" s="15" t="str">
        <f>ComCIB</f>
        <v>Citrix Integration Broker</v>
      </c>
      <c r="B84" s="237" t="s">
        <v>253</v>
      </c>
      <c r="C84" s="238">
        <v>43899</v>
      </c>
    </row>
    <row r="85" spans="1:3" ht="26.45">
      <c r="A85" s="15" t="str">
        <f>ComWS1IntelCon</f>
        <v>Intelligent Connector</v>
      </c>
      <c r="B85" s="237" t="s">
        <v>249</v>
      </c>
      <c r="C85" s="238">
        <v>43899</v>
      </c>
    </row>
    <row r="86" spans="1:3">
      <c r="A86" s="15" t="str">
        <f>ComAssistServer</f>
        <v>Ws1 Assist Core/App Server</v>
      </c>
      <c r="B86" s="237" t="s">
        <v>254</v>
      </c>
      <c r="C86" s="238">
        <v>43954</v>
      </c>
    </row>
    <row r="87" spans="1:3">
      <c r="A87" s="15" t="str">
        <f>ComAssistProctor</f>
        <v>Ws1 Assist Connection Proctor</v>
      </c>
      <c r="B87" s="237" t="s">
        <v>254</v>
      </c>
      <c r="C87" s="238">
        <v>43954</v>
      </c>
    </row>
    <row r="88" spans="1:3">
      <c r="A88" s="15" t="str">
        <f>ComMemcache</f>
        <v>Memcache Server</v>
      </c>
      <c r="B88" s="237" t="s">
        <v>255</v>
      </c>
      <c r="C88" s="238">
        <v>43899</v>
      </c>
    </row>
  </sheetData>
  <conditionalFormatting sqref="A71 A76:A77">
    <cfRule type="expression" dxfId="1033" priority="12">
      <formula>$D$31="SaaS"</formula>
    </cfRule>
  </conditionalFormatting>
  <conditionalFormatting sqref="A68">
    <cfRule type="expression" dxfId="1032" priority="11">
      <formula>$D$31="SaaS"</formula>
    </cfRule>
  </conditionalFormatting>
  <conditionalFormatting sqref="A69">
    <cfRule type="expression" dxfId="1031" priority="10">
      <formula>$D$31="SaaS"</formula>
    </cfRule>
  </conditionalFormatting>
  <conditionalFormatting sqref="A70">
    <cfRule type="expression" dxfId="1030" priority="9">
      <formula>$D$31="SaaS"</formula>
    </cfRule>
  </conditionalFormatting>
  <conditionalFormatting sqref="A72">
    <cfRule type="expression" dxfId="1029" priority="8">
      <formula>$D$31="SaaS"</formula>
    </cfRule>
  </conditionalFormatting>
  <conditionalFormatting sqref="A75">
    <cfRule type="expression" dxfId="1028" priority="7">
      <formula>$D$31="SaaS"</formula>
    </cfRule>
  </conditionalFormatting>
  <conditionalFormatting sqref="A81">
    <cfRule type="expression" dxfId="1027" priority="6">
      <formula>$D$31="SaaS"</formula>
    </cfRule>
  </conditionalFormatting>
  <conditionalFormatting sqref="A82:A88">
    <cfRule type="expression" dxfId="1026" priority="2">
      <formula>$D$31="SaaS"</formula>
    </cfRule>
  </conditionalFormatting>
  <conditionalFormatting sqref="A80">
    <cfRule type="expression" dxfId="1025" priority="5">
      <formula>$D$31="SaaS"</formula>
    </cfRule>
  </conditionalFormatting>
  <conditionalFormatting sqref="A79">
    <cfRule type="expression" dxfId="1024" priority="4">
      <formula>$D$31="SaaS"</formula>
    </cfRule>
  </conditionalFormatting>
  <conditionalFormatting sqref="A78">
    <cfRule type="expression" dxfId="1023" priority="3">
      <formula>$D$31="SaaS"</formula>
    </cfRule>
  </conditionalFormatting>
  <conditionalFormatting sqref="A73:A74">
    <cfRule type="expression" dxfId="1022" priority="1">
      <formula>$C$1="SaaS"</formula>
    </cfRule>
  </conditionalFormatting>
  <hyperlinks>
    <hyperlink ref="A48" r:id="rId1" display="AirWatch IP Range" xr:uid="{33F0CF8F-EF38-41B6-AE2E-9D0FCF39C5A9}"/>
    <hyperlink ref="A49" r:id="rId2" display="IDM IP Range (Americas)" xr:uid="{B8D4F0C8-8D91-48C2-913C-BFADE86BBB6B}"/>
  </hyperlinks>
  <pageMargins left="0.7" right="0.7" top="0.75" bottom="0.75" header="0.3" footer="0.3"/>
  <pageSetup orientation="portrait" r:id="rId3"/>
  <tableParts count="3">
    <tablePart r:id="rId4"/>
    <tablePart r:id="rId5"/>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D8D54-119C-4621-80BA-876A7109D982}">
  <sheetPr>
    <tabColor theme="0" tint="-0.14999847407452621"/>
  </sheetPr>
  <dimension ref="A1:M98"/>
  <sheetViews>
    <sheetView topLeftCell="A37" zoomScale="89" zoomScaleNormal="89" workbookViewId="0">
      <selection activeCell="B58" sqref="B58"/>
    </sheetView>
  </sheetViews>
  <sheetFormatPr defaultColWidth="9.140625" defaultRowHeight="13.9"/>
  <cols>
    <col min="1" max="1" width="35.85546875" style="9" bestFit="1" customWidth="1"/>
    <col min="2" max="2" width="13.140625" style="16" customWidth="1"/>
    <col min="3" max="3" width="11.140625" style="17" customWidth="1"/>
    <col min="4" max="4" width="11.140625" style="9" customWidth="1"/>
    <col min="5" max="5" width="8" style="9" bestFit="1" customWidth="1"/>
    <col min="6" max="6" width="8.42578125" style="9" customWidth="1"/>
    <col min="7" max="7" width="8.140625" style="9" customWidth="1"/>
    <col min="8" max="8" width="14.140625" style="9" customWidth="1"/>
    <col min="9" max="9" width="11" style="9" customWidth="1"/>
    <col min="10" max="10" width="12" style="9" customWidth="1"/>
    <col min="11" max="11" width="11.42578125" style="9" customWidth="1"/>
    <col min="12" max="12" width="12" style="9" bestFit="1" customWidth="1"/>
    <col min="13" max="13" width="136.42578125" style="9" bestFit="1" customWidth="1"/>
    <col min="14" max="16384" width="9.140625" style="9"/>
  </cols>
  <sheetData>
    <row r="1" spans="1:13">
      <c r="A1" s="246" t="s">
        <v>256</v>
      </c>
      <c r="B1" s="16" t="s">
        <v>12</v>
      </c>
      <c r="C1" s="17" t="s">
        <v>257</v>
      </c>
      <c r="D1" s="17" t="s">
        <v>258</v>
      </c>
      <c r="E1" s="17" t="s">
        <v>147</v>
      </c>
      <c r="F1" s="17" t="s">
        <v>148</v>
      </c>
      <c r="G1" s="17" t="s">
        <v>259</v>
      </c>
      <c r="H1" s="17" t="s">
        <v>260</v>
      </c>
      <c r="I1" s="17" t="s">
        <v>261</v>
      </c>
      <c r="J1" s="17" t="s">
        <v>262</v>
      </c>
      <c r="K1" s="17" t="s">
        <v>245</v>
      </c>
      <c r="L1" s="17" t="s">
        <v>183</v>
      </c>
      <c r="M1" s="17" t="s">
        <v>246</v>
      </c>
    </row>
    <row r="2" spans="1:13">
      <c r="A2" s="242" t="str">
        <f>ComUemDatabase</f>
        <v>Workspace ONE UEM [DB]</v>
      </c>
      <c r="B2" s="16">
        <v>1</v>
      </c>
      <c r="C2" s="17">
        <v>1</v>
      </c>
      <c r="D2" s="9">
        <v>4</v>
      </c>
      <c r="E2" s="9">
        <v>16</v>
      </c>
      <c r="F2" s="9">
        <v>100</v>
      </c>
      <c r="G2" s="9">
        <v>40</v>
      </c>
      <c r="H2" s="9">
        <v>40</v>
      </c>
      <c r="I2" s="9">
        <v>150</v>
      </c>
      <c r="J2" s="9">
        <v>300</v>
      </c>
      <c r="K2" s="31">
        <v>43899</v>
      </c>
      <c r="L2" s="9">
        <v>20.010000000000002</v>
      </c>
      <c r="M2" s="11" t="s">
        <v>263</v>
      </c>
    </row>
    <row r="3" spans="1:13">
      <c r="A3" s="242" t="str">
        <f>ComUemDatabase</f>
        <v>Workspace ONE UEM [DB]</v>
      </c>
      <c r="B3" s="16">
        <v>5000</v>
      </c>
      <c r="C3" s="17">
        <v>1</v>
      </c>
      <c r="D3" s="9">
        <v>4</v>
      </c>
      <c r="E3" s="9">
        <v>16</v>
      </c>
      <c r="F3" s="9">
        <v>100</v>
      </c>
      <c r="G3" s="9">
        <v>40</v>
      </c>
      <c r="H3" s="9">
        <v>40</v>
      </c>
      <c r="I3" s="9">
        <v>150</v>
      </c>
      <c r="J3" s="9">
        <v>300</v>
      </c>
      <c r="K3" s="31">
        <v>43899</v>
      </c>
      <c r="L3" s="9">
        <v>20.010000000000002</v>
      </c>
      <c r="M3" s="11" t="s">
        <v>263</v>
      </c>
    </row>
    <row r="4" spans="1:13">
      <c r="A4" s="242" t="str">
        <f>ComUemDatabase</f>
        <v>Workspace ONE UEM [DB]</v>
      </c>
      <c r="B4" s="16">
        <v>25000</v>
      </c>
      <c r="C4" s="17">
        <v>1</v>
      </c>
      <c r="D4" s="9">
        <v>8</v>
      </c>
      <c r="E4" s="9">
        <v>32</v>
      </c>
      <c r="F4" s="9">
        <v>250</v>
      </c>
      <c r="G4" s="9">
        <v>100</v>
      </c>
      <c r="H4" s="9">
        <v>100</v>
      </c>
      <c r="I4" s="9">
        <v>750</v>
      </c>
      <c r="J4" s="9">
        <v>1500</v>
      </c>
      <c r="K4" s="31">
        <v>43899</v>
      </c>
      <c r="L4" s="9">
        <v>20.010000000000002</v>
      </c>
      <c r="M4" s="11" t="s">
        <v>263</v>
      </c>
    </row>
    <row r="5" spans="1:13" ht="14.45">
      <c r="A5" s="242" t="str">
        <f>ComUemDatabase</f>
        <v>Workspace ONE UEM [DB]</v>
      </c>
      <c r="B5" s="16">
        <v>50000</v>
      </c>
      <c r="C5" s="17">
        <v>1</v>
      </c>
      <c r="D5" s="9">
        <v>8</v>
      </c>
      <c r="E5" s="9">
        <v>64</v>
      </c>
      <c r="F5" s="9">
        <v>200</v>
      </c>
      <c r="G5" s="9">
        <v>200</v>
      </c>
      <c r="H5" s="9">
        <v>200</v>
      </c>
      <c r="I5" s="9">
        <v>1500</v>
      </c>
      <c r="J5" s="9">
        <v>3000</v>
      </c>
      <c r="K5" s="31">
        <v>43899</v>
      </c>
      <c r="L5" s="9">
        <v>20.010000000000002</v>
      </c>
      <c r="M5" s="4" t="s">
        <v>264</v>
      </c>
    </row>
    <row r="6" spans="1:13">
      <c r="A6" s="242" t="str">
        <f>ComUemDatabase</f>
        <v>Workspace ONE UEM [DB]</v>
      </c>
      <c r="B6" s="16">
        <v>100000</v>
      </c>
      <c r="C6" s="17">
        <v>1</v>
      </c>
      <c r="D6" s="9">
        <v>16</v>
      </c>
      <c r="E6" s="9">
        <v>128</v>
      </c>
      <c r="F6" s="9">
        <v>750</v>
      </c>
      <c r="G6" s="9">
        <v>400</v>
      </c>
      <c r="H6" s="9">
        <v>300</v>
      </c>
      <c r="I6" s="9">
        <v>2000</v>
      </c>
      <c r="J6" s="9">
        <v>6000</v>
      </c>
      <c r="K6" s="31">
        <v>43899</v>
      </c>
      <c r="L6" s="9">
        <v>20.010000000000002</v>
      </c>
      <c r="M6" s="11" t="s">
        <v>265</v>
      </c>
    </row>
    <row r="7" spans="1:13">
      <c r="A7" s="243" t="str">
        <f t="shared" ref="A7:A12" si="0">ComAccessDB</f>
        <v>Workspace ONE Access [DB]</v>
      </c>
      <c r="B7" s="16">
        <v>1</v>
      </c>
      <c r="C7" s="17">
        <v>1</v>
      </c>
      <c r="D7" s="9">
        <v>2</v>
      </c>
      <c r="E7" s="9">
        <v>4</v>
      </c>
      <c r="F7" s="9">
        <v>50</v>
      </c>
      <c r="K7" s="31">
        <v>43899</v>
      </c>
      <c r="L7" s="9">
        <v>20.010000000000002</v>
      </c>
      <c r="M7" s="11" t="s">
        <v>266</v>
      </c>
    </row>
    <row r="8" spans="1:13">
      <c r="A8" s="243" t="str">
        <f t="shared" si="0"/>
        <v>Workspace ONE Access [DB]</v>
      </c>
      <c r="B8" s="16">
        <v>1000</v>
      </c>
      <c r="C8" s="17">
        <v>1</v>
      </c>
      <c r="D8" s="9">
        <v>2</v>
      </c>
      <c r="E8" s="9">
        <v>4</v>
      </c>
      <c r="F8" s="9">
        <v>50</v>
      </c>
      <c r="K8" s="31">
        <v>43899</v>
      </c>
      <c r="L8" s="9">
        <v>20.010000000000002</v>
      </c>
      <c r="M8" s="11" t="s">
        <v>266</v>
      </c>
    </row>
    <row r="9" spans="1:13">
      <c r="A9" s="243" t="str">
        <f t="shared" si="0"/>
        <v>Workspace ONE Access [DB]</v>
      </c>
      <c r="B9" s="16">
        <v>10000</v>
      </c>
      <c r="C9" s="17">
        <v>1</v>
      </c>
      <c r="D9" s="9">
        <v>2</v>
      </c>
      <c r="E9" s="9">
        <v>4</v>
      </c>
      <c r="F9" s="9">
        <v>50</v>
      </c>
      <c r="K9" s="31">
        <v>43899</v>
      </c>
      <c r="L9" s="9">
        <v>20.010000000000002</v>
      </c>
      <c r="M9" s="11" t="s">
        <v>266</v>
      </c>
    </row>
    <row r="10" spans="1:13">
      <c r="A10" s="243" t="str">
        <f t="shared" si="0"/>
        <v>Workspace ONE Access [DB]</v>
      </c>
      <c r="B10" s="16">
        <v>25000</v>
      </c>
      <c r="C10" s="17">
        <v>1</v>
      </c>
      <c r="D10" s="9">
        <v>4</v>
      </c>
      <c r="E10" s="9">
        <v>8</v>
      </c>
      <c r="F10" s="9">
        <v>50</v>
      </c>
      <c r="K10" s="31">
        <v>43899</v>
      </c>
      <c r="L10" s="9">
        <v>20.010000000000002</v>
      </c>
      <c r="M10" s="11" t="s">
        <v>266</v>
      </c>
    </row>
    <row r="11" spans="1:13">
      <c r="A11" s="243" t="str">
        <f t="shared" si="0"/>
        <v>Workspace ONE Access [DB]</v>
      </c>
      <c r="B11" s="16">
        <v>50000</v>
      </c>
      <c r="C11" s="17">
        <v>1</v>
      </c>
      <c r="D11" s="9">
        <v>8</v>
      </c>
      <c r="E11" s="9">
        <v>16</v>
      </c>
      <c r="F11" s="9">
        <v>100</v>
      </c>
      <c r="K11" s="31">
        <v>43899</v>
      </c>
      <c r="L11" s="9">
        <v>20.010000000000002</v>
      </c>
      <c r="M11" s="11" t="s">
        <v>266</v>
      </c>
    </row>
    <row r="12" spans="1:13">
      <c r="A12" s="243" t="str">
        <f t="shared" si="0"/>
        <v>Workspace ONE Access [DB]</v>
      </c>
      <c r="B12" s="16">
        <v>100000</v>
      </c>
      <c r="C12" s="17">
        <v>1</v>
      </c>
      <c r="D12" s="9">
        <v>8</v>
      </c>
      <c r="E12" s="9">
        <v>32</v>
      </c>
      <c r="F12" s="9">
        <v>100</v>
      </c>
      <c r="K12" s="31">
        <v>43899</v>
      </c>
      <c r="L12" s="9">
        <v>20.010000000000002</v>
      </c>
      <c r="M12" s="11" t="s">
        <v>266</v>
      </c>
    </row>
    <row r="13" spans="1:13">
      <c r="A13" s="242" t="str">
        <f>ComENS2DB</f>
        <v>ENSv2 [DB] (On Premise)</v>
      </c>
      <c r="B13" s="16">
        <v>1</v>
      </c>
      <c r="C13" s="17">
        <v>1</v>
      </c>
      <c r="D13" s="9">
        <v>2</v>
      </c>
      <c r="E13" s="9">
        <v>16</v>
      </c>
      <c r="F13" s="9">
        <v>50</v>
      </c>
      <c r="K13" s="31">
        <v>43899</v>
      </c>
      <c r="L13" s="9">
        <v>20.010000000000002</v>
      </c>
      <c r="M13" s="11" t="s">
        <v>266</v>
      </c>
    </row>
    <row r="14" spans="1:13">
      <c r="A14" s="242" t="str">
        <f>ComENS2DB</f>
        <v>ENSv2 [DB] (On Premise)</v>
      </c>
      <c r="B14" s="16">
        <v>100000</v>
      </c>
      <c r="C14" s="17">
        <v>1</v>
      </c>
      <c r="D14" s="9">
        <v>2</v>
      </c>
      <c r="E14" s="9">
        <v>16</v>
      </c>
      <c r="F14" s="9">
        <v>50</v>
      </c>
      <c r="K14" s="31">
        <v>43899</v>
      </c>
      <c r="L14" s="9">
        <v>20.010000000000002</v>
      </c>
      <c r="M14" s="11" t="s">
        <v>266</v>
      </c>
    </row>
    <row r="15" spans="1:13">
      <c r="A15" s="243" t="str">
        <f>ComUEMCN</f>
        <v>UEM Console Server</v>
      </c>
      <c r="B15" s="16">
        <v>1</v>
      </c>
      <c r="C15" s="17">
        <v>1</v>
      </c>
      <c r="D15" s="9">
        <v>4</v>
      </c>
      <c r="E15" s="9">
        <v>8</v>
      </c>
      <c r="F15" s="9">
        <v>50</v>
      </c>
      <c r="K15" s="31">
        <v>43899</v>
      </c>
      <c r="L15" s="9">
        <v>20.010000000000002</v>
      </c>
      <c r="M15" s="11" t="s">
        <v>263</v>
      </c>
    </row>
    <row r="16" spans="1:13">
      <c r="A16" s="243" t="str">
        <f>ComUEMCN</f>
        <v>UEM Console Server</v>
      </c>
      <c r="B16" s="16">
        <v>5000</v>
      </c>
      <c r="C16" s="17">
        <v>1</v>
      </c>
      <c r="D16" s="9">
        <v>4</v>
      </c>
      <c r="E16" s="9">
        <v>8</v>
      </c>
      <c r="F16" s="9">
        <v>50</v>
      </c>
      <c r="K16" s="31">
        <v>43899</v>
      </c>
      <c r="L16" s="9">
        <v>20.010000000000002</v>
      </c>
      <c r="M16" s="11" t="s">
        <v>263</v>
      </c>
    </row>
    <row r="17" spans="1:13">
      <c r="A17" s="243" t="str">
        <f>ComUEMCN</f>
        <v>UEM Console Server</v>
      </c>
      <c r="B17" s="16">
        <v>25000</v>
      </c>
      <c r="C17" s="17">
        <v>1</v>
      </c>
      <c r="D17" s="9">
        <v>4</v>
      </c>
      <c r="E17" s="9">
        <v>8</v>
      </c>
      <c r="F17" s="9">
        <v>50</v>
      </c>
      <c r="K17" s="31">
        <v>43899</v>
      </c>
      <c r="L17" s="9">
        <v>20.010000000000002</v>
      </c>
      <c r="M17" s="11" t="s">
        <v>263</v>
      </c>
    </row>
    <row r="18" spans="1:13">
      <c r="A18" s="243" t="str">
        <f>ComUEMCN</f>
        <v>UEM Console Server</v>
      </c>
      <c r="B18" s="16">
        <v>50000</v>
      </c>
      <c r="C18" s="17">
        <v>2</v>
      </c>
      <c r="D18" s="9">
        <f>D8*2</f>
        <v>4</v>
      </c>
      <c r="E18" s="9">
        <f>E8*2</f>
        <v>8</v>
      </c>
      <c r="F18" s="9">
        <v>50</v>
      </c>
      <c r="K18" s="31">
        <v>43899</v>
      </c>
      <c r="L18" s="9">
        <v>20.010000000000002</v>
      </c>
      <c r="M18" s="11" t="s">
        <v>264</v>
      </c>
    </row>
    <row r="19" spans="1:13">
      <c r="A19" s="243" t="str">
        <f>ComUEMCN</f>
        <v>UEM Console Server</v>
      </c>
      <c r="B19" s="16">
        <v>100000</v>
      </c>
      <c r="C19" s="17">
        <v>2</v>
      </c>
      <c r="D19" s="9">
        <f>D9*2</f>
        <v>4</v>
      </c>
      <c r="E19" s="9">
        <f>E9*2</f>
        <v>8</v>
      </c>
      <c r="F19" s="9">
        <v>50</v>
      </c>
      <c r="K19" s="31">
        <v>43899</v>
      </c>
      <c r="L19" s="9">
        <v>20.010000000000002</v>
      </c>
      <c r="M19" s="11" t="s">
        <v>265</v>
      </c>
    </row>
    <row r="20" spans="1:13">
      <c r="A20" s="242" t="str">
        <f>ComUEMDS</f>
        <v>UEM Device Services Server</v>
      </c>
      <c r="B20" s="16">
        <v>1</v>
      </c>
      <c r="C20" s="17">
        <v>1</v>
      </c>
      <c r="D20" s="9">
        <v>4</v>
      </c>
      <c r="E20" s="9">
        <v>8</v>
      </c>
      <c r="F20" s="9">
        <v>50</v>
      </c>
      <c r="K20" s="31">
        <v>43899</v>
      </c>
      <c r="L20" s="9">
        <v>20.010000000000002</v>
      </c>
      <c r="M20" s="11" t="s">
        <v>263</v>
      </c>
    </row>
    <row r="21" spans="1:13">
      <c r="A21" s="242" t="str">
        <f>ComUEMDS</f>
        <v>UEM Device Services Server</v>
      </c>
      <c r="B21" s="16">
        <v>5000</v>
      </c>
      <c r="C21" s="17">
        <v>1</v>
      </c>
      <c r="D21" s="9">
        <v>4</v>
      </c>
      <c r="E21" s="9">
        <v>8</v>
      </c>
      <c r="F21" s="9">
        <v>50</v>
      </c>
      <c r="K21" s="31">
        <v>43899</v>
      </c>
      <c r="L21" s="9">
        <v>20.010000000000002</v>
      </c>
      <c r="M21" s="11" t="s">
        <v>263</v>
      </c>
    </row>
    <row r="22" spans="1:13">
      <c r="A22" s="242" t="str">
        <f>ComUEMDS</f>
        <v>UEM Device Services Server</v>
      </c>
      <c r="B22" s="16">
        <v>25000</v>
      </c>
      <c r="C22" s="17">
        <v>2</v>
      </c>
      <c r="D22" s="9">
        <v>4</v>
      </c>
      <c r="E22" s="9">
        <v>8</v>
      </c>
      <c r="F22" s="9">
        <v>40</v>
      </c>
      <c r="K22" s="31">
        <v>43899</v>
      </c>
      <c r="L22" s="9">
        <v>20.010000000000002</v>
      </c>
      <c r="M22" s="11" t="s">
        <v>263</v>
      </c>
    </row>
    <row r="23" spans="1:13">
      <c r="A23" s="242" t="str">
        <f>ComUEMDS</f>
        <v>UEM Device Services Server</v>
      </c>
      <c r="B23" s="16">
        <v>50000</v>
      </c>
      <c r="C23" s="17">
        <v>3</v>
      </c>
      <c r="D23" s="9">
        <v>4</v>
      </c>
      <c r="E23" s="9">
        <v>8</v>
      </c>
      <c r="F23" s="9">
        <v>50</v>
      </c>
      <c r="K23" s="31">
        <v>43899</v>
      </c>
      <c r="L23" s="9">
        <v>20.010000000000002</v>
      </c>
      <c r="M23" s="11" t="s">
        <v>264</v>
      </c>
    </row>
    <row r="24" spans="1:13">
      <c r="A24" s="242" t="str">
        <f>ComUEMDS</f>
        <v>UEM Device Services Server</v>
      </c>
      <c r="B24" s="16">
        <v>100000</v>
      </c>
      <c r="C24" s="17">
        <v>4</v>
      </c>
      <c r="D24" s="9">
        <f>D14*2</f>
        <v>4</v>
      </c>
      <c r="E24" s="9">
        <v>8</v>
      </c>
      <c r="F24" s="9">
        <v>50</v>
      </c>
      <c r="K24" s="31">
        <v>43899</v>
      </c>
      <c r="L24" s="9">
        <v>20.010000000000002</v>
      </c>
      <c r="M24" s="11" t="s">
        <v>265</v>
      </c>
    </row>
    <row r="25" spans="1:13">
      <c r="A25" s="244" t="str">
        <f>ComUEMAWCM</f>
        <v>UEM AWCM Server</v>
      </c>
      <c r="B25" s="16">
        <v>1</v>
      </c>
      <c r="C25" s="17">
        <v>1</v>
      </c>
      <c r="D25" s="9">
        <v>4</v>
      </c>
      <c r="E25" s="9">
        <v>8</v>
      </c>
      <c r="F25" s="9">
        <v>50</v>
      </c>
      <c r="K25" s="31">
        <v>43899</v>
      </c>
      <c r="L25" s="9">
        <v>20.010000000000002</v>
      </c>
      <c r="M25" s="11" t="s">
        <v>265</v>
      </c>
    </row>
    <row r="26" spans="1:13">
      <c r="A26" s="244" t="str">
        <f>ComUEMAWCM</f>
        <v>UEM AWCM Server</v>
      </c>
      <c r="B26" s="16">
        <v>100000</v>
      </c>
      <c r="C26" s="17">
        <v>1</v>
      </c>
      <c r="D26" s="9">
        <v>4</v>
      </c>
      <c r="E26" s="9">
        <v>8</v>
      </c>
      <c r="F26" s="9">
        <v>50</v>
      </c>
      <c r="K26" s="31">
        <v>43899</v>
      </c>
      <c r="L26" s="9">
        <v>20.010000000000002</v>
      </c>
      <c r="M26" s="11" t="s">
        <v>265</v>
      </c>
    </row>
    <row r="27" spans="1:13">
      <c r="A27" s="245" t="str">
        <f>ComUEMAPI</f>
        <v>UEM API Server</v>
      </c>
      <c r="B27" s="16">
        <v>1</v>
      </c>
      <c r="C27" s="17">
        <v>1</v>
      </c>
      <c r="D27" s="9">
        <v>4</v>
      </c>
      <c r="E27" s="9">
        <v>8</v>
      </c>
      <c r="F27" s="9">
        <v>50</v>
      </c>
      <c r="K27" s="31">
        <v>43899</v>
      </c>
      <c r="L27" s="9">
        <v>20.010000000000002</v>
      </c>
      <c r="M27" s="11" t="s">
        <v>265</v>
      </c>
    </row>
    <row r="28" spans="1:13">
      <c r="A28" s="245" t="str">
        <f>ComUEMAPI</f>
        <v>UEM API Server</v>
      </c>
      <c r="B28" s="16">
        <v>100000</v>
      </c>
      <c r="C28" s="17">
        <v>1</v>
      </c>
      <c r="D28" s="9">
        <v>4</v>
      </c>
      <c r="E28" s="9">
        <v>8</v>
      </c>
      <c r="F28" s="9">
        <v>50</v>
      </c>
      <c r="K28" s="31">
        <v>43899</v>
      </c>
      <c r="L28" s="9">
        <v>20.010000000000002</v>
      </c>
      <c r="M28" s="11" t="s">
        <v>265</v>
      </c>
    </row>
    <row r="29" spans="1:13">
      <c r="A29" s="243" t="str">
        <f>ComAcc</f>
        <v>AirWatch Cloud Connector</v>
      </c>
      <c r="B29" s="16">
        <v>1</v>
      </c>
      <c r="C29" s="17">
        <v>1</v>
      </c>
      <c r="D29" s="9">
        <v>2</v>
      </c>
      <c r="E29" s="9">
        <v>4</v>
      </c>
      <c r="F29" s="9">
        <v>50</v>
      </c>
      <c r="K29" s="31">
        <v>43899</v>
      </c>
      <c r="L29" s="9">
        <v>20.010000000000002</v>
      </c>
      <c r="M29" s="11" t="s">
        <v>266</v>
      </c>
    </row>
    <row r="30" spans="1:13">
      <c r="A30" s="243" t="str">
        <f>ComAcc</f>
        <v>AirWatch Cloud Connector</v>
      </c>
      <c r="B30" s="16">
        <v>10000</v>
      </c>
      <c r="C30" s="17">
        <v>1</v>
      </c>
      <c r="D30" s="9">
        <v>2</v>
      </c>
      <c r="E30" s="9">
        <v>4</v>
      </c>
      <c r="F30" s="9">
        <v>50</v>
      </c>
      <c r="K30" s="31">
        <v>43899</v>
      </c>
      <c r="L30" s="9">
        <v>20.010000000000002</v>
      </c>
      <c r="M30" s="11" t="s">
        <v>266</v>
      </c>
    </row>
    <row r="31" spans="1:13">
      <c r="A31" s="243" t="str">
        <f>ComAcc</f>
        <v>AirWatch Cloud Connector</v>
      </c>
      <c r="B31" s="16">
        <v>25000</v>
      </c>
      <c r="C31" s="17">
        <v>2</v>
      </c>
      <c r="D31" s="9">
        <v>2</v>
      </c>
      <c r="E31" s="9">
        <v>4</v>
      </c>
      <c r="F31" s="9">
        <v>50</v>
      </c>
      <c r="K31" s="31">
        <v>43899</v>
      </c>
      <c r="L31" s="9">
        <v>20.010000000000002</v>
      </c>
      <c r="M31" s="11" t="s">
        <v>266</v>
      </c>
    </row>
    <row r="32" spans="1:13">
      <c r="A32" s="243" t="str">
        <f>ComAcc</f>
        <v>AirWatch Cloud Connector</v>
      </c>
      <c r="B32" s="16">
        <v>50000</v>
      </c>
      <c r="C32" s="17">
        <v>2</v>
      </c>
      <c r="D32" s="9">
        <v>2</v>
      </c>
      <c r="E32" s="9">
        <v>4</v>
      </c>
      <c r="F32" s="9">
        <v>50</v>
      </c>
      <c r="K32" s="31">
        <v>43899</v>
      </c>
      <c r="L32" s="9">
        <v>20.010000000000002</v>
      </c>
      <c r="M32" s="11" t="s">
        <v>266</v>
      </c>
    </row>
    <row r="33" spans="1:13">
      <c r="A33" s="243" t="str">
        <f>ComAcc</f>
        <v>AirWatch Cloud Connector</v>
      </c>
      <c r="B33" s="16">
        <v>100000</v>
      </c>
      <c r="C33" s="17">
        <v>3</v>
      </c>
      <c r="D33" s="9">
        <v>2</v>
      </c>
      <c r="E33" s="9">
        <v>8</v>
      </c>
      <c r="F33" s="9">
        <v>50</v>
      </c>
      <c r="K33" s="31">
        <v>43899</v>
      </c>
      <c r="L33" s="9">
        <v>20.010000000000002</v>
      </c>
      <c r="M33" s="11" t="s">
        <v>266</v>
      </c>
    </row>
    <row r="34" spans="1:13">
      <c r="A34" s="242" t="str">
        <f t="shared" ref="A34:A40" si="1">ComSEG</f>
        <v>Secure Email Gateway</v>
      </c>
      <c r="B34" s="16">
        <v>1</v>
      </c>
      <c r="C34" s="17">
        <v>2</v>
      </c>
      <c r="D34" s="9">
        <v>2</v>
      </c>
      <c r="E34" s="9">
        <v>4</v>
      </c>
      <c r="F34" s="9">
        <v>50</v>
      </c>
      <c r="K34" s="31">
        <v>43899</v>
      </c>
      <c r="L34" s="9">
        <v>20.010000000000002</v>
      </c>
      <c r="M34" s="11" t="s">
        <v>266</v>
      </c>
    </row>
    <row r="35" spans="1:13">
      <c r="A35" s="242" t="str">
        <f t="shared" si="1"/>
        <v>Secure Email Gateway</v>
      </c>
      <c r="B35" s="16">
        <v>6000</v>
      </c>
      <c r="C35" s="17">
        <v>2</v>
      </c>
      <c r="D35" s="9">
        <v>2</v>
      </c>
      <c r="E35" s="9">
        <v>4</v>
      </c>
      <c r="F35" s="9">
        <v>50</v>
      </c>
      <c r="K35" s="31">
        <v>43899</v>
      </c>
      <c r="L35" s="9">
        <v>20.010000000000002</v>
      </c>
      <c r="M35" s="11" t="s">
        <v>266</v>
      </c>
    </row>
    <row r="36" spans="1:13">
      <c r="A36" s="242" t="str">
        <f t="shared" si="1"/>
        <v>Secure Email Gateway</v>
      </c>
      <c r="B36" s="16">
        <v>10000</v>
      </c>
      <c r="C36" s="17">
        <v>3</v>
      </c>
      <c r="D36" s="9">
        <v>2</v>
      </c>
      <c r="E36" s="9">
        <v>4</v>
      </c>
      <c r="F36" s="9">
        <v>50</v>
      </c>
      <c r="K36" s="31">
        <v>43899</v>
      </c>
      <c r="L36" s="9">
        <v>20.010000000000002</v>
      </c>
      <c r="M36" s="11" t="s">
        <v>266</v>
      </c>
    </row>
    <row r="37" spans="1:13">
      <c r="A37" s="242" t="str">
        <f t="shared" si="1"/>
        <v>Secure Email Gateway</v>
      </c>
      <c r="B37" s="16">
        <v>50000</v>
      </c>
      <c r="C37" s="17">
        <v>5</v>
      </c>
      <c r="D37" s="9">
        <v>4</v>
      </c>
      <c r="E37" s="9">
        <v>16</v>
      </c>
      <c r="F37" s="9">
        <v>50</v>
      </c>
      <c r="K37" s="31">
        <v>43899</v>
      </c>
      <c r="L37" s="9">
        <v>20.010000000000002</v>
      </c>
      <c r="M37" s="11" t="s">
        <v>266</v>
      </c>
    </row>
    <row r="38" spans="1:13">
      <c r="A38" s="242" t="str">
        <f t="shared" si="1"/>
        <v>Secure Email Gateway</v>
      </c>
      <c r="B38" s="16">
        <v>100000</v>
      </c>
      <c r="C38" s="17">
        <v>8</v>
      </c>
      <c r="D38" s="9">
        <v>4</v>
      </c>
      <c r="E38" s="9">
        <v>16</v>
      </c>
      <c r="F38" s="9">
        <v>50</v>
      </c>
      <c r="K38" s="31">
        <v>43899</v>
      </c>
      <c r="L38" s="9">
        <v>20.010000000000002</v>
      </c>
      <c r="M38" s="11" t="s">
        <v>266</v>
      </c>
    </row>
    <row r="39" spans="1:13">
      <c r="A39" s="242" t="str">
        <f t="shared" si="1"/>
        <v>Secure Email Gateway</v>
      </c>
      <c r="B39" s="16">
        <v>150000</v>
      </c>
      <c r="C39" s="17">
        <v>6</v>
      </c>
      <c r="D39" s="9">
        <v>8</v>
      </c>
      <c r="E39" s="9">
        <v>32</v>
      </c>
      <c r="F39" s="9">
        <v>50</v>
      </c>
      <c r="K39" s="31">
        <v>43899</v>
      </c>
      <c r="L39" s="9">
        <v>20.010000000000002</v>
      </c>
      <c r="M39" s="11" t="s">
        <v>266</v>
      </c>
    </row>
    <row r="40" spans="1:13">
      <c r="A40" s="242" t="str">
        <f t="shared" si="1"/>
        <v>Secure Email Gateway</v>
      </c>
      <c r="B40" s="16">
        <v>200000</v>
      </c>
      <c r="C40" s="17">
        <v>9</v>
      </c>
      <c r="D40" s="9">
        <v>8</v>
      </c>
      <c r="E40" s="9">
        <v>32</v>
      </c>
      <c r="F40" s="9">
        <v>50</v>
      </c>
      <c r="K40" s="31">
        <v>43899</v>
      </c>
      <c r="L40" s="9">
        <v>20.010000000000002</v>
      </c>
      <c r="M40" s="11" t="s">
        <v>266</v>
      </c>
    </row>
    <row r="41" spans="1:13">
      <c r="A41" s="243" t="str">
        <f>ComENS2</f>
        <v>ENSv2 (On Premise)</v>
      </c>
      <c r="B41" s="16">
        <v>1</v>
      </c>
      <c r="C41" s="17">
        <v>1</v>
      </c>
      <c r="D41" s="9">
        <v>2</v>
      </c>
      <c r="E41" s="9">
        <v>16</v>
      </c>
      <c r="F41" s="9">
        <v>50</v>
      </c>
      <c r="K41" s="31">
        <v>43899</v>
      </c>
      <c r="L41" s="9">
        <v>20.010000000000002</v>
      </c>
      <c r="M41" s="11" t="s">
        <v>266</v>
      </c>
    </row>
    <row r="42" spans="1:13">
      <c r="A42" s="243" t="str">
        <f>ComENS2</f>
        <v>ENSv2 (On Premise)</v>
      </c>
      <c r="B42" s="16">
        <v>100000</v>
      </c>
      <c r="C42" s="17">
        <v>1</v>
      </c>
      <c r="D42" s="9">
        <v>2</v>
      </c>
      <c r="E42" s="9">
        <v>16</v>
      </c>
      <c r="F42" s="9">
        <v>50</v>
      </c>
      <c r="K42" s="31">
        <v>43899</v>
      </c>
      <c r="L42" s="9">
        <v>20.010000000000002</v>
      </c>
      <c r="M42" s="11" t="s">
        <v>266</v>
      </c>
    </row>
    <row r="43" spans="1:13">
      <c r="A43" s="242" t="str">
        <f>ComUAGRelayTunnel</f>
        <v>UAG Relay for Tunnel</v>
      </c>
      <c r="B43" s="16">
        <v>1</v>
      </c>
      <c r="C43" s="17">
        <v>1</v>
      </c>
      <c r="D43" s="9">
        <v>2</v>
      </c>
      <c r="E43" s="9">
        <v>4</v>
      </c>
      <c r="F43" s="9">
        <v>50</v>
      </c>
      <c r="K43" s="31">
        <v>43899</v>
      </c>
      <c r="L43" s="9">
        <v>20.010000000000002</v>
      </c>
      <c r="M43" s="11" t="s">
        <v>266</v>
      </c>
    </row>
    <row r="44" spans="1:13">
      <c r="A44" s="242" t="str">
        <f>ComUAGRelayTunnel</f>
        <v>UAG Relay for Tunnel</v>
      </c>
      <c r="B44" s="16">
        <v>5000</v>
      </c>
      <c r="C44" s="17">
        <v>1</v>
      </c>
      <c r="D44" s="9">
        <v>2</v>
      </c>
      <c r="E44" s="9">
        <v>4</v>
      </c>
      <c r="F44" s="9">
        <v>50</v>
      </c>
      <c r="K44" s="31">
        <v>43899</v>
      </c>
      <c r="L44" s="9">
        <v>20.010000000000002</v>
      </c>
      <c r="M44" s="11" t="s">
        <v>266</v>
      </c>
    </row>
    <row r="45" spans="1:13">
      <c r="A45" s="242" t="str">
        <f>ComUAGRelayTunnel</f>
        <v>UAG Relay for Tunnel</v>
      </c>
      <c r="B45" s="16">
        <v>10000</v>
      </c>
      <c r="C45" s="17">
        <v>2</v>
      </c>
      <c r="D45" s="9">
        <v>2</v>
      </c>
      <c r="E45" s="9">
        <v>4</v>
      </c>
      <c r="F45" s="9">
        <v>50</v>
      </c>
      <c r="K45" s="31">
        <v>43899</v>
      </c>
      <c r="L45" s="9">
        <v>20.010000000000002</v>
      </c>
      <c r="M45" s="11" t="s">
        <v>266</v>
      </c>
    </row>
    <row r="46" spans="1:13">
      <c r="A46" s="242" t="str">
        <f>ComUAGRelayTunnel</f>
        <v>UAG Relay for Tunnel</v>
      </c>
      <c r="B46" s="16">
        <v>40000</v>
      </c>
      <c r="C46" s="17">
        <v>2</v>
      </c>
      <c r="D46" s="9">
        <v>4</v>
      </c>
      <c r="E46" s="9">
        <v>8</v>
      </c>
      <c r="F46" s="9">
        <v>50</v>
      </c>
      <c r="K46" s="31">
        <v>43899</v>
      </c>
      <c r="L46" s="9">
        <v>20.010000000000002</v>
      </c>
      <c r="M46" s="11" t="s">
        <v>266</v>
      </c>
    </row>
    <row r="47" spans="1:13">
      <c r="A47" s="242" t="str">
        <f>ComUAGRelayTunnel</f>
        <v>UAG Relay for Tunnel</v>
      </c>
      <c r="B47" s="16">
        <v>100000</v>
      </c>
      <c r="C47" s="17">
        <v>4</v>
      </c>
      <c r="D47" s="9">
        <v>4</v>
      </c>
      <c r="E47" s="9">
        <v>16</v>
      </c>
      <c r="F47" s="9">
        <v>50</v>
      </c>
      <c r="K47" s="31">
        <v>43899</v>
      </c>
      <c r="L47" s="9">
        <v>20.010000000000002</v>
      </c>
      <c r="M47" s="11" t="s">
        <v>266</v>
      </c>
    </row>
    <row r="48" spans="1:13">
      <c r="A48" s="243" t="str">
        <f>ComUAGEndTunnel</f>
        <v>UAG Endpoint for Tunnel</v>
      </c>
      <c r="B48" s="16">
        <v>1</v>
      </c>
      <c r="C48" s="17">
        <v>1</v>
      </c>
      <c r="D48" s="9">
        <v>2</v>
      </c>
      <c r="E48" s="9">
        <v>4</v>
      </c>
      <c r="F48" s="9">
        <v>50</v>
      </c>
      <c r="K48" s="31">
        <v>43899</v>
      </c>
      <c r="L48" s="9">
        <v>20.010000000000002</v>
      </c>
      <c r="M48" s="11" t="s">
        <v>266</v>
      </c>
    </row>
    <row r="49" spans="1:13">
      <c r="A49" s="243" t="str">
        <f>ComUAGEndTunnel</f>
        <v>UAG Endpoint for Tunnel</v>
      </c>
      <c r="B49" s="16">
        <v>5000</v>
      </c>
      <c r="C49" s="17">
        <v>1</v>
      </c>
      <c r="D49" s="9">
        <v>2</v>
      </c>
      <c r="E49" s="9">
        <v>4</v>
      </c>
      <c r="F49" s="9">
        <v>50</v>
      </c>
      <c r="K49" s="31">
        <v>43899</v>
      </c>
      <c r="L49" s="9">
        <v>20.010000000000002</v>
      </c>
      <c r="M49" s="11" t="s">
        <v>266</v>
      </c>
    </row>
    <row r="50" spans="1:13">
      <c r="A50" s="243" t="str">
        <f>ComUAGEndTunnel</f>
        <v>UAG Endpoint for Tunnel</v>
      </c>
      <c r="B50" s="16">
        <v>10000</v>
      </c>
      <c r="C50" s="17">
        <v>2</v>
      </c>
      <c r="D50" s="9">
        <v>2</v>
      </c>
      <c r="E50" s="9">
        <v>4</v>
      </c>
      <c r="F50" s="9">
        <v>50</v>
      </c>
      <c r="K50" s="31">
        <v>43899</v>
      </c>
      <c r="L50" s="9">
        <v>20.010000000000002</v>
      </c>
      <c r="M50" s="11" t="s">
        <v>266</v>
      </c>
    </row>
    <row r="51" spans="1:13">
      <c r="A51" s="243" t="str">
        <f>ComUAGEndTunnel</f>
        <v>UAG Endpoint for Tunnel</v>
      </c>
      <c r="B51" s="16">
        <v>40000</v>
      </c>
      <c r="C51" s="17">
        <v>2</v>
      </c>
      <c r="D51" s="9">
        <v>4</v>
      </c>
      <c r="E51" s="9">
        <v>8</v>
      </c>
      <c r="F51" s="9">
        <v>50</v>
      </c>
      <c r="K51" s="31">
        <v>43899</v>
      </c>
      <c r="L51" s="9">
        <v>20.010000000000002</v>
      </c>
      <c r="M51" s="11" t="s">
        <v>266</v>
      </c>
    </row>
    <row r="52" spans="1:13">
      <c r="A52" s="243" t="str">
        <f>ComUAGEndTunnel</f>
        <v>UAG Endpoint for Tunnel</v>
      </c>
      <c r="B52" s="16">
        <v>100000</v>
      </c>
      <c r="C52" s="17">
        <v>4</v>
      </c>
      <c r="D52" s="9">
        <v>4</v>
      </c>
      <c r="E52" s="9">
        <v>16</v>
      </c>
      <c r="F52" s="9">
        <v>50</v>
      </c>
      <c r="K52" s="31">
        <v>43899</v>
      </c>
      <c r="L52" s="9">
        <v>20.010000000000002</v>
      </c>
      <c r="M52" s="11" t="s">
        <v>266</v>
      </c>
    </row>
    <row r="53" spans="1:13">
      <c r="A53" s="242" t="str">
        <f>ComUAGRelayContent</f>
        <v>UAG Relay for Content</v>
      </c>
      <c r="B53" s="16">
        <v>1</v>
      </c>
      <c r="C53" s="17">
        <v>1</v>
      </c>
      <c r="D53" s="9">
        <v>2</v>
      </c>
      <c r="E53" s="9">
        <v>4</v>
      </c>
      <c r="F53" s="9">
        <v>50</v>
      </c>
      <c r="K53" s="31">
        <v>43899</v>
      </c>
      <c r="L53" s="9">
        <v>20.010000000000002</v>
      </c>
      <c r="M53" s="11" t="s">
        <v>266</v>
      </c>
    </row>
    <row r="54" spans="1:13">
      <c r="A54" s="242" t="str">
        <f>ComUAGRelayContent</f>
        <v>UAG Relay for Content</v>
      </c>
      <c r="B54" s="16">
        <v>5000</v>
      </c>
      <c r="C54" s="17">
        <v>1</v>
      </c>
      <c r="D54" s="9">
        <v>2</v>
      </c>
      <c r="E54" s="9">
        <v>4</v>
      </c>
      <c r="F54" s="9">
        <v>50</v>
      </c>
      <c r="K54" s="31">
        <v>43899</v>
      </c>
      <c r="L54" s="9">
        <v>20.010000000000002</v>
      </c>
      <c r="M54" s="11" t="s">
        <v>266</v>
      </c>
    </row>
    <row r="55" spans="1:13">
      <c r="A55" s="242" t="str">
        <f>ComUAGRelayContent</f>
        <v>UAG Relay for Content</v>
      </c>
      <c r="B55" s="16">
        <v>10000</v>
      </c>
      <c r="C55" s="17">
        <v>2</v>
      </c>
      <c r="D55" s="9">
        <v>2</v>
      </c>
      <c r="E55" s="9">
        <v>4</v>
      </c>
      <c r="F55" s="9">
        <v>50</v>
      </c>
      <c r="K55" s="31">
        <v>43899</v>
      </c>
      <c r="L55" s="9">
        <v>20.010000000000002</v>
      </c>
      <c r="M55" s="11" t="s">
        <v>266</v>
      </c>
    </row>
    <row r="56" spans="1:13">
      <c r="A56" s="242" t="str">
        <f>ComUAGRelayContent</f>
        <v>UAG Relay for Content</v>
      </c>
      <c r="B56" s="16">
        <v>40000</v>
      </c>
      <c r="C56" s="17">
        <v>2</v>
      </c>
      <c r="D56" s="9">
        <v>4</v>
      </c>
      <c r="E56" s="9">
        <v>8</v>
      </c>
      <c r="F56" s="9">
        <v>50</v>
      </c>
      <c r="K56" s="31">
        <v>43899</v>
      </c>
      <c r="L56" s="9">
        <v>20.010000000000002</v>
      </c>
      <c r="M56" s="11" t="s">
        <v>266</v>
      </c>
    </row>
    <row r="57" spans="1:13">
      <c r="A57" s="242" t="str">
        <f>ComUAGRelayContent</f>
        <v>UAG Relay for Content</v>
      </c>
      <c r="B57" s="16">
        <v>100000</v>
      </c>
      <c r="C57" s="17">
        <v>4</v>
      </c>
      <c r="D57" s="9">
        <v>4</v>
      </c>
      <c r="E57" s="9">
        <v>16</v>
      </c>
      <c r="F57" s="9">
        <v>50</v>
      </c>
      <c r="K57" s="31">
        <v>43899</v>
      </c>
      <c r="L57" s="9">
        <v>20.010000000000002</v>
      </c>
      <c r="M57" s="11" t="s">
        <v>266</v>
      </c>
    </row>
    <row r="58" spans="1:13">
      <c r="A58" s="243" t="str">
        <f>ComUAGEndContent</f>
        <v xml:space="preserve">UAG Endpoint for Content </v>
      </c>
      <c r="B58" s="16">
        <v>1</v>
      </c>
      <c r="C58" s="17">
        <v>1</v>
      </c>
      <c r="D58" s="9">
        <v>2</v>
      </c>
      <c r="E58" s="9">
        <v>4</v>
      </c>
      <c r="F58" s="9">
        <v>50</v>
      </c>
      <c r="K58" s="31">
        <v>43899</v>
      </c>
      <c r="L58" s="9">
        <v>20.010000000000002</v>
      </c>
      <c r="M58" s="11" t="s">
        <v>266</v>
      </c>
    </row>
    <row r="59" spans="1:13">
      <c r="A59" s="243" t="str">
        <f>ComUAGEndContent</f>
        <v xml:space="preserve">UAG Endpoint for Content </v>
      </c>
      <c r="B59" s="16">
        <v>5000</v>
      </c>
      <c r="C59" s="17">
        <v>1</v>
      </c>
      <c r="D59" s="9">
        <v>2</v>
      </c>
      <c r="E59" s="9">
        <v>4</v>
      </c>
      <c r="F59" s="9">
        <v>50</v>
      </c>
      <c r="K59" s="31">
        <v>43899</v>
      </c>
      <c r="L59" s="9">
        <v>20.010000000000002</v>
      </c>
      <c r="M59" s="11" t="s">
        <v>266</v>
      </c>
    </row>
    <row r="60" spans="1:13">
      <c r="A60" s="243" t="str">
        <f>ComUAGEndContent</f>
        <v xml:space="preserve">UAG Endpoint for Content </v>
      </c>
      <c r="B60" s="16">
        <v>10000</v>
      </c>
      <c r="C60" s="17">
        <v>2</v>
      </c>
      <c r="D60" s="9">
        <v>2</v>
      </c>
      <c r="E60" s="9">
        <v>4</v>
      </c>
      <c r="F60" s="9">
        <v>50</v>
      </c>
      <c r="K60" s="31">
        <v>43899</v>
      </c>
      <c r="L60" s="9">
        <v>20.010000000000002</v>
      </c>
      <c r="M60" s="11" t="s">
        <v>266</v>
      </c>
    </row>
    <row r="61" spans="1:13">
      <c r="A61" s="243" t="str">
        <f>ComUAGEndContent</f>
        <v xml:space="preserve">UAG Endpoint for Content </v>
      </c>
      <c r="B61" s="16">
        <v>40000</v>
      </c>
      <c r="C61" s="17">
        <v>2</v>
      </c>
      <c r="D61" s="9">
        <v>4</v>
      </c>
      <c r="E61" s="9">
        <v>8</v>
      </c>
      <c r="F61" s="9">
        <v>50</v>
      </c>
      <c r="K61" s="31">
        <v>43899</v>
      </c>
      <c r="L61" s="9">
        <v>20.010000000000002</v>
      </c>
      <c r="M61" s="11" t="s">
        <v>266</v>
      </c>
    </row>
    <row r="62" spans="1:13">
      <c r="A62" s="243" t="str">
        <f>ComUAGEndContent</f>
        <v xml:space="preserve">UAG Endpoint for Content </v>
      </c>
      <c r="B62" s="16">
        <v>100000</v>
      </c>
      <c r="C62" s="17">
        <v>4</v>
      </c>
      <c r="D62" s="9">
        <v>4</v>
      </c>
      <c r="E62" s="9">
        <v>16</v>
      </c>
      <c r="F62" s="9">
        <v>50</v>
      </c>
      <c r="K62" s="31">
        <v>43899</v>
      </c>
      <c r="L62" s="9">
        <v>20.010000000000002</v>
      </c>
      <c r="M62" s="11" t="s">
        <v>266</v>
      </c>
    </row>
    <row r="63" spans="1:13">
      <c r="A63" s="242" t="str">
        <f t="shared" ref="A63:A68" si="2">ComAccess</f>
        <v>Workspace ONE Access</v>
      </c>
      <c r="B63" s="16">
        <v>1</v>
      </c>
      <c r="C63" s="17">
        <v>1</v>
      </c>
      <c r="D63" s="9">
        <v>2</v>
      </c>
      <c r="E63" s="9">
        <v>6</v>
      </c>
      <c r="F63" s="9">
        <v>60</v>
      </c>
      <c r="K63" s="31">
        <v>43899</v>
      </c>
      <c r="L63" s="9">
        <v>20.010000000000002</v>
      </c>
      <c r="M63" s="11" t="s">
        <v>266</v>
      </c>
    </row>
    <row r="64" spans="1:13">
      <c r="A64" s="242" t="str">
        <f t="shared" si="2"/>
        <v>Workspace ONE Access</v>
      </c>
      <c r="B64" s="16">
        <v>1000</v>
      </c>
      <c r="C64" s="17">
        <v>1</v>
      </c>
      <c r="D64" s="9">
        <v>2</v>
      </c>
      <c r="E64" s="9">
        <v>6</v>
      </c>
      <c r="F64" s="9">
        <v>60</v>
      </c>
      <c r="K64" s="31">
        <v>43899</v>
      </c>
      <c r="L64" s="9">
        <v>20.010000000000002</v>
      </c>
      <c r="M64" s="11" t="s">
        <v>266</v>
      </c>
    </row>
    <row r="65" spans="1:13">
      <c r="A65" s="242" t="str">
        <f t="shared" si="2"/>
        <v>Workspace ONE Access</v>
      </c>
      <c r="B65" s="16">
        <v>10000</v>
      </c>
      <c r="C65" s="17">
        <v>3</v>
      </c>
      <c r="D65" s="9">
        <v>2</v>
      </c>
      <c r="E65" s="9">
        <v>6</v>
      </c>
      <c r="F65" s="9">
        <v>100</v>
      </c>
      <c r="K65" s="31">
        <v>43899</v>
      </c>
      <c r="L65" s="9">
        <v>20.010000000000002</v>
      </c>
      <c r="M65" s="11" t="s">
        <v>266</v>
      </c>
    </row>
    <row r="66" spans="1:13">
      <c r="A66" s="242" t="str">
        <f t="shared" si="2"/>
        <v>Workspace ONE Access</v>
      </c>
      <c r="B66" s="16">
        <v>25000</v>
      </c>
      <c r="C66" s="17">
        <v>3</v>
      </c>
      <c r="D66" s="9">
        <v>4</v>
      </c>
      <c r="E66" s="9">
        <v>8</v>
      </c>
      <c r="F66" s="9">
        <v>100</v>
      </c>
      <c r="K66" s="31">
        <v>43899</v>
      </c>
      <c r="L66" s="9">
        <v>20.010000000000002</v>
      </c>
      <c r="M66" s="11" t="s">
        <v>266</v>
      </c>
    </row>
    <row r="67" spans="1:13">
      <c r="A67" s="242" t="str">
        <f t="shared" si="2"/>
        <v>Workspace ONE Access</v>
      </c>
      <c r="B67" s="16">
        <v>50000</v>
      </c>
      <c r="C67" s="17">
        <v>3</v>
      </c>
      <c r="D67" s="9">
        <v>8</v>
      </c>
      <c r="E67" s="9">
        <v>16</v>
      </c>
      <c r="F67" s="9">
        <v>100</v>
      </c>
      <c r="K67" s="31">
        <v>43899</v>
      </c>
      <c r="L67" s="9">
        <v>20.010000000000002</v>
      </c>
      <c r="M67" s="11" t="s">
        <v>266</v>
      </c>
    </row>
    <row r="68" spans="1:13">
      <c r="A68" s="242" t="str">
        <f t="shared" si="2"/>
        <v>Workspace ONE Access</v>
      </c>
      <c r="B68" s="16">
        <v>100000</v>
      </c>
      <c r="C68" s="17">
        <v>3</v>
      </c>
      <c r="D68" s="9">
        <v>8</v>
      </c>
      <c r="E68" s="9">
        <v>32</v>
      </c>
      <c r="F68" s="9">
        <v>100</v>
      </c>
      <c r="K68" s="31">
        <v>43899</v>
      </c>
      <c r="L68" s="9">
        <v>20.010000000000002</v>
      </c>
      <c r="M68" s="11" t="s">
        <v>266</v>
      </c>
    </row>
    <row r="69" spans="1:13">
      <c r="A69" s="243" t="str">
        <f t="shared" ref="A69:A74" si="3">ComIDMConnector</f>
        <v>Access Connector</v>
      </c>
      <c r="B69" s="16">
        <v>1</v>
      </c>
      <c r="C69" s="17">
        <v>1</v>
      </c>
      <c r="D69" s="9">
        <v>2</v>
      </c>
      <c r="E69" s="9">
        <v>6</v>
      </c>
      <c r="F69" s="9">
        <v>60</v>
      </c>
      <c r="K69" s="31">
        <v>43899</v>
      </c>
      <c r="L69" s="9">
        <v>20.010000000000002</v>
      </c>
      <c r="M69" s="11" t="s">
        <v>266</v>
      </c>
    </row>
    <row r="70" spans="1:13">
      <c r="A70" s="243" t="str">
        <f t="shared" si="3"/>
        <v>Access Connector</v>
      </c>
      <c r="B70" s="16">
        <v>1000</v>
      </c>
      <c r="C70" s="17">
        <v>1</v>
      </c>
      <c r="D70" s="9">
        <v>2</v>
      </c>
      <c r="E70" s="9">
        <v>6</v>
      </c>
      <c r="F70" s="9">
        <v>60</v>
      </c>
      <c r="K70" s="31">
        <v>43899</v>
      </c>
      <c r="L70" s="9">
        <v>20.010000000000002</v>
      </c>
      <c r="M70" s="11" t="s">
        <v>266</v>
      </c>
    </row>
    <row r="71" spans="1:13">
      <c r="A71" s="243" t="str">
        <f t="shared" si="3"/>
        <v>Access Connector</v>
      </c>
      <c r="B71" s="16">
        <v>10000</v>
      </c>
      <c r="C71" s="17">
        <v>2</v>
      </c>
      <c r="D71" s="9">
        <v>4</v>
      </c>
      <c r="E71" s="9">
        <v>6</v>
      </c>
      <c r="F71" s="9">
        <v>60</v>
      </c>
      <c r="K71" s="31">
        <v>43899</v>
      </c>
      <c r="L71" s="9">
        <v>20.010000000000002</v>
      </c>
      <c r="M71" s="11" t="s">
        <v>266</v>
      </c>
    </row>
    <row r="72" spans="1:13">
      <c r="A72" s="243" t="str">
        <f t="shared" si="3"/>
        <v>Access Connector</v>
      </c>
      <c r="B72" s="16">
        <v>25000</v>
      </c>
      <c r="C72" s="17">
        <v>2</v>
      </c>
      <c r="D72" s="9">
        <v>4</v>
      </c>
      <c r="E72" s="9">
        <v>8</v>
      </c>
      <c r="F72" s="9">
        <v>60</v>
      </c>
      <c r="K72" s="31">
        <v>43899</v>
      </c>
      <c r="L72" s="9">
        <v>20.010000000000002</v>
      </c>
      <c r="M72" s="11" t="s">
        <v>266</v>
      </c>
    </row>
    <row r="73" spans="1:13">
      <c r="A73" s="243" t="str">
        <f t="shared" si="3"/>
        <v>Access Connector</v>
      </c>
      <c r="B73" s="16">
        <v>50000</v>
      </c>
      <c r="C73" s="17">
        <v>2</v>
      </c>
      <c r="D73" s="9">
        <v>4</v>
      </c>
      <c r="E73" s="9">
        <v>16</v>
      </c>
      <c r="F73" s="9">
        <v>60</v>
      </c>
      <c r="K73" s="31">
        <v>43899</v>
      </c>
      <c r="L73" s="9">
        <v>20.010000000000002</v>
      </c>
      <c r="M73" s="11" t="s">
        <v>266</v>
      </c>
    </row>
    <row r="74" spans="1:13">
      <c r="A74" s="243" t="str">
        <f t="shared" si="3"/>
        <v>Access Connector</v>
      </c>
      <c r="B74" s="16">
        <v>100000</v>
      </c>
      <c r="C74" s="17">
        <v>2</v>
      </c>
      <c r="D74" s="9">
        <v>4</v>
      </c>
      <c r="E74" s="9">
        <v>16</v>
      </c>
      <c r="F74" s="9">
        <v>60</v>
      </c>
      <c r="K74" s="31">
        <v>43899</v>
      </c>
      <c r="L74" s="9">
        <v>20.010000000000002</v>
      </c>
      <c r="M74" s="11" t="s">
        <v>266</v>
      </c>
    </row>
    <row r="75" spans="1:13">
      <c r="A75" s="242" t="str">
        <f>ComWS1IntelCon</f>
        <v>Intelligent Connector</v>
      </c>
      <c r="B75" s="16">
        <v>1</v>
      </c>
      <c r="C75" s="17">
        <v>1</v>
      </c>
      <c r="D75" s="9">
        <v>2</v>
      </c>
      <c r="E75" s="9">
        <v>4</v>
      </c>
      <c r="F75" s="9">
        <v>25</v>
      </c>
      <c r="K75" s="31">
        <v>43899</v>
      </c>
      <c r="L75" s="9">
        <v>20.010000000000002</v>
      </c>
      <c r="M75" s="11" t="s">
        <v>266</v>
      </c>
    </row>
    <row r="76" spans="1:13" ht="14.45">
      <c r="A76" s="242" t="str">
        <f>ComWS1IntelCon</f>
        <v>Intelligent Connector</v>
      </c>
      <c r="B76" s="16">
        <v>5000</v>
      </c>
      <c r="C76" s="17">
        <v>1</v>
      </c>
      <c r="D76" s="9">
        <v>2</v>
      </c>
      <c r="E76" s="9">
        <v>4</v>
      </c>
      <c r="F76" s="9">
        <v>25</v>
      </c>
      <c r="K76" s="31">
        <v>43899</v>
      </c>
      <c r="L76" s="9">
        <v>20.010000000000002</v>
      </c>
      <c r="M76" s="4" t="s">
        <v>266</v>
      </c>
    </row>
    <row r="77" spans="1:13">
      <c r="A77" s="242" t="str">
        <f>ComWS1IntelCon</f>
        <v>Intelligent Connector</v>
      </c>
      <c r="B77" s="16">
        <v>25000</v>
      </c>
      <c r="C77" s="17">
        <v>1</v>
      </c>
      <c r="D77" s="9">
        <v>2</v>
      </c>
      <c r="E77" s="9">
        <v>8</v>
      </c>
      <c r="F77" s="9">
        <v>25</v>
      </c>
      <c r="K77" s="31">
        <v>43899</v>
      </c>
      <c r="L77" s="9">
        <v>20.010000000000002</v>
      </c>
      <c r="M77" s="11" t="s">
        <v>266</v>
      </c>
    </row>
    <row r="78" spans="1:13">
      <c r="A78" s="242" t="str">
        <f>ComWS1IntelCon</f>
        <v>Intelligent Connector</v>
      </c>
      <c r="B78" s="16">
        <v>50000</v>
      </c>
      <c r="C78" s="17">
        <v>1</v>
      </c>
      <c r="D78" s="9">
        <v>2</v>
      </c>
      <c r="E78" s="9">
        <v>8</v>
      </c>
      <c r="F78" s="9">
        <v>25</v>
      </c>
      <c r="K78" s="31">
        <v>43899</v>
      </c>
      <c r="L78" s="9">
        <v>20.010000000000002</v>
      </c>
      <c r="M78" s="11" t="s">
        <v>266</v>
      </c>
    </row>
    <row r="79" spans="1:13">
      <c r="A79" s="242" t="str">
        <f>ComWS1IntelCon</f>
        <v>Intelligent Connector</v>
      </c>
      <c r="B79" s="16">
        <v>100000</v>
      </c>
      <c r="C79" s="17">
        <v>1</v>
      </c>
      <c r="D79" s="9">
        <v>2</v>
      </c>
      <c r="E79" s="9">
        <v>16</v>
      </c>
      <c r="F79" s="9">
        <v>25</v>
      </c>
      <c r="K79" s="31">
        <v>43899</v>
      </c>
      <c r="L79" s="9">
        <v>20.010000000000002</v>
      </c>
      <c r="M79" s="11" t="s">
        <v>266</v>
      </c>
    </row>
    <row r="80" spans="1:13">
      <c r="A80" s="243" t="str">
        <f>ComCIB</f>
        <v>Citrix Integration Broker</v>
      </c>
      <c r="B80" s="16">
        <v>1</v>
      </c>
      <c r="C80" s="17">
        <v>1</v>
      </c>
      <c r="D80" s="9">
        <v>2</v>
      </c>
      <c r="E80" s="9">
        <v>4</v>
      </c>
      <c r="F80" s="9">
        <v>30</v>
      </c>
      <c r="K80" s="31">
        <v>43899</v>
      </c>
    </row>
    <row r="81" spans="1:13">
      <c r="A81" s="243" t="str">
        <f>ComCIB</f>
        <v>Citrix Integration Broker</v>
      </c>
      <c r="B81" s="16">
        <v>100000</v>
      </c>
      <c r="C81" s="17">
        <v>1</v>
      </c>
      <c r="D81" s="9">
        <v>2</v>
      </c>
      <c r="E81" s="9">
        <v>4</v>
      </c>
      <c r="F81" s="9">
        <v>30</v>
      </c>
      <c r="K81" s="31">
        <v>43899</v>
      </c>
    </row>
    <row r="82" spans="1:13">
      <c r="A82" s="242" t="str">
        <f>ComMemcache</f>
        <v>Memcache Server</v>
      </c>
      <c r="B82" s="16">
        <v>1</v>
      </c>
      <c r="C82" s="17">
        <v>1</v>
      </c>
      <c r="D82" s="9">
        <v>2</v>
      </c>
      <c r="E82" s="9">
        <v>8</v>
      </c>
      <c r="F82" s="9">
        <v>50</v>
      </c>
      <c r="K82" s="31">
        <v>43899</v>
      </c>
      <c r="L82" s="9">
        <v>20.010000000000002</v>
      </c>
      <c r="M82" s="11" t="s">
        <v>266</v>
      </c>
    </row>
    <row r="83" spans="1:13">
      <c r="A83" s="242" t="str">
        <f>ComMemcache</f>
        <v>Memcache Server</v>
      </c>
      <c r="B83" s="16">
        <v>300000</v>
      </c>
      <c r="C83" s="17">
        <v>1</v>
      </c>
      <c r="D83" s="9">
        <v>2</v>
      </c>
      <c r="E83" s="9">
        <v>8</v>
      </c>
      <c r="F83" s="9">
        <v>50</v>
      </c>
      <c r="K83" s="31">
        <v>43899</v>
      </c>
      <c r="L83" s="9">
        <v>20.010000000000002</v>
      </c>
      <c r="M83" s="11" t="s">
        <v>266</v>
      </c>
    </row>
    <row r="84" spans="1:13" ht="14.45">
      <c r="A84" s="264" t="s">
        <v>267</v>
      </c>
      <c r="B84" s="16">
        <v>1</v>
      </c>
      <c r="C84" s="17">
        <v>1</v>
      </c>
      <c r="D84" s="9">
        <v>2</v>
      </c>
      <c r="E84" s="9">
        <v>8</v>
      </c>
      <c r="F84" s="9">
        <v>250</v>
      </c>
      <c r="I84" s="9">
        <v>200</v>
      </c>
      <c r="K84" s="31">
        <v>43947</v>
      </c>
      <c r="L84" s="9">
        <v>20.010000000000002</v>
      </c>
      <c r="M84" s="4" t="s">
        <v>268</v>
      </c>
    </row>
    <row r="85" spans="1:13" ht="14.45">
      <c r="A85" s="264" t="s">
        <v>267</v>
      </c>
      <c r="B85" s="16">
        <v>1000</v>
      </c>
      <c r="C85" s="17">
        <v>1</v>
      </c>
      <c r="D85" s="9">
        <v>2</v>
      </c>
      <c r="E85" s="9">
        <v>8</v>
      </c>
      <c r="F85" s="9">
        <v>250</v>
      </c>
      <c r="I85" s="9">
        <v>200</v>
      </c>
      <c r="K85" s="31">
        <v>43947</v>
      </c>
      <c r="L85" s="9">
        <v>20.010000000000002</v>
      </c>
      <c r="M85" s="4" t="s">
        <v>268</v>
      </c>
    </row>
    <row r="86" spans="1:13" ht="14.45">
      <c r="A86" s="264" t="s">
        <v>267</v>
      </c>
      <c r="B86" s="16">
        <v>10000</v>
      </c>
      <c r="C86" s="17">
        <v>1</v>
      </c>
      <c r="D86" s="9">
        <v>2</v>
      </c>
      <c r="E86" s="9">
        <v>16</v>
      </c>
      <c r="F86" s="9">
        <v>250</v>
      </c>
      <c r="I86" s="9">
        <v>200</v>
      </c>
      <c r="K86" s="31">
        <v>43947</v>
      </c>
      <c r="L86" s="9">
        <v>20.010000000000002</v>
      </c>
      <c r="M86" s="4" t="s">
        <v>268</v>
      </c>
    </row>
    <row r="87" spans="1:13" ht="14.45">
      <c r="A87" s="264" t="s">
        <v>267</v>
      </c>
      <c r="B87" s="16">
        <v>100000</v>
      </c>
      <c r="C87" s="17">
        <v>2</v>
      </c>
      <c r="D87" s="9">
        <v>2</v>
      </c>
      <c r="E87" s="9">
        <v>32</v>
      </c>
      <c r="F87" s="9">
        <v>250</v>
      </c>
      <c r="I87" s="9">
        <v>200</v>
      </c>
      <c r="K87" s="31">
        <v>43947</v>
      </c>
      <c r="L87" s="9">
        <v>20.010000000000002</v>
      </c>
      <c r="M87" s="4" t="s">
        <v>268</v>
      </c>
    </row>
    <row r="88" spans="1:13" ht="14.45">
      <c r="A88" s="264" t="s">
        <v>267</v>
      </c>
      <c r="B88" s="16">
        <v>500000</v>
      </c>
      <c r="C88" s="17">
        <v>2</v>
      </c>
      <c r="D88" s="9">
        <v>4</v>
      </c>
      <c r="E88" s="9">
        <v>64</v>
      </c>
      <c r="F88" s="9">
        <v>1000</v>
      </c>
      <c r="I88" s="9">
        <v>200</v>
      </c>
      <c r="K88" s="31">
        <v>43947</v>
      </c>
      <c r="L88" s="9">
        <v>20.010000000000002</v>
      </c>
      <c r="M88" s="4" t="s">
        <v>268</v>
      </c>
    </row>
    <row r="89" spans="1:13" ht="14.45">
      <c r="A89" s="264" t="s">
        <v>107</v>
      </c>
      <c r="B89" s="16">
        <v>1</v>
      </c>
      <c r="C89" s="17">
        <v>1</v>
      </c>
      <c r="D89" s="9">
        <v>2</v>
      </c>
      <c r="E89" s="9">
        <v>32</v>
      </c>
      <c r="F89" s="9">
        <v>250</v>
      </c>
      <c r="K89" s="31">
        <v>43947</v>
      </c>
      <c r="L89" s="9">
        <v>20.010000000000002</v>
      </c>
      <c r="M89" s="4" t="s">
        <v>268</v>
      </c>
    </row>
    <row r="90" spans="1:13" ht="14.45">
      <c r="A90" s="264" t="s">
        <v>107</v>
      </c>
      <c r="B90" s="16">
        <v>1000</v>
      </c>
      <c r="C90" s="17">
        <v>1</v>
      </c>
      <c r="D90" s="9">
        <v>2</v>
      </c>
      <c r="E90" s="9">
        <v>32</v>
      </c>
      <c r="F90" s="9">
        <v>250</v>
      </c>
      <c r="K90" s="31">
        <v>43947</v>
      </c>
      <c r="L90" s="9">
        <v>20.010000000000002</v>
      </c>
      <c r="M90" s="4" t="s">
        <v>268</v>
      </c>
    </row>
    <row r="91" spans="1:13" ht="14.45">
      <c r="A91" s="264" t="s">
        <v>107</v>
      </c>
      <c r="B91" s="16">
        <v>10000</v>
      </c>
      <c r="C91" s="17">
        <v>1</v>
      </c>
      <c r="D91" s="9">
        <v>2</v>
      </c>
      <c r="E91" s="9">
        <v>32</v>
      </c>
      <c r="F91" s="9">
        <v>250</v>
      </c>
      <c r="K91" s="31">
        <v>43947</v>
      </c>
      <c r="L91" s="9">
        <v>20.010000000000002</v>
      </c>
      <c r="M91" s="4" t="s">
        <v>268</v>
      </c>
    </row>
    <row r="92" spans="1:13" ht="14.45">
      <c r="A92" s="264" t="s">
        <v>107</v>
      </c>
      <c r="B92" s="16">
        <v>100000</v>
      </c>
      <c r="C92" s="17">
        <v>2</v>
      </c>
      <c r="D92" s="9">
        <v>4</v>
      </c>
      <c r="E92" s="9">
        <v>32</v>
      </c>
      <c r="F92" s="9">
        <v>250</v>
      </c>
      <c r="K92" s="31">
        <v>43947</v>
      </c>
      <c r="L92" s="9">
        <v>20.010000000000002</v>
      </c>
      <c r="M92" s="4" t="s">
        <v>268</v>
      </c>
    </row>
    <row r="93" spans="1:13" ht="14.45">
      <c r="A93" s="264" t="s">
        <v>107</v>
      </c>
      <c r="B93" s="16">
        <v>500000</v>
      </c>
      <c r="C93" s="17">
        <v>2</v>
      </c>
      <c r="D93" s="9">
        <v>8</v>
      </c>
      <c r="E93" s="9">
        <v>32</v>
      </c>
      <c r="F93" s="9">
        <v>250</v>
      </c>
      <c r="K93" s="31">
        <v>43947</v>
      </c>
      <c r="L93" s="9">
        <v>20.010000000000002</v>
      </c>
      <c r="M93" s="4" t="s">
        <v>268</v>
      </c>
    </row>
    <row r="94" spans="1:13" ht="14.45">
      <c r="A94" s="264" t="s">
        <v>111</v>
      </c>
      <c r="B94" s="16">
        <v>1</v>
      </c>
      <c r="C94" s="17">
        <v>0</v>
      </c>
      <c r="D94" s="44" t="s">
        <v>44</v>
      </c>
      <c r="E94" s="44" t="s">
        <v>44</v>
      </c>
      <c r="F94" s="44" t="s">
        <v>44</v>
      </c>
      <c r="G94" s="44"/>
      <c r="H94" s="44"/>
      <c r="I94" s="44"/>
      <c r="K94" s="31">
        <v>43947</v>
      </c>
      <c r="L94" s="9">
        <v>20.010000000000002</v>
      </c>
      <c r="M94" s="4" t="s">
        <v>268</v>
      </c>
    </row>
    <row r="95" spans="1:13" ht="14.45">
      <c r="A95" s="264" t="s">
        <v>111</v>
      </c>
      <c r="B95" s="16">
        <v>1000</v>
      </c>
      <c r="C95" s="17">
        <v>0</v>
      </c>
      <c r="D95" s="44" t="s">
        <v>44</v>
      </c>
      <c r="E95" s="44" t="s">
        <v>44</v>
      </c>
      <c r="F95" s="44" t="s">
        <v>44</v>
      </c>
      <c r="G95" s="44"/>
      <c r="H95" s="44"/>
      <c r="I95" s="44"/>
      <c r="K95" s="31">
        <v>43947</v>
      </c>
      <c r="L95" s="9">
        <v>20.010000000000002</v>
      </c>
      <c r="M95" s="4" t="s">
        <v>268</v>
      </c>
    </row>
    <row r="96" spans="1:13" ht="14.45">
      <c r="A96" s="264" t="s">
        <v>111</v>
      </c>
      <c r="B96" s="16">
        <v>10000</v>
      </c>
      <c r="C96" s="17">
        <v>0</v>
      </c>
      <c r="D96" s="44" t="s">
        <v>44</v>
      </c>
      <c r="E96" s="44" t="s">
        <v>44</v>
      </c>
      <c r="F96" s="44" t="s">
        <v>44</v>
      </c>
      <c r="G96" s="44"/>
      <c r="H96" s="44"/>
      <c r="I96" s="44"/>
      <c r="K96" s="31">
        <v>43947</v>
      </c>
      <c r="L96" s="9">
        <v>20.010000000000002</v>
      </c>
      <c r="M96" s="4" t="s">
        <v>268</v>
      </c>
    </row>
    <row r="97" spans="1:13" ht="14.45">
      <c r="A97" s="264" t="s">
        <v>111</v>
      </c>
      <c r="B97" s="16">
        <v>100000</v>
      </c>
      <c r="C97" s="17">
        <v>2</v>
      </c>
      <c r="D97" s="9">
        <v>4</v>
      </c>
      <c r="E97" s="9">
        <v>16</v>
      </c>
      <c r="F97" s="9">
        <v>250</v>
      </c>
      <c r="K97" s="31">
        <v>43947</v>
      </c>
      <c r="L97" s="9">
        <v>20.010000000000002</v>
      </c>
      <c r="M97" s="4" t="s">
        <v>268</v>
      </c>
    </row>
    <row r="98" spans="1:13" ht="14.45">
      <c r="A98" s="264" t="s">
        <v>111</v>
      </c>
      <c r="B98" s="16">
        <v>500000</v>
      </c>
      <c r="C98" s="17">
        <v>2</v>
      </c>
      <c r="D98" s="9">
        <v>8</v>
      </c>
      <c r="E98" s="9">
        <v>16</v>
      </c>
      <c r="F98" s="9">
        <v>250</v>
      </c>
      <c r="K98" s="31">
        <v>43947</v>
      </c>
      <c r="L98" s="9">
        <v>20.010000000000002</v>
      </c>
      <c r="M98" s="4" t="s">
        <v>268</v>
      </c>
    </row>
  </sheetData>
  <conditionalFormatting sqref="A82:A83">
    <cfRule type="expression" dxfId="1002" priority="21">
      <formula>$D$10="SaaS"</formula>
    </cfRule>
  </conditionalFormatting>
  <conditionalFormatting sqref="A69:A74">
    <cfRule type="expression" dxfId="1001" priority="18">
      <formula>$D$10="SaaS"</formula>
    </cfRule>
  </conditionalFormatting>
  <conditionalFormatting sqref="A63:A68">
    <cfRule type="expression" dxfId="1000" priority="17">
      <formula>$D$10="SaaS"</formula>
    </cfRule>
  </conditionalFormatting>
  <conditionalFormatting sqref="A75:A79">
    <cfRule type="expression" dxfId="999" priority="1">
      <formula>$D$10="SaaS"</formula>
    </cfRule>
  </conditionalFormatting>
  <conditionalFormatting sqref="A58:A62">
    <cfRule type="expression" dxfId="998" priority="16">
      <formula>$D$10="SaaS"</formula>
    </cfRule>
  </conditionalFormatting>
  <conditionalFormatting sqref="A53:A57">
    <cfRule type="expression" dxfId="997" priority="15">
      <formula>$D$10="SaaS"</formula>
    </cfRule>
  </conditionalFormatting>
  <conditionalFormatting sqref="A48:A52">
    <cfRule type="expression" dxfId="996" priority="14">
      <formula>$D$10="SaaS"</formula>
    </cfRule>
  </conditionalFormatting>
  <conditionalFormatting sqref="A43:A47">
    <cfRule type="expression" dxfId="995" priority="13">
      <formula>$D$10="SaaS"</formula>
    </cfRule>
  </conditionalFormatting>
  <conditionalFormatting sqref="A41:A42">
    <cfRule type="expression" dxfId="994" priority="12">
      <formula>$D$10="SaaS"</formula>
    </cfRule>
  </conditionalFormatting>
  <conditionalFormatting sqref="A34:A40">
    <cfRule type="expression" dxfId="993" priority="11">
      <formula>$D$10="SaaS"</formula>
    </cfRule>
  </conditionalFormatting>
  <conditionalFormatting sqref="A29:A33">
    <cfRule type="expression" dxfId="992" priority="10">
      <formula>$D$10="SaaS"</formula>
    </cfRule>
  </conditionalFormatting>
  <conditionalFormatting sqref="A27:A28">
    <cfRule type="expression" dxfId="991" priority="9">
      <formula>$C$1="SaaS"</formula>
    </cfRule>
  </conditionalFormatting>
  <conditionalFormatting sqref="A25:A26">
    <cfRule type="expression" dxfId="990" priority="8">
      <formula>$C$1="SaaS"</formula>
    </cfRule>
  </conditionalFormatting>
  <conditionalFormatting sqref="A20:A24">
    <cfRule type="expression" dxfId="989" priority="7">
      <formula>$D$10="SaaS"</formula>
    </cfRule>
  </conditionalFormatting>
  <conditionalFormatting sqref="A15:A19">
    <cfRule type="expression" dxfId="988" priority="6">
      <formula>$D$10="SaaS"</formula>
    </cfRule>
  </conditionalFormatting>
  <conditionalFormatting sqref="A7:A12">
    <cfRule type="expression" dxfId="987" priority="5">
      <formula>$D$10="SaaS"</formula>
    </cfRule>
  </conditionalFormatting>
  <conditionalFormatting sqref="A2:A6">
    <cfRule type="expression" dxfId="986" priority="4">
      <formula>$D$10="SaaS"</formula>
    </cfRule>
  </conditionalFormatting>
  <conditionalFormatting sqref="A13:A14">
    <cfRule type="expression" dxfId="985" priority="3">
      <formula>$D$10="SaaS"</formula>
    </cfRule>
  </conditionalFormatting>
  <conditionalFormatting sqref="A80:A81">
    <cfRule type="expression" dxfId="984" priority="2">
      <formula>$D$10="SaaS"</formula>
    </cfRule>
  </conditionalFormatting>
  <hyperlinks>
    <hyperlink ref="M2" r:id="rId1" xr:uid="{646B69DA-35D1-4DBA-918B-D3076FC2F235}"/>
    <hyperlink ref="M3" r:id="rId2" xr:uid="{0FF3D7B4-7350-4A03-9382-EC8AE08AFF4D}"/>
    <hyperlink ref="M4" r:id="rId3" xr:uid="{37D499F0-1525-4535-BBFA-69A096BBA998}"/>
    <hyperlink ref="M5" r:id="rId4" xr:uid="{C424BC8D-779D-4708-9503-ED07B9C5F913}"/>
    <hyperlink ref="M6" r:id="rId5" xr:uid="{9CB30E2D-8B36-4F5F-9932-50FC9513F6E8}"/>
    <hyperlink ref="M15" r:id="rId6" xr:uid="{D771B252-4D1C-4325-95CA-D9616DB92DE8}"/>
    <hyperlink ref="M16" r:id="rId7" xr:uid="{ED812954-805D-4D1C-87FD-5B93765C6A94}"/>
    <hyperlink ref="M17" r:id="rId8" xr:uid="{567BB5E3-5EE6-4FF2-B121-CB77027B4E9E}"/>
    <hyperlink ref="M18" r:id="rId9" xr:uid="{C854B171-66BE-4F6E-BDA7-32967D77A7FD}"/>
    <hyperlink ref="M19" r:id="rId10" xr:uid="{269A5DB7-A32F-468F-9162-D5A0FE2A6EE4}"/>
    <hyperlink ref="M20" r:id="rId11" xr:uid="{B48A5D62-897F-4BA9-980F-584E134E823D}"/>
    <hyperlink ref="M21" r:id="rId12" xr:uid="{62A4D2FB-D7A7-4E7A-8731-D289D7C9094E}"/>
    <hyperlink ref="M22" r:id="rId13" xr:uid="{CCC1D01E-F550-4811-AD76-2308C14DD4D9}"/>
    <hyperlink ref="M23" r:id="rId14" xr:uid="{ADCD7D00-FD42-45C2-87FC-9AF9FF9381D6}"/>
    <hyperlink ref="M24" r:id="rId15" xr:uid="{522A6676-0500-436D-927E-F865B6CF4C98}"/>
    <hyperlink ref="M25" r:id="rId16" xr:uid="{9B447F9D-9C4E-4513-A053-6C37F9E1B8F1}"/>
    <hyperlink ref="M26" r:id="rId17" xr:uid="{81F6911C-5AAB-40AF-B57C-0D5A9FF4491A}"/>
    <hyperlink ref="M27" r:id="rId18" xr:uid="{35B2723B-0502-41AE-987E-D62568E672FE}"/>
    <hyperlink ref="M28" r:id="rId19" xr:uid="{D7D98775-5097-42A9-9FA0-7A9C34685941}"/>
    <hyperlink ref="M76" r:id="rId20" location="GUID-AWT-HW-ASSUMPTIONS__GUID-FCF89B48-F9D2-43CB-80F6-54B108946F1C" xr:uid="{0DE8F34D-A123-8849-BA10-2501E7A2E430}"/>
    <hyperlink ref="M84" r:id="rId21" xr:uid="{D34DB0A9-57BD-4CBA-B407-59092DD4F43F}"/>
    <hyperlink ref="M85" r:id="rId22" xr:uid="{3B8F633A-3F0F-44EF-B702-8C56AD67447E}"/>
    <hyperlink ref="M86" r:id="rId23" xr:uid="{5D533EF2-6BE5-4C24-B5F5-F8B4B79F2858}"/>
    <hyperlink ref="M88" r:id="rId24" xr:uid="{0ADEFA77-1F7D-4A09-991A-93EA2AB12B7A}"/>
    <hyperlink ref="M87" r:id="rId25" xr:uid="{E2C467DF-24F9-4B00-8C8E-72B669A37D13}"/>
    <hyperlink ref="M89" r:id="rId26" xr:uid="{FFC0BEF3-B30C-48E0-9377-9DC23D912A6A}"/>
    <hyperlink ref="M90" r:id="rId27" xr:uid="{BEF935D4-226D-4700-9DE5-3DAC0A74F735}"/>
    <hyperlink ref="M91" r:id="rId28" xr:uid="{D0C19285-66A5-455A-B906-C78E011AA5C4}"/>
    <hyperlink ref="M93" r:id="rId29" xr:uid="{0827BE9B-C47F-4520-B610-F7BBF6ED9DCE}"/>
    <hyperlink ref="M92" r:id="rId30" xr:uid="{A6AEB0D0-05BD-4375-9841-8577548C32AA}"/>
    <hyperlink ref="M94" r:id="rId31" xr:uid="{03E4E578-7AF3-4999-B7A5-1B6ED32C0FA0}"/>
    <hyperlink ref="M95" r:id="rId32" xr:uid="{ED2263D8-FFFB-4834-A0C0-5853E8958837}"/>
    <hyperlink ref="M96" r:id="rId33" xr:uid="{45CE8497-B2A5-48A0-B7CD-DB5CDF853149}"/>
    <hyperlink ref="M98" r:id="rId34" xr:uid="{548D814C-B585-4A3A-A9E3-D63076A69918}"/>
    <hyperlink ref="M97" r:id="rId35" xr:uid="{0080A4C5-2B72-473F-A6DC-AE2581400705}"/>
  </hyperlinks>
  <pageMargins left="0.7" right="0.7" top="0.75" bottom="0.75" header="0.3" footer="0.3"/>
  <pageSetup orientation="portrait" r:id="rId36"/>
  <tableParts count="1">
    <tablePart r:id="rId3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rgb="FF92D050"/>
    <pageSetUpPr fitToPage="1"/>
  </sheetPr>
  <dimension ref="B1:M75"/>
  <sheetViews>
    <sheetView showGridLines="0" topLeftCell="A51" zoomScaleNormal="100" workbookViewId="0">
      <selection activeCell="F55" sqref="F55"/>
    </sheetView>
  </sheetViews>
  <sheetFormatPr defaultColWidth="27.28515625" defaultRowHeight="13.9"/>
  <cols>
    <col min="1" max="1" width="2.42578125" style="9" customWidth="1"/>
    <col min="2" max="2" width="8.42578125" style="9" bestFit="1" customWidth="1"/>
    <col min="3" max="3" width="24.140625" style="9" customWidth="1"/>
    <col min="4" max="4" width="23" style="44" bestFit="1" customWidth="1"/>
    <col min="5" max="5" width="23" style="19" bestFit="1" customWidth="1"/>
    <col min="6" max="6" width="39" style="9" customWidth="1"/>
    <col min="7" max="7" width="26.7109375" style="44" bestFit="1" customWidth="1"/>
    <col min="8" max="8" width="23" style="19" bestFit="1" customWidth="1"/>
    <col min="9" max="9" width="27.28515625" style="9"/>
    <col min="10" max="10" width="26.5703125" style="12" bestFit="1" customWidth="1"/>
    <col min="11" max="11" width="59.7109375" style="9" customWidth="1"/>
    <col min="12" max="12" width="17.7109375" style="9" bestFit="1" customWidth="1"/>
    <col min="13" max="16384" width="27.28515625" style="9"/>
  </cols>
  <sheetData>
    <row r="1" spans="2:12" ht="8.25" customHeight="1"/>
    <row r="2" spans="2:12" ht="42" customHeight="1">
      <c r="B2" s="315" t="s">
        <v>269</v>
      </c>
      <c r="C2" s="316"/>
      <c r="D2" s="316"/>
      <c r="E2" s="316"/>
      <c r="F2" s="316"/>
      <c r="G2" s="316"/>
      <c r="H2" s="316"/>
      <c r="I2" s="316"/>
      <c r="J2" s="316"/>
      <c r="K2" s="316"/>
      <c r="L2" s="316"/>
    </row>
    <row r="3" spans="2:12" ht="16.149999999999999" thickBot="1">
      <c r="B3" s="317" t="s">
        <v>270</v>
      </c>
      <c r="C3" s="318"/>
      <c r="D3" s="318"/>
      <c r="E3" s="318"/>
      <c r="F3" s="318"/>
      <c r="G3" s="318"/>
      <c r="H3" s="318"/>
      <c r="I3" s="318"/>
      <c r="J3" s="318"/>
      <c r="K3" s="318"/>
      <c r="L3" s="318"/>
    </row>
    <row r="4" spans="2:12">
      <c r="B4" s="277" t="s">
        <v>271</v>
      </c>
      <c r="C4" s="312" t="s">
        <v>272</v>
      </c>
      <c r="D4" s="313"/>
      <c r="E4" s="313"/>
      <c r="F4" s="312"/>
      <c r="G4" s="313"/>
      <c r="H4" s="313"/>
      <c r="I4" s="312" t="s">
        <v>273</v>
      </c>
      <c r="J4" s="313"/>
      <c r="K4" s="314"/>
      <c r="L4" s="39" t="s">
        <v>274</v>
      </c>
    </row>
    <row r="5" spans="2:12" ht="35.1" customHeight="1">
      <c r="B5" s="40" t="s">
        <v>275</v>
      </c>
      <c r="C5" s="300" t="s">
        <v>276</v>
      </c>
      <c r="D5" s="301"/>
      <c r="E5" s="301"/>
      <c r="F5" s="301"/>
      <c r="G5" s="301"/>
      <c r="H5" s="302"/>
      <c r="I5" s="300" t="s">
        <v>277</v>
      </c>
      <c r="J5" s="301"/>
      <c r="K5" s="301"/>
      <c r="L5" s="41">
        <v>9.4</v>
      </c>
    </row>
    <row r="6" spans="2:12" ht="50.1" customHeight="1">
      <c r="B6" s="40" t="s">
        <v>275</v>
      </c>
      <c r="C6" s="300" t="s">
        <v>278</v>
      </c>
      <c r="D6" s="301"/>
      <c r="E6" s="301"/>
      <c r="F6" s="301"/>
      <c r="G6" s="301"/>
      <c r="H6" s="302"/>
      <c r="I6" s="300"/>
      <c r="J6" s="301"/>
      <c r="K6" s="301"/>
      <c r="L6" s="41"/>
    </row>
    <row r="7" spans="2:12" ht="12.95" customHeight="1">
      <c r="B7" s="45"/>
      <c r="C7" s="46"/>
      <c r="D7" s="46"/>
      <c r="E7" s="46"/>
      <c r="F7" s="46"/>
      <c r="G7" s="46"/>
      <c r="H7" s="46"/>
      <c r="I7" s="47"/>
      <c r="J7" s="47"/>
      <c r="K7" s="47"/>
      <c r="L7" s="41"/>
    </row>
    <row r="8" spans="2:12" ht="15.6">
      <c r="B8" s="307" t="s">
        <v>279</v>
      </c>
      <c r="C8" s="307"/>
      <c r="D8" s="307"/>
      <c r="E8" s="308"/>
      <c r="F8" s="308"/>
      <c r="G8" s="308"/>
      <c r="H8" s="308"/>
      <c r="I8" s="308"/>
      <c r="J8" s="308"/>
      <c r="K8" s="309"/>
      <c r="L8" s="41"/>
    </row>
    <row r="9" spans="2:12">
      <c r="B9" s="277" t="s">
        <v>271</v>
      </c>
      <c r="C9" s="312" t="s">
        <v>272</v>
      </c>
      <c r="D9" s="313"/>
      <c r="E9" s="313"/>
      <c r="F9" s="312"/>
      <c r="G9" s="313"/>
      <c r="H9" s="313"/>
      <c r="I9" s="312" t="s">
        <v>273</v>
      </c>
      <c r="J9" s="313"/>
      <c r="K9" s="314"/>
      <c r="L9" s="41"/>
    </row>
    <row r="10" spans="2:12" ht="30" customHeight="1">
      <c r="B10" s="40" t="s">
        <v>275</v>
      </c>
      <c r="C10" s="319" t="s">
        <v>280</v>
      </c>
      <c r="D10" s="320"/>
      <c r="E10" s="320"/>
      <c r="F10" s="320"/>
      <c r="G10" s="320"/>
      <c r="H10" s="321"/>
      <c r="I10" s="310"/>
      <c r="J10" s="311"/>
      <c r="K10" s="311"/>
      <c r="L10" s="41">
        <v>6.4</v>
      </c>
    </row>
    <row r="11" spans="2:12" ht="15" customHeight="1">
      <c r="B11" s="40" t="s">
        <v>275</v>
      </c>
      <c r="C11" s="300" t="s">
        <v>281</v>
      </c>
      <c r="D11" s="301"/>
      <c r="E11" s="301"/>
      <c r="F11" s="301"/>
      <c r="G11" s="301"/>
      <c r="H11" s="302"/>
      <c r="I11" s="310"/>
      <c r="J11" s="311"/>
      <c r="K11" s="311"/>
      <c r="L11" s="41">
        <v>6.4</v>
      </c>
    </row>
    <row r="12" spans="2:12" ht="20.100000000000001" customHeight="1">
      <c r="B12" s="40" t="s">
        <v>275</v>
      </c>
      <c r="C12" s="275" t="s">
        <v>282</v>
      </c>
      <c r="D12" s="274"/>
      <c r="E12" s="274"/>
      <c r="F12" s="274"/>
      <c r="G12" s="274"/>
      <c r="H12" s="276"/>
      <c r="I12" s="310" t="s">
        <v>283</v>
      </c>
      <c r="J12" s="311"/>
      <c r="K12" s="311"/>
      <c r="L12" s="41"/>
    </row>
    <row r="13" spans="2:12" ht="32.1" customHeight="1">
      <c r="B13" s="40" t="s">
        <v>275</v>
      </c>
      <c r="C13" s="300" t="s">
        <v>284</v>
      </c>
      <c r="D13" s="301"/>
      <c r="E13" s="301"/>
      <c r="F13" s="301"/>
      <c r="G13" s="301"/>
      <c r="H13" s="302"/>
      <c r="I13" s="310"/>
      <c r="J13" s="311"/>
      <c r="K13" s="311"/>
      <c r="L13" s="41">
        <v>6.4</v>
      </c>
    </row>
    <row r="14" spans="2:12" ht="12.95" customHeight="1">
      <c r="B14" s="45"/>
      <c r="C14" s="48"/>
      <c r="D14" s="48"/>
      <c r="E14" s="48"/>
      <c r="F14" s="48"/>
      <c r="G14" s="48"/>
      <c r="H14" s="48"/>
      <c r="I14" s="47"/>
      <c r="J14" s="47"/>
      <c r="K14" s="47"/>
      <c r="L14" s="41"/>
    </row>
    <row r="15" spans="2:12" ht="15.6">
      <c r="B15" s="307" t="s">
        <v>285</v>
      </c>
      <c r="C15" s="307"/>
      <c r="D15" s="307"/>
      <c r="E15" s="308"/>
      <c r="F15" s="308"/>
      <c r="G15" s="308"/>
      <c r="H15" s="308"/>
      <c r="I15" s="308"/>
      <c r="J15" s="308"/>
      <c r="K15" s="309"/>
      <c r="L15" s="41"/>
    </row>
    <row r="16" spans="2:12">
      <c r="B16" s="277" t="s">
        <v>271</v>
      </c>
      <c r="C16" s="312" t="s">
        <v>272</v>
      </c>
      <c r="D16" s="313"/>
      <c r="E16" s="313"/>
      <c r="F16" s="312"/>
      <c r="G16" s="313"/>
      <c r="H16" s="313"/>
      <c r="I16" s="312" t="s">
        <v>273</v>
      </c>
      <c r="J16" s="313"/>
      <c r="K16" s="314"/>
      <c r="L16" s="41"/>
    </row>
    <row r="17" spans="2:12">
      <c r="B17" s="40" t="s">
        <v>275</v>
      </c>
      <c r="C17" s="300" t="s">
        <v>286</v>
      </c>
      <c r="D17" s="301"/>
      <c r="E17" s="301"/>
      <c r="F17" s="301"/>
      <c r="G17" s="301"/>
      <c r="H17" s="302"/>
      <c r="I17" s="310" t="s">
        <v>287</v>
      </c>
      <c r="J17" s="311"/>
      <c r="K17" s="311"/>
      <c r="L17" s="41">
        <v>6.4</v>
      </c>
    </row>
    <row r="18" spans="2:12">
      <c r="B18" s="40" t="s">
        <v>275</v>
      </c>
      <c r="C18" s="300" t="s">
        <v>288</v>
      </c>
      <c r="D18" s="301"/>
      <c r="E18" s="301"/>
      <c r="F18" s="301"/>
      <c r="G18" s="301"/>
      <c r="H18" s="302"/>
      <c r="I18" s="310"/>
      <c r="J18" s="301"/>
      <c r="K18" s="301"/>
      <c r="L18" s="41">
        <v>6.4</v>
      </c>
    </row>
    <row r="19" spans="2:12">
      <c r="B19" s="40" t="s">
        <v>275</v>
      </c>
      <c r="C19" s="300" t="s">
        <v>289</v>
      </c>
      <c r="D19" s="301"/>
      <c r="E19" s="301"/>
      <c r="F19" s="301"/>
      <c r="G19" s="301"/>
      <c r="H19" s="302"/>
      <c r="I19" s="310" t="s">
        <v>290</v>
      </c>
      <c r="J19" s="311"/>
      <c r="K19" s="311"/>
      <c r="L19" s="41" t="s">
        <v>291</v>
      </c>
    </row>
    <row r="20" spans="2:12" ht="15" customHeight="1">
      <c r="B20" s="40" t="s">
        <v>275</v>
      </c>
      <c r="C20" s="300" t="s">
        <v>292</v>
      </c>
      <c r="D20" s="301"/>
      <c r="E20" s="301"/>
      <c r="F20" s="301"/>
      <c r="G20" s="301"/>
      <c r="H20" s="302"/>
      <c r="I20" s="310" t="s">
        <v>293</v>
      </c>
      <c r="J20" s="311"/>
      <c r="K20" s="311"/>
      <c r="L20" s="41" t="s">
        <v>291</v>
      </c>
    </row>
    <row r="21" spans="2:12" ht="106.5" customHeight="1">
      <c r="B21" s="40" t="s">
        <v>275</v>
      </c>
      <c r="C21" s="300" t="s">
        <v>294</v>
      </c>
      <c r="D21" s="301"/>
      <c r="E21" s="301"/>
      <c r="F21" s="301"/>
      <c r="G21" s="301"/>
      <c r="H21" s="302"/>
      <c r="I21" s="310" t="s">
        <v>295</v>
      </c>
      <c r="J21" s="311"/>
      <c r="K21" s="311"/>
      <c r="L21" s="41" t="s">
        <v>291</v>
      </c>
    </row>
    <row r="22" spans="2:12">
      <c r="B22" s="40" t="s">
        <v>275</v>
      </c>
      <c r="C22" s="300" t="s">
        <v>296</v>
      </c>
      <c r="D22" s="301"/>
      <c r="E22" s="301"/>
      <c r="F22" s="301"/>
      <c r="G22" s="301"/>
      <c r="H22" s="302"/>
      <c r="I22" s="310" t="s">
        <v>297</v>
      </c>
      <c r="J22" s="311"/>
      <c r="K22" s="311"/>
      <c r="L22" s="41">
        <v>6.4</v>
      </c>
    </row>
    <row r="23" spans="2:12" ht="29.25" customHeight="1">
      <c r="B23" s="40" t="s">
        <v>275</v>
      </c>
      <c r="C23" s="300" t="s">
        <v>298</v>
      </c>
      <c r="D23" s="301"/>
      <c r="E23" s="301"/>
      <c r="F23" s="301"/>
      <c r="G23" s="301"/>
      <c r="H23" s="302"/>
      <c r="I23" s="310" t="s">
        <v>299</v>
      </c>
      <c r="J23" s="311"/>
      <c r="K23" s="311"/>
      <c r="L23" s="41">
        <v>8.1999999999999993</v>
      </c>
    </row>
    <row r="24" spans="2:12" ht="18" customHeight="1">
      <c r="B24" s="40" t="s">
        <v>275</v>
      </c>
      <c r="C24" s="300" t="s">
        <v>300</v>
      </c>
      <c r="D24" s="301"/>
      <c r="E24" s="301"/>
      <c r="F24" s="301"/>
      <c r="G24" s="301"/>
      <c r="H24" s="302"/>
      <c r="I24" s="310" t="s">
        <v>301</v>
      </c>
      <c r="J24" s="311"/>
      <c r="K24" s="311"/>
      <c r="L24" s="41" t="s">
        <v>302</v>
      </c>
    </row>
    <row r="25" spans="2:12" ht="18" customHeight="1">
      <c r="B25" s="40" t="s">
        <v>275</v>
      </c>
      <c r="C25" s="275" t="s">
        <v>303</v>
      </c>
      <c r="D25" s="274"/>
      <c r="E25" s="274"/>
      <c r="F25" s="274"/>
      <c r="G25" s="274"/>
      <c r="H25" s="276"/>
      <c r="I25" s="272"/>
      <c r="J25" s="273"/>
      <c r="K25" s="273"/>
      <c r="L25" s="41"/>
    </row>
    <row r="26" spans="2:12" ht="34.5" customHeight="1">
      <c r="B26" s="40" t="s">
        <v>275</v>
      </c>
      <c r="C26" s="300" t="s">
        <v>304</v>
      </c>
      <c r="D26" s="301"/>
      <c r="E26" s="301"/>
      <c r="F26" s="301"/>
      <c r="G26" s="301"/>
      <c r="H26" s="302"/>
      <c r="I26" s="310" t="s">
        <v>305</v>
      </c>
      <c r="J26" s="311"/>
      <c r="K26" s="311"/>
      <c r="L26" s="41">
        <v>6.4</v>
      </c>
    </row>
    <row r="27" spans="2:12" ht="46.5" customHeight="1">
      <c r="B27" s="40" t="s">
        <v>275</v>
      </c>
      <c r="C27" s="300" t="s">
        <v>306</v>
      </c>
      <c r="D27" s="301"/>
      <c r="E27" s="301"/>
      <c r="F27" s="301"/>
      <c r="G27" s="301"/>
      <c r="H27" s="302"/>
      <c r="I27" s="310" t="s">
        <v>307</v>
      </c>
      <c r="J27" s="311"/>
      <c r="K27" s="311"/>
      <c r="L27" s="41">
        <v>6.4</v>
      </c>
    </row>
    <row r="28" spans="2:12" ht="12.95" customHeight="1">
      <c r="B28" s="45"/>
      <c r="C28" s="49"/>
      <c r="D28" s="49"/>
      <c r="E28" s="49"/>
      <c r="F28" s="49"/>
      <c r="G28" s="49"/>
      <c r="H28" s="49"/>
      <c r="I28" s="50"/>
      <c r="J28" s="50"/>
      <c r="K28" s="50"/>
      <c r="L28" s="41"/>
    </row>
    <row r="29" spans="2:12" ht="15.6">
      <c r="B29" s="307" t="s">
        <v>308</v>
      </c>
      <c r="C29" s="307"/>
      <c r="D29" s="307"/>
      <c r="E29" s="308"/>
      <c r="F29" s="308"/>
      <c r="G29" s="308"/>
      <c r="H29" s="308"/>
      <c r="I29" s="308"/>
      <c r="J29" s="308"/>
      <c r="K29" s="309"/>
      <c r="L29" s="41"/>
    </row>
    <row r="30" spans="2:12">
      <c r="B30" s="277" t="s">
        <v>271</v>
      </c>
      <c r="C30" s="312" t="s">
        <v>272</v>
      </c>
      <c r="D30" s="313"/>
      <c r="E30" s="313"/>
      <c r="F30" s="312"/>
      <c r="G30" s="313"/>
      <c r="H30" s="313"/>
      <c r="I30" s="312" t="s">
        <v>273</v>
      </c>
      <c r="J30" s="313"/>
      <c r="K30" s="314"/>
      <c r="L30" s="41"/>
    </row>
    <row r="31" spans="2:12" ht="75" customHeight="1">
      <c r="B31" s="40" t="s">
        <v>275</v>
      </c>
      <c r="C31" s="300" t="s">
        <v>309</v>
      </c>
      <c r="D31" s="301"/>
      <c r="E31" s="301"/>
      <c r="F31" s="301"/>
      <c r="G31" s="301"/>
      <c r="H31" s="302"/>
      <c r="I31" s="310" t="s">
        <v>310</v>
      </c>
      <c r="J31" s="311"/>
      <c r="K31" s="311"/>
      <c r="L31" s="51">
        <v>8</v>
      </c>
    </row>
    <row r="32" spans="2:12" ht="36.75" customHeight="1">
      <c r="B32" s="40" t="s">
        <v>275</v>
      </c>
      <c r="C32" s="300" t="s">
        <v>311</v>
      </c>
      <c r="D32" s="301"/>
      <c r="E32" s="301"/>
      <c r="F32" s="301"/>
      <c r="G32" s="301"/>
      <c r="H32" s="302"/>
      <c r="I32" s="310" t="s">
        <v>312</v>
      </c>
      <c r="J32" s="311"/>
      <c r="K32" s="311"/>
      <c r="L32" s="41">
        <v>6.4</v>
      </c>
    </row>
    <row r="33" spans="2:12" ht="24" customHeight="1">
      <c r="B33" s="40" t="s">
        <v>275</v>
      </c>
      <c r="C33" s="300" t="s">
        <v>313</v>
      </c>
      <c r="D33" s="301"/>
      <c r="E33" s="301"/>
      <c r="F33" s="301"/>
      <c r="G33" s="301"/>
      <c r="H33" s="302"/>
      <c r="I33" s="310"/>
      <c r="J33" s="311"/>
      <c r="K33" s="311"/>
      <c r="L33" s="41">
        <v>6.4</v>
      </c>
    </row>
    <row r="34" spans="2:12" ht="54" customHeight="1">
      <c r="B34" s="40" t="s">
        <v>275</v>
      </c>
      <c r="C34" s="310" t="s">
        <v>314</v>
      </c>
      <c r="D34" s="301"/>
      <c r="E34" s="301"/>
      <c r="F34" s="301"/>
      <c r="G34" s="301"/>
      <c r="H34" s="302"/>
      <c r="I34" s="310" t="s">
        <v>315</v>
      </c>
      <c r="J34" s="311"/>
      <c r="K34" s="311"/>
      <c r="L34" s="41">
        <v>6.4</v>
      </c>
    </row>
    <row r="37" spans="2:12" ht="15.6">
      <c r="B37" s="307" t="s">
        <v>316</v>
      </c>
      <c r="C37" s="307"/>
      <c r="D37" s="307"/>
      <c r="E37" s="308"/>
      <c r="F37" s="308"/>
      <c r="G37" s="308"/>
      <c r="H37" s="308"/>
      <c r="I37" s="308"/>
      <c r="J37" s="308"/>
      <c r="K37" s="309"/>
      <c r="L37" s="41"/>
    </row>
    <row r="38" spans="2:12">
      <c r="B38" s="52"/>
      <c r="C38" s="303" t="s">
        <v>317</v>
      </c>
      <c r="D38" s="304"/>
      <c r="E38" s="304"/>
      <c r="F38" s="305" t="s">
        <v>318</v>
      </c>
      <c r="G38" s="306"/>
      <c r="H38" s="306"/>
      <c r="I38" s="53"/>
      <c r="J38" s="53"/>
      <c r="K38" s="54"/>
      <c r="L38" s="41"/>
    </row>
    <row r="39" spans="2:12">
      <c r="B39" s="55" t="s">
        <v>271</v>
      </c>
      <c r="C39" s="56" t="s">
        <v>319</v>
      </c>
      <c r="D39" s="57" t="s">
        <v>320</v>
      </c>
      <c r="E39" s="57" t="s">
        <v>321</v>
      </c>
      <c r="F39" s="58" t="s">
        <v>322</v>
      </c>
      <c r="G39" s="58" t="s">
        <v>323</v>
      </c>
      <c r="H39" s="58" t="s">
        <v>324</v>
      </c>
      <c r="I39" s="59" t="s">
        <v>325</v>
      </c>
      <c r="J39" s="59" t="s">
        <v>326</v>
      </c>
      <c r="K39" s="60" t="s">
        <v>159</v>
      </c>
      <c r="L39" s="41"/>
    </row>
    <row r="40" spans="2:12" ht="27.6">
      <c r="B40" s="40" t="s">
        <v>275</v>
      </c>
      <c r="C40" s="64" t="str">
        <f t="shared" ref="C40:C75" si="0">ComUEMCN</f>
        <v>UEM Console Server</v>
      </c>
      <c r="D40" s="64" t="str">
        <f t="shared" ref="D40:D75" si="1">cnservername</f>
        <v>uemc1.haramco.xyz</v>
      </c>
      <c r="E40" s="64" t="str">
        <f t="shared" ref="E40:E75" si="2">cnip</f>
        <v>192.168.1.80</v>
      </c>
      <c r="F40" s="21" t="str">
        <f>ComUemDatabase</f>
        <v>Workspace ONE UEM [DB]</v>
      </c>
      <c r="G40" s="21" t="str">
        <f>UemDatabase</f>
        <v>database.haramco.xyz</v>
      </c>
      <c r="H40" s="21" t="str">
        <f>UemDatabaseIp</f>
        <v>192.168.1.30</v>
      </c>
      <c r="I40" s="127" t="s">
        <v>327</v>
      </c>
      <c r="J40" s="127">
        <v>1433</v>
      </c>
      <c r="K40" s="286" t="s">
        <v>328</v>
      </c>
      <c r="L40" s="133">
        <v>6.4</v>
      </c>
    </row>
    <row r="41" spans="2:12" ht="14.25" customHeight="1">
      <c r="B41" s="40" t="s">
        <v>275</v>
      </c>
      <c r="C41" s="64" t="str">
        <f t="shared" si="0"/>
        <v>UEM Console Server</v>
      </c>
      <c r="D41" s="64" t="str">
        <f t="shared" si="1"/>
        <v>uemc1.haramco.xyz</v>
      </c>
      <c r="E41" s="64" t="str">
        <f t="shared" si="2"/>
        <v>192.168.1.80</v>
      </c>
      <c r="F41" s="21" t="s">
        <v>329</v>
      </c>
      <c r="G41" s="65"/>
      <c r="H41" s="65"/>
      <c r="I41" s="127" t="s">
        <v>330</v>
      </c>
      <c r="J41" s="127">
        <v>443</v>
      </c>
      <c r="K41" s="286"/>
      <c r="L41" s="133">
        <v>6.4</v>
      </c>
    </row>
    <row r="42" spans="2:12" ht="13.5" customHeight="1">
      <c r="B42" s="40" t="s">
        <v>275</v>
      </c>
      <c r="C42" s="64" t="str">
        <f t="shared" si="0"/>
        <v>UEM Console Server</v>
      </c>
      <c r="D42" s="64" t="str">
        <f t="shared" si="1"/>
        <v>uemc1.haramco.xyz</v>
      </c>
      <c r="E42" s="64" t="str">
        <f t="shared" si="2"/>
        <v>192.168.1.80</v>
      </c>
      <c r="F42" s="21" t="str">
        <f>IF(UsingSeparateAwcm = "Yes", ComUEMAWCM, ComUEMDS)</f>
        <v>UEM Device Services Server</v>
      </c>
      <c r="G42" s="21" t="str">
        <f>awcmdns</f>
        <v>tcuds.haramco.xyz</v>
      </c>
      <c r="H42" s="21" t="str">
        <f>awcmdnsip</f>
        <v>192.168.1.30</v>
      </c>
      <c r="I42" s="127" t="s">
        <v>330</v>
      </c>
      <c r="J42" s="127">
        <v>2001</v>
      </c>
      <c r="K42" s="286"/>
      <c r="L42" s="133">
        <v>6.4</v>
      </c>
    </row>
    <row r="43" spans="2:12">
      <c r="B43" s="40" t="s">
        <v>275</v>
      </c>
      <c r="C43" s="64" t="str">
        <f t="shared" si="0"/>
        <v>UEM Console Server</v>
      </c>
      <c r="D43" s="64" t="str">
        <f t="shared" si="1"/>
        <v>uemc1.haramco.xyz</v>
      </c>
      <c r="E43" s="64" t="str">
        <f t="shared" si="2"/>
        <v>192.168.1.80</v>
      </c>
      <c r="F43" s="21" t="s">
        <v>331</v>
      </c>
      <c r="G43" s="65"/>
      <c r="H43" s="21" t="s">
        <v>332</v>
      </c>
      <c r="I43" s="127" t="s">
        <v>327</v>
      </c>
      <c r="J43" s="127">
        <v>2195</v>
      </c>
      <c r="K43" s="286" t="s">
        <v>333</v>
      </c>
      <c r="L43" s="133">
        <v>6.4</v>
      </c>
    </row>
    <row r="44" spans="2:12">
      <c r="B44" s="40" t="s">
        <v>275</v>
      </c>
      <c r="C44" s="64" t="str">
        <f t="shared" si="0"/>
        <v>UEM Console Server</v>
      </c>
      <c r="D44" s="64" t="str">
        <f t="shared" si="1"/>
        <v>uemc1.haramco.xyz</v>
      </c>
      <c r="E44" s="64" t="str">
        <f t="shared" si="2"/>
        <v>192.168.1.80</v>
      </c>
      <c r="F44" s="21" t="s">
        <v>334</v>
      </c>
      <c r="G44" s="65"/>
      <c r="H44" s="21" t="s">
        <v>332</v>
      </c>
      <c r="I44" s="127" t="s">
        <v>327</v>
      </c>
      <c r="J44" s="127">
        <v>2196</v>
      </c>
      <c r="K44" s="286" t="s">
        <v>333</v>
      </c>
      <c r="L44" s="133">
        <v>6.4</v>
      </c>
    </row>
    <row r="45" spans="2:12">
      <c r="B45" s="40" t="s">
        <v>275</v>
      </c>
      <c r="C45" s="64" t="str">
        <f t="shared" si="0"/>
        <v>UEM Console Server</v>
      </c>
      <c r="D45" s="64" t="str">
        <f t="shared" si="1"/>
        <v>uemc1.haramco.xyz</v>
      </c>
      <c r="E45" s="64" t="str">
        <f t="shared" si="2"/>
        <v>192.168.1.80</v>
      </c>
      <c r="F45" s="21" t="s">
        <v>335</v>
      </c>
      <c r="G45" s="65"/>
      <c r="H45" s="65"/>
      <c r="I45" s="127" t="s">
        <v>336</v>
      </c>
      <c r="J45" s="127">
        <v>443</v>
      </c>
      <c r="K45" s="286" t="s">
        <v>337</v>
      </c>
      <c r="L45" s="133">
        <v>9.1</v>
      </c>
    </row>
    <row r="46" spans="2:12">
      <c r="B46" s="40" t="s">
        <v>275</v>
      </c>
      <c r="C46" s="64" t="str">
        <f t="shared" si="0"/>
        <v>UEM Console Server</v>
      </c>
      <c r="D46" s="64" t="str">
        <f t="shared" si="1"/>
        <v>uemc1.haramco.xyz</v>
      </c>
      <c r="E46" s="64" t="str">
        <f t="shared" si="2"/>
        <v>192.168.1.80</v>
      </c>
      <c r="F46" s="21" t="s">
        <v>338</v>
      </c>
      <c r="G46" s="65"/>
      <c r="H46" s="65"/>
      <c r="I46" s="127" t="s">
        <v>339</v>
      </c>
      <c r="J46" s="127" t="s">
        <v>340</v>
      </c>
      <c r="K46" s="286" t="s">
        <v>341</v>
      </c>
      <c r="L46" s="133">
        <v>6.4</v>
      </c>
    </row>
    <row r="47" spans="2:12" ht="27.6">
      <c r="B47" s="40" t="s">
        <v>275</v>
      </c>
      <c r="C47" s="64" t="str">
        <f t="shared" si="0"/>
        <v>UEM Console Server</v>
      </c>
      <c r="D47" s="64" t="str">
        <f t="shared" si="1"/>
        <v>uemc1.haramco.xyz</v>
      </c>
      <c r="E47" s="64" t="str">
        <f t="shared" si="2"/>
        <v>192.168.1.80</v>
      </c>
      <c r="F47" s="21" t="s">
        <v>342</v>
      </c>
      <c r="G47" s="65"/>
      <c r="H47" s="65"/>
      <c r="I47" s="127" t="s">
        <v>339</v>
      </c>
      <c r="J47" s="127" t="s">
        <v>340</v>
      </c>
      <c r="K47" s="286" t="s">
        <v>343</v>
      </c>
      <c r="L47" s="133">
        <v>6.4</v>
      </c>
    </row>
    <row r="48" spans="2:12" ht="55.15">
      <c r="B48" s="40" t="s">
        <v>275</v>
      </c>
      <c r="C48" s="64" t="str">
        <f t="shared" si="0"/>
        <v>UEM Console Server</v>
      </c>
      <c r="D48" s="64" t="str">
        <f t="shared" si="1"/>
        <v>uemc1.haramco.xyz</v>
      </c>
      <c r="E48" s="64" t="str">
        <f t="shared" si="2"/>
        <v>192.168.1.80</v>
      </c>
      <c r="F48" s="24" t="s">
        <v>344</v>
      </c>
      <c r="G48" s="65"/>
      <c r="H48" s="65"/>
      <c r="I48" s="127" t="s">
        <v>345</v>
      </c>
      <c r="J48" s="127">
        <v>80</v>
      </c>
      <c r="K48" s="286" t="s">
        <v>346</v>
      </c>
      <c r="L48" s="133">
        <v>6.4</v>
      </c>
    </row>
    <row r="49" spans="2:13">
      <c r="B49" s="40" t="s">
        <v>275</v>
      </c>
      <c r="C49" s="64" t="str">
        <f t="shared" si="0"/>
        <v>UEM Console Server</v>
      </c>
      <c r="D49" s="64" t="str">
        <f t="shared" si="1"/>
        <v>uemc1.haramco.xyz</v>
      </c>
      <c r="E49" s="64" t="str">
        <f t="shared" si="2"/>
        <v>192.168.1.80</v>
      </c>
      <c r="F49" s="24" t="s">
        <v>347</v>
      </c>
      <c r="G49" s="65"/>
      <c r="H49" s="65"/>
      <c r="I49" s="127" t="s">
        <v>330</v>
      </c>
      <c r="J49" s="127">
        <v>443</v>
      </c>
      <c r="K49" s="286" t="s">
        <v>348</v>
      </c>
      <c r="L49" s="133">
        <v>9.6999999999999993</v>
      </c>
    </row>
    <row r="50" spans="2:13">
      <c r="B50" s="40" t="s">
        <v>275</v>
      </c>
      <c r="C50" s="64" t="str">
        <f t="shared" si="0"/>
        <v>UEM Console Server</v>
      </c>
      <c r="D50" s="64" t="str">
        <f t="shared" si="1"/>
        <v>uemc1.haramco.xyz</v>
      </c>
      <c r="E50" s="64" t="str">
        <f t="shared" si="2"/>
        <v>192.168.1.80</v>
      </c>
      <c r="F50" s="21" t="s">
        <v>349</v>
      </c>
      <c r="G50" s="65"/>
      <c r="H50" s="65"/>
      <c r="I50" s="127" t="s">
        <v>330</v>
      </c>
      <c r="J50" s="127">
        <v>443</v>
      </c>
      <c r="K50" s="286" t="s">
        <v>350</v>
      </c>
      <c r="L50" s="133">
        <v>8.4</v>
      </c>
    </row>
    <row r="51" spans="2:13" ht="138">
      <c r="B51" s="40" t="s">
        <v>275</v>
      </c>
      <c r="C51" s="64" t="str">
        <f t="shared" si="0"/>
        <v>UEM Console Server</v>
      </c>
      <c r="D51" s="64" t="str">
        <f t="shared" si="1"/>
        <v>uemc1.haramco.xyz</v>
      </c>
      <c r="E51" s="64" t="str">
        <f t="shared" si="2"/>
        <v>192.168.1.80</v>
      </c>
      <c r="F51" s="24" t="s">
        <v>351</v>
      </c>
      <c r="G51" s="65"/>
      <c r="H51" s="65"/>
      <c r="I51" s="127" t="s">
        <v>352</v>
      </c>
      <c r="J51" s="127" t="s">
        <v>353</v>
      </c>
      <c r="K51" s="127" t="s">
        <v>354</v>
      </c>
      <c r="L51" s="134">
        <v>9.6999999999999993</v>
      </c>
    </row>
    <row r="52" spans="2:13">
      <c r="B52" s="40" t="s">
        <v>275</v>
      </c>
      <c r="C52" s="64" t="str">
        <f t="shared" si="0"/>
        <v>UEM Console Server</v>
      </c>
      <c r="D52" s="64" t="str">
        <f t="shared" si="1"/>
        <v>uemc1.haramco.xyz</v>
      </c>
      <c r="E52" s="64" t="str">
        <f t="shared" si="2"/>
        <v>192.168.1.80</v>
      </c>
      <c r="F52" s="24" t="s">
        <v>355</v>
      </c>
      <c r="G52" s="61"/>
      <c r="H52" s="61"/>
      <c r="I52" s="127" t="s">
        <v>327</v>
      </c>
      <c r="J52" s="127" t="s">
        <v>356</v>
      </c>
      <c r="K52" s="127" t="s">
        <v>357</v>
      </c>
      <c r="L52" s="134">
        <v>9.6999999999999993</v>
      </c>
    </row>
    <row r="53" spans="2:13">
      <c r="B53" s="40" t="s">
        <v>275</v>
      </c>
      <c r="C53" s="64" t="str">
        <f t="shared" si="0"/>
        <v>UEM Console Server</v>
      </c>
      <c r="D53" s="64" t="str">
        <f t="shared" si="1"/>
        <v>uemc1.haramco.xyz</v>
      </c>
      <c r="E53" s="64" t="str">
        <f t="shared" si="2"/>
        <v>192.168.1.80</v>
      </c>
      <c r="F53" s="24" t="s">
        <v>358</v>
      </c>
      <c r="G53" s="61"/>
      <c r="H53" s="61"/>
      <c r="I53" s="127" t="s">
        <v>327</v>
      </c>
      <c r="J53" s="127">
        <v>443</v>
      </c>
      <c r="K53" s="127" t="s">
        <v>359</v>
      </c>
      <c r="L53" s="134">
        <v>9.6999999999999993</v>
      </c>
    </row>
    <row r="54" spans="2:13" ht="42.75">
      <c r="B54" s="40" t="s">
        <v>275</v>
      </c>
      <c r="C54" s="64" t="str">
        <f t="shared" si="0"/>
        <v>UEM Console Server</v>
      </c>
      <c r="D54" s="64" t="str">
        <f t="shared" si="1"/>
        <v>uemc1.haramco.xyz</v>
      </c>
      <c r="E54" s="64" t="str">
        <f t="shared" si="2"/>
        <v>192.168.1.80</v>
      </c>
      <c r="F54" s="24" t="s">
        <v>360</v>
      </c>
      <c r="G54" s="61"/>
      <c r="H54" s="61"/>
      <c r="I54" s="127" t="s">
        <v>327</v>
      </c>
      <c r="J54" s="127">
        <v>443</v>
      </c>
      <c r="K54" s="127" t="s">
        <v>361</v>
      </c>
      <c r="L54" s="134">
        <v>9.6999999999999993</v>
      </c>
    </row>
    <row r="55" spans="2:13" ht="55.15">
      <c r="B55" s="40" t="s">
        <v>275</v>
      </c>
      <c r="C55" s="64" t="str">
        <f t="shared" si="0"/>
        <v>UEM Console Server</v>
      </c>
      <c r="D55" s="64" t="str">
        <f t="shared" si="1"/>
        <v>uemc1.haramco.xyz</v>
      </c>
      <c r="E55" s="64" t="str">
        <f t="shared" si="2"/>
        <v>192.168.1.80</v>
      </c>
      <c r="F55" s="24" t="s">
        <v>362</v>
      </c>
      <c r="G55" s="61"/>
      <c r="H55" s="61"/>
      <c r="I55" s="127" t="s">
        <v>327</v>
      </c>
      <c r="J55" s="127">
        <v>443</v>
      </c>
      <c r="K55" s="127" t="s">
        <v>363</v>
      </c>
      <c r="L55" s="134">
        <v>9.6999999999999993</v>
      </c>
    </row>
    <row r="56" spans="2:13" ht="27.6">
      <c r="B56" s="40" t="s">
        <v>275</v>
      </c>
      <c r="C56" s="64" t="str">
        <f t="shared" si="0"/>
        <v>UEM Console Server</v>
      </c>
      <c r="D56" s="64" t="str">
        <f t="shared" si="1"/>
        <v>uemc1.haramco.xyz</v>
      </c>
      <c r="E56" s="64" t="str">
        <f t="shared" si="2"/>
        <v>192.168.1.80</v>
      </c>
      <c r="F56" s="24" t="s">
        <v>364</v>
      </c>
      <c r="G56" s="61"/>
      <c r="H56" s="61"/>
      <c r="I56" s="127" t="s">
        <v>327</v>
      </c>
      <c r="J56" s="127">
        <v>443</v>
      </c>
      <c r="K56" s="127" t="s">
        <v>365</v>
      </c>
      <c r="L56" s="134">
        <v>9.6999999999999993</v>
      </c>
      <c r="M56" s="43">
        <v>9.6999999999999993</v>
      </c>
    </row>
    <row r="57" spans="2:13" ht="27.6">
      <c r="B57" s="40" t="s">
        <v>275</v>
      </c>
      <c r="C57" s="64" t="str">
        <f t="shared" si="0"/>
        <v>UEM Console Server</v>
      </c>
      <c r="D57" s="64" t="str">
        <f t="shared" si="1"/>
        <v>uemc1.haramco.xyz</v>
      </c>
      <c r="E57" s="64" t="str">
        <f t="shared" si="2"/>
        <v>192.168.1.80</v>
      </c>
      <c r="F57" s="24" t="s">
        <v>366</v>
      </c>
      <c r="G57" s="61"/>
      <c r="H57" s="61"/>
      <c r="I57" s="127" t="s">
        <v>327</v>
      </c>
      <c r="J57" s="127">
        <v>443</v>
      </c>
      <c r="K57" s="127" t="s">
        <v>367</v>
      </c>
      <c r="L57" s="133">
        <v>6.4</v>
      </c>
    </row>
    <row r="58" spans="2:13">
      <c r="B58" s="40" t="s">
        <v>275</v>
      </c>
      <c r="C58" s="64" t="str">
        <f t="shared" si="0"/>
        <v>UEM Console Server</v>
      </c>
      <c r="D58" s="64" t="str">
        <f t="shared" si="1"/>
        <v>uemc1.haramco.xyz</v>
      </c>
      <c r="E58" s="64" t="str">
        <f t="shared" si="2"/>
        <v>192.168.1.80</v>
      </c>
      <c r="F58" s="21" t="s">
        <v>368</v>
      </c>
      <c r="G58" s="65"/>
      <c r="H58" s="65"/>
      <c r="I58" s="127" t="s">
        <v>330</v>
      </c>
      <c r="J58" s="127">
        <v>443</v>
      </c>
      <c r="K58" s="286" t="s">
        <v>369</v>
      </c>
      <c r="L58" s="133">
        <v>7.2</v>
      </c>
    </row>
    <row r="59" spans="2:13">
      <c r="B59" s="40" t="s">
        <v>275</v>
      </c>
      <c r="C59" s="64" t="str">
        <f t="shared" si="0"/>
        <v>UEM Console Server</v>
      </c>
      <c r="D59" s="64" t="str">
        <f t="shared" si="1"/>
        <v>uemc1.haramco.xyz</v>
      </c>
      <c r="E59" s="64" t="str">
        <f t="shared" si="2"/>
        <v>192.168.1.80</v>
      </c>
      <c r="F59" s="21" t="s">
        <v>370</v>
      </c>
      <c r="G59" s="65"/>
      <c r="H59" s="65"/>
      <c r="I59" s="127" t="s">
        <v>330</v>
      </c>
      <c r="J59" s="127" t="s">
        <v>340</v>
      </c>
      <c r="K59" s="286" t="s">
        <v>371</v>
      </c>
      <c r="L59" s="133">
        <v>7.2</v>
      </c>
    </row>
    <row r="60" spans="2:13">
      <c r="B60" s="40" t="s">
        <v>275</v>
      </c>
      <c r="C60" s="64" t="str">
        <f t="shared" si="0"/>
        <v>UEM Console Server</v>
      </c>
      <c r="D60" s="64" t="str">
        <f t="shared" si="1"/>
        <v>uemc1.haramco.xyz</v>
      </c>
      <c r="E60" s="64" t="str">
        <f t="shared" si="2"/>
        <v>192.168.1.80</v>
      </c>
      <c r="F60" s="21" t="s">
        <v>372</v>
      </c>
      <c r="G60" s="65"/>
      <c r="H60" s="65"/>
      <c r="I60" s="127" t="s">
        <v>339</v>
      </c>
      <c r="J60" s="127">
        <v>443</v>
      </c>
      <c r="K60" s="286" t="s">
        <v>371</v>
      </c>
      <c r="L60" s="133">
        <v>6.4</v>
      </c>
    </row>
    <row r="61" spans="2:13">
      <c r="B61" s="40" t="s">
        <v>275</v>
      </c>
      <c r="C61" s="64" t="str">
        <f t="shared" si="0"/>
        <v>UEM Console Server</v>
      </c>
      <c r="D61" s="64" t="str">
        <f t="shared" si="1"/>
        <v>uemc1.haramco.xyz</v>
      </c>
      <c r="E61" s="64" t="str">
        <f t="shared" si="2"/>
        <v>192.168.1.80</v>
      </c>
      <c r="F61" s="21" t="s">
        <v>373</v>
      </c>
      <c r="G61" s="65"/>
      <c r="H61" s="65"/>
      <c r="I61" s="127" t="s">
        <v>330</v>
      </c>
      <c r="J61" s="127">
        <v>443</v>
      </c>
      <c r="K61" s="286" t="s">
        <v>371</v>
      </c>
      <c r="L61" s="133">
        <v>6.4</v>
      </c>
    </row>
    <row r="62" spans="2:13" ht="15.75" customHeight="1">
      <c r="B62" s="40" t="s">
        <v>275</v>
      </c>
      <c r="C62" s="64" t="str">
        <f t="shared" si="0"/>
        <v>UEM Console Server</v>
      </c>
      <c r="D62" s="64" t="str">
        <f t="shared" si="1"/>
        <v>uemc1.haramco.xyz</v>
      </c>
      <c r="E62" s="64" t="str">
        <f t="shared" si="2"/>
        <v>192.168.1.80</v>
      </c>
      <c r="F62" s="21" t="s">
        <v>374</v>
      </c>
      <c r="G62" s="65"/>
      <c r="H62" s="65"/>
      <c r="I62" s="127" t="s">
        <v>330</v>
      </c>
      <c r="J62" s="127">
        <v>443</v>
      </c>
      <c r="K62" s="286" t="s">
        <v>375</v>
      </c>
      <c r="L62" s="133">
        <v>6.4</v>
      </c>
    </row>
    <row r="63" spans="2:13">
      <c r="B63" s="40" t="s">
        <v>275</v>
      </c>
      <c r="C63" s="64" t="str">
        <f t="shared" si="0"/>
        <v>UEM Console Server</v>
      </c>
      <c r="D63" s="64" t="str">
        <f t="shared" si="1"/>
        <v>uemc1.haramco.xyz</v>
      </c>
      <c r="E63" s="64" t="str">
        <f t="shared" si="2"/>
        <v>192.168.1.80</v>
      </c>
      <c r="F63" s="21" t="s">
        <v>376</v>
      </c>
      <c r="G63" s="65"/>
      <c r="H63" s="65"/>
      <c r="I63" s="127" t="s">
        <v>330</v>
      </c>
      <c r="J63" s="127">
        <v>443</v>
      </c>
      <c r="K63" s="286" t="s">
        <v>377</v>
      </c>
      <c r="L63" s="133">
        <v>6.4</v>
      </c>
    </row>
    <row r="64" spans="2:13" ht="27.6">
      <c r="B64" s="40" t="s">
        <v>275</v>
      </c>
      <c r="C64" s="64" t="str">
        <f t="shared" si="0"/>
        <v>UEM Console Server</v>
      </c>
      <c r="D64" s="64" t="str">
        <f t="shared" si="1"/>
        <v>uemc1.haramco.xyz</v>
      </c>
      <c r="E64" s="64" t="str">
        <f t="shared" si="2"/>
        <v>192.168.1.80</v>
      </c>
      <c r="F64" s="21" t="s">
        <v>378</v>
      </c>
      <c r="G64" s="65"/>
      <c r="H64" s="65"/>
      <c r="I64" s="127" t="s">
        <v>330</v>
      </c>
      <c r="J64" s="127">
        <v>443</v>
      </c>
      <c r="K64" s="286" t="s">
        <v>379</v>
      </c>
      <c r="L64" s="133">
        <v>6.4</v>
      </c>
    </row>
    <row r="65" spans="2:12">
      <c r="B65" s="40" t="s">
        <v>275</v>
      </c>
      <c r="C65" s="64" t="str">
        <f t="shared" si="0"/>
        <v>UEM Console Server</v>
      </c>
      <c r="D65" s="64" t="str">
        <f t="shared" si="1"/>
        <v>uemc1.haramco.xyz</v>
      </c>
      <c r="E65" s="64" t="str">
        <f t="shared" si="2"/>
        <v>192.168.1.80</v>
      </c>
      <c r="F65" s="21" t="s">
        <v>380</v>
      </c>
      <c r="G65" s="65"/>
      <c r="H65" s="65"/>
      <c r="I65" s="127" t="s">
        <v>330</v>
      </c>
      <c r="J65" s="127">
        <v>443</v>
      </c>
      <c r="K65" s="286" t="s">
        <v>381</v>
      </c>
      <c r="L65" s="133">
        <v>6.4</v>
      </c>
    </row>
    <row r="66" spans="2:12">
      <c r="B66" s="40" t="s">
        <v>275</v>
      </c>
      <c r="C66" s="64" t="str">
        <f t="shared" si="0"/>
        <v>UEM Console Server</v>
      </c>
      <c r="D66" s="64" t="str">
        <f t="shared" si="1"/>
        <v>uemc1.haramco.xyz</v>
      </c>
      <c r="E66" s="64" t="str">
        <f t="shared" si="2"/>
        <v>192.168.1.80</v>
      </c>
      <c r="F66" s="21" t="s">
        <v>382</v>
      </c>
      <c r="G66" s="65"/>
      <c r="H66" s="65"/>
      <c r="I66" s="127" t="s">
        <v>330</v>
      </c>
      <c r="J66" s="127">
        <v>443</v>
      </c>
      <c r="K66" s="286" t="s">
        <v>383</v>
      </c>
      <c r="L66" s="133">
        <v>6.4</v>
      </c>
    </row>
    <row r="67" spans="2:12">
      <c r="B67" s="40" t="s">
        <v>275</v>
      </c>
      <c r="C67" s="64" t="str">
        <f t="shared" si="0"/>
        <v>UEM Console Server</v>
      </c>
      <c r="D67" s="64" t="str">
        <f t="shared" si="1"/>
        <v>uemc1.haramco.xyz</v>
      </c>
      <c r="E67" s="64" t="str">
        <f t="shared" si="2"/>
        <v>192.168.1.80</v>
      </c>
      <c r="F67" s="21" t="s">
        <v>384</v>
      </c>
      <c r="G67" s="65"/>
      <c r="H67" s="65"/>
      <c r="I67" s="127" t="s">
        <v>345</v>
      </c>
      <c r="J67" s="127">
        <v>80</v>
      </c>
      <c r="K67" s="286" t="s">
        <v>385</v>
      </c>
      <c r="L67" s="133">
        <v>6.4</v>
      </c>
    </row>
    <row r="68" spans="2:12">
      <c r="B68" s="40" t="str">
        <f>IF(UsingPublicConsole="Yes", "Pending", "N/A")</f>
        <v>N/A</v>
      </c>
      <c r="C68" s="64" t="str">
        <f t="shared" si="0"/>
        <v>UEM Console Server</v>
      </c>
      <c r="D68" s="64" t="str">
        <f t="shared" si="1"/>
        <v>uemc1.haramco.xyz</v>
      </c>
      <c r="E68" s="64" t="str">
        <f t="shared" si="2"/>
        <v>192.168.1.80</v>
      </c>
      <c r="F68" s="21" t="s">
        <v>386</v>
      </c>
      <c r="G68" s="65"/>
      <c r="H68" s="65"/>
      <c r="I68" s="127" t="s">
        <v>330</v>
      </c>
      <c r="J68" s="127">
        <v>443</v>
      </c>
      <c r="K68" s="286" t="s">
        <v>387</v>
      </c>
      <c r="L68" s="133">
        <v>6.4</v>
      </c>
    </row>
    <row r="69" spans="2:12">
      <c r="B69" s="40" t="str">
        <f>IF(UsingPublicConsole="Yes", "Pending", "N/A")</f>
        <v>N/A</v>
      </c>
      <c r="C69" s="64" t="str">
        <f t="shared" si="0"/>
        <v>UEM Console Server</v>
      </c>
      <c r="D69" s="64" t="str">
        <f t="shared" si="1"/>
        <v>uemc1.haramco.xyz</v>
      </c>
      <c r="E69" s="64" t="str">
        <f t="shared" si="2"/>
        <v>192.168.1.80</v>
      </c>
      <c r="F69" s="24" t="s">
        <v>388</v>
      </c>
      <c r="G69" s="65"/>
      <c r="H69" s="65"/>
      <c r="I69" s="127" t="s">
        <v>339</v>
      </c>
      <c r="J69" s="127" t="s">
        <v>340</v>
      </c>
      <c r="K69" s="286" t="s">
        <v>389</v>
      </c>
      <c r="L69" s="133">
        <v>8.1999999999999993</v>
      </c>
    </row>
    <row r="70" spans="2:12">
      <c r="B70" s="40" t="s">
        <v>275</v>
      </c>
      <c r="C70" s="64" t="str">
        <f t="shared" si="0"/>
        <v>UEM Console Server</v>
      </c>
      <c r="D70" s="64" t="str">
        <f t="shared" si="1"/>
        <v>uemc1.haramco.xyz</v>
      </c>
      <c r="E70" s="64" t="str">
        <f t="shared" si="2"/>
        <v>192.168.1.80</v>
      </c>
      <c r="F70" s="24" t="s">
        <v>390</v>
      </c>
      <c r="G70" s="65"/>
      <c r="H70" s="65"/>
      <c r="I70" s="127" t="s">
        <v>345</v>
      </c>
      <c r="J70" s="127">
        <v>80</v>
      </c>
      <c r="K70" s="286" t="s">
        <v>391</v>
      </c>
      <c r="L70" s="133">
        <v>9.6999999999999993</v>
      </c>
    </row>
    <row r="71" spans="2:12">
      <c r="B71" s="40" t="s">
        <v>275</v>
      </c>
      <c r="C71" s="64" t="str">
        <f t="shared" si="0"/>
        <v>UEM Console Server</v>
      </c>
      <c r="D71" s="64" t="str">
        <f t="shared" si="1"/>
        <v>uemc1.haramco.xyz</v>
      </c>
      <c r="E71" s="64" t="str">
        <f t="shared" si="2"/>
        <v>192.168.1.80</v>
      </c>
      <c r="F71" s="24" t="s">
        <v>392</v>
      </c>
      <c r="G71" s="65"/>
      <c r="H71" s="65"/>
      <c r="I71" s="127" t="s">
        <v>330</v>
      </c>
      <c r="J71" s="127">
        <v>443</v>
      </c>
      <c r="K71" s="286" t="s">
        <v>391</v>
      </c>
      <c r="L71" s="133">
        <v>0.7</v>
      </c>
    </row>
    <row r="72" spans="2:12">
      <c r="B72" s="40" t="s">
        <v>275</v>
      </c>
      <c r="C72" s="64" t="str">
        <f t="shared" si="0"/>
        <v>UEM Console Server</v>
      </c>
      <c r="D72" s="64" t="str">
        <f t="shared" si="1"/>
        <v>uemc1.haramco.xyz</v>
      </c>
      <c r="E72" s="64" t="str">
        <f t="shared" si="2"/>
        <v>192.168.1.80</v>
      </c>
      <c r="F72" s="24" t="s">
        <v>393</v>
      </c>
      <c r="G72" s="65"/>
      <c r="H72" s="65"/>
      <c r="I72" s="127" t="s">
        <v>345</v>
      </c>
      <c r="J72" s="127">
        <v>80</v>
      </c>
      <c r="K72" s="286" t="s">
        <v>391</v>
      </c>
      <c r="L72" s="133">
        <v>9.6999999999999993</v>
      </c>
    </row>
    <row r="73" spans="2:12">
      <c r="B73" s="40" t="s">
        <v>275</v>
      </c>
      <c r="C73" s="64" t="str">
        <f t="shared" si="0"/>
        <v>UEM Console Server</v>
      </c>
      <c r="D73" s="64" t="str">
        <f t="shared" si="1"/>
        <v>uemc1.haramco.xyz</v>
      </c>
      <c r="E73" s="64" t="str">
        <f t="shared" si="2"/>
        <v>192.168.1.80</v>
      </c>
      <c r="F73" s="24" t="s">
        <v>394</v>
      </c>
      <c r="G73" s="65"/>
      <c r="H73" s="65"/>
      <c r="I73" s="127" t="s">
        <v>345</v>
      </c>
      <c r="J73" s="127">
        <v>80</v>
      </c>
      <c r="K73" s="286" t="s">
        <v>391</v>
      </c>
      <c r="L73" s="133">
        <v>8.4</v>
      </c>
    </row>
    <row r="74" spans="2:12">
      <c r="B74" s="40" t="s">
        <v>275</v>
      </c>
      <c r="C74" s="64" t="str">
        <f t="shared" si="0"/>
        <v>UEM Console Server</v>
      </c>
      <c r="D74" s="64" t="str">
        <f t="shared" si="1"/>
        <v>uemc1.haramco.xyz</v>
      </c>
      <c r="E74" s="64" t="str">
        <f t="shared" si="2"/>
        <v>192.168.1.80</v>
      </c>
      <c r="F74" s="21" t="s">
        <v>395</v>
      </c>
      <c r="G74" s="65"/>
      <c r="H74" s="65"/>
      <c r="I74" s="127" t="s">
        <v>330</v>
      </c>
      <c r="J74" s="127">
        <v>443</v>
      </c>
      <c r="K74" s="286" t="s">
        <v>396</v>
      </c>
      <c r="L74" s="133">
        <v>6.4</v>
      </c>
    </row>
    <row r="75" spans="2:12">
      <c r="B75" s="40" t="str">
        <f>IF(UsingBlackberry="Yes", "Pending", "N/A")</f>
        <v>N/A</v>
      </c>
      <c r="C75" s="64" t="str">
        <f t="shared" si="0"/>
        <v>UEM Console Server</v>
      </c>
      <c r="D75" s="64" t="str">
        <f t="shared" si="1"/>
        <v>uemc1.haramco.xyz</v>
      </c>
      <c r="E75" s="64" t="str">
        <f t="shared" si="2"/>
        <v>192.168.1.80</v>
      </c>
      <c r="F75" s="21" t="str">
        <f>ComBlackberry</f>
        <v>Blackberry Enterprise Server</v>
      </c>
      <c r="G75" s="65"/>
      <c r="H75" s="65"/>
      <c r="I75" s="127" t="s">
        <v>330</v>
      </c>
      <c r="J75" s="127">
        <v>443</v>
      </c>
      <c r="K75" s="286" t="s">
        <v>397</v>
      </c>
      <c r="L75" s="135"/>
    </row>
  </sheetData>
  <autoFilter ref="L4:L73" xr:uid="{00000000-0009-0000-0000-000002000000}"/>
  <mergeCells count="59">
    <mergeCell ref="B2:L2"/>
    <mergeCell ref="B3:L3"/>
    <mergeCell ref="I20:K20"/>
    <mergeCell ref="I18:K18"/>
    <mergeCell ref="C20:H20"/>
    <mergeCell ref="I19:K19"/>
    <mergeCell ref="I17:K17"/>
    <mergeCell ref="C19:H19"/>
    <mergeCell ref="C17:H17"/>
    <mergeCell ref="C18:H18"/>
    <mergeCell ref="B8:K8"/>
    <mergeCell ref="I10:K10"/>
    <mergeCell ref="I4:K4"/>
    <mergeCell ref="C4:E4"/>
    <mergeCell ref="F4:H4"/>
    <mergeCell ref="C10:H10"/>
    <mergeCell ref="I12:K12"/>
    <mergeCell ref="C6:H6"/>
    <mergeCell ref="I22:K22"/>
    <mergeCell ref="I24:K24"/>
    <mergeCell ref="C22:H22"/>
    <mergeCell ref="C23:H23"/>
    <mergeCell ref="I23:K23"/>
    <mergeCell ref="C24:H24"/>
    <mergeCell ref="I21:K21"/>
    <mergeCell ref="C13:H13"/>
    <mergeCell ref="B15:K15"/>
    <mergeCell ref="I13:K13"/>
    <mergeCell ref="C21:H21"/>
    <mergeCell ref="I16:K16"/>
    <mergeCell ref="I6:K6"/>
    <mergeCell ref="C16:E16"/>
    <mergeCell ref="F16:H16"/>
    <mergeCell ref="C33:H33"/>
    <mergeCell ref="C26:H26"/>
    <mergeCell ref="I26:K26"/>
    <mergeCell ref="B29:K29"/>
    <mergeCell ref="C31:H31"/>
    <mergeCell ref="C30:E30"/>
    <mergeCell ref="F30:H30"/>
    <mergeCell ref="C27:H27"/>
    <mergeCell ref="I30:K30"/>
    <mergeCell ref="I31:K31"/>
    <mergeCell ref="C5:H5"/>
    <mergeCell ref="I5:K5"/>
    <mergeCell ref="C38:E38"/>
    <mergeCell ref="F38:H38"/>
    <mergeCell ref="B37:K37"/>
    <mergeCell ref="C34:H34"/>
    <mergeCell ref="I34:K34"/>
    <mergeCell ref="I33:K33"/>
    <mergeCell ref="C32:H32"/>
    <mergeCell ref="C9:E9"/>
    <mergeCell ref="F9:H9"/>
    <mergeCell ref="I9:K9"/>
    <mergeCell ref="C11:H11"/>
    <mergeCell ref="I32:K32"/>
    <mergeCell ref="I27:K27"/>
    <mergeCell ref="I11:K11"/>
  </mergeCells>
  <conditionalFormatting sqref="B7">
    <cfRule type="cellIs" dxfId="968" priority="313" operator="equal">
      <formula>"Complete"</formula>
    </cfRule>
    <cfRule type="cellIs" dxfId="967" priority="314" operator="equal">
      <formula>"N/A"</formula>
    </cfRule>
    <cfRule type="cellIs" dxfId="966" priority="315" operator="equal">
      <formula>"Open"</formula>
    </cfRule>
  </conditionalFormatting>
  <conditionalFormatting sqref="B14">
    <cfRule type="cellIs" dxfId="965" priority="304" operator="equal">
      <formula>"Complete"</formula>
    </cfRule>
    <cfRule type="cellIs" dxfId="964" priority="305" operator="equal">
      <formula>"N/A"</formula>
    </cfRule>
    <cfRule type="cellIs" dxfId="963" priority="306" operator="equal">
      <formula>"Open"</formula>
    </cfRule>
  </conditionalFormatting>
  <conditionalFormatting sqref="B28">
    <cfRule type="cellIs" dxfId="962" priority="265" operator="equal">
      <formula>"Complete"</formula>
    </cfRule>
    <cfRule type="cellIs" dxfId="961" priority="266" operator="equal">
      <formula>"N/A"</formula>
    </cfRule>
    <cfRule type="cellIs" dxfId="960" priority="267" operator="equal">
      <formula>"Open"</formula>
    </cfRule>
  </conditionalFormatting>
  <conditionalFormatting sqref="B3 B75 B27 B10:B13 B45:B48 B52:B53 B55 B17:B25 B41:B43 L58:L59 B58:B70">
    <cfRule type="cellIs" dxfId="959" priority="202" operator="equal">
      <formula>"Complete"</formula>
    </cfRule>
    <cfRule type="cellIs" dxfId="958" priority="203" operator="equal">
      <formula>"Pending"</formula>
    </cfRule>
  </conditionalFormatting>
  <conditionalFormatting sqref="B4">
    <cfRule type="cellIs" dxfId="957" priority="200" operator="equal">
      <formula>"Complete"</formula>
    </cfRule>
    <cfRule type="cellIs" dxfId="956" priority="201" operator="equal">
      <formula>"Pending"</formula>
    </cfRule>
  </conditionalFormatting>
  <conditionalFormatting sqref="B8">
    <cfRule type="cellIs" dxfId="955" priority="198" operator="equal">
      <formula>"Complete"</formula>
    </cfRule>
    <cfRule type="cellIs" dxfId="954" priority="199" operator="equal">
      <formula>"Pending"</formula>
    </cfRule>
  </conditionalFormatting>
  <conditionalFormatting sqref="B15">
    <cfRule type="cellIs" dxfId="953" priority="196" operator="equal">
      <formula>"Complete"</formula>
    </cfRule>
    <cfRule type="cellIs" dxfId="952" priority="197" operator="equal">
      <formula>"Pending"</formula>
    </cfRule>
  </conditionalFormatting>
  <conditionalFormatting sqref="B16">
    <cfRule type="cellIs" dxfId="951" priority="194" operator="equal">
      <formula>"Complete"</formula>
    </cfRule>
    <cfRule type="cellIs" dxfId="950" priority="195" operator="equal">
      <formula>"Pending"</formula>
    </cfRule>
  </conditionalFormatting>
  <conditionalFormatting sqref="B9">
    <cfRule type="cellIs" dxfId="949" priority="192" operator="equal">
      <formula>"Complete"</formula>
    </cfRule>
    <cfRule type="cellIs" dxfId="948" priority="193" operator="equal">
      <formula>"Pending"</formula>
    </cfRule>
  </conditionalFormatting>
  <conditionalFormatting sqref="B30">
    <cfRule type="cellIs" dxfId="947" priority="190" operator="equal">
      <formula>"Complete"</formula>
    </cfRule>
    <cfRule type="cellIs" dxfId="946" priority="191" operator="equal">
      <formula>"Pending"</formula>
    </cfRule>
  </conditionalFormatting>
  <conditionalFormatting sqref="B29">
    <cfRule type="cellIs" dxfId="945" priority="186" operator="equal">
      <formula>"Complete"</formula>
    </cfRule>
    <cfRule type="cellIs" dxfId="944" priority="187" operator="equal">
      <formula>"Pending"</formula>
    </cfRule>
  </conditionalFormatting>
  <conditionalFormatting sqref="B37">
    <cfRule type="cellIs" dxfId="943" priority="182" operator="equal">
      <formula>"Complete"</formula>
    </cfRule>
    <cfRule type="cellIs" dxfId="942" priority="183" operator="equal">
      <formula>"Pending"</formula>
    </cfRule>
  </conditionalFormatting>
  <conditionalFormatting sqref="B38">
    <cfRule type="cellIs" dxfId="941" priority="180" operator="equal">
      <formula>"Complete"</formula>
    </cfRule>
    <cfRule type="cellIs" dxfId="940" priority="181" operator="equal">
      <formula>"Pending"</formula>
    </cfRule>
  </conditionalFormatting>
  <conditionalFormatting sqref="B39">
    <cfRule type="cellIs" dxfId="939" priority="178" operator="equal">
      <formula>"Complete"</formula>
    </cfRule>
    <cfRule type="cellIs" dxfId="938" priority="179" operator="equal">
      <formula>"Pending"</formula>
    </cfRule>
  </conditionalFormatting>
  <conditionalFormatting sqref="B40">
    <cfRule type="cellIs" dxfId="937" priority="176" operator="equal">
      <formula>"Complete"</formula>
    </cfRule>
    <cfRule type="cellIs" dxfId="936" priority="177" operator="equal">
      <formula>"Pending"</formula>
    </cfRule>
  </conditionalFormatting>
  <conditionalFormatting sqref="B6">
    <cfRule type="cellIs" dxfId="935" priority="172" operator="equal">
      <formula>"Complete"</formula>
    </cfRule>
    <cfRule type="cellIs" dxfId="934" priority="173" operator="equal">
      <formula>"Pending"</formula>
    </cfRule>
  </conditionalFormatting>
  <conditionalFormatting sqref="B31:B34">
    <cfRule type="cellIs" dxfId="933" priority="166" operator="equal">
      <formula>"Complete"</formula>
    </cfRule>
    <cfRule type="cellIs" dxfId="932" priority="167" operator="equal">
      <formula>"Pending"</formula>
    </cfRule>
  </conditionalFormatting>
  <conditionalFormatting sqref="L7">
    <cfRule type="cellIs" dxfId="931" priority="142" operator="equal">
      <formula>"Complete"</formula>
    </cfRule>
    <cfRule type="cellIs" dxfId="930" priority="143" operator="equal">
      <formula>"N/A"</formula>
    </cfRule>
    <cfRule type="cellIs" dxfId="929" priority="144" operator="equal">
      <formula>"Open"</formula>
    </cfRule>
  </conditionalFormatting>
  <conditionalFormatting sqref="L14">
    <cfRule type="cellIs" dxfId="928" priority="139" operator="equal">
      <formula>"Complete"</formula>
    </cfRule>
    <cfRule type="cellIs" dxfId="927" priority="140" operator="equal">
      <formula>"N/A"</formula>
    </cfRule>
    <cfRule type="cellIs" dxfId="926" priority="141" operator="equal">
      <formula>"Open"</formula>
    </cfRule>
  </conditionalFormatting>
  <conditionalFormatting sqref="L28">
    <cfRule type="cellIs" dxfId="925" priority="136" operator="equal">
      <formula>"Complete"</formula>
    </cfRule>
    <cfRule type="cellIs" dxfId="924" priority="137" operator="equal">
      <formula>"N/A"</formula>
    </cfRule>
    <cfRule type="cellIs" dxfId="923" priority="138" operator="equal">
      <formula>"Open"</formula>
    </cfRule>
  </conditionalFormatting>
  <conditionalFormatting sqref="L24:L25">
    <cfRule type="cellIs" dxfId="922" priority="112" operator="equal">
      <formula>"Complete"</formula>
    </cfRule>
    <cfRule type="cellIs" dxfId="921" priority="113" operator="equal">
      <formula>"Pending"</formula>
    </cfRule>
  </conditionalFormatting>
  <conditionalFormatting sqref="L19:L21">
    <cfRule type="cellIs" dxfId="920" priority="84" operator="equal">
      <formula>"Complete"</formula>
    </cfRule>
    <cfRule type="cellIs" dxfId="919" priority="85" operator="equal">
      <formula>"Pending"</formula>
    </cfRule>
  </conditionalFormatting>
  <conditionalFormatting sqref="L31">
    <cfRule type="cellIs" dxfId="918" priority="57" operator="equal">
      <formula>"Complete"</formula>
    </cfRule>
    <cfRule type="cellIs" dxfId="917" priority="58" operator="equal">
      <formula>"Pending"</formula>
    </cfRule>
  </conditionalFormatting>
  <conditionalFormatting sqref="B74">
    <cfRule type="cellIs" dxfId="916" priority="49" operator="equal">
      <formula>"Complete"</formula>
    </cfRule>
    <cfRule type="cellIs" dxfId="915" priority="50" operator="equal">
      <formula>"Pending"</formula>
    </cfRule>
  </conditionalFormatting>
  <conditionalFormatting sqref="B50">
    <cfRule type="cellIs" dxfId="914" priority="45" operator="equal">
      <formula>"Complete"</formula>
    </cfRule>
    <cfRule type="cellIs" dxfId="913" priority="46" operator="equal">
      <formula>"Pending"</formula>
    </cfRule>
  </conditionalFormatting>
  <conditionalFormatting sqref="B26">
    <cfRule type="cellIs" dxfId="912" priority="41" operator="equal">
      <formula>"Complete"</formula>
    </cfRule>
    <cfRule type="cellIs" dxfId="911" priority="42" operator="equal">
      <formula>"Pending"</formula>
    </cfRule>
  </conditionalFormatting>
  <conditionalFormatting sqref="B44">
    <cfRule type="cellIs" dxfId="910" priority="39" operator="equal">
      <formula>"Complete"</formula>
    </cfRule>
    <cfRule type="cellIs" dxfId="909" priority="40" operator="equal">
      <formula>"Pending"</formula>
    </cfRule>
  </conditionalFormatting>
  <conditionalFormatting sqref="B5">
    <cfRule type="cellIs" dxfId="908" priority="23" operator="equal">
      <formula>"Complete"</formula>
    </cfRule>
    <cfRule type="cellIs" dxfId="907" priority="24" operator="equal">
      <formula>"Pending"</formula>
    </cfRule>
  </conditionalFormatting>
  <conditionalFormatting sqref="B49">
    <cfRule type="cellIs" dxfId="906" priority="21" operator="equal">
      <formula>"Complete"</formula>
    </cfRule>
    <cfRule type="cellIs" dxfId="905" priority="22" operator="equal">
      <formula>"Pending"</formula>
    </cfRule>
  </conditionalFormatting>
  <conditionalFormatting sqref="L49">
    <cfRule type="cellIs" dxfId="904" priority="19" operator="equal">
      <formula>"Complete"</formula>
    </cfRule>
    <cfRule type="cellIs" dxfId="903" priority="20" operator="equal">
      <formula>"Pending"</formula>
    </cfRule>
  </conditionalFormatting>
  <conditionalFormatting sqref="B71">
    <cfRule type="cellIs" dxfId="902" priority="17" operator="equal">
      <formula>"Complete"</formula>
    </cfRule>
    <cfRule type="cellIs" dxfId="901" priority="18" operator="equal">
      <formula>"Pending"</formula>
    </cfRule>
  </conditionalFormatting>
  <conditionalFormatting sqref="B72">
    <cfRule type="cellIs" dxfId="900" priority="13" operator="equal">
      <formula>"Complete"</formula>
    </cfRule>
    <cfRule type="cellIs" dxfId="899" priority="14" operator="equal">
      <formula>"Pending"</formula>
    </cfRule>
  </conditionalFormatting>
  <conditionalFormatting sqref="B73">
    <cfRule type="cellIs" dxfId="898" priority="11" operator="equal">
      <formula>"Complete"</formula>
    </cfRule>
    <cfRule type="cellIs" dxfId="897" priority="12" operator="equal">
      <formula>"Pending"</formula>
    </cfRule>
  </conditionalFormatting>
  <conditionalFormatting sqref="B51">
    <cfRule type="cellIs" dxfId="896" priority="9" operator="equal">
      <formula>"Complete"</formula>
    </cfRule>
    <cfRule type="cellIs" dxfId="895" priority="10" operator="equal">
      <formula>"Pending"</formula>
    </cfRule>
  </conditionalFormatting>
  <conditionalFormatting sqref="B57">
    <cfRule type="cellIs" dxfId="894" priority="5" operator="equal">
      <formula>"Complete"</formula>
    </cfRule>
    <cfRule type="cellIs" dxfId="893" priority="6" operator="equal">
      <formula>"Pending"</formula>
    </cfRule>
  </conditionalFormatting>
  <conditionalFormatting sqref="B54">
    <cfRule type="cellIs" dxfId="892" priority="3" operator="equal">
      <formula>"Complete"</formula>
    </cfRule>
    <cfRule type="cellIs" dxfId="891" priority="4" operator="equal">
      <formula>"Pending"</formula>
    </cfRule>
  </conditionalFormatting>
  <conditionalFormatting sqref="B56">
    <cfRule type="cellIs" dxfId="890" priority="1" operator="equal">
      <formula>"Complete"</formula>
    </cfRule>
    <cfRule type="cellIs" dxfId="889" priority="2" operator="equal">
      <formula>"Pending"</formula>
    </cfRule>
  </conditionalFormatting>
  <dataValidations count="2">
    <dataValidation type="list" allowBlank="1" showInputMessage="1" showErrorMessage="1" sqref="B7 B14 B28" xr:uid="{00000000-0002-0000-0200-000000000000}">
      <formula1>"Open, N/A, Complete"</formula1>
    </dataValidation>
    <dataValidation type="list" allowBlank="1" showInputMessage="1" showErrorMessage="1" sqref="B5:B6 B10:B13 B31:B34 B17:B27 B40:B75" xr:uid="{00000000-0002-0000-0200-000001000000}">
      <formula1>"Pending, Complete, N/A"</formula1>
    </dataValidation>
  </dataValidations>
  <pageMargins left="0.7" right="0.7" top="0.75" bottom="0.75" header="0.3" footer="0.3"/>
  <pageSetup scale="72"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pageSetUpPr fitToPage="1"/>
  </sheetPr>
  <dimension ref="A1:L71"/>
  <sheetViews>
    <sheetView showGridLines="0" topLeftCell="B53" workbookViewId="0">
      <selection activeCell="F67" sqref="F67"/>
    </sheetView>
  </sheetViews>
  <sheetFormatPr defaultColWidth="27.28515625" defaultRowHeight="13.9"/>
  <cols>
    <col min="1" max="1" width="2" style="9" customWidth="1"/>
    <col min="2" max="2" width="8.42578125" style="9" bestFit="1" customWidth="1"/>
    <col min="3" max="3" width="34.42578125" style="9" customWidth="1"/>
    <col min="4" max="4" width="23" style="44" bestFit="1" customWidth="1"/>
    <col min="5" max="5" width="23" style="19" bestFit="1" customWidth="1"/>
    <col min="6" max="6" width="39" style="9" customWidth="1"/>
    <col min="7" max="7" width="26.7109375" style="44" bestFit="1" customWidth="1"/>
    <col min="8" max="8" width="23" style="19" bestFit="1" customWidth="1"/>
    <col min="9" max="9" width="27.28515625" style="9"/>
    <col min="10" max="10" width="26.5703125" style="12" bestFit="1" customWidth="1"/>
    <col min="11" max="11" width="59.7109375" style="9" customWidth="1"/>
    <col min="12" max="12" width="17.7109375" style="9" bestFit="1" customWidth="1"/>
    <col min="13" max="16384" width="27.28515625" style="9"/>
  </cols>
  <sheetData>
    <row r="1" spans="2:12" ht="9" customHeight="1"/>
    <row r="2" spans="2:12" ht="42" customHeight="1">
      <c r="B2" s="315" t="s">
        <v>398</v>
      </c>
      <c r="C2" s="316"/>
      <c r="D2" s="316"/>
      <c r="E2" s="316"/>
      <c r="F2" s="316"/>
      <c r="G2" s="316"/>
      <c r="H2" s="316"/>
      <c r="I2" s="316"/>
      <c r="J2" s="316"/>
      <c r="K2" s="316"/>
      <c r="L2" s="316"/>
    </row>
    <row r="3" spans="2:12" ht="16.149999999999999" thickBot="1">
      <c r="B3" s="317" t="s">
        <v>270</v>
      </c>
      <c r="C3" s="318"/>
      <c r="D3" s="318"/>
      <c r="E3" s="318"/>
      <c r="F3" s="318"/>
      <c r="G3" s="318"/>
      <c r="H3" s="318"/>
      <c r="I3" s="318"/>
      <c r="J3" s="318"/>
      <c r="K3" s="318"/>
      <c r="L3" s="318"/>
    </row>
    <row r="4" spans="2:12">
      <c r="B4" s="277" t="s">
        <v>271</v>
      </c>
      <c r="C4" s="312" t="s">
        <v>272</v>
      </c>
      <c r="D4" s="313"/>
      <c r="E4" s="313"/>
      <c r="F4" s="312"/>
      <c r="G4" s="313"/>
      <c r="H4" s="313"/>
      <c r="I4" s="312" t="s">
        <v>273</v>
      </c>
      <c r="J4" s="313"/>
      <c r="K4" s="314"/>
      <c r="L4" s="39" t="s">
        <v>274</v>
      </c>
    </row>
    <row r="5" spans="2:12" ht="45.95" customHeight="1">
      <c r="B5" s="40" t="s">
        <v>275</v>
      </c>
      <c r="C5" s="300" t="s">
        <v>399</v>
      </c>
      <c r="D5" s="301"/>
      <c r="E5" s="301"/>
      <c r="F5" s="301"/>
      <c r="G5" s="301"/>
      <c r="H5" s="302"/>
      <c r="I5" s="300" t="s">
        <v>277</v>
      </c>
      <c r="J5" s="301"/>
      <c r="K5" s="301"/>
      <c r="L5" s="41">
        <v>9.1999999999999993</v>
      </c>
    </row>
    <row r="6" spans="2:12" ht="12.95" customHeight="1">
      <c r="B6" s="45"/>
      <c r="C6" s="46"/>
      <c r="D6" s="46"/>
      <c r="E6" s="46"/>
      <c r="F6" s="46"/>
      <c r="G6" s="46"/>
      <c r="H6" s="46"/>
      <c r="I6" s="47"/>
      <c r="J6" s="47"/>
      <c r="K6" s="47"/>
      <c r="L6" s="41"/>
    </row>
    <row r="7" spans="2:12" ht="15.6">
      <c r="B7" s="317" t="s">
        <v>400</v>
      </c>
      <c r="C7" s="318"/>
      <c r="D7" s="318"/>
      <c r="E7" s="318"/>
      <c r="F7" s="318"/>
      <c r="G7" s="318"/>
      <c r="H7" s="318"/>
      <c r="I7" s="318"/>
      <c r="J7" s="318"/>
      <c r="K7" s="318"/>
      <c r="L7" s="41"/>
    </row>
    <row r="8" spans="2:12">
      <c r="B8" s="277" t="s">
        <v>271</v>
      </c>
      <c r="C8" s="312" t="s">
        <v>272</v>
      </c>
      <c r="D8" s="313"/>
      <c r="E8" s="313"/>
      <c r="F8" s="312"/>
      <c r="G8" s="313"/>
      <c r="H8" s="313"/>
      <c r="I8" s="312" t="s">
        <v>273</v>
      </c>
      <c r="J8" s="313"/>
      <c r="K8" s="314"/>
      <c r="L8" s="41"/>
    </row>
    <row r="9" spans="2:12" ht="30" customHeight="1">
      <c r="B9" s="40" t="s">
        <v>275</v>
      </c>
      <c r="C9" s="319" t="s">
        <v>280</v>
      </c>
      <c r="D9" s="320"/>
      <c r="E9" s="320"/>
      <c r="F9" s="320"/>
      <c r="G9" s="320"/>
      <c r="H9" s="321"/>
      <c r="I9" s="310"/>
      <c r="J9" s="311"/>
      <c r="K9" s="311"/>
      <c r="L9" s="41">
        <v>6.4</v>
      </c>
    </row>
    <row r="10" spans="2:12" ht="15" customHeight="1">
      <c r="B10" s="40" t="s">
        <v>275</v>
      </c>
      <c r="C10" s="300" t="s">
        <v>281</v>
      </c>
      <c r="D10" s="301"/>
      <c r="E10" s="301"/>
      <c r="F10" s="301"/>
      <c r="G10" s="301"/>
      <c r="H10" s="302"/>
      <c r="I10" s="310"/>
      <c r="J10" s="311"/>
      <c r="K10" s="311"/>
      <c r="L10" s="41">
        <v>6.4</v>
      </c>
    </row>
    <row r="11" spans="2:12" ht="15" customHeight="1">
      <c r="B11" s="40" t="s">
        <v>275</v>
      </c>
      <c r="C11" s="275" t="s">
        <v>401</v>
      </c>
      <c r="D11" s="274"/>
      <c r="E11" s="274"/>
      <c r="F11" s="274"/>
      <c r="G11" s="274"/>
      <c r="H11" s="276"/>
      <c r="I11" s="310" t="s">
        <v>402</v>
      </c>
      <c r="J11" s="311"/>
      <c r="K11" s="311"/>
      <c r="L11" s="41"/>
    </row>
    <row r="12" spans="2:12" ht="15" customHeight="1">
      <c r="B12" s="40" t="s">
        <v>275</v>
      </c>
      <c r="C12" s="300" t="s">
        <v>403</v>
      </c>
      <c r="D12" s="301"/>
      <c r="E12" s="301"/>
      <c r="F12" s="301"/>
      <c r="G12" s="301"/>
      <c r="H12" s="302"/>
      <c r="I12" s="310" t="s">
        <v>404</v>
      </c>
      <c r="J12" s="311"/>
      <c r="K12" s="311"/>
      <c r="L12" s="41">
        <v>6.4</v>
      </c>
    </row>
    <row r="13" spans="2:12" ht="12.95" customHeight="1">
      <c r="B13" s="45"/>
      <c r="C13" s="48"/>
      <c r="D13" s="48"/>
      <c r="E13" s="48"/>
      <c r="F13" s="48"/>
      <c r="G13" s="48"/>
      <c r="H13" s="48"/>
      <c r="I13" s="47"/>
      <c r="J13" s="47"/>
      <c r="K13" s="47"/>
      <c r="L13" s="41"/>
    </row>
    <row r="14" spans="2:12" ht="15.6">
      <c r="B14" s="317" t="s">
        <v>405</v>
      </c>
      <c r="C14" s="318"/>
      <c r="D14" s="318"/>
      <c r="E14" s="318"/>
      <c r="F14" s="318"/>
      <c r="G14" s="318"/>
      <c r="H14" s="318"/>
      <c r="I14" s="318"/>
      <c r="J14" s="318"/>
      <c r="K14" s="318"/>
      <c r="L14" s="41"/>
    </row>
    <row r="15" spans="2:12">
      <c r="B15" s="277"/>
      <c r="C15" s="312" t="s">
        <v>272</v>
      </c>
      <c r="D15" s="313"/>
      <c r="E15" s="313"/>
      <c r="F15" s="312"/>
      <c r="G15" s="313"/>
      <c r="H15" s="313"/>
      <c r="I15" s="312" t="s">
        <v>273</v>
      </c>
      <c r="J15" s="313"/>
      <c r="K15" s="314"/>
      <c r="L15" s="41"/>
    </row>
    <row r="16" spans="2:12">
      <c r="B16" s="40" t="s">
        <v>275</v>
      </c>
      <c r="C16" s="300" t="s">
        <v>406</v>
      </c>
      <c r="D16" s="301"/>
      <c r="E16" s="301"/>
      <c r="F16" s="301"/>
      <c r="G16" s="301"/>
      <c r="H16" s="302"/>
      <c r="I16" s="310"/>
      <c r="J16" s="311"/>
      <c r="K16" s="311"/>
      <c r="L16" s="41">
        <v>6.4</v>
      </c>
    </row>
    <row r="17" spans="2:12">
      <c r="B17" s="40" t="s">
        <v>275</v>
      </c>
      <c r="C17" s="300" t="s">
        <v>407</v>
      </c>
      <c r="D17" s="301"/>
      <c r="E17" s="301"/>
      <c r="F17" s="301"/>
      <c r="G17" s="301"/>
      <c r="H17" s="302"/>
      <c r="I17" s="310" t="s">
        <v>287</v>
      </c>
      <c r="J17" s="311"/>
      <c r="K17" s="311"/>
      <c r="L17" s="41">
        <v>6.4</v>
      </c>
    </row>
    <row r="18" spans="2:12" ht="65.25" customHeight="1">
      <c r="B18" s="40" t="s">
        <v>275</v>
      </c>
      <c r="C18" s="300" t="s">
        <v>408</v>
      </c>
      <c r="D18" s="301"/>
      <c r="E18" s="301"/>
      <c r="F18" s="301"/>
      <c r="G18" s="301"/>
      <c r="H18" s="302"/>
      <c r="I18" s="310" t="s">
        <v>409</v>
      </c>
      <c r="J18" s="301"/>
      <c r="K18" s="301"/>
      <c r="L18" s="41">
        <v>6.4</v>
      </c>
    </row>
    <row r="19" spans="2:12" ht="15" customHeight="1">
      <c r="B19" s="40" t="s">
        <v>275</v>
      </c>
      <c r="C19" s="300" t="s">
        <v>410</v>
      </c>
      <c r="D19" s="301"/>
      <c r="E19" s="301"/>
      <c r="F19" s="301"/>
      <c r="G19" s="301"/>
      <c r="H19" s="302"/>
      <c r="I19" s="310" t="s">
        <v>411</v>
      </c>
      <c r="J19" s="311"/>
      <c r="K19" s="311"/>
      <c r="L19" s="41">
        <v>8.3000000000000007</v>
      </c>
    </row>
    <row r="20" spans="2:12" ht="15" customHeight="1">
      <c r="B20" s="40" t="s">
        <v>275</v>
      </c>
      <c r="C20" s="300" t="s">
        <v>412</v>
      </c>
      <c r="D20" s="301"/>
      <c r="E20" s="301"/>
      <c r="F20" s="301"/>
      <c r="G20" s="301"/>
      <c r="H20" s="302"/>
      <c r="I20" s="310" t="s">
        <v>411</v>
      </c>
      <c r="J20" s="311"/>
      <c r="K20" s="311"/>
      <c r="L20" s="41">
        <v>8.3000000000000007</v>
      </c>
    </row>
    <row r="21" spans="2:12" ht="15" customHeight="1">
      <c r="B21" s="40" t="s">
        <v>275</v>
      </c>
      <c r="C21" s="300" t="s">
        <v>289</v>
      </c>
      <c r="D21" s="301"/>
      <c r="E21" s="301"/>
      <c r="F21" s="301"/>
      <c r="G21" s="301"/>
      <c r="H21" s="302"/>
      <c r="I21" s="310" t="s">
        <v>290</v>
      </c>
      <c r="J21" s="311"/>
      <c r="K21" s="311"/>
      <c r="L21" s="41" t="s">
        <v>291</v>
      </c>
    </row>
    <row r="22" spans="2:12" ht="15" customHeight="1">
      <c r="B22" s="40" t="s">
        <v>275</v>
      </c>
      <c r="C22" s="300" t="s">
        <v>292</v>
      </c>
      <c r="D22" s="301"/>
      <c r="E22" s="301"/>
      <c r="F22" s="301"/>
      <c r="G22" s="301"/>
      <c r="H22" s="302"/>
      <c r="I22" s="310" t="s">
        <v>293</v>
      </c>
      <c r="J22" s="311"/>
      <c r="K22" s="311"/>
      <c r="L22" s="41" t="s">
        <v>291</v>
      </c>
    </row>
    <row r="23" spans="2:12" ht="84" customHeight="1">
      <c r="B23" s="40" t="s">
        <v>275</v>
      </c>
      <c r="C23" s="300" t="s">
        <v>294</v>
      </c>
      <c r="D23" s="301"/>
      <c r="E23" s="301"/>
      <c r="F23" s="301"/>
      <c r="G23" s="301"/>
      <c r="H23" s="302"/>
      <c r="I23" s="310" t="s">
        <v>295</v>
      </c>
      <c r="J23" s="311"/>
      <c r="K23" s="311"/>
      <c r="L23" s="41" t="s">
        <v>291</v>
      </c>
    </row>
    <row r="24" spans="2:12" ht="32.25" customHeight="1">
      <c r="B24" s="40" t="s">
        <v>275</v>
      </c>
      <c r="C24" s="300" t="s">
        <v>296</v>
      </c>
      <c r="D24" s="301"/>
      <c r="E24" s="301"/>
      <c r="F24" s="301"/>
      <c r="G24" s="301"/>
      <c r="H24" s="302"/>
      <c r="I24" s="310" t="s">
        <v>413</v>
      </c>
      <c r="J24" s="311"/>
      <c r="K24" s="311"/>
      <c r="L24" s="41">
        <v>6.4</v>
      </c>
    </row>
    <row r="25" spans="2:12" ht="29.25" customHeight="1">
      <c r="B25" s="40" t="s">
        <v>275</v>
      </c>
      <c r="C25" s="300" t="s">
        <v>298</v>
      </c>
      <c r="D25" s="301"/>
      <c r="E25" s="301"/>
      <c r="F25" s="301"/>
      <c r="G25" s="301"/>
      <c r="H25" s="302"/>
      <c r="I25" s="310" t="s">
        <v>299</v>
      </c>
      <c r="J25" s="311"/>
      <c r="K25" s="311"/>
      <c r="L25" s="41">
        <v>8.1999999999999993</v>
      </c>
    </row>
    <row r="26" spans="2:12" ht="19.5" customHeight="1">
      <c r="B26" s="40" t="s">
        <v>275</v>
      </c>
      <c r="C26" s="300" t="s">
        <v>414</v>
      </c>
      <c r="D26" s="301"/>
      <c r="E26" s="301"/>
      <c r="F26" s="301"/>
      <c r="G26" s="301"/>
      <c r="H26" s="302"/>
      <c r="I26" s="310" t="s">
        <v>415</v>
      </c>
      <c r="J26" s="311"/>
      <c r="K26" s="311"/>
      <c r="L26" s="41" t="s">
        <v>302</v>
      </c>
    </row>
    <row r="27" spans="2:12" ht="18" customHeight="1">
      <c r="B27" s="40" t="s">
        <v>275</v>
      </c>
      <c r="C27" s="275" t="s">
        <v>303</v>
      </c>
      <c r="D27" s="274"/>
      <c r="E27" s="274"/>
      <c r="F27" s="274"/>
      <c r="G27" s="274"/>
      <c r="H27" s="276"/>
      <c r="I27" s="272"/>
      <c r="J27" s="273"/>
      <c r="K27" s="273"/>
      <c r="L27" s="41"/>
    </row>
    <row r="28" spans="2:12" ht="28.5" customHeight="1">
      <c r="B28" s="40" t="s">
        <v>275</v>
      </c>
      <c r="C28" s="300" t="s">
        <v>416</v>
      </c>
      <c r="D28" s="301"/>
      <c r="E28" s="301"/>
      <c r="F28" s="301"/>
      <c r="G28" s="301"/>
      <c r="H28" s="302"/>
      <c r="I28" s="310" t="s">
        <v>417</v>
      </c>
      <c r="J28" s="311"/>
      <c r="K28" s="311"/>
      <c r="L28" s="41" t="s">
        <v>291</v>
      </c>
    </row>
    <row r="29" spans="2:12" ht="15" customHeight="1">
      <c r="B29" s="40" t="s">
        <v>275</v>
      </c>
      <c r="C29" s="300" t="s">
        <v>418</v>
      </c>
      <c r="D29" s="301"/>
      <c r="E29" s="301"/>
      <c r="F29" s="301"/>
      <c r="G29" s="301"/>
      <c r="H29" s="302"/>
      <c r="I29" s="310" t="s">
        <v>419</v>
      </c>
      <c r="J29" s="311"/>
      <c r="K29" s="311"/>
      <c r="L29" s="41">
        <v>6.4</v>
      </c>
    </row>
    <row r="30" spans="2:12" ht="33" customHeight="1">
      <c r="B30" s="40" t="s">
        <v>275</v>
      </c>
      <c r="C30" s="300" t="s">
        <v>306</v>
      </c>
      <c r="D30" s="301"/>
      <c r="E30" s="301"/>
      <c r="F30" s="301"/>
      <c r="G30" s="301"/>
      <c r="H30" s="302"/>
      <c r="I30" s="310" t="s">
        <v>307</v>
      </c>
      <c r="J30" s="311"/>
      <c r="K30" s="311"/>
      <c r="L30" s="41">
        <v>6.4</v>
      </c>
    </row>
    <row r="31" spans="2:12" ht="33" customHeight="1">
      <c r="B31" s="67"/>
      <c r="C31" s="274"/>
      <c r="D31" s="274"/>
      <c r="E31" s="274"/>
      <c r="F31" s="274"/>
      <c r="G31" s="274"/>
      <c r="H31" s="274"/>
      <c r="I31" s="273"/>
      <c r="J31" s="273"/>
      <c r="K31" s="273"/>
      <c r="L31" s="41"/>
    </row>
    <row r="32" spans="2:12" ht="12.95" customHeight="1">
      <c r="B32" s="45"/>
      <c r="D32" s="49"/>
      <c r="E32" s="49"/>
      <c r="F32" s="49"/>
      <c r="G32" s="49"/>
      <c r="H32" s="49"/>
      <c r="I32" s="50"/>
      <c r="J32" s="50"/>
      <c r="K32" s="50"/>
      <c r="L32" s="41"/>
    </row>
    <row r="33" spans="1:12" ht="15.6">
      <c r="B33" s="317" t="s">
        <v>316</v>
      </c>
      <c r="C33" s="318"/>
      <c r="D33" s="318"/>
      <c r="E33" s="318"/>
      <c r="F33" s="318"/>
      <c r="G33" s="318"/>
      <c r="H33" s="318"/>
      <c r="I33" s="318"/>
      <c r="J33" s="318"/>
      <c r="K33" s="318"/>
      <c r="L33" s="41"/>
    </row>
    <row r="34" spans="1:12">
      <c r="B34" s="52"/>
      <c r="C34" s="303" t="s">
        <v>317</v>
      </c>
      <c r="D34" s="304"/>
      <c r="E34" s="304"/>
      <c r="F34" s="305" t="s">
        <v>318</v>
      </c>
      <c r="G34" s="306"/>
      <c r="H34" s="306"/>
      <c r="I34" s="53"/>
      <c r="J34" s="53"/>
      <c r="K34" s="54"/>
      <c r="L34" s="41"/>
    </row>
    <row r="35" spans="1:12">
      <c r="B35" s="55" t="s">
        <v>271</v>
      </c>
      <c r="C35" s="68" t="s">
        <v>319</v>
      </c>
      <c r="D35" s="69" t="s">
        <v>320</v>
      </c>
      <c r="E35" s="69" t="s">
        <v>321</v>
      </c>
      <c r="F35" s="70" t="s">
        <v>322</v>
      </c>
      <c r="G35" s="70" t="s">
        <v>323</v>
      </c>
      <c r="H35" s="70" t="s">
        <v>324</v>
      </c>
      <c r="I35" s="59" t="s">
        <v>325</v>
      </c>
      <c r="J35" s="59" t="s">
        <v>326</v>
      </c>
      <c r="K35" s="60" t="s">
        <v>159</v>
      </c>
      <c r="L35" s="41"/>
    </row>
    <row r="36" spans="1:12">
      <c r="B36" s="40" t="s">
        <v>275</v>
      </c>
      <c r="C36" s="64" t="str">
        <f>Devices_Internet_Name</f>
        <v>Devices on Internet or Wi-Fi</v>
      </c>
      <c r="D36" s="65"/>
      <c r="E36" s="65"/>
      <c r="F36" s="21" t="str">
        <f>ComUEMDS</f>
        <v>UEM Device Services Server</v>
      </c>
      <c r="G36" s="66" t="str">
        <f>dsdns</f>
        <v>tcuds.haramco.xyz</v>
      </c>
      <c r="H36" s="66" t="str">
        <f>dsdnsip</f>
        <v>192.168.1.30</v>
      </c>
      <c r="I36" s="127" t="s">
        <v>330</v>
      </c>
      <c r="J36" s="127">
        <v>443</v>
      </c>
      <c r="K36" s="286" t="s">
        <v>420</v>
      </c>
      <c r="L36" s="41">
        <v>6.4</v>
      </c>
    </row>
    <row r="37" spans="1:12">
      <c r="B37" s="40" t="s">
        <v>275</v>
      </c>
      <c r="C37" s="64" t="str">
        <f>Devices_Internet_Name</f>
        <v>Devices on Internet or Wi-Fi</v>
      </c>
      <c r="D37" s="65"/>
      <c r="E37" s="65"/>
      <c r="F37" s="21" t="str">
        <f>ComUEMDS</f>
        <v>UEM Device Services Server</v>
      </c>
      <c r="G37" s="21" t="str">
        <f>awcmdns</f>
        <v>tcuds.haramco.xyz</v>
      </c>
      <c r="H37" s="21" t="str">
        <f>awcmdnsip</f>
        <v>192.168.1.30</v>
      </c>
      <c r="I37" s="127" t="s">
        <v>330</v>
      </c>
      <c r="J37" s="127">
        <v>2001</v>
      </c>
      <c r="K37" s="127" t="s">
        <v>421</v>
      </c>
      <c r="L37" s="41">
        <v>6.4</v>
      </c>
    </row>
    <row r="38" spans="1:12" ht="27.6">
      <c r="B38" s="40" t="s">
        <v>275</v>
      </c>
      <c r="C38" s="64" t="str">
        <f t="shared" ref="C38:C71" si="0">ComUEMDS</f>
        <v>UEM Device Services Server</v>
      </c>
      <c r="D38" s="64" t="str">
        <f t="shared" ref="D38:D71" si="1">dsservername</f>
        <v>uds1.haramco.xyz</v>
      </c>
      <c r="E38" s="64" t="str">
        <f t="shared" ref="E38:E71" si="2">dsip</f>
        <v>192.168.1.82</v>
      </c>
      <c r="F38" s="21" t="str">
        <f>ComUemDatabase</f>
        <v>Workspace ONE UEM [DB]</v>
      </c>
      <c r="G38" s="21" t="str">
        <f>UemDatabase</f>
        <v>database.haramco.xyz</v>
      </c>
      <c r="H38" s="21" t="str">
        <f>UemDatabaseIp</f>
        <v>192.168.1.30</v>
      </c>
      <c r="I38" s="127" t="s">
        <v>327</v>
      </c>
      <c r="J38" s="127">
        <v>1433</v>
      </c>
      <c r="K38" s="286" t="s">
        <v>422</v>
      </c>
      <c r="L38" s="41">
        <v>6.4</v>
      </c>
    </row>
    <row r="39" spans="1:12">
      <c r="B39" s="40" t="s">
        <v>275</v>
      </c>
      <c r="C39" s="64" t="str">
        <f t="shared" si="0"/>
        <v>UEM Device Services Server</v>
      </c>
      <c r="D39" s="64" t="str">
        <f t="shared" si="1"/>
        <v>uds1.haramco.xyz</v>
      </c>
      <c r="E39" s="64" t="str">
        <f t="shared" si="2"/>
        <v>192.168.1.82</v>
      </c>
      <c r="F39" s="21" t="s">
        <v>423</v>
      </c>
      <c r="G39" s="132"/>
      <c r="H39" s="132"/>
      <c r="I39" s="127" t="s">
        <v>330</v>
      </c>
      <c r="J39" s="127">
        <v>443</v>
      </c>
      <c r="K39" s="286" t="s">
        <v>424</v>
      </c>
      <c r="L39" s="41">
        <v>6.4</v>
      </c>
    </row>
    <row r="40" spans="1:12">
      <c r="B40" s="40" t="s">
        <v>275</v>
      </c>
      <c r="C40" s="64" t="str">
        <f t="shared" si="0"/>
        <v>UEM Device Services Server</v>
      </c>
      <c r="D40" s="64" t="str">
        <f t="shared" si="1"/>
        <v>uds1.haramco.xyz</v>
      </c>
      <c r="E40" s="64" t="str">
        <f t="shared" si="2"/>
        <v>192.168.1.82</v>
      </c>
      <c r="F40" s="21" t="str">
        <f>ComUEMAWCM</f>
        <v>UEM AWCM Server</v>
      </c>
      <c r="G40" s="21" t="str">
        <f>awcmdns</f>
        <v>tcuds.haramco.xyz</v>
      </c>
      <c r="H40" s="21" t="str">
        <f>awcmdnsip</f>
        <v>192.168.1.30</v>
      </c>
      <c r="I40" s="127" t="s">
        <v>330</v>
      </c>
      <c r="J40" s="127">
        <v>2001</v>
      </c>
      <c r="K40" s="286"/>
      <c r="L40" s="41">
        <v>6.4</v>
      </c>
    </row>
    <row r="41" spans="1:12">
      <c r="A41" s="322"/>
      <c r="B41" s="40" t="str">
        <f>IF(UsingAD="Yes", "Pending", "N/A")</f>
        <v>Pending</v>
      </c>
      <c r="C41" s="64" t="str">
        <f t="shared" si="0"/>
        <v>UEM Device Services Server</v>
      </c>
      <c r="D41" s="64" t="str">
        <f t="shared" si="1"/>
        <v>uds1.haramco.xyz</v>
      </c>
      <c r="E41" s="64" t="str">
        <f t="shared" si="2"/>
        <v>192.168.1.82</v>
      </c>
      <c r="F41" s="21" t="str">
        <f>ComLDAP</f>
        <v>Domain Controller / AD</v>
      </c>
      <c r="G41" s="21" t="str">
        <f>ADServerName</f>
        <v>haramco.xyz</v>
      </c>
      <c r="H41" s="66" t="str">
        <f>ADIp</f>
        <v>192.168.77.211</v>
      </c>
      <c r="I41" s="127" t="s">
        <v>352</v>
      </c>
      <c r="J41" s="127">
        <f>LDAP_Port</f>
        <v>389</v>
      </c>
      <c r="K41" s="286" t="s">
        <v>425</v>
      </c>
      <c r="L41" s="41">
        <v>6.4</v>
      </c>
    </row>
    <row r="42" spans="1:12">
      <c r="A42" s="322"/>
      <c r="B42" s="40" t="str">
        <f>IF(UsingSMTP="Yes", "Pending", "N/A")</f>
        <v>Pending</v>
      </c>
      <c r="C42" s="64" t="str">
        <f t="shared" si="0"/>
        <v>UEM Device Services Server</v>
      </c>
      <c r="D42" s="64" t="str">
        <f t="shared" si="1"/>
        <v>uds1.haramco.xyz</v>
      </c>
      <c r="E42" s="64" t="str">
        <f t="shared" si="2"/>
        <v>192.168.1.82</v>
      </c>
      <c r="F42" s="21" t="str">
        <f>ComSMTP</f>
        <v>SMTP Mail Relay</v>
      </c>
      <c r="G42" s="21" t="str">
        <f>SMTPServerName</f>
        <v>smtp.fqdn.com</v>
      </c>
      <c r="H42" s="66" t="str">
        <f>SMTPIp</f>
        <v>#.#.#.#</v>
      </c>
      <c r="I42" s="127" t="s">
        <v>426</v>
      </c>
      <c r="J42" s="127">
        <f>SMTP_Port</f>
        <v>25</v>
      </c>
      <c r="K42" s="286" t="s">
        <v>425</v>
      </c>
      <c r="L42" s="41">
        <v>6.4</v>
      </c>
    </row>
    <row r="43" spans="1:12">
      <c r="A43" s="322"/>
      <c r="B43" s="40" t="str">
        <f>IF(UsingPKI="Yes", "Pending", "N/A")</f>
        <v>Pending</v>
      </c>
      <c r="C43" s="64" t="str">
        <f t="shared" si="0"/>
        <v>UEM Device Services Server</v>
      </c>
      <c r="D43" s="64" t="str">
        <f t="shared" si="1"/>
        <v>uds1.haramco.xyz</v>
      </c>
      <c r="E43" s="64" t="str">
        <f t="shared" si="2"/>
        <v>192.168.1.82</v>
      </c>
      <c r="F43" s="21" t="str">
        <f>ComPKI</f>
        <v>Internal PKI</v>
      </c>
      <c r="G43" s="21" t="str">
        <f>InternalPKIServerName</f>
        <v>pki.fqdn.com</v>
      </c>
      <c r="H43" s="66" t="str">
        <f>InternalPKIIp</f>
        <v>#.#.#.#</v>
      </c>
      <c r="I43" s="127" t="s">
        <v>427</v>
      </c>
      <c r="J43" s="127" t="s">
        <v>428</v>
      </c>
      <c r="K43" s="286" t="s">
        <v>425</v>
      </c>
      <c r="L43" s="41">
        <v>6.4</v>
      </c>
    </row>
    <row r="44" spans="1:12">
      <c r="A44" s="322"/>
      <c r="B44" s="40" t="str">
        <f>IF(UsingMail="Yes", "Pending", "N/A")</f>
        <v>Pending</v>
      </c>
      <c r="C44" s="64" t="str">
        <f t="shared" si="0"/>
        <v>UEM Device Services Server</v>
      </c>
      <c r="D44" s="64" t="str">
        <f t="shared" si="1"/>
        <v>uds1.haramco.xyz</v>
      </c>
      <c r="E44" s="64" t="str">
        <f t="shared" si="2"/>
        <v>192.168.1.82</v>
      </c>
      <c r="F44" s="21" t="str">
        <f>ComMailServer</f>
        <v>Mail Server</v>
      </c>
      <c r="G44" s="21" t="str">
        <f>MailServerName</f>
        <v>mail.fqdn.com</v>
      </c>
      <c r="H44" s="66" t="str">
        <f>MailServerIp</f>
        <v>#.#.#.#</v>
      </c>
      <c r="I44" s="127" t="str">
        <f>IF(Mail_Port=443,"HTTPS","HTTP")</f>
        <v>HTTPS</v>
      </c>
      <c r="J44" s="127">
        <f>Mail_Port</f>
        <v>443</v>
      </c>
      <c r="K44" s="286" t="s">
        <v>429</v>
      </c>
      <c r="L44" s="41">
        <v>6.4</v>
      </c>
    </row>
    <row r="45" spans="1:12">
      <c r="B45" s="40" t="s">
        <v>275</v>
      </c>
      <c r="C45" s="64" t="str">
        <f t="shared" si="0"/>
        <v>UEM Device Services Server</v>
      </c>
      <c r="D45" s="64" t="str">
        <f t="shared" si="1"/>
        <v>uds1.haramco.xyz</v>
      </c>
      <c r="E45" s="64" t="str">
        <f t="shared" si="2"/>
        <v>192.168.1.82</v>
      </c>
      <c r="F45" s="21" t="s">
        <v>374</v>
      </c>
      <c r="G45" s="65"/>
      <c r="H45" s="65"/>
      <c r="I45" s="127" t="s">
        <v>330</v>
      </c>
      <c r="J45" s="127">
        <v>443</v>
      </c>
      <c r="K45" s="286" t="s">
        <v>375</v>
      </c>
      <c r="L45" s="41">
        <v>6.4</v>
      </c>
    </row>
    <row r="46" spans="1:12">
      <c r="B46" s="40" t="s">
        <v>275</v>
      </c>
      <c r="C46" s="64" t="str">
        <f t="shared" si="0"/>
        <v>UEM Device Services Server</v>
      </c>
      <c r="D46" s="64" t="str">
        <f t="shared" si="1"/>
        <v>uds1.haramco.xyz</v>
      </c>
      <c r="E46" s="64" t="str">
        <f t="shared" si="2"/>
        <v>192.168.1.82</v>
      </c>
      <c r="F46" s="21" t="s">
        <v>331</v>
      </c>
      <c r="G46" s="65"/>
      <c r="H46" s="65"/>
      <c r="I46" s="127" t="s">
        <v>327</v>
      </c>
      <c r="J46" s="127">
        <v>2195</v>
      </c>
      <c r="K46" s="286" t="s">
        <v>333</v>
      </c>
      <c r="L46" s="41">
        <v>6.4</v>
      </c>
    </row>
    <row r="47" spans="1:12">
      <c r="B47" s="40" t="s">
        <v>275</v>
      </c>
      <c r="C47" s="64" t="str">
        <f t="shared" si="0"/>
        <v>UEM Device Services Server</v>
      </c>
      <c r="D47" s="64" t="str">
        <f t="shared" si="1"/>
        <v>uds1.haramco.xyz</v>
      </c>
      <c r="E47" s="64" t="str">
        <f t="shared" si="2"/>
        <v>192.168.1.82</v>
      </c>
      <c r="F47" s="21" t="s">
        <v>334</v>
      </c>
      <c r="G47" s="65"/>
      <c r="H47" s="65"/>
      <c r="I47" s="127" t="s">
        <v>327</v>
      </c>
      <c r="J47" s="127">
        <v>2196</v>
      </c>
      <c r="K47" s="286" t="s">
        <v>333</v>
      </c>
      <c r="L47" s="41">
        <v>6.4</v>
      </c>
    </row>
    <row r="48" spans="1:12">
      <c r="B48" s="40" t="s">
        <v>275</v>
      </c>
      <c r="C48" s="64" t="str">
        <f t="shared" si="0"/>
        <v>UEM Device Services Server</v>
      </c>
      <c r="D48" s="64" t="str">
        <f t="shared" si="1"/>
        <v>uds1.haramco.xyz</v>
      </c>
      <c r="E48" s="64" t="str">
        <f t="shared" si="2"/>
        <v>192.168.1.82</v>
      </c>
      <c r="F48" s="21" t="s">
        <v>338</v>
      </c>
      <c r="G48" s="65"/>
      <c r="H48" s="65"/>
      <c r="I48" s="127" t="s">
        <v>339</v>
      </c>
      <c r="J48" s="127" t="s">
        <v>340</v>
      </c>
      <c r="K48" s="286" t="s">
        <v>341</v>
      </c>
      <c r="L48" s="41">
        <v>6.4</v>
      </c>
    </row>
    <row r="49" spans="2:12">
      <c r="B49" s="40" t="s">
        <v>275</v>
      </c>
      <c r="C49" s="64" t="str">
        <f t="shared" si="0"/>
        <v>UEM Device Services Server</v>
      </c>
      <c r="D49" s="64" t="str">
        <f t="shared" si="1"/>
        <v>uds1.haramco.xyz</v>
      </c>
      <c r="E49" s="64" t="str">
        <f t="shared" si="2"/>
        <v>192.168.1.82</v>
      </c>
      <c r="F49" s="21" t="s">
        <v>430</v>
      </c>
      <c r="G49" s="65"/>
      <c r="H49" s="65"/>
      <c r="I49" s="127" t="s">
        <v>339</v>
      </c>
      <c r="J49" s="127" t="s">
        <v>340</v>
      </c>
      <c r="K49" s="286" t="s">
        <v>371</v>
      </c>
      <c r="L49" s="41">
        <v>7.2</v>
      </c>
    </row>
    <row r="50" spans="2:12">
      <c r="B50" s="40" t="s">
        <v>275</v>
      </c>
      <c r="C50" s="64" t="str">
        <f t="shared" si="0"/>
        <v>UEM Device Services Server</v>
      </c>
      <c r="D50" s="64" t="str">
        <f t="shared" si="1"/>
        <v>uds1.haramco.xyz</v>
      </c>
      <c r="E50" s="64" t="str">
        <f t="shared" si="2"/>
        <v>192.168.1.82</v>
      </c>
      <c r="F50" s="21" t="s">
        <v>431</v>
      </c>
      <c r="G50" s="65"/>
      <c r="H50" s="65"/>
      <c r="I50" s="127" t="s">
        <v>330</v>
      </c>
      <c r="J50" s="127">
        <v>443</v>
      </c>
      <c r="K50" s="286" t="s">
        <v>432</v>
      </c>
      <c r="L50" s="41">
        <v>8.1</v>
      </c>
    </row>
    <row r="51" spans="2:12">
      <c r="B51" s="40" t="s">
        <v>275</v>
      </c>
      <c r="C51" s="64" t="str">
        <f t="shared" si="0"/>
        <v>UEM Device Services Server</v>
      </c>
      <c r="D51" s="64" t="str">
        <f t="shared" si="1"/>
        <v>uds1.haramco.xyz</v>
      </c>
      <c r="E51" s="64" t="str">
        <f t="shared" si="2"/>
        <v>192.168.1.82</v>
      </c>
      <c r="F51" s="21" t="s">
        <v>372</v>
      </c>
      <c r="G51" s="65"/>
      <c r="H51" s="65"/>
      <c r="I51" s="127" t="s">
        <v>339</v>
      </c>
      <c r="J51" s="127" t="s">
        <v>340</v>
      </c>
      <c r="K51" s="286" t="s">
        <v>433</v>
      </c>
      <c r="L51" s="41">
        <v>7.2</v>
      </c>
    </row>
    <row r="52" spans="2:12">
      <c r="B52" s="40" t="s">
        <v>275</v>
      </c>
      <c r="C52" s="64" t="str">
        <f t="shared" si="0"/>
        <v>UEM Device Services Server</v>
      </c>
      <c r="D52" s="64" t="str">
        <f t="shared" si="1"/>
        <v>uds1.haramco.xyz</v>
      </c>
      <c r="E52" s="64" t="str">
        <f t="shared" si="2"/>
        <v>192.168.1.82</v>
      </c>
      <c r="F52" s="21" t="s">
        <v>373</v>
      </c>
      <c r="G52" s="65"/>
      <c r="H52" s="65"/>
      <c r="I52" s="127" t="s">
        <v>330</v>
      </c>
      <c r="J52" s="127">
        <v>443</v>
      </c>
      <c r="K52" s="286" t="s">
        <v>371</v>
      </c>
      <c r="L52" s="41">
        <v>6.4</v>
      </c>
    </row>
    <row r="53" spans="2:12" ht="55.15">
      <c r="B53" s="40" t="s">
        <v>275</v>
      </c>
      <c r="C53" s="64" t="str">
        <f t="shared" si="0"/>
        <v>UEM Device Services Server</v>
      </c>
      <c r="D53" s="64" t="str">
        <f t="shared" si="1"/>
        <v>uds1.haramco.xyz</v>
      </c>
      <c r="E53" s="64" t="str">
        <f t="shared" si="2"/>
        <v>192.168.1.82</v>
      </c>
      <c r="F53" s="24" t="s">
        <v>344</v>
      </c>
      <c r="G53" s="65"/>
      <c r="H53" s="65"/>
      <c r="I53" s="127" t="s">
        <v>345</v>
      </c>
      <c r="J53" s="127">
        <v>80</v>
      </c>
      <c r="K53" s="286" t="s">
        <v>346</v>
      </c>
      <c r="L53" s="41">
        <v>6.4</v>
      </c>
    </row>
    <row r="54" spans="2:12" ht="18.95" customHeight="1">
      <c r="B54" s="40" t="s">
        <v>275</v>
      </c>
      <c r="C54" s="64" t="str">
        <f t="shared" si="0"/>
        <v>UEM Device Services Server</v>
      </c>
      <c r="D54" s="64" t="str">
        <f t="shared" si="1"/>
        <v>uds1.haramco.xyz</v>
      </c>
      <c r="E54" s="64" t="str">
        <f t="shared" si="2"/>
        <v>192.168.1.82</v>
      </c>
      <c r="F54" s="24" t="s">
        <v>347</v>
      </c>
      <c r="G54" s="65"/>
      <c r="H54" s="65"/>
      <c r="I54" s="127" t="s">
        <v>330</v>
      </c>
      <c r="J54" s="127">
        <v>443</v>
      </c>
      <c r="K54" s="286" t="s">
        <v>348</v>
      </c>
      <c r="L54" s="41">
        <v>9.6999999999999993</v>
      </c>
    </row>
    <row r="55" spans="2:12" ht="142.5">
      <c r="B55" s="40" t="s">
        <v>275</v>
      </c>
      <c r="C55" s="64" t="str">
        <f t="shared" si="0"/>
        <v>UEM Device Services Server</v>
      </c>
      <c r="D55" s="64" t="str">
        <f t="shared" si="1"/>
        <v>uds1.haramco.xyz</v>
      </c>
      <c r="E55" s="64" t="str">
        <f t="shared" si="2"/>
        <v>192.168.1.82</v>
      </c>
      <c r="F55" s="24" t="s">
        <v>351</v>
      </c>
      <c r="G55" s="61"/>
      <c r="H55" s="61"/>
      <c r="I55" s="127" t="s">
        <v>352</v>
      </c>
      <c r="J55" s="127" t="s">
        <v>353</v>
      </c>
      <c r="K55" s="127" t="s">
        <v>354</v>
      </c>
      <c r="L55" s="43">
        <v>9.6999999999999993</v>
      </c>
    </row>
    <row r="56" spans="2:12" ht="19.350000000000001" customHeight="1">
      <c r="B56" s="40" t="s">
        <v>275</v>
      </c>
      <c r="C56" s="64" t="str">
        <f t="shared" si="0"/>
        <v>UEM Device Services Server</v>
      </c>
      <c r="D56" s="64" t="str">
        <f t="shared" si="1"/>
        <v>uds1.haramco.xyz</v>
      </c>
      <c r="E56" s="64" t="str">
        <f t="shared" si="2"/>
        <v>192.168.1.82</v>
      </c>
      <c r="F56" s="24" t="s">
        <v>355</v>
      </c>
      <c r="G56" s="61"/>
      <c r="H56" s="61"/>
      <c r="I56" s="127" t="s">
        <v>327</v>
      </c>
      <c r="J56" s="127" t="s">
        <v>356</v>
      </c>
      <c r="K56" s="127" t="s">
        <v>357</v>
      </c>
      <c r="L56" s="43">
        <v>9.6999999999999993</v>
      </c>
    </row>
    <row r="57" spans="2:12" ht="15.6" customHeight="1">
      <c r="B57" s="40" t="s">
        <v>275</v>
      </c>
      <c r="C57" s="64" t="str">
        <f t="shared" si="0"/>
        <v>UEM Device Services Server</v>
      </c>
      <c r="D57" s="64" t="str">
        <f t="shared" si="1"/>
        <v>uds1.haramco.xyz</v>
      </c>
      <c r="E57" s="64" t="str">
        <f t="shared" si="2"/>
        <v>192.168.1.82</v>
      </c>
      <c r="F57" s="24" t="s">
        <v>358</v>
      </c>
      <c r="G57" s="61"/>
      <c r="H57" s="61"/>
      <c r="I57" s="127" t="s">
        <v>327</v>
      </c>
      <c r="J57" s="127">
        <v>443</v>
      </c>
      <c r="K57" s="127" t="s">
        <v>359</v>
      </c>
      <c r="L57" s="43">
        <v>9.6999999999999993</v>
      </c>
    </row>
    <row r="58" spans="2:12" ht="30.6" customHeight="1">
      <c r="B58" s="40" t="s">
        <v>275</v>
      </c>
      <c r="C58" s="64" t="str">
        <f t="shared" si="0"/>
        <v>UEM Device Services Server</v>
      </c>
      <c r="D58" s="64" t="str">
        <f t="shared" si="1"/>
        <v>uds1.haramco.xyz</v>
      </c>
      <c r="E58" s="64" t="str">
        <f t="shared" si="2"/>
        <v>192.168.1.82</v>
      </c>
      <c r="F58" s="24" t="s">
        <v>434</v>
      </c>
      <c r="G58" s="61"/>
      <c r="H58" s="61"/>
      <c r="I58" s="127" t="s">
        <v>327</v>
      </c>
      <c r="J58" s="127">
        <v>443</v>
      </c>
      <c r="K58" s="127" t="s">
        <v>361</v>
      </c>
      <c r="L58" s="43">
        <v>9.6999999999999993</v>
      </c>
    </row>
    <row r="59" spans="2:12" ht="33.6" customHeight="1">
      <c r="B59" s="40" t="s">
        <v>275</v>
      </c>
      <c r="C59" s="64" t="str">
        <f t="shared" si="0"/>
        <v>UEM Device Services Server</v>
      </c>
      <c r="D59" s="64" t="str">
        <f t="shared" si="1"/>
        <v>uds1.haramco.xyz</v>
      </c>
      <c r="E59" s="64" t="str">
        <f t="shared" si="2"/>
        <v>192.168.1.82</v>
      </c>
      <c r="F59" s="24" t="s">
        <v>366</v>
      </c>
      <c r="G59" s="61"/>
      <c r="H59" s="61"/>
      <c r="I59" s="127" t="s">
        <v>327</v>
      </c>
      <c r="J59" s="127">
        <v>443</v>
      </c>
      <c r="K59" s="127" t="s">
        <v>367</v>
      </c>
      <c r="L59" s="43">
        <v>9.6999999999999993</v>
      </c>
    </row>
    <row r="60" spans="2:12" ht="14.1" customHeight="1">
      <c r="B60" s="40" t="s">
        <v>275</v>
      </c>
      <c r="C60" s="64" t="str">
        <f t="shared" si="0"/>
        <v>UEM Device Services Server</v>
      </c>
      <c r="D60" s="64" t="str">
        <f t="shared" si="1"/>
        <v>uds1.haramco.xyz</v>
      </c>
      <c r="E60" s="64" t="str">
        <f t="shared" si="2"/>
        <v>192.168.1.82</v>
      </c>
      <c r="F60" s="21" t="s">
        <v>374</v>
      </c>
      <c r="G60" s="65"/>
      <c r="H60" s="65"/>
      <c r="I60" s="127" t="s">
        <v>330</v>
      </c>
      <c r="J60" s="127">
        <v>443</v>
      </c>
      <c r="K60" s="286" t="s">
        <v>375</v>
      </c>
      <c r="L60" s="41">
        <v>6.4</v>
      </c>
    </row>
    <row r="61" spans="2:12">
      <c r="B61" s="40" t="s">
        <v>275</v>
      </c>
      <c r="C61" s="64" t="str">
        <f t="shared" si="0"/>
        <v>UEM Device Services Server</v>
      </c>
      <c r="D61" s="64" t="str">
        <f t="shared" si="1"/>
        <v>uds1.haramco.xyz</v>
      </c>
      <c r="E61" s="64" t="str">
        <f t="shared" si="2"/>
        <v>192.168.1.82</v>
      </c>
      <c r="F61" s="21" t="s">
        <v>370</v>
      </c>
      <c r="G61" s="65"/>
      <c r="H61" s="65"/>
      <c r="I61" s="127" t="s">
        <v>330</v>
      </c>
      <c r="J61" s="127">
        <v>443</v>
      </c>
      <c r="K61" s="286" t="s">
        <v>435</v>
      </c>
      <c r="L61" s="41">
        <v>7.2</v>
      </c>
    </row>
    <row r="62" spans="2:12" ht="15" customHeight="1">
      <c r="B62" s="40" t="s">
        <v>275</v>
      </c>
      <c r="C62" s="64" t="str">
        <f t="shared" si="0"/>
        <v>UEM Device Services Server</v>
      </c>
      <c r="D62" s="64" t="str">
        <f t="shared" si="1"/>
        <v>uds1.haramco.xyz</v>
      </c>
      <c r="E62" s="64" t="str">
        <f t="shared" si="2"/>
        <v>192.168.1.82</v>
      </c>
      <c r="F62" s="21" t="s">
        <v>378</v>
      </c>
      <c r="G62" s="65"/>
      <c r="H62" s="65"/>
      <c r="I62" s="127" t="s">
        <v>330</v>
      </c>
      <c r="J62" s="127">
        <v>443</v>
      </c>
      <c r="K62" s="286" t="s">
        <v>436</v>
      </c>
      <c r="L62" s="41">
        <v>6.4</v>
      </c>
    </row>
    <row r="63" spans="2:12">
      <c r="B63" s="40" t="s">
        <v>275</v>
      </c>
      <c r="C63" s="64" t="str">
        <f t="shared" si="0"/>
        <v>UEM Device Services Server</v>
      </c>
      <c r="D63" s="64" t="str">
        <f t="shared" si="1"/>
        <v>uds1.haramco.xyz</v>
      </c>
      <c r="E63" s="64" t="str">
        <f t="shared" si="2"/>
        <v>192.168.1.82</v>
      </c>
      <c r="F63" s="21" t="s">
        <v>380</v>
      </c>
      <c r="G63" s="65"/>
      <c r="H63" s="65"/>
      <c r="I63" s="127" t="s">
        <v>330</v>
      </c>
      <c r="J63" s="127">
        <v>443</v>
      </c>
      <c r="K63" s="286" t="s">
        <v>381</v>
      </c>
      <c r="L63" s="41">
        <v>6.4</v>
      </c>
    </row>
    <row r="64" spans="2:12">
      <c r="B64" s="40" t="s">
        <v>275</v>
      </c>
      <c r="C64" s="64" t="str">
        <f t="shared" si="0"/>
        <v>UEM Device Services Server</v>
      </c>
      <c r="D64" s="64" t="str">
        <f t="shared" si="1"/>
        <v>uds1.haramco.xyz</v>
      </c>
      <c r="E64" s="64" t="str">
        <f t="shared" si="2"/>
        <v>192.168.1.82</v>
      </c>
      <c r="F64" s="21" t="s">
        <v>382</v>
      </c>
      <c r="G64" s="65"/>
      <c r="H64" s="65"/>
      <c r="I64" s="127" t="s">
        <v>330</v>
      </c>
      <c r="J64" s="127">
        <v>443</v>
      </c>
      <c r="K64" s="286" t="s">
        <v>383</v>
      </c>
      <c r="L64" s="41">
        <v>6.4</v>
      </c>
    </row>
    <row r="65" spans="2:12">
      <c r="B65" s="40" t="s">
        <v>275</v>
      </c>
      <c r="C65" s="64" t="str">
        <f t="shared" si="0"/>
        <v>UEM Device Services Server</v>
      </c>
      <c r="D65" s="64" t="str">
        <f t="shared" si="1"/>
        <v>uds1.haramco.xyz</v>
      </c>
      <c r="E65" s="64" t="str">
        <f t="shared" si="2"/>
        <v>192.168.1.82</v>
      </c>
      <c r="F65" s="21" t="s">
        <v>388</v>
      </c>
      <c r="G65" s="65"/>
      <c r="H65" s="65"/>
      <c r="I65" s="127" t="s">
        <v>339</v>
      </c>
      <c r="J65" s="127" t="s">
        <v>340</v>
      </c>
      <c r="K65" s="286"/>
      <c r="L65" s="41">
        <v>6.4</v>
      </c>
    </row>
    <row r="66" spans="2:12">
      <c r="B66" s="40" t="s">
        <v>275</v>
      </c>
      <c r="C66" s="64" t="str">
        <f t="shared" si="0"/>
        <v>UEM Device Services Server</v>
      </c>
      <c r="D66" s="64" t="str">
        <f t="shared" si="1"/>
        <v>uds1.haramco.xyz</v>
      </c>
      <c r="E66" s="64" t="str">
        <f t="shared" si="2"/>
        <v>192.168.1.82</v>
      </c>
      <c r="F66" s="21" t="s">
        <v>395</v>
      </c>
      <c r="G66" s="65"/>
      <c r="H66" s="65"/>
      <c r="I66" s="127" t="s">
        <v>330</v>
      </c>
      <c r="J66" s="127">
        <v>443</v>
      </c>
      <c r="K66" s="286" t="s">
        <v>437</v>
      </c>
      <c r="L66" s="41">
        <v>8.4</v>
      </c>
    </row>
    <row r="67" spans="2:12">
      <c r="B67" s="40" t="s">
        <v>275</v>
      </c>
      <c r="C67" s="64" t="str">
        <f t="shared" si="0"/>
        <v>UEM Device Services Server</v>
      </c>
      <c r="D67" s="64" t="str">
        <f t="shared" si="1"/>
        <v>uds1.haramco.xyz</v>
      </c>
      <c r="E67" s="64" t="str">
        <f t="shared" si="2"/>
        <v>192.168.1.82</v>
      </c>
      <c r="F67" s="24" t="s">
        <v>390</v>
      </c>
      <c r="G67" s="65"/>
      <c r="H67" s="65"/>
      <c r="I67" s="127" t="s">
        <v>345</v>
      </c>
      <c r="J67" s="127">
        <v>80</v>
      </c>
      <c r="K67" s="286" t="s">
        <v>391</v>
      </c>
      <c r="L67" s="41">
        <v>9.6999999999999993</v>
      </c>
    </row>
    <row r="68" spans="2:12">
      <c r="B68" s="40" t="s">
        <v>275</v>
      </c>
      <c r="C68" s="64" t="str">
        <f t="shared" si="0"/>
        <v>UEM Device Services Server</v>
      </c>
      <c r="D68" s="64" t="str">
        <f t="shared" si="1"/>
        <v>uds1.haramco.xyz</v>
      </c>
      <c r="E68" s="64" t="str">
        <f t="shared" si="2"/>
        <v>192.168.1.82</v>
      </c>
      <c r="F68" s="21" t="s">
        <v>392</v>
      </c>
      <c r="G68" s="65"/>
      <c r="H68" s="65"/>
      <c r="I68" s="127" t="s">
        <v>330</v>
      </c>
      <c r="J68" s="127">
        <v>443</v>
      </c>
      <c r="K68" s="286" t="s">
        <v>391</v>
      </c>
      <c r="L68" s="41">
        <v>9.6999999999999993</v>
      </c>
    </row>
    <row r="69" spans="2:12">
      <c r="B69" s="40" t="s">
        <v>275</v>
      </c>
      <c r="C69" s="64" t="str">
        <f t="shared" si="0"/>
        <v>UEM Device Services Server</v>
      </c>
      <c r="D69" s="64" t="str">
        <f t="shared" si="1"/>
        <v>uds1.haramco.xyz</v>
      </c>
      <c r="E69" s="64" t="str">
        <f t="shared" si="2"/>
        <v>192.168.1.82</v>
      </c>
      <c r="F69" s="21" t="s">
        <v>392</v>
      </c>
      <c r="G69" s="65"/>
      <c r="H69" s="65"/>
      <c r="I69" s="127" t="s">
        <v>330</v>
      </c>
      <c r="J69" s="127">
        <v>443</v>
      </c>
      <c r="K69" s="286" t="s">
        <v>391</v>
      </c>
      <c r="L69" s="41">
        <v>9.6999999999999993</v>
      </c>
    </row>
    <row r="70" spans="2:12">
      <c r="B70" s="40" t="s">
        <v>275</v>
      </c>
      <c r="C70" s="64" t="str">
        <f t="shared" si="0"/>
        <v>UEM Device Services Server</v>
      </c>
      <c r="D70" s="64" t="str">
        <f t="shared" si="1"/>
        <v>uds1.haramco.xyz</v>
      </c>
      <c r="E70" s="64" t="str">
        <f t="shared" si="2"/>
        <v>192.168.1.82</v>
      </c>
      <c r="F70" s="21" t="s">
        <v>393</v>
      </c>
      <c r="G70" s="65"/>
      <c r="H70" s="65"/>
      <c r="I70" s="127" t="s">
        <v>345</v>
      </c>
      <c r="J70" s="127">
        <v>80</v>
      </c>
      <c r="K70" s="286" t="s">
        <v>391</v>
      </c>
      <c r="L70" s="41">
        <v>9.6999999999999993</v>
      </c>
    </row>
    <row r="71" spans="2:12">
      <c r="B71" s="40" t="s">
        <v>275</v>
      </c>
      <c r="C71" s="64" t="str">
        <f t="shared" si="0"/>
        <v>UEM Device Services Server</v>
      </c>
      <c r="D71" s="64" t="str">
        <f t="shared" si="1"/>
        <v>uds1.haramco.xyz</v>
      </c>
      <c r="E71" s="64" t="str">
        <f t="shared" si="2"/>
        <v>192.168.1.82</v>
      </c>
      <c r="F71" s="21" t="s">
        <v>394</v>
      </c>
      <c r="G71" s="65"/>
      <c r="H71" s="65"/>
      <c r="I71" s="127" t="s">
        <v>345</v>
      </c>
      <c r="J71" s="127">
        <v>80</v>
      </c>
      <c r="K71" s="286" t="s">
        <v>391</v>
      </c>
      <c r="L71" s="41">
        <v>9.6999999999999993</v>
      </c>
    </row>
  </sheetData>
  <autoFilter ref="L4:L67" xr:uid="{00000000-0009-0000-0000-000003000000}"/>
  <mergeCells count="54">
    <mergeCell ref="A41:A44"/>
    <mergeCell ref="C26:H26"/>
    <mergeCell ref="I26:K26"/>
    <mergeCell ref="C28:H28"/>
    <mergeCell ref="I28:K28"/>
    <mergeCell ref="C34:E34"/>
    <mergeCell ref="F34:H34"/>
    <mergeCell ref="B33:K33"/>
    <mergeCell ref="C29:H29"/>
    <mergeCell ref="I29:K29"/>
    <mergeCell ref="C30:H30"/>
    <mergeCell ref="I30:K30"/>
    <mergeCell ref="C23:H23"/>
    <mergeCell ref="I23:K23"/>
    <mergeCell ref="C24:H24"/>
    <mergeCell ref="I24:K24"/>
    <mergeCell ref="C25:H25"/>
    <mergeCell ref="I25:K25"/>
    <mergeCell ref="C20:H20"/>
    <mergeCell ref="I20:K20"/>
    <mergeCell ref="C21:H21"/>
    <mergeCell ref="I21:K21"/>
    <mergeCell ref="C22:H22"/>
    <mergeCell ref="I22:K22"/>
    <mergeCell ref="C17:H17"/>
    <mergeCell ref="I17:K17"/>
    <mergeCell ref="C18:H18"/>
    <mergeCell ref="I18:K18"/>
    <mergeCell ref="C19:H19"/>
    <mergeCell ref="I19:K19"/>
    <mergeCell ref="B14:K14"/>
    <mergeCell ref="C15:E15"/>
    <mergeCell ref="F15:H15"/>
    <mergeCell ref="I15:K15"/>
    <mergeCell ref="C16:H16"/>
    <mergeCell ref="I16:K16"/>
    <mergeCell ref="C12:H12"/>
    <mergeCell ref="I12:K12"/>
    <mergeCell ref="B7:K7"/>
    <mergeCell ref="C8:E8"/>
    <mergeCell ref="F8:H8"/>
    <mergeCell ref="I8:K8"/>
    <mergeCell ref="C9:H9"/>
    <mergeCell ref="I9:K9"/>
    <mergeCell ref="C10:H10"/>
    <mergeCell ref="I10:K10"/>
    <mergeCell ref="I11:K11"/>
    <mergeCell ref="C5:H5"/>
    <mergeCell ref="B2:L2"/>
    <mergeCell ref="B3:L3"/>
    <mergeCell ref="C4:E4"/>
    <mergeCell ref="F4:H4"/>
    <mergeCell ref="I4:K4"/>
    <mergeCell ref="I5:K5"/>
  </mergeCells>
  <phoneticPr fontId="62" type="noConversion"/>
  <conditionalFormatting sqref="B6">
    <cfRule type="cellIs" dxfId="888" priority="125" operator="equal">
      <formula>"Complete"</formula>
    </cfRule>
    <cfRule type="cellIs" dxfId="887" priority="126" operator="equal">
      <formula>"N/A"</formula>
    </cfRule>
    <cfRule type="cellIs" dxfId="886" priority="127" operator="equal">
      <formula>"Open"</formula>
    </cfRule>
  </conditionalFormatting>
  <conditionalFormatting sqref="B13">
    <cfRule type="cellIs" dxfId="885" priority="122" operator="equal">
      <formula>"Complete"</formula>
    </cfRule>
    <cfRule type="cellIs" dxfId="884" priority="123" operator="equal">
      <formula>"N/A"</formula>
    </cfRule>
    <cfRule type="cellIs" dxfId="883" priority="124" operator="equal">
      <formula>"Open"</formula>
    </cfRule>
  </conditionalFormatting>
  <conditionalFormatting sqref="B32">
    <cfRule type="cellIs" dxfId="882" priority="119" operator="equal">
      <formula>"Complete"</formula>
    </cfRule>
    <cfRule type="cellIs" dxfId="881" priority="120" operator="equal">
      <formula>"N/A"</formula>
    </cfRule>
    <cfRule type="cellIs" dxfId="880" priority="121" operator="equal">
      <formula>"Open"</formula>
    </cfRule>
  </conditionalFormatting>
  <conditionalFormatting sqref="B3 B16:B26 B9:B12 B39:B44 B51:B52 B65 B46 B54 B28:B31 B48:B49 B60:B62 L61">
    <cfRule type="cellIs" dxfId="879" priority="117" operator="equal">
      <formula>"Complete"</formula>
    </cfRule>
    <cfRule type="cellIs" dxfId="878" priority="118" operator="equal">
      <formula>"Pending"</formula>
    </cfRule>
  </conditionalFormatting>
  <conditionalFormatting sqref="B4">
    <cfRule type="cellIs" dxfId="877" priority="115" operator="equal">
      <formula>"Complete"</formula>
    </cfRule>
    <cfRule type="cellIs" dxfId="876" priority="116" operator="equal">
      <formula>"Pending"</formula>
    </cfRule>
  </conditionalFormatting>
  <conditionalFormatting sqref="B8">
    <cfRule type="cellIs" dxfId="875" priority="107" operator="equal">
      <formula>"Complete"</formula>
    </cfRule>
    <cfRule type="cellIs" dxfId="874" priority="108" operator="equal">
      <formula>"Pending"</formula>
    </cfRule>
  </conditionalFormatting>
  <conditionalFormatting sqref="B15">
    <cfRule type="cellIs" dxfId="873" priority="109" operator="equal">
      <formula>"Complete"</formula>
    </cfRule>
    <cfRule type="cellIs" dxfId="872" priority="110" operator="equal">
      <formula>"Pending"</formula>
    </cfRule>
  </conditionalFormatting>
  <conditionalFormatting sqref="B5">
    <cfRule type="cellIs" dxfId="871" priority="89" operator="equal">
      <formula>"Complete"</formula>
    </cfRule>
    <cfRule type="cellIs" dxfId="870" priority="90" operator="equal">
      <formula>"Pending"</formula>
    </cfRule>
  </conditionalFormatting>
  <conditionalFormatting sqref="B34">
    <cfRule type="cellIs" dxfId="869" priority="83" operator="equal">
      <formula>"Complete"</formula>
    </cfRule>
    <cfRule type="cellIs" dxfId="868" priority="84" operator="equal">
      <formula>"Pending"</formula>
    </cfRule>
  </conditionalFormatting>
  <conditionalFormatting sqref="B35">
    <cfRule type="cellIs" dxfId="867" priority="81" operator="equal">
      <formula>"Complete"</formula>
    </cfRule>
    <cfRule type="cellIs" dxfId="866" priority="82" operator="equal">
      <formula>"Pending"</formula>
    </cfRule>
  </conditionalFormatting>
  <conditionalFormatting sqref="B38">
    <cfRule type="cellIs" dxfId="865" priority="79" operator="equal">
      <formula>"Complete"</formula>
    </cfRule>
    <cfRule type="cellIs" dxfId="864" priority="80" operator="equal">
      <formula>"Pending"</formula>
    </cfRule>
  </conditionalFormatting>
  <conditionalFormatting sqref="L6">
    <cfRule type="cellIs" dxfId="863" priority="71" operator="equal">
      <formula>"Complete"</formula>
    </cfRule>
    <cfRule type="cellIs" dxfId="862" priority="72" operator="equal">
      <formula>"N/A"</formula>
    </cfRule>
    <cfRule type="cellIs" dxfId="861" priority="73" operator="equal">
      <formula>"Open"</formula>
    </cfRule>
  </conditionalFormatting>
  <conditionalFormatting sqref="L13">
    <cfRule type="cellIs" dxfId="860" priority="68" operator="equal">
      <formula>"Complete"</formula>
    </cfRule>
    <cfRule type="cellIs" dxfId="859" priority="69" operator="equal">
      <formula>"N/A"</formula>
    </cfRule>
    <cfRule type="cellIs" dxfId="858" priority="70" operator="equal">
      <formula>"Open"</formula>
    </cfRule>
  </conditionalFormatting>
  <conditionalFormatting sqref="L32">
    <cfRule type="cellIs" dxfId="857" priority="65" operator="equal">
      <formula>"Complete"</formula>
    </cfRule>
    <cfRule type="cellIs" dxfId="856" priority="66" operator="equal">
      <formula>"N/A"</formula>
    </cfRule>
    <cfRule type="cellIs" dxfId="855" priority="67" operator="equal">
      <formula>"Open"</formula>
    </cfRule>
  </conditionalFormatting>
  <conditionalFormatting sqref="L26">
    <cfRule type="cellIs" dxfId="854" priority="63" operator="equal">
      <formula>"Complete"</formula>
    </cfRule>
    <cfRule type="cellIs" dxfId="853" priority="64" operator="equal">
      <formula>"Pending"</formula>
    </cfRule>
  </conditionalFormatting>
  <conditionalFormatting sqref="L49 L54 L51">
    <cfRule type="cellIs" dxfId="852" priority="59" operator="equal">
      <formula>"Complete"</formula>
    </cfRule>
    <cfRule type="cellIs" dxfId="851" priority="60" operator="equal">
      <formula>"Pending"</formula>
    </cfRule>
  </conditionalFormatting>
  <conditionalFormatting sqref="L21:L23">
    <cfRule type="cellIs" dxfId="850" priority="55" operator="equal">
      <formula>"Complete"</formula>
    </cfRule>
    <cfRule type="cellIs" dxfId="849" priority="56" operator="equal">
      <formula>"Pending"</formula>
    </cfRule>
  </conditionalFormatting>
  <conditionalFormatting sqref="L28">
    <cfRule type="cellIs" dxfId="848" priority="53" operator="equal">
      <formula>"Complete"</formula>
    </cfRule>
    <cfRule type="cellIs" dxfId="847" priority="54" operator="equal">
      <formula>"Pending"</formula>
    </cfRule>
  </conditionalFormatting>
  <conditionalFormatting sqref="B67">
    <cfRule type="cellIs" dxfId="846" priority="47" operator="equal">
      <formula>"Complete"</formula>
    </cfRule>
    <cfRule type="cellIs" dxfId="845" priority="48" operator="equal">
      <formula>"Pending"</formula>
    </cfRule>
  </conditionalFormatting>
  <conditionalFormatting sqref="B66">
    <cfRule type="cellIs" dxfId="844" priority="43" operator="equal">
      <formula>"Complete"</formula>
    </cfRule>
    <cfRule type="cellIs" dxfId="843" priority="44" operator="equal">
      <formula>"Pending"</formula>
    </cfRule>
  </conditionalFormatting>
  <conditionalFormatting sqref="B37">
    <cfRule type="cellIs" dxfId="842" priority="37" operator="equal">
      <formula>"Complete"</formula>
    </cfRule>
    <cfRule type="cellIs" dxfId="841" priority="38" operator="equal">
      <formula>"Pending"</formula>
    </cfRule>
  </conditionalFormatting>
  <conditionalFormatting sqref="B50">
    <cfRule type="cellIs" dxfId="840" priority="35" operator="equal">
      <formula>"Complete"</formula>
    </cfRule>
    <cfRule type="cellIs" dxfId="839" priority="36" operator="equal">
      <formula>"Pending"</formula>
    </cfRule>
  </conditionalFormatting>
  <conditionalFormatting sqref="L50">
    <cfRule type="cellIs" dxfId="838" priority="33" operator="equal">
      <formula>"Complete"</formula>
    </cfRule>
    <cfRule type="cellIs" dxfId="837" priority="34" operator="equal">
      <formula>"Pending"</formula>
    </cfRule>
  </conditionalFormatting>
  <conditionalFormatting sqref="B36">
    <cfRule type="cellIs" dxfId="836" priority="31" operator="equal">
      <formula>"Complete"</formula>
    </cfRule>
    <cfRule type="cellIs" dxfId="835" priority="32" operator="equal">
      <formula>"Pending"</formula>
    </cfRule>
  </conditionalFormatting>
  <conditionalFormatting sqref="B63:B64">
    <cfRule type="cellIs" dxfId="834" priority="29" operator="equal">
      <formula>"Complete"</formula>
    </cfRule>
    <cfRule type="cellIs" dxfId="833" priority="30" operator="equal">
      <formula>"Pending"</formula>
    </cfRule>
  </conditionalFormatting>
  <conditionalFormatting sqref="B45">
    <cfRule type="cellIs" dxfId="832" priority="27" operator="equal">
      <formula>"Complete"</formula>
    </cfRule>
    <cfRule type="cellIs" dxfId="831" priority="28" operator="equal">
      <formula>"Pending"</formula>
    </cfRule>
  </conditionalFormatting>
  <conditionalFormatting sqref="B53">
    <cfRule type="cellIs" dxfId="830" priority="25" operator="equal">
      <formula>"Complete"</formula>
    </cfRule>
    <cfRule type="cellIs" dxfId="829" priority="26" operator="equal">
      <formula>"Pending"</formula>
    </cfRule>
  </conditionalFormatting>
  <conditionalFormatting sqref="L53">
    <cfRule type="cellIs" dxfId="828" priority="23" operator="equal">
      <formula>"Complete"</formula>
    </cfRule>
    <cfRule type="cellIs" dxfId="827" priority="24" operator="equal">
      <formula>"Pending"</formula>
    </cfRule>
  </conditionalFormatting>
  <conditionalFormatting sqref="B68">
    <cfRule type="cellIs" dxfId="826" priority="21" operator="equal">
      <formula>"Complete"</formula>
    </cfRule>
    <cfRule type="cellIs" dxfId="825" priority="22" operator="equal">
      <formula>"Pending"</formula>
    </cfRule>
  </conditionalFormatting>
  <conditionalFormatting sqref="B69">
    <cfRule type="cellIs" dxfId="824" priority="19" operator="equal">
      <formula>"Complete"</formula>
    </cfRule>
    <cfRule type="cellIs" dxfId="823" priority="20" operator="equal">
      <formula>"Pending"</formula>
    </cfRule>
  </conditionalFormatting>
  <conditionalFormatting sqref="B70">
    <cfRule type="cellIs" dxfId="822" priority="17" operator="equal">
      <formula>"Complete"</formula>
    </cfRule>
    <cfRule type="cellIs" dxfId="821" priority="18" operator="equal">
      <formula>"Pending"</formula>
    </cfRule>
  </conditionalFormatting>
  <conditionalFormatting sqref="B71">
    <cfRule type="cellIs" dxfId="820" priority="15" operator="equal">
      <formula>"Complete"</formula>
    </cfRule>
    <cfRule type="cellIs" dxfId="819" priority="16" operator="equal">
      <formula>"Pending"</formula>
    </cfRule>
  </conditionalFormatting>
  <conditionalFormatting sqref="B55:B59">
    <cfRule type="cellIs" dxfId="818" priority="13" operator="equal">
      <formula>"Complete"</formula>
    </cfRule>
    <cfRule type="cellIs" dxfId="817" priority="14" operator="equal">
      <formula>"Pending"</formula>
    </cfRule>
  </conditionalFormatting>
  <conditionalFormatting sqref="B27">
    <cfRule type="cellIs" dxfId="816" priority="11" operator="equal">
      <formula>"Complete"</formula>
    </cfRule>
    <cfRule type="cellIs" dxfId="815" priority="12" operator="equal">
      <formula>"Pending"</formula>
    </cfRule>
  </conditionalFormatting>
  <conditionalFormatting sqref="L27">
    <cfRule type="cellIs" dxfId="814" priority="9" operator="equal">
      <formula>"Complete"</formula>
    </cfRule>
    <cfRule type="cellIs" dxfId="813" priority="10" operator="equal">
      <formula>"Pending"</formula>
    </cfRule>
  </conditionalFormatting>
  <conditionalFormatting sqref="B7">
    <cfRule type="cellIs" dxfId="812" priority="7" operator="equal">
      <formula>"Complete"</formula>
    </cfRule>
    <cfRule type="cellIs" dxfId="811" priority="8" operator="equal">
      <formula>"Pending"</formula>
    </cfRule>
  </conditionalFormatting>
  <conditionalFormatting sqref="B14">
    <cfRule type="cellIs" dxfId="810" priority="5" operator="equal">
      <formula>"Complete"</formula>
    </cfRule>
    <cfRule type="cellIs" dxfId="809" priority="6" operator="equal">
      <formula>"Pending"</formula>
    </cfRule>
  </conditionalFormatting>
  <conditionalFormatting sqref="B33">
    <cfRule type="cellIs" dxfId="808" priority="3" operator="equal">
      <formula>"Complete"</formula>
    </cfRule>
    <cfRule type="cellIs" dxfId="807" priority="4" operator="equal">
      <formula>"Pending"</formula>
    </cfRule>
  </conditionalFormatting>
  <conditionalFormatting sqref="B47">
    <cfRule type="cellIs" dxfId="806" priority="1" operator="equal">
      <formula>"Complete"</formula>
    </cfRule>
    <cfRule type="cellIs" dxfId="805" priority="2" operator="equal">
      <formula>"Pending"</formula>
    </cfRule>
  </conditionalFormatting>
  <dataValidations count="3">
    <dataValidation type="list" allowBlank="1" showInputMessage="1" showErrorMessage="1" sqref="B5 B16:B31 B9:B12 B36:B71" xr:uid="{00000000-0002-0000-0300-000000000000}">
      <formula1>"Pending, Complete, N/A"</formula1>
    </dataValidation>
    <dataValidation type="list" allowBlank="1" showInputMessage="1" showErrorMessage="1" sqref="B6 B13 B32" xr:uid="{00000000-0002-0000-0300-000001000000}">
      <formula1>"Open, N/A, Complete"</formula1>
    </dataValidation>
    <dataValidation type="whole" allowBlank="1" showInputMessage="1" showErrorMessage="1" errorTitle="Incorrect Port Value" error="This port cannot be modified" sqref="J36" xr:uid="{047FC16D-D938-F143-89D6-22425FBE4C1C}">
      <formula1>443</formula1>
      <formula2>443</formula2>
    </dataValidation>
  </dataValidations>
  <pageMargins left="0.7" right="0.7" top="0.75" bottom="0.75" header="0.3" footer="0.3"/>
  <pageSetup scale="72" fitToHeight="0"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pageSetUpPr fitToPage="1"/>
  </sheetPr>
  <dimension ref="A2:L43"/>
  <sheetViews>
    <sheetView showGridLines="0" tabSelected="1" topLeftCell="A29" zoomScaleNormal="100" workbookViewId="0">
      <selection activeCell="B37" sqref="B37"/>
    </sheetView>
  </sheetViews>
  <sheetFormatPr defaultColWidth="27.28515625" defaultRowHeight="13.9"/>
  <cols>
    <col min="1" max="1" width="2.42578125" style="9" customWidth="1"/>
    <col min="2" max="2" width="11.42578125" style="9" customWidth="1"/>
    <col min="3" max="3" width="31.28515625" style="9" customWidth="1"/>
    <col min="4" max="4" width="23.85546875" style="44" bestFit="1" customWidth="1"/>
    <col min="5" max="5" width="22.140625" style="19" customWidth="1"/>
    <col min="6" max="6" width="30.7109375" style="9" bestFit="1" customWidth="1"/>
    <col min="7" max="7" width="27.42578125" style="44" bestFit="1" customWidth="1"/>
    <col min="8" max="8" width="20.42578125" style="19" bestFit="1" customWidth="1"/>
    <col min="9" max="9" width="27.28515625" style="9"/>
    <col min="10" max="10" width="22.42578125" style="9" customWidth="1"/>
    <col min="11" max="11" width="79.28515625" style="9" customWidth="1"/>
    <col min="12" max="12" width="17.7109375" style="72" bestFit="1" customWidth="1"/>
    <col min="13" max="16384" width="27.28515625" style="9"/>
  </cols>
  <sheetData>
    <row r="2" spans="2:12" ht="42" customHeight="1">
      <c r="B2" s="323" t="s">
        <v>438</v>
      </c>
      <c r="C2" s="323"/>
      <c r="D2" s="323"/>
      <c r="E2" s="323"/>
      <c r="F2" s="323"/>
      <c r="G2" s="323"/>
      <c r="H2" s="323"/>
      <c r="I2" s="323"/>
      <c r="J2" s="323"/>
      <c r="K2" s="323"/>
      <c r="L2" s="323"/>
    </row>
    <row r="3" spans="2:12" ht="16.149999999999999" thickBot="1">
      <c r="B3" s="317" t="s">
        <v>270</v>
      </c>
      <c r="C3" s="318"/>
      <c r="D3" s="318"/>
      <c r="E3" s="318"/>
      <c r="F3" s="318"/>
      <c r="G3" s="318"/>
      <c r="H3" s="318"/>
      <c r="I3" s="318"/>
      <c r="J3" s="318"/>
      <c r="K3" s="318"/>
      <c r="L3" s="318"/>
    </row>
    <row r="4" spans="2:12" ht="15" customHeight="1">
      <c r="B4" s="277" t="s">
        <v>271</v>
      </c>
      <c r="C4" s="312" t="s">
        <v>272</v>
      </c>
      <c r="D4" s="313"/>
      <c r="E4" s="313"/>
      <c r="F4" s="312"/>
      <c r="G4" s="313"/>
      <c r="H4" s="313"/>
      <c r="I4" s="312" t="s">
        <v>273</v>
      </c>
      <c r="J4" s="313"/>
      <c r="K4" s="314"/>
      <c r="L4" s="94" t="s">
        <v>274</v>
      </c>
    </row>
    <row r="5" spans="2:12" ht="33" customHeight="1">
      <c r="B5" s="40" t="s">
        <v>275</v>
      </c>
      <c r="C5" s="300" t="s">
        <v>399</v>
      </c>
      <c r="D5" s="301"/>
      <c r="E5" s="301"/>
      <c r="F5" s="301"/>
      <c r="G5" s="301"/>
      <c r="H5" s="302"/>
      <c r="I5" s="300" t="s">
        <v>277</v>
      </c>
      <c r="J5" s="301"/>
      <c r="K5" s="301"/>
      <c r="L5" s="41">
        <v>9.1</v>
      </c>
    </row>
    <row r="6" spans="2:12" ht="18" customHeight="1">
      <c r="B6" s="95"/>
      <c r="C6" s="96"/>
      <c r="D6" s="96"/>
      <c r="E6" s="96"/>
      <c r="F6" s="96"/>
      <c r="G6" s="96"/>
      <c r="H6" s="96"/>
      <c r="I6" s="97"/>
      <c r="J6" s="97"/>
      <c r="K6" s="97"/>
      <c r="L6" s="98"/>
    </row>
    <row r="7" spans="2:12" ht="15.6">
      <c r="B7" s="317" t="s">
        <v>439</v>
      </c>
      <c r="C7" s="318"/>
      <c r="D7" s="318"/>
      <c r="E7" s="318"/>
      <c r="F7" s="318"/>
      <c r="G7" s="318"/>
      <c r="H7" s="318"/>
      <c r="I7" s="318"/>
      <c r="J7" s="318"/>
      <c r="K7" s="318"/>
      <c r="L7" s="318"/>
    </row>
    <row r="8" spans="2:12">
      <c r="B8" s="277"/>
      <c r="C8" s="312" t="s">
        <v>272</v>
      </c>
      <c r="D8" s="313"/>
      <c r="E8" s="313"/>
      <c r="F8" s="312"/>
      <c r="G8" s="313"/>
      <c r="H8" s="313"/>
      <c r="I8" s="312" t="s">
        <v>273</v>
      </c>
      <c r="J8" s="313"/>
      <c r="K8" s="314"/>
      <c r="L8" s="101"/>
    </row>
    <row r="9" spans="2:12" ht="180" customHeight="1">
      <c r="B9" s="40" t="s">
        <v>275</v>
      </c>
      <c r="C9" s="310" t="s">
        <v>440</v>
      </c>
      <c r="D9" s="301"/>
      <c r="E9" s="301"/>
      <c r="F9" s="301"/>
      <c r="G9" s="301"/>
      <c r="H9" s="302"/>
      <c r="I9" s="310" t="s">
        <v>441</v>
      </c>
      <c r="J9" s="311"/>
      <c r="K9" s="311"/>
      <c r="L9" s="101">
        <v>9</v>
      </c>
    </row>
    <row r="10" spans="2:12" ht="71.099999999999994" customHeight="1">
      <c r="B10" s="40" t="s">
        <v>275</v>
      </c>
      <c r="C10" s="275" t="s">
        <v>442</v>
      </c>
      <c r="D10" s="274"/>
      <c r="E10" s="274"/>
      <c r="F10" s="274"/>
      <c r="G10" s="274"/>
      <c r="H10" s="276"/>
      <c r="I10" s="310"/>
      <c r="J10" s="311"/>
      <c r="K10" s="331"/>
      <c r="L10" s="101"/>
    </row>
    <row r="11" spans="2:12" ht="71.099999999999994" customHeight="1">
      <c r="B11" s="40" t="s">
        <v>275</v>
      </c>
      <c r="C11" s="310" t="s">
        <v>443</v>
      </c>
      <c r="D11" s="311"/>
      <c r="E11" s="311"/>
      <c r="F11" s="311"/>
      <c r="G11" s="311"/>
      <c r="H11" s="332"/>
      <c r="I11" s="324" t="s">
        <v>444</v>
      </c>
      <c r="J11" s="325"/>
      <c r="K11" s="326"/>
      <c r="L11" s="101">
        <v>9</v>
      </c>
    </row>
    <row r="12" spans="2:12" ht="150.94999999999999" customHeight="1">
      <c r="B12" s="40" t="s">
        <v>275</v>
      </c>
      <c r="C12" s="310" t="s">
        <v>445</v>
      </c>
      <c r="D12" s="311"/>
      <c r="E12" s="311"/>
      <c r="F12" s="311"/>
      <c r="G12" s="311"/>
      <c r="H12" s="332"/>
      <c r="I12" s="327"/>
      <c r="J12" s="328"/>
      <c r="K12" s="329"/>
      <c r="L12" s="101">
        <v>9</v>
      </c>
    </row>
    <row r="13" spans="2:12" ht="15" customHeight="1">
      <c r="B13" s="102"/>
      <c r="C13" s="73"/>
      <c r="D13" s="74"/>
      <c r="E13" s="74"/>
      <c r="F13" s="74"/>
      <c r="G13" s="74"/>
      <c r="H13" s="75"/>
      <c r="I13" s="76"/>
      <c r="J13" s="77"/>
      <c r="K13" s="77"/>
      <c r="L13" s="101"/>
    </row>
    <row r="14" spans="2:12" ht="15.6">
      <c r="B14" s="317" t="s">
        <v>446</v>
      </c>
      <c r="C14" s="318"/>
      <c r="D14" s="318"/>
      <c r="E14" s="318"/>
      <c r="F14" s="318"/>
      <c r="G14" s="318"/>
      <c r="H14" s="318"/>
      <c r="I14" s="318"/>
      <c r="J14" s="318"/>
      <c r="K14" s="318"/>
      <c r="L14" s="41"/>
    </row>
    <row r="15" spans="2:12" ht="29.25" customHeight="1">
      <c r="B15" s="40" t="s">
        <v>275</v>
      </c>
      <c r="C15" s="300" t="s">
        <v>447</v>
      </c>
      <c r="D15" s="301"/>
      <c r="E15" s="301"/>
      <c r="F15" s="301"/>
      <c r="G15" s="301"/>
      <c r="H15" s="302"/>
      <c r="I15" s="310"/>
      <c r="J15" s="311"/>
      <c r="K15" s="311"/>
      <c r="L15" s="41">
        <v>9.1</v>
      </c>
    </row>
    <row r="16" spans="2:12" ht="29.25" customHeight="1">
      <c r="B16" s="40" t="s">
        <v>275</v>
      </c>
      <c r="C16" s="333" t="s">
        <v>448</v>
      </c>
      <c r="D16" s="333"/>
      <c r="E16" s="333"/>
      <c r="F16" s="333"/>
      <c r="G16" s="333"/>
      <c r="H16" s="333"/>
      <c r="I16" s="330" t="s">
        <v>449</v>
      </c>
      <c r="J16" s="330"/>
      <c r="K16" s="330"/>
      <c r="L16" s="103">
        <v>9.1</v>
      </c>
    </row>
    <row r="17" spans="2:12" ht="29.25" customHeight="1">
      <c r="B17" s="104"/>
      <c r="C17" s="78"/>
      <c r="D17" s="79"/>
      <c r="E17" s="79"/>
      <c r="F17" s="79"/>
      <c r="G17" s="79"/>
      <c r="H17" s="79"/>
      <c r="I17" s="78"/>
      <c r="J17" s="78"/>
      <c r="K17" s="78"/>
      <c r="L17" s="103"/>
    </row>
    <row r="18" spans="2:12" ht="15.6">
      <c r="B18" s="317" t="s">
        <v>450</v>
      </c>
      <c r="C18" s="318"/>
      <c r="D18" s="318"/>
      <c r="E18" s="318"/>
      <c r="F18" s="318"/>
      <c r="G18" s="318"/>
      <c r="H18" s="318"/>
      <c r="I18" s="318"/>
      <c r="J18" s="318"/>
      <c r="K18" s="318"/>
      <c r="L18" s="41"/>
    </row>
    <row r="19" spans="2:12" ht="18.95" customHeight="1">
      <c r="B19" s="277" t="s">
        <v>271</v>
      </c>
      <c r="C19" s="312" t="s">
        <v>272</v>
      </c>
      <c r="D19" s="313"/>
      <c r="E19" s="313"/>
      <c r="F19" s="312"/>
      <c r="G19" s="313"/>
      <c r="H19" s="313"/>
      <c r="I19" s="312" t="s">
        <v>273</v>
      </c>
      <c r="J19" s="313"/>
      <c r="K19" s="314"/>
      <c r="L19" s="41"/>
    </row>
    <row r="20" spans="2:12">
      <c r="B20" s="40" t="s">
        <v>275</v>
      </c>
      <c r="C20" s="300" t="s">
        <v>309</v>
      </c>
      <c r="D20" s="301"/>
      <c r="E20" s="301"/>
      <c r="F20" s="301"/>
      <c r="G20" s="301"/>
      <c r="H20" s="302"/>
      <c r="I20" s="310" t="s">
        <v>451</v>
      </c>
      <c r="J20" s="311"/>
      <c r="K20" s="311"/>
      <c r="L20" s="41">
        <v>9.1</v>
      </c>
    </row>
    <row r="21" spans="2:12">
      <c r="B21" s="40" t="s">
        <v>275</v>
      </c>
      <c r="C21" s="300" t="s">
        <v>452</v>
      </c>
      <c r="D21" s="301"/>
      <c r="E21" s="301"/>
      <c r="F21" s="301"/>
      <c r="G21" s="301"/>
      <c r="H21" s="302"/>
      <c r="I21" s="324" t="s">
        <v>453</v>
      </c>
      <c r="J21" s="325"/>
      <c r="K21" s="326"/>
      <c r="L21" s="41">
        <v>9.1</v>
      </c>
    </row>
    <row r="22" spans="2:12" ht="54" customHeight="1">
      <c r="B22" s="40" t="s">
        <v>275</v>
      </c>
      <c r="C22" s="310" t="s">
        <v>454</v>
      </c>
      <c r="D22" s="301"/>
      <c r="E22" s="301"/>
      <c r="F22" s="301"/>
      <c r="G22" s="301"/>
      <c r="H22" s="302"/>
      <c r="I22" s="327"/>
      <c r="J22" s="328"/>
      <c r="K22" s="329"/>
      <c r="L22" s="41">
        <v>9.1</v>
      </c>
    </row>
    <row r="23" spans="2:12">
      <c r="B23" s="95"/>
      <c r="D23" s="96"/>
      <c r="E23" s="96"/>
      <c r="F23" s="96"/>
      <c r="G23" s="96"/>
      <c r="H23" s="96"/>
      <c r="I23" s="97"/>
      <c r="J23" s="97"/>
      <c r="K23" s="97"/>
      <c r="L23" s="41"/>
    </row>
    <row r="24" spans="2:12" ht="15.6">
      <c r="B24" s="317" t="s">
        <v>316</v>
      </c>
      <c r="C24" s="318"/>
      <c r="D24" s="318"/>
      <c r="E24" s="318"/>
      <c r="F24" s="318"/>
      <c r="G24" s="318"/>
      <c r="H24" s="318"/>
      <c r="I24" s="318"/>
      <c r="J24" s="318"/>
      <c r="K24" s="318"/>
      <c r="L24" s="318"/>
    </row>
    <row r="25" spans="2:12">
      <c r="B25" s="52"/>
      <c r="C25" s="303" t="s">
        <v>317</v>
      </c>
      <c r="D25" s="304"/>
      <c r="E25" s="304"/>
      <c r="F25" s="305" t="s">
        <v>318</v>
      </c>
      <c r="G25" s="306"/>
      <c r="H25" s="306"/>
      <c r="I25" s="53"/>
      <c r="J25" s="53"/>
      <c r="K25" s="54"/>
      <c r="L25" s="101"/>
    </row>
    <row r="26" spans="2:12">
      <c r="B26" s="55" t="s">
        <v>271</v>
      </c>
      <c r="C26" s="68" t="s">
        <v>319</v>
      </c>
      <c r="D26" s="69" t="s">
        <v>320</v>
      </c>
      <c r="E26" s="69" t="s">
        <v>321</v>
      </c>
      <c r="F26" s="70" t="s">
        <v>322</v>
      </c>
      <c r="G26" s="70" t="s">
        <v>323</v>
      </c>
      <c r="H26" s="70" t="s">
        <v>324</v>
      </c>
      <c r="I26" s="59" t="s">
        <v>325</v>
      </c>
      <c r="J26" s="59" t="s">
        <v>326</v>
      </c>
      <c r="K26" s="263" t="s">
        <v>273</v>
      </c>
      <c r="L26" s="101"/>
    </row>
    <row r="27" spans="2:12" ht="14.25">
      <c r="B27" s="40" t="s">
        <v>275</v>
      </c>
      <c r="C27" s="64" t="str">
        <f>Devices_Internet_Name</f>
        <v>Devices on Internet or Wi-Fi</v>
      </c>
      <c r="D27" s="42"/>
      <c r="E27" s="42"/>
      <c r="F27" s="24" t="str">
        <f>ComAccess</f>
        <v>Workspace ONE Access</v>
      </c>
      <c r="G27" s="24" t="str">
        <f>AccessDNS</f>
        <v>access.haramco.xyz</v>
      </c>
      <c r="H27" s="24" t="str">
        <f>AccessDnsIp</f>
        <v>192.168.1.30</v>
      </c>
      <c r="I27" s="127" t="s">
        <v>330</v>
      </c>
      <c r="J27" s="84">
        <v>443</v>
      </c>
      <c r="K27" s="286" t="s">
        <v>455</v>
      </c>
      <c r="L27" s="101">
        <v>9</v>
      </c>
    </row>
    <row r="28" spans="2:12" ht="28.5">
      <c r="B28" s="40" t="s">
        <v>275</v>
      </c>
      <c r="C28" s="64" t="str">
        <f>Devices_Internet_Name</f>
        <v>Devices on Internet or Wi-Fi</v>
      </c>
      <c r="D28" s="42"/>
      <c r="E28" s="42"/>
      <c r="F28" s="24" t="str">
        <f>ComAccess</f>
        <v>Workspace ONE Access</v>
      </c>
      <c r="G28" s="24" t="str">
        <f>AccessDNS</f>
        <v>access.haramco.xyz</v>
      </c>
      <c r="H28" s="24" t="str">
        <f>AccessDnsIp</f>
        <v>192.168.1.30</v>
      </c>
      <c r="I28" s="127" t="s">
        <v>330</v>
      </c>
      <c r="J28" s="84">
        <v>7443</v>
      </c>
      <c r="K28" s="286" t="s">
        <v>456</v>
      </c>
      <c r="L28" s="101">
        <v>9</v>
      </c>
    </row>
    <row r="29" spans="2:12" ht="28.5">
      <c r="B29" s="40" t="s">
        <v>275</v>
      </c>
      <c r="C29" s="64" t="str">
        <f>Devices_Internet_Name</f>
        <v>Devices on Internet or Wi-Fi</v>
      </c>
      <c r="D29" s="42"/>
      <c r="E29" s="42"/>
      <c r="F29" s="24" t="str">
        <f>ComAccess</f>
        <v>Workspace ONE Access</v>
      </c>
      <c r="G29" s="24" t="str">
        <f>AccessDNS</f>
        <v>access.haramco.xyz</v>
      </c>
      <c r="H29" s="24" t="str">
        <f>AccessDnsIp</f>
        <v>192.168.1.30</v>
      </c>
      <c r="I29" s="127" t="s">
        <v>330</v>
      </c>
      <c r="J29" s="84">
        <v>5262</v>
      </c>
      <c r="K29" s="286" t="s">
        <v>457</v>
      </c>
      <c r="L29" s="101">
        <v>9</v>
      </c>
    </row>
    <row r="30" spans="2:12" ht="57">
      <c r="B30" s="40" t="s">
        <v>275</v>
      </c>
      <c r="C30" s="64" t="str">
        <f>Devices_Internet_Name</f>
        <v>Devices on Internet or Wi-Fi</v>
      </c>
      <c r="D30" s="42"/>
      <c r="E30" s="42"/>
      <c r="F30" s="24" t="str">
        <f>ComAccess</f>
        <v>Workspace ONE Access</v>
      </c>
      <c r="G30" s="24" t="str">
        <f>IF(deploymenttype="SaaS",cloudkdc,AccessDNS)</f>
        <v>access.haramco.xyz</v>
      </c>
      <c r="H30" s="24" t="str">
        <f>AccessDnsIp</f>
        <v>192.168.1.30</v>
      </c>
      <c r="I30" s="127" t="s">
        <v>352</v>
      </c>
      <c r="J30" s="84">
        <v>88</v>
      </c>
      <c r="K30" s="286" t="s">
        <v>458</v>
      </c>
      <c r="L30" s="101">
        <v>9</v>
      </c>
    </row>
    <row r="31" spans="2:12" ht="42.75">
      <c r="B31" s="40" t="s">
        <v>275</v>
      </c>
      <c r="C31" s="106" t="str">
        <f t="shared" ref="C31:C41" si="0">ComAccess</f>
        <v>Workspace ONE Access</v>
      </c>
      <c r="D31" s="107" t="str">
        <f t="shared" ref="D31:D41" si="1">AccessServerName</f>
        <v>access1.haramco.xyz</v>
      </c>
      <c r="E31" s="86" t="str">
        <f t="shared" ref="E31:E41" si="2">AccessIP</f>
        <v>192.168.1.84</v>
      </c>
      <c r="F31" s="24" t="s">
        <v>459</v>
      </c>
      <c r="G31" s="24" t="s">
        <v>460</v>
      </c>
      <c r="H31" s="24" t="s">
        <v>461</v>
      </c>
      <c r="I31" s="127" t="s">
        <v>462</v>
      </c>
      <c r="J31" s="84">
        <v>88</v>
      </c>
      <c r="K31" s="286" t="s">
        <v>463</v>
      </c>
      <c r="L31" s="101">
        <v>9</v>
      </c>
    </row>
    <row r="32" spans="2:12" ht="28.5">
      <c r="B32" s="40" t="s">
        <v>275</v>
      </c>
      <c r="C32" s="106" t="str">
        <f t="shared" si="0"/>
        <v>Workspace ONE Access</v>
      </c>
      <c r="D32" s="107" t="str">
        <f t="shared" si="1"/>
        <v>access1.haramco.xyz</v>
      </c>
      <c r="E32" s="86" t="str">
        <f t="shared" si="2"/>
        <v>192.168.1.84</v>
      </c>
      <c r="F32" s="24" t="str">
        <f>ComAccess</f>
        <v>Workspace ONE Access</v>
      </c>
      <c r="G32" s="24" t="str">
        <f>AccessDNS</f>
        <v>access.haramco.xyz</v>
      </c>
      <c r="H32" s="24" t="str">
        <f>AccessDnsIp</f>
        <v>192.168.1.30</v>
      </c>
      <c r="I32" s="127" t="s">
        <v>330</v>
      </c>
      <c r="J32" s="84">
        <v>443</v>
      </c>
      <c r="K32" s="286" t="s">
        <v>464</v>
      </c>
      <c r="L32" s="101">
        <v>9</v>
      </c>
    </row>
    <row r="33" spans="1:12" ht="42.75">
      <c r="B33" s="40" t="s">
        <v>275</v>
      </c>
      <c r="C33" s="106" t="str">
        <f t="shared" si="0"/>
        <v>Workspace ONE Access</v>
      </c>
      <c r="D33" s="107" t="str">
        <f t="shared" si="1"/>
        <v>access1.haramco.xyz</v>
      </c>
      <c r="E33" s="86" t="str">
        <f t="shared" si="2"/>
        <v>192.168.1.84</v>
      </c>
      <c r="F33" s="24" t="str">
        <f>_xlfn.CONCAT(ComAccess, " (Servers)")</f>
        <v>Workspace ONE Access (Servers)</v>
      </c>
      <c r="G33" s="24" t="str">
        <f>AccessServerName</f>
        <v>access1.haramco.xyz</v>
      </c>
      <c r="H33" s="24" t="str">
        <f>AccessIP</f>
        <v>192.168.1.84</v>
      </c>
      <c r="I33" s="84" t="s">
        <v>465</v>
      </c>
      <c r="J33" s="84" t="s">
        <v>466</v>
      </c>
      <c r="K33" s="286" t="s">
        <v>467</v>
      </c>
      <c r="L33" s="101">
        <v>9</v>
      </c>
    </row>
    <row r="34" spans="1:12" ht="14.25">
      <c r="B34" s="40" t="s">
        <v>275</v>
      </c>
      <c r="C34" s="106" t="str">
        <f t="shared" si="0"/>
        <v>Workspace ONE Access</v>
      </c>
      <c r="D34" s="107" t="str">
        <f t="shared" si="1"/>
        <v>access1.haramco.xyz</v>
      </c>
      <c r="E34" s="86" t="str">
        <f t="shared" si="2"/>
        <v>192.168.1.84</v>
      </c>
      <c r="F34" s="24" t="str">
        <f>ComAccessDB</f>
        <v>Workspace ONE Access [DB]</v>
      </c>
      <c r="G34" s="24" t="str">
        <f>AccessDatabase</f>
        <v>database.haramco.xyz</v>
      </c>
      <c r="H34" s="24" t="str">
        <f>AccessDatabaseIp</f>
        <v>192.168.1.30</v>
      </c>
      <c r="I34" s="130" t="s">
        <v>327</v>
      </c>
      <c r="J34" s="84">
        <v>1433</v>
      </c>
      <c r="K34" s="131" t="s">
        <v>468</v>
      </c>
      <c r="L34" s="101">
        <v>9</v>
      </c>
    </row>
    <row r="35" spans="1:12" ht="28.5">
      <c r="B35" s="40" t="s">
        <v>275</v>
      </c>
      <c r="C35" s="106" t="str">
        <f t="shared" si="0"/>
        <v>Workspace ONE Access</v>
      </c>
      <c r="D35" s="107" t="str">
        <f t="shared" si="1"/>
        <v>access1.haramco.xyz</v>
      </c>
      <c r="E35" s="86" t="str">
        <f t="shared" si="2"/>
        <v>192.168.1.84</v>
      </c>
      <c r="F35" s="24" t="str">
        <f>IF(UsingSeparateAPI = "Yes", ComUEMAPI, ComUEMDS)</f>
        <v>UEM Device Services Server</v>
      </c>
      <c r="G35" s="24" t="str">
        <f>apidns</f>
        <v>tcuds.haramco.xyz</v>
      </c>
      <c r="H35" s="24" t="str">
        <f>apidnsip</f>
        <v>192.168.1.30</v>
      </c>
      <c r="I35" s="84" t="s">
        <v>330</v>
      </c>
      <c r="J35" s="84">
        <v>443</v>
      </c>
      <c r="K35" s="286" t="s">
        <v>469</v>
      </c>
      <c r="L35" s="101">
        <v>9</v>
      </c>
    </row>
    <row r="36" spans="1:12" ht="14.25">
      <c r="B36" s="40" t="s">
        <v>275</v>
      </c>
      <c r="C36" s="106" t="str">
        <f t="shared" si="0"/>
        <v>Workspace ONE Access</v>
      </c>
      <c r="D36" s="107" t="str">
        <f t="shared" si="1"/>
        <v>access1.haramco.xyz</v>
      </c>
      <c r="E36" s="86" t="str">
        <f t="shared" si="2"/>
        <v>192.168.1.84</v>
      </c>
      <c r="F36" s="24" t="str">
        <f>ComMailServer</f>
        <v>Mail Server</v>
      </c>
      <c r="G36" s="24" t="str">
        <f>SMTPServerName</f>
        <v>smtp.fqdn.com</v>
      </c>
      <c r="H36" s="24" t="str">
        <f>SMTPIp</f>
        <v>#.#.#.#</v>
      </c>
      <c r="I36" s="84" t="s">
        <v>327</v>
      </c>
      <c r="J36" s="84">
        <v>25</v>
      </c>
      <c r="K36" s="286"/>
      <c r="L36" s="101">
        <v>9</v>
      </c>
    </row>
    <row r="37" spans="1:12" ht="14.25">
      <c r="B37" s="40" t="s">
        <v>44</v>
      </c>
      <c r="C37" s="106" t="str">
        <f t="shared" si="0"/>
        <v>Workspace ONE Access</v>
      </c>
      <c r="D37" s="107" t="str">
        <f t="shared" si="1"/>
        <v>access1.haramco.xyz</v>
      </c>
      <c r="E37" s="86" t="str">
        <f t="shared" si="2"/>
        <v>192.168.1.84</v>
      </c>
      <c r="F37" s="24" t="str">
        <f>ComDNS</f>
        <v>DNS Server</v>
      </c>
      <c r="G37" s="24" t="str">
        <f>DNSServerName</f>
        <v>dns.fqdn.com</v>
      </c>
      <c r="H37" s="24" t="str">
        <f>DNSIP</f>
        <v>192.168.1.31</v>
      </c>
      <c r="I37" s="84" t="s">
        <v>352</v>
      </c>
      <c r="J37" s="84">
        <v>53</v>
      </c>
      <c r="K37" s="286"/>
      <c r="L37" s="101">
        <v>9</v>
      </c>
    </row>
    <row r="38" spans="1:12" ht="14.25">
      <c r="B38" s="40" t="s">
        <v>275</v>
      </c>
      <c r="C38" s="106" t="str">
        <f t="shared" si="0"/>
        <v>Workspace ONE Access</v>
      </c>
      <c r="D38" s="107" t="str">
        <f t="shared" si="1"/>
        <v>access1.haramco.xyz</v>
      </c>
      <c r="E38" s="86" t="str">
        <f t="shared" si="2"/>
        <v>192.168.1.84</v>
      </c>
      <c r="F38" s="24" t="s">
        <v>374</v>
      </c>
      <c r="G38" s="42"/>
      <c r="H38" s="42"/>
      <c r="I38" s="84" t="s">
        <v>330</v>
      </c>
      <c r="J38" s="84">
        <v>443</v>
      </c>
      <c r="K38" s="286" t="s">
        <v>470</v>
      </c>
      <c r="L38" s="101">
        <v>9</v>
      </c>
    </row>
    <row r="39" spans="1:12" ht="14.25">
      <c r="B39" s="40" t="str">
        <f>IF(UsingWSONEAutoUpdate="Yes", "Pending", "N/A")</f>
        <v>N/A</v>
      </c>
      <c r="C39" s="106" t="str">
        <f t="shared" si="0"/>
        <v>Workspace ONE Access</v>
      </c>
      <c r="D39" s="107" t="str">
        <f t="shared" si="1"/>
        <v>access1.haramco.xyz</v>
      </c>
      <c r="E39" s="86" t="str">
        <f t="shared" si="2"/>
        <v>192.168.1.84</v>
      </c>
      <c r="F39" s="24" t="s">
        <v>471</v>
      </c>
      <c r="G39" s="42"/>
      <c r="H39" s="42"/>
      <c r="I39" s="84" t="s">
        <v>330</v>
      </c>
      <c r="J39" s="84">
        <v>443</v>
      </c>
      <c r="K39" s="286" t="s">
        <v>472</v>
      </c>
      <c r="L39" s="101">
        <v>9</v>
      </c>
    </row>
    <row r="40" spans="1:12" ht="60" customHeight="1">
      <c r="B40" s="40" t="s">
        <v>275</v>
      </c>
      <c r="C40" s="106" t="str">
        <f t="shared" si="0"/>
        <v>Workspace ONE Access</v>
      </c>
      <c r="D40" s="107" t="str">
        <f t="shared" si="1"/>
        <v>access1.haramco.xyz</v>
      </c>
      <c r="E40" s="86" t="str">
        <f t="shared" si="2"/>
        <v>192.168.1.84</v>
      </c>
      <c r="F40" s="24" t="s">
        <v>473</v>
      </c>
      <c r="G40" s="42"/>
      <c r="H40" s="42"/>
      <c r="I40" s="84" t="s">
        <v>330</v>
      </c>
      <c r="J40" s="84">
        <v>443</v>
      </c>
      <c r="K40" s="286" t="s">
        <v>474</v>
      </c>
      <c r="L40" s="101">
        <v>9</v>
      </c>
    </row>
    <row r="41" spans="1:12" ht="60" customHeight="1">
      <c r="B41" s="40" t="str">
        <f>IF(UsingVmwareVerify="Yes", "Pending", "N/A")</f>
        <v>N/A</v>
      </c>
      <c r="C41" s="106" t="str">
        <f t="shared" si="0"/>
        <v>Workspace ONE Access</v>
      </c>
      <c r="D41" s="107" t="str">
        <f t="shared" si="1"/>
        <v>access1.haramco.xyz</v>
      </c>
      <c r="E41" s="86" t="str">
        <f t="shared" si="2"/>
        <v>192.168.1.84</v>
      </c>
      <c r="F41" s="24" t="s">
        <v>475</v>
      </c>
      <c r="G41" s="42"/>
      <c r="H41" s="42"/>
      <c r="I41" s="84" t="s">
        <v>330</v>
      </c>
      <c r="J41" s="84">
        <v>443</v>
      </c>
      <c r="K41" s="286" t="s">
        <v>476</v>
      </c>
      <c r="L41" s="101">
        <v>9</v>
      </c>
    </row>
    <row r="42" spans="1:12" ht="14.25">
      <c r="B42" s="40" t="s">
        <v>275</v>
      </c>
      <c r="C42" s="106" t="str">
        <f>ComBrowser</f>
        <v>Browser (for admin access)</v>
      </c>
      <c r="D42" s="71"/>
      <c r="E42" s="71"/>
      <c r="F42" s="24" t="str">
        <f>ComAccess</f>
        <v>Workspace ONE Access</v>
      </c>
      <c r="G42" s="24" t="str">
        <f>AccessDNS</f>
        <v>access.haramco.xyz</v>
      </c>
      <c r="H42" s="24" t="str">
        <f>AccessDnsIp</f>
        <v>192.168.1.30</v>
      </c>
      <c r="I42" s="84" t="s">
        <v>330</v>
      </c>
      <c r="J42" s="84">
        <v>8443</v>
      </c>
      <c r="K42" s="286"/>
      <c r="L42" s="101">
        <v>9</v>
      </c>
    </row>
    <row r="43" spans="1:12" ht="33" customHeight="1">
      <c r="A43" s="105"/>
      <c r="B43" s="40" t="s">
        <v>44</v>
      </c>
      <c r="C43" s="106" t="str">
        <f t="shared" ref="C43" si="3">ComAccess</f>
        <v>Workspace ONE Access</v>
      </c>
      <c r="D43" s="107" t="str">
        <f t="shared" ref="D43" si="4">AccessServerName</f>
        <v>access1.haramco.xyz</v>
      </c>
      <c r="E43" s="86" t="str">
        <f t="shared" ref="E43" si="5">AccessIP</f>
        <v>192.168.1.84</v>
      </c>
      <c r="F43" s="24" t="s">
        <v>477</v>
      </c>
      <c r="G43" s="24" t="s">
        <v>478</v>
      </c>
      <c r="H43" s="24" t="s">
        <v>122</v>
      </c>
      <c r="I43" s="84" t="s">
        <v>352</v>
      </c>
      <c r="J43" s="84">
        <v>445</v>
      </c>
      <c r="K43" s="286" t="s">
        <v>479</v>
      </c>
      <c r="L43" s="101">
        <v>9</v>
      </c>
    </row>
  </sheetData>
  <autoFilter ref="L4:L43" xr:uid="{00000000-0009-0000-0000-000004000000}"/>
  <mergeCells count="34">
    <mergeCell ref="C25:E25"/>
    <mergeCell ref="F25:H25"/>
    <mergeCell ref="C9:H9"/>
    <mergeCell ref="I9:K9"/>
    <mergeCell ref="B14:K14"/>
    <mergeCell ref="B18:K18"/>
    <mergeCell ref="C19:E19"/>
    <mergeCell ref="I16:K16"/>
    <mergeCell ref="C22:H22"/>
    <mergeCell ref="I10:K10"/>
    <mergeCell ref="C12:H12"/>
    <mergeCell ref="C11:H11"/>
    <mergeCell ref="I11:K12"/>
    <mergeCell ref="C15:H15"/>
    <mergeCell ref="I15:K15"/>
    <mergeCell ref="C16:H16"/>
    <mergeCell ref="B7:L7"/>
    <mergeCell ref="B24:L24"/>
    <mergeCell ref="I5:K5"/>
    <mergeCell ref="C5:H5"/>
    <mergeCell ref="C8:E8"/>
    <mergeCell ref="F8:H8"/>
    <mergeCell ref="I8:K8"/>
    <mergeCell ref="F19:H19"/>
    <mergeCell ref="C21:H21"/>
    <mergeCell ref="I19:K19"/>
    <mergeCell ref="C20:H20"/>
    <mergeCell ref="I20:K20"/>
    <mergeCell ref="I21:K22"/>
    <mergeCell ref="B2:L2"/>
    <mergeCell ref="B3:L3"/>
    <mergeCell ref="C4:E4"/>
    <mergeCell ref="F4:H4"/>
    <mergeCell ref="I4:K4"/>
  </mergeCells>
  <conditionalFormatting sqref="B6">
    <cfRule type="cellIs" dxfId="804" priority="198" operator="equal">
      <formula>"Complete"</formula>
    </cfRule>
    <cfRule type="cellIs" dxfId="803" priority="199" operator="equal">
      <formula>"N/A"</formula>
    </cfRule>
    <cfRule type="cellIs" dxfId="802" priority="200" operator="equal">
      <formula>"Open"</formula>
    </cfRule>
  </conditionalFormatting>
  <conditionalFormatting sqref="B23">
    <cfRule type="cellIs" dxfId="801" priority="195" operator="equal">
      <formula>"Complete"</formula>
    </cfRule>
    <cfRule type="cellIs" dxfId="800" priority="196" operator="equal">
      <formula>"N/A"</formula>
    </cfRule>
    <cfRule type="cellIs" dxfId="799" priority="197" operator="equal">
      <formula>"Open"</formula>
    </cfRule>
  </conditionalFormatting>
  <conditionalFormatting sqref="B3 B27 B13 L6 L13 B35:B38 B21:B22 L25:L39 L8:L10 B15:B16 L41 B43 L43">
    <cfRule type="cellIs" dxfId="798" priority="193" operator="equal">
      <formula>"Complete"</formula>
    </cfRule>
    <cfRule type="cellIs" dxfId="797" priority="194" operator="equal">
      <formula>"Pending"</formula>
    </cfRule>
  </conditionalFormatting>
  <conditionalFormatting sqref="B4">
    <cfRule type="cellIs" dxfId="796" priority="191" operator="equal">
      <formula>"Complete"</formula>
    </cfRule>
    <cfRule type="cellIs" dxfId="795" priority="192" operator="equal">
      <formula>"Pending"</formula>
    </cfRule>
  </conditionalFormatting>
  <conditionalFormatting sqref="B26">
    <cfRule type="cellIs" dxfId="794" priority="181" operator="equal">
      <formula>"Complete"</formula>
    </cfRule>
    <cfRule type="cellIs" dxfId="793" priority="182" operator="equal">
      <formula>"Pending"</formula>
    </cfRule>
  </conditionalFormatting>
  <conditionalFormatting sqref="B8">
    <cfRule type="cellIs" dxfId="792" priority="187" operator="equal">
      <formula>"Complete"</formula>
    </cfRule>
    <cfRule type="cellIs" dxfId="791" priority="188" operator="equal">
      <formula>"Pending"</formula>
    </cfRule>
  </conditionalFormatting>
  <conditionalFormatting sqref="B25">
    <cfRule type="cellIs" dxfId="790" priority="183" operator="equal">
      <formula>"Complete"</formula>
    </cfRule>
    <cfRule type="cellIs" dxfId="789" priority="184" operator="equal">
      <formula>"Pending"</formula>
    </cfRule>
  </conditionalFormatting>
  <conditionalFormatting sqref="B9">
    <cfRule type="cellIs" dxfId="788" priority="179" operator="equal">
      <formula>"Complete"</formula>
    </cfRule>
    <cfRule type="cellIs" dxfId="787" priority="180" operator="equal">
      <formula>"Pending"</formula>
    </cfRule>
  </conditionalFormatting>
  <conditionalFormatting sqref="L9:L10">
    <cfRule type="cellIs" dxfId="786" priority="165" operator="equal">
      <formula>"Complete"</formula>
    </cfRule>
    <cfRule type="cellIs" dxfId="785" priority="166" operator="equal">
      <formula>"Pending"</formula>
    </cfRule>
  </conditionalFormatting>
  <conditionalFormatting sqref="L9:L10">
    <cfRule type="cellIs" dxfId="784" priority="163" operator="equal">
      <formula>"Complete"</formula>
    </cfRule>
    <cfRule type="cellIs" dxfId="783" priority="164" operator="equal">
      <formula>"Pending"</formula>
    </cfRule>
  </conditionalFormatting>
  <conditionalFormatting sqref="B34">
    <cfRule type="cellIs" dxfId="782" priority="113" operator="equal">
      <formula>"Complete"</formula>
    </cfRule>
    <cfRule type="cellIs" dxfId="781" priority="114" operator="equal">
      <formula>"Pending"</formula>
    </cfRule>
  </conditionalFormatting>
  <conditionalFormatting sqref="B29">
    <cfRule type="cellIs" dxfId="780" priority="101" operator="equal">
      <formula>"Complete"</formula>
    </cfRule>
    <cfRule type="cellIs" dxfId="779" priority="102" operator="equal">
      <formula>"Pending"</formula>
    </cfRule>
  </conditionalFormatting>
  <conditionalFormatting sqref="B5">
    <cfRule type="cellIs" dxfId="778" priority="91" operator="equal">
      <formula>"Complete"</formula>
    </cfRule>
    <cfRule type="cellIs" dxfId="777" priority="92" operator="equal">
      <formula>"Pending"</formula>
    </cfRule>
  </conditionalFormatting>
  <conditionalFormatting sqref="B17">
    <cfRule type="cellIs" dxfId="776" priority="73" operator="equal">
      <formula>"Complete"</formula>
    </cfRule>
    <cfRule type="cellIs" dxfId="775" priority="74" operator="equal">
      <formula>"Pending"</formula>
    </cfRule>
  </conditionalFormatting>
  <conditionalFormatting sqref="B19">
    <cfRule type="cellIs" dxfId="774" priority="71" operator="equal">
      <formula>"Complete"</formula>
    </cfRule>
    <cfRule type="cellIs" dxfId="773" priority="72" operator="equal">
      <formula>"Pending"</formula>
    </cfRule>
  </conditionalFormatting>
  <conditionalFormatting sqref="B20">
    <cfRule type="cellIs" dxfId="772" priority="67" operator="equal">
      <formula>"Complete"</formula>
    </cfRule>
    <cfRule type="cellIs" dxfId="771" priority="68" operator="equal">
      <formula>"Pending"</formula>
    </cfRule>
  </conditionalFormatting>
  <conditionalFormatting sqref="B15">
    <cfRule type="cellIs" dxfId="770" priority="61" operator="equal">
      <formula>"Complete"</formula>
    </cfRule>
    <cfRule type="cellIs" dxfId="769" priority="62" operator="equal">
      <formula>"Pending"</formula>
    </cfRule>
  </conditionalFormatting>
  <conditionalFormatting sqref="B30:B31">
    <cfRule type="cellIs" dxfId="768" priority="59" operator="equal">
      <formula>"Complete"</formula>
    </cfRule>
    <cfRule type="cellIs" dxfId="767" priority="60" operator="equal">
      <formula>"Pending"</formula>
    </cfRule>
  </conditionalFormatting>
  <conditionalFormatting sqref="B16">
    <cfRule type="cellIs" dxfId="766" priority="57" operator="equal">
      <formula>"Complete"</formula>
    </cfRule>
    <cfRule type="cellIs" dxfId="765" priority="58" operator="equal">
      <formula>"Pending"</formula>
    </cfRule>
  </conditionalFormatting>
  <conditionalFormatting sqref="B32">
    <cfRule type="cellIs" dxfId="764" priority="55" operator="equal">
      <formula>"Complete"</formula>
    </cfRule>
    <cfRule type="cellIs" dxfId="763" priority="56" operator="equal">
      <formula>"Pending"</formula>
    </cfRule>
  </conditionalFormatting>
  <conditionalFormatting sqref="B28">
    <cfRule type="cellIs" dxfId="762" priority="49" operator="equal">
      <formula>"Complete"</formula>
    </cfRule>
    <cfRule type="cellIs" dxfId="761" priority="50" operator="equal">
      <formula>"Pending"</formula>
    </cfRule>
  </conditionalFormatting>
  <conditionalFormatting sqref="L12">
    <cfRule type="cellIs" dxfId="760" priority="39" operator="equal">
      <formula>"Complete"</formula>
    </cfRule>
    <cfRule type="cellIs" dxfId="759" priority="40" operator="equal">
      <formula>"Pending"</formula>
    </cfRule>
  </conditionalFormatting>
  <conditionalFormatting sqref="B12">
    <cfRule type="cellIs" dxfId="758" priority="37" operator="equal">
      <formula>"Complete"</formula>
    </cfRule>
    <cfRule type="cellIs" dxfId="757" priority="38" operator="equal">
      <formula>"Pending"</formula>
    </cfRule>
  </conditionalFormatting>
  <conditionalFormatting sqref="L12">
    <cfRule type="cellIs" dxfId="756" priority="35" operator="equal">
      <formula>"Complete"</formula>
    </cfRule>
    <cfRule type="cellIs" dxfId="755" priority="36" operator="equal">
      <formula>"Pending"</formula>
    </cfRule>
  </conditionalFormatting>
  <conditionalFormatting sqref="L12">
    <cfRule type="cellIs" dxfId="754" priority="33" operator="equal">
      <formula>"Complete"</formula>
    </cfRule>
    <cfRule type="cellIs" dxfId="753" priority="34" operator="equal">
      <formula>"Pending"</formula>
    </cfRule>
  </conditionalFormatting>
  <conditionalFormatting sqref="B10">
    <cfRule type="cellIs" dxfId="752" priority="31" operator="equal">
      <formula>"Complete"</formula>
    </cfRule>
    <cfRule type="cellIs" dxfId="751" priority="32" operator="equal">
      <formula>"Pending"</formula>
    </cfRule>
  </conditionalFormatting>
  <conditionalFormatting sqref="L11">
    <cfRule type="cellIs" dxfId="750" priority="29" operator="equal">
      <formula>"Complete"</formula>
    </cfRule>
    <cfRule type="cellIs" dxfId="749" priority="30" operator="equal">
      <formula>"Pending"</formula>
    </cfRule>
  </conditionalFormatting>
  <conditionalFormatting sqref="B11">
    <cfRule type="cellIs" dxfId="748" priority="27" operator="equal">
      <formula>"Complete"</formula>
    </cfRule>
    <cfRule type="cellIs" dxfId="747" priority="28" operator="equal">
      <formula>"Pending"</formula>
    </cfRule>
  </conditionalFormatting>
  <conditionalFormatting sqref="L11">
    <cfRule type="cellIs" dxfId="746" priority="25" operator="equal">
      <formula>"Complete"</formula>
    </cfRule>
    <cfRule type="cellIs" dxfId="745" priority="26" operator="equal">
      <formula>"Pending"</formula>
    </cfRule>
  </conditionalFormatting>
  <conditionalFormatting sqref="L11">
    <cfRule type="cellIs" dxfId="744" priority="23" operator="equal">
      <formula>"Complete"</formula>
    </cfRule>
    <cfRule type="cellIs" dxfId="743" priority="24" operator="equal">
      <formula>"Pending"</formula>
    </cfRule>
  </conditionalFormatting>
  <conditionalFormatting sqref="B33">
    <cfRule type="cellIs" dxfId="742" priority="21" operator="equal">
      <formula>"Complete"</formula>
    </cfRule>
    <cfRule type="cellIs" dxfId="741" priority="22" operator="equal">
      <formula>"Pending"</formula>
    </cfRule>
  </conditionalFormatting>
  <conditionalFormatting sqref="B7">
    <cfRule type="cellIs" dxfId="740" priority="15" operator="equal">
      <formula>"Complete"</formula>
    </cfRule>
    <cfRule type="cellIs" dxfId="739" priority="16" operator="equal">
      <formula>"Pending"</formula>
    </cfRule>
  </conditionalFormatting>
  <conditionalFormatting sqref="B14">
    <cfRule type="cellIs" dxfId="738" priority="13" operator="equal">
      <formula>"Complete"</formula>
    </cfRule>
    <cfRule type="cellIs" dxfId="737" priority="14" operator="equal">
      <formula>"Pending"</formula>
    </cfRule>
  </conditionalFormatting>
  <conditionalFormatting sqref="B18">
    <cfRule type="cellIs" dxfId="736" priority="11" operator="equal">
      <formula>"Complete"</formula>
    </cfRule>
    <cfRule type="cellIs" dxfId="735" priority="12" operator="equal">
      <formula>"Pending"</formula>
    </cfRule>
  </conditionalFormatting>
  <conditionalFormatting sqref="B24">
    <cfRule type="cellIs" dxfId="734" priority="9" operator="equal">
      <formula>"Complete"</formula>
    </cfRule>
    <cfRule type="cellIs" dxfId="733" priority="10" operator="equal">
      <formula>"Pending"</formula>
    </cfRule>
  </conditionalFormatting>
  <conditionalFormatting sqref="L40 B40">
    <cfRule type="cellIs" dxfId="732" priority="7" operator="equal">
      <formula>"Complete"</formula>
    </cfRule>
    <cfRule type="cellIs" dxfId="731" priority="8" operator="equal">
      <formula>"Pending"</formula>
    </cfRule>
  </conditionalFormatting>
  <conditionalFormatting sqref="B42 L42">
    <cfRule type="cellIs" dxfId="730" priority="5" operator="equal">
      <formula>"Complete"</formula>
    </cfRule>
    <cfRule type="cellIs" dxfId="729" priority="6" operator="equal">
      <formula>"Pending"</formula>
    </cfRule>
  </conditionalFormatting>
  <conditionalFormatting sqref="B41">
    <cfRule type="cellIs" dxfId="728" priority="3" operator="equal">
      <formula>"Complete"</formula>
    </cfRule>
    <cfRule type="cellIs" dxfId="727" priority="4" operator="equal">
      <formula>"Pending"</formula>
    </cfRule>
  </conditionalFormatting>
  <conditionalFormatting sqref="B39">
    <cfRule type="cellIs" dxfId="726" priority="1" operator="equal">
      <formula>"Complete"</formula>
    </cfRule>
    <cfRule type="cellIs" dxfId="725" priority="2" operator="equal">
      <formula>"Pending"</formula>
    </cfRule>
  </conditionalFormatting>
  <dataValidations count="6">
    <dataValidation type="list" allowBlank="1" showInputMessage="1" showErrorMessage="1" sqref="B5 B9:B13 B20:B22 B15:B17 B27:B43" xr:uid="{00000000-0002-0000-0400-000000000000}">
      <formula1>"Pending, Complete, N/A"</formula1>
    </dataValidation>
    <dataValidation type="list" allowBlank="1" showInputMessage="1" showErrorMessage="1" sqref="B23 B6" xr:uid="{00000000-0002-0000-0400-000001000000}">
      <formula1>"Open, N/A, Complete"</formula1>
    </dataValidation>
    <dataValidation type="whole" allowBlank="1" showInputMessage="1" showErrorMessage="1" errorTitle="Incorrect port value" error="This port cannot be modified" sqref="J27" xr:uid="{F781BA19-51FC-FF4A-B873-0D0614641490}">
      <formula1>443</formula1>
      <formula2>443</formula2>
    </dataValidation>
    <dataValidation type="whole" allowBlank="1" showInputMessage="1" showErrorMessage="1" sqref="J28" xr:uid="{D30CF08B-50D9-C04F-A80A-92E35E22E636}">
      <formula1>7443</formula1>
      <formula2>7443</formula2>
    </dataValidation>
    <dataValidation type="whole" allowBlank="1" showInputMessage="1" showErrorMessage="1" sqref="J29" xr:uid="{74C8DD7C-BC5F-4B41-828C-AE4B70043CAC}">
      <formula1>5262</formula1>
      <formula2>5262</formula2>
    </dataValidation>
    <dataValidation type="whole" allowBlank="1" showInputMessage="1" showErrorMessage="1" sqref="J30:J31" xr:uid="{9CB80CE2-B382-FD47-9468-7520EE353F32}">
      <formula1>88</formula1>
      <formula2>88</formula2>
    </dataValidation>
  </dataValidations>
  <pageMargins left="0.7" right="0.7" top="0.75" bottom="0.75" header="0.3" footer="0.3"/>
  <pageSetup scale="76"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tint="-0.499984740745262"/>
    <pageSetUpPr fitToPage="1"/>
  </sheetPr>
  <dimension ref="A1:J25"/>
  <sheetViews>
    <sheetView showGridLines="0" zoomScaleNormal="100" zoomScaleSheetLayoutView="100" workbookViewId="0">
      <selection activeCell="E23" sqref="E23"/>
    </sheetView>
  </sheetViews>
  <sheetFormatPr defaultColWidth="8.85546875" defaultRowHeight="14.45"/>
  <cols>
    <col min="1" max="1" width="3.42578125" customWidth="1"/>
    <col min="2" max="2" width="9.7109375" customWidth="1"/>
    <col min="3" max="3" width="26.140625" bestFit="1" customWidth="1"/>
    <col min="4" max="4" width="34.140625" style="3" customWidth="1"/>
    <col min="5" max="5" width="37.7109375" style="1" bestFit="1" customWidth="1"/>
    <col min="6" max="6" width="24.42578125" style="2" customWidth="1"/>
    <col min="7" max="7" width="13.42578125" customWidth="1"/>
    <col min="8" max="8" width="22.140625" customWidth="1"/>
    <col min="9" max="9" width="55.42578125" customWidth="1"/>
    <col min="10" max="10" width="15.140625" bestFit="1" customWidth="1"/>
  </cols>
  <sheetData>
    <row r="1" spans="1:10">
      <c r="F1" s="5"/>
    </row>
    <row r="2" spans="1:10" ht="36.75" customHeight="1">
      <c r="A2" s="9"/>
      <c r="B2" s="334" t="s">
        <v>480</v>
      </c>
      <c r="C2" s="335"/>
      <c r="D2" s="335"/>
      <c r="E2" s="335"/>
      <c r="F2" s="335"/>
      <c r="G2" s="335"/>
      <c r="H2" s="335"/>
      <c r="I2" s="335"/>
      <c r="J2" s="336"/>
    </row>
    <row r="3" spans="1:10" ht="15.6">
      <c r="A3" s="9"/>
      <c r="B3" s="296" t="s">
        <v>316</v>
      </c>
      <c r="C3" s="297"/>
      <c r="D3" s="297"/>
      <c r="E3" s="297"/>
      <c r="F3" s="297"/>
      <c r="G3" s="297"/>
      <c r="H3" s="297"/>
      <c r="I3" s="297"/>
      <c r="J3" s="297"/>
    </row>
    <row r="4" spans="1:10">
      <c r="A4" s="9"/>
      <c r="B4" s="52"/>
      <c r="C4" s="108" t="s">
        <v>481</v>
      </c>
      <c r="D4" s="337" t="s">
        <v>318</v>
      </c>
      <c r="E4" s="338"/>
      <c r="F4" s="339"/>
      <c r="G4" s="53"/>
      <c r="H4" s="53"/>
      <c r="I4" s="53"/>
      <c r="J4" s="53"/>
    </row>
    <row r="5" spans="1:10">
      <c r="A5" s="9"/>
      <c r="B5" s="55" t="s">
        <v>271</v>
      </c>
      <c r="C5" s="56" t="s">
        <v>319</v>
      </c>
      <c r="D5" s="58" t="s">
        <v>322</v>
      </c>
      <c r="E5" s="58" t="s">
        <v>323</v>
      </c>
      <c r="F5" s="70" t="s">
        <v>324</v>
      </c>
      <c r="G5" s="53" t="s">
        <v>325</v>
      </c>
      <c r="H5" s="53" t="s">
        <v>326</v>
      </c>
      <c r="I5" s="53" t="s">
        <v>159</v>
      </c>
      <c r="J5" s="53" t="s">
        <v>274</v>
      </c>
    </row>
    <row r="6" spans="1:10" ht="27.6">
      <c r="A6" s="9"/>
      <c r="B6" s="40" t="s">
        <v>275</v>
      </c>
      <c r="C6" s="64" t="str">
        <f t="shared" ref="C6:C25" si="0">Devices_Internet_Name</f>
        <v>Devices on Internet or Wi-Fi</v>
      </c>
      <c r="D6" s="24" t="s">
        <v>482</v>
      </c>
      <c r="E6" s="61"/>
      <c r="F6" s="61"/>
      <c r="G6" s="284" t="s">
        <v>327</v>
      </c>
      <c r="H6" s="284" t="s">
        <v>483</v>
      </c>
      <c r="I6" s="282" t="s">
        <v>484</v>
      </c>
      <c r="J6" s="43">
        <v>6.4</v>
      </c>
    </row>
    <row r="7" spans="1:10" ht="41.45">
      <c r="A7" s="9"/>
      <c r="B7" s="40" t="s">
        <v>275</v>
      </c>
      <c r="C7" s="64" t="str">
        <f t="shared" si="0"/>
        <v>Devices on Internet or Wi-Fi</v>
      </c>
      <c r="D7" s="24" t="s">
        <v>485</v>
      </c>
      <c r="E7" s="61"/>
      <c r="F7" s="61"/>
      <c r="G7" s="284" t="s">
        <v>339</v>
      </c>
      <c r="H7" s="284" t="s">
        <v>340</v>
      </c>
      <c r="I7" s="282" t="s">
        <v>346</v>
      </c>
      <c r="J7" s="43">
        <v>6.4</v>
      </c>
    </row>
    <row r="8" spans="1:10">
      <c r="A8" s="9"/>
      <c r="B8" s="40" t="s">
        <v>275</v>
      </c>
      <c r="C8" s="64" t="str">
        <f t="shared" si="0"/>
        <v>Devices on Internet or Wi-Fi</v>
      </c>
      <c r="D8" s="24" t="s">
        <v>486</v>
      </c>
      <c r="E8" s="61"/>
      <c r="F8" s="61"/>
      <c r="G8" s="284" t="s">
        <v>327</v>
      </c>
      <c r="H8" s="284">
        <v>5228</v>
      </c>
      <c r="I8" s="282" t="s">
        <v>341</v>
      </c>
      <c r="J8" s="43">
        <v>6.4</v>
      </c>
    </row>
    <row r="9" spans="1:10" ht="138">
      <c r="A9" s="9"/>
      <c r="B9" s="40" t="s">
        <v>275</v>
      </c>
      <c r="C9" s="64" t="str">
        <f t="shared" si="0"/>
        <v>Devices on Internet or Wi-Fi</v>
      </c>
      <c r="D9" s="24" t="s">
        <v>487</v>
      </c>
      <c r="E9" s="61"/>
      <c r="F9" s="61"/>
      <c r="G9" s="284" t="s">
        <v>352</v>
      </c>
      <c r="H9" s="284" t="s">
        <v>353</v>
      </c>
      <c r="I9" s="282" t="s">
        <v>354</v>
      </c>
      <c r="J9" s="43">
        <v>9.6999999999999993</v>
      </c>
    </row>
    <row r="10" spans="1:10" ht="27.6">
      <c r="A10" s="9"/>
      <c r="B10" s="40" t="s">
        <v>275</v>
      </c>
      <c r="C10" s="64" t="str">
        <f t="shared" si="0"/>
        <v>Devices on Internet or Wi-Fi</v>
      </c>
      <c r="D10" s="24" t="s">
        <v>355</v>
      </c>
      <c r="E10" s="61"/>
      <c r="F10" s="61"/>
      <c r="G10" s="284" t="s">
        <v>327</v>
      </c>
      <c r="H10" s="284" t="s">
        <v>356</v>
      </c>
      <c r="I10" s="282" t="s">
        <v>357</v>
      </c>
      <c r="J10" s="43">
        <v>9.6999999999999993</v>
      </c>
    </row>
    <row r="11" spans="1:10">
      <c r="A11" s="9"/>
      <c r="B11" s="40" t="s">
        <v>275</v>
      </c>
      <c r="C11" s="64" t="str">
        <f t="shared" si="0"/>
        <v>Devices on Internet or Wi-Fi</v>
      </c>
      <c r="D11" s="24" t="s">
        <v>358</v>
      </c>
      <c r="E11" s="61"/>
      <c r="F11" s="61"/>
      <c r="G11" s="284" t="s">
        <v>327</v>
      </c>
      <c r="H11" s="284">
        <v>443</v>
      </c>
      <c r="I11" s="282" t="s">
        <v>359</v>
      </c>
      <c r="J11" s="43">
        <v>9.6999999999999993</v>
      </c>
    </row>
    <row r="12" spans="1:10" ht="27.6">
      <c r="A12" s="9"/>
      <c r="B12" s="40" t="s">
        <v>275</v>
      </c>
      <c r="C12" s="64" t="str">
        <f t="shared" si="0"/>
        <v>Devices on Internet or Wi-Fi</v>
      </c>
      <c r="D12" s="24" t="s">
        <v>434</v>
      </c>
      <c r="E12" s="61"/>
      <c r="F12" s="61"/>
      <c r="G12" s="284" t="s">
        <v>327</v>
      </c>
      <c r="H12" s="284">
        <v>443</v>
      </c>
      <c r="I12" s="282" t="s">
        <v>361</v>
      </c>
      <c r="J12" s="43">
        <v>9.6999999999999993</v>
      </c>
    </row>
    <row r="13" spans="1:10" ht="27.6">
      <c r="A13" s="9"/>
      <c r="B13" s="40" t="s">
        <v>275</v>
      </c>
      <c r="C13" s="64" t="str">
        <f t="shared" si="0"/>
        <v>Devices on Internet or Wi-Fi</v>
      </c>
      <c r="D13" s="24" t="s">
        <v>366</v>
      </c>
      <c r="E13" s="61"/>
      <c r="F13" s="61"/>
      <c r="G13" s="284" t="s">
        <v>327</v>
      </c>
      <c r="H13" s="284">
        <v>443</v>
      </c>
      <c r="I13" s="282" t="s">
        <v>367</v>
      </c>
      <c r="J13" s="43">
        <v>9.6999999999999993</v>
      </c>
    </row>
    <row r="14" spans="1:10" ht="27.6">
      <c r="A14" s="9"/>
      <c r="B14" s="40" t="s">
        <v>275</v>
      </c>
      <c r="C14" s="64" t="str">
        <f t="shared" si="0"/>
        <v>Devices on Internet or Wi-Fi</v>
      </c>
      <c r="D14" s="24" t="s">
        <v>430</v>
      </c>
      <c r="E14" s="61"/>
      <c r="F14" s="61"/>
      <c r="G14" s="284" t="s">
        <v>339</v>
      </c>
      <c r="H14" s="284" t="s">
        <v>340</v>
      </c>
      <c r="I14" s="282" t="s">
        <v>488</v>
      </c>
      <c r="J14" s="43">
        <v>7.2</v>
      </c>
    </row>
    <row r="15" spans="1:10" ht="27.6">
      <c r="A15" s="9"/>
      <c r="B15" s="40" t="s">
        <v>275</v>
      </c>
      <c r="C15" s="64" t="str">
        <f t="shared" si="0"/>
        <v>Devices on Internet or Wi-Fi</v>
      </c>
      <c r="D15" s="24" t="s">
        <v>489</v>
      </c>
      <c r="E15" s="61"/>
      <c r="F15" s="61"/>
      <c r="G15" s="284" t="s">
        <v>330</v>
      </c>
      <c r="H15" s="284">
        <v>443</v>
      </c>
      <c r="I15" s="282" t="s">
        <v>488</v>
      </c>
      <c r="J15" s="43">
        <v>7.2</v>
      </c>
    </row>
    <row r="16" spans="1:10" ht="27.6">
      <c r="A16" s="9"/>
      <c r="B16" s="40" t="s">
        <v>275</v>
      </c>
      <c r="C16" s="64" t="str">
        <f t="shared" si="0"/>
        <v>Devices on Internet or Wi-Fi</v>
      </c>
      <c r="D16" s="24" t="s">
        <v>372</v>
      </c>
      <c r="E16" s="61"/>
      <c r="F16" s="61"/>
      <c r="G16" s="284" t="s">
        <v>339</v>
      </c>
      <c r="H16" s="284" t="s">
        <v>340</v>
      </c>
      <c r="I16" s="282" t="s">
        <v>488</v>
      </c>
      <c r="J16" s="43">
        <v>8.1</v>
      </c>
    </row>
    <row r="17" spans="1:10" ht="55.15">
      <c r="A17" s="9"/>
      <c r="B17" s="40" t="s">
        <v>275</v>
      </c>
      <c r="C17" s="64" t="str">
        <f t="shared" si="0"/>
        <v>Devices on Internet or Wi-Fi</v>
      </c>
      <c r="D17" s="24" t="s">
        <v>490</v>
      </c>
      <c r="E17" s="61"/>
      <c r="F17" s="61"/>
      <c r="G17" s="284" t="s">
        <v>330</v>
      </c>
      <c r="H17" s="284">
        <v>443</v>
      </c>
      <c r="I17" s="282" t="s">
        <v>491</v>
      </c>
      <c r="J17" s="43">
        <v>8.1</v>
      </c>
    </row>
    <row r="18" spans="1:10" ht="69">
      <c r="A18" s="9"/>
      <c r="B18" s="40" t="s">
        <v>275</v>
      </c>
      <c r="C18" s="64" t="str">
        <f t="shared" si="0"/>
        <v>Devices on Internet or Wi-Fi</v>
      </c>
      <c r="D18" s="24" t="s">
        <v>492</v>
      </c>
      <c r="E18" s="61"/>
      <c r="F18" s="61"/>
      <c r="G18" s="284" t="s">
        <v>330</v>
      </c>
      <c r="H18" s="284">
        <v>443</v>
      </c>
      <c r="I18" s="282" t="s">
        <v>493</v>
      </c>
      <c r="J18" s="43">
        <v>8.1</v>
      </c>
    </row>
    <row r="19" spans="1:10">
      <c r="A19" s="9"/>
      <c r="B19" s="40" t="s">
        <v>275</v>
      </c>
      <c r="C19" s="64" t="str">
        <f t="shared" si="0"/>
        <v>Devices on Internet or Wi-Fi</v>
      </c>
      <c r="D19" s="24" t="s">
        <v>431</v>
      </c>
      <c r="E19" s="61"/>
      <c r="F19" s="61"/>
      <c r="G19" s="284" t="s">
        <v>330</v>
      </c>
      <c r="H19" s="284">
        <v>443</v>
      </c>
      <c r="I19" s="282" t="s">
        <v>432</v>
      </c>
      <c r="J19" s="43">
        <v>6.4</v>
      </c>
    </row>
    <row r="20" spans="1:10">
      <c r="A20" s="9"/>
      <c r="B20" s="40" t="s">
        <v>275</v>
      </c>
      <c r="C20" s="64" t="str">
        <f t="shared" si="0"/>
        <v>Devices on Internet or Wi-Fi</v>
      </c>
      <c r="D20" s="24" t="s">
        <v>494</v>
      </c>
      <c r="E20" s="61"/>
      <c r="F20" s="61"/>
      <c r="G20" s="284" t="s">
        <v>330</v>
      </c>
      <c r="H20" s="284">
        <v>443</v>
      </c>
      <c r="I20" s="282" t="s">
        <v>495</v>
      </c>
      <c r="J20" s="43"/>
    </row>
    <row r="21" spans="1:10">
      <c r="A21" s="9"/>
      <c r="B21" s="40" t="s">
        <v>275</v>
      </c>
      <c r="C21" s="64" t="str">
        <f t="shared" si="0"/>
        <v>Devices on Internet or Wi-Fi</v>
      </c>
      <c r="D21" s="24" t="s">
        <v>388</v>
      </c>
      <c r="E21" s="61"/>
      <c r="F21" s="61"/>
      <c r="G21" s="284" t="s">
        <v>339</v>
      </c>
      <c r="H21" s="284" t="s">
        <v>340</v>
      </c>
      <c r="I21" s="282" t="s">
        <v>496</v>
      </c>
      <c r="J21" s="43">
        <v>6.4</v>
      </c>
    </row>
    <row r="22" spans="1:10">
      <c r="A22" s="9"/>
      <c r="B22" s="40" t="s">
        <v>275</v>
      </c>
      <c r="C22" s="64" t="str">
        <f t="shared" si="0"/>
        <v>Devices on Internet or Wi-Fi</v>
      </c>
      <c r="D22" s="24" t="s">
        <v>374</v>
      </c>
      <c r="E22" s="61"/>
      <c r="F22" s="61"/>
      <c r="G22" s="284" t="s">
        <v>330</v>
      </c>
      <c r="H22" s="284">
        <v>443</v>
      </c>
      <c r="I22" s="282" t="s">
        <v>497</v>
      </c>
      <c r="J22" s="43">
        <v>8.1</v>
      </c>
    </row>
    <row r="23" spans="1:10" ht="195">
      <c r="A23" s="9"/>
      <c r="B23" s="40" t="s">
        <v>275</v>
      </c>
      <c r="C23" s="64" t="str">
        <f t="shared" si="0"/>
        <v>Devices on Internet or Wi-Fi</v>
      </c>
      <c r="D23" s="24" t="s">
        <v>498</v>
      </c>
      <c r="E23" s="61"/>
      <c r="F23" s="61"/>
      <c r="G23" s="284" t="s">
        <v>330</v>
      </c>
      <c r="H23" s="284">
        <v>443</v>
      </c>
      <c r="I23" s="282" t="s">
        <v>499</v>
      </c>
      <c r="J23" s="43">
        <v>8.1</v>
      </c>
    </row>
    <row r="24" spans="1:10" ht="361.15">
      <c r="A24" s="9"/>
      <c r="B24" s="40" t="s">
        <v>275</v>
      </c>
      <c r="C24" s="64" t="str">
        <f t="shared" si="0"/>
        <v>Devices on Internet or Wi-Fi</v>
      </c>
      <c r="D24" s="24" t="s">
        <v>500</v>
      </c>
      <c r="E24" s="61"/>
      <c r="F24" s="61"/>
      <c r="G24" s="284" t="s">
        <v>339</v>
      </c>
      <c r="H24" s="284">
        <v>443</v>
      </c>
      <c r="I24" s="282" t="s">
        <v>501</v>
      </c>
      <c r="J24" s="43">
        <v>9</v>
      </c>
    </row>
    <row r="25" spans="1:10" ht="27.6">
      <c r="A25" s="9"/>
      <c r="B25" s="40" t="str">
        <f>IF(deploymenttype="SaaS","Pending","N/A")</f>
        <v>N/A</v>
      </c>
      <c r="C25" s="64" t="str">
        <f t="shared" si="0"/>
        <v>Devices on Internet or Wi-Fi</v>
      </c>
      <c r="D25" s="24" t="s">
        <v>502</v>
      </c>
      <c r="E25" s="61"/>
      <c r="F25" s="61"/>
      <c r="G25" s="284" t="s">
        <v>327</v>
      </c>
      <c r="H25" s="284">
        <v>5262</v>
      </c>
      <c r="I25" s="282" t="s">
        <v>503</v>
      </c>
      <c r="J25" s="43">
        <v>9</v>
      </c>
    </row>
  </sheetData>
  <autoFilter ref="J5:J23" xr:uid="{00000000-0009-0000-0000-000005000000}"/>
  <mergeCells count="3">
    <mergeCell ref="B2:J2"/>
    <mergeCell ref="D4:F4"/>
    <mergeCell ref="B3:J3"/>
  </mergeCells>
  <conditionalFormatting sqref="B3 B21:B22 B6:B9 B14:B17">
    <cfRule type="cellIs" dxfId="724" priority="45" operator="equal">
      <formula>"Complete"</formula>
    </cfRule>
    <cfRule type="cellIs" dxfId="723" priority="46" operator="equal">
      <formula>"Pending"</formula>
    </cfRule>
  </conditionalFormatting>
  <conditionalFormatting sqref="B4">
    <cfRule type="cellIs" dxfId="722" priority="41" operator="equal">
      <formula>"Complete"</formula>
    </cfRule>
    <cfRule type="cellIs" dxfId="721" priority="42" operator="equal">
      <formula>"Pending"</formula>
    </cfRule>
  </conditionalFormatting>
  <conditionalFormatting sqref="B23:B24">
    <cfRule type="cellIs" dxfId="720" priority="35" operator="equal">
      <formula>"Complete"</formula>
    </cfRule>
    <cfRule type="cellIs" dxfId="719" priority="36" operator="equal">
      <formula>"Pending"</formula>
    </cfRule>
  </conditionalFormatting>
  <conditionalFormatting sqref="B25">
    <cfRule type="cellIs" dxfId="718" priority="27" operator="equal">
      <formula>"Complete"</formula>
    </cfRule>
    <cfRule type="cellIs" dxfId="717" priority="28" operator="equal">
      <formula>"Pending"</formula>
    </cfRule>
  </conditionalFormatting>
  <conditionalFormatting sqref="B19:B20">
    <cfRule type="cellIs" dxfId="716" priority="25" operator="equal">
      <formula>"Complete"</formula>
    </cfRule>
    <cfRule type="cellIs" dxfId="715" priority="26" operator="equal">
      <formula>"Pending"</formula>
    </cfRule>
  </conditionalFormatting>
  <conditionalFormatting sqref="B18">
    <cfRule type="cellIs" dxfId="714" priority="23" operator="equal">
      <formula>"Complete"</formula>
    </cfRule>
    <cfRule type="cellIs" dxfId="713" priority="24" operator="equal">
      <formula>"Pending"</formula>
    </cfRule>
  </conditionalFormatting>
  <conditionalFormatting sqref="B10">
    <cfRule type="cellIs" dxfId="712" priority="9" operator="equal">
      <formula>"Complete"</formula>
    </cfRule>
    <cfRule type="cellIs" dxfId="711" priority="10" operator="equal">
      <formula>"Pending"</formula>
    </cfRule>
  </conditionalFormatting>
  <conditionalFormatting sqref="B13">
    <cfRule type="cellIs" dxfId="710" priority="7" operator="equal">
      <formula>"Complete"</formula>
    </cfRule>
    <cfRule type="cellIs" dxfId="709" priority="8" operator="equal">
      <formula>"Pending"</formula>
    </cfRule>
  </conditionalFormatting>
  <conditionalFormatting sqref="B11">
    <cfRule type="cellIs" dxfId="708" priority="5" operator="equal">
      <formula>"Complete"</formula>
    </cfRule>
    <cfRule type="cellIs" dxfId="707" priority="6" operator="equal">
      <formula>"Pending"</formula>
    </cfRule>
  </conditionalFormatting>
  <conditionalFormatting sqref="B12">
    <cfRule type="cellIs" dxfId="706" priority="3" operator="equal">
      <formula>"Complete"</formula>
    </cfRule>
    <cfRule type="cellIs" dxfId="705" priority="4" operator="equal">
      <formula>"Pending"</formula>
    </cfRule>
  </conditionalFormatting>
  <conditionalFormatting sqref="B5">
    <cfRule type="cellIs" dxfId="704" priority="1" operator="equal">
      <formula>"Complete"</formula>
    </cfRule>
    <cfRule type="cellIs" dxfId="703" priority="2" operator="equal">
      <formula>"Pending"</formula>
    </cfRule>
  </conditionalFormatting>
  <dataValidations count="1">
    <dataValidation type="list" allowBlank="1" showInputMessage="1" showErrorMessage="1" sqref="B6:B25" xr:uid="{00000000-0002-0000-0500-000001000000}">
      <formula1>"Pending, Complete, N/A"</formula1>
    </dataValidation>
  </dataValidations>
  <pageMargins left="0.7" right="0.7" top="0.75" bottom="0.75" header="0.3" footer="0.3"/>
  <pageSetup scale="37" orientation="portrait" horizontalDpi="4294967292" verticalDpi="4294967292"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F49C4B67BC1294E920F467E0A8C92D5" ma:contentTypeVersion="5" ma:contentTypeDescription="Create a new document." ma:contentTypeScope="" ma:versionID="eaa56b7ad0f1fc26519c68c66ba1d174">
  <xsd:schema xmlns:xsd="http://www.w3.org/2001/XMLSchema" xmlns:xs="http://www.w3.org/2001/XMLSchema" xmlns:p="http://schemas.microsoft.com/office/2006/metadata/properties" xmlns:ns3="2b358fc9-af72-40a7-8e6c-9aaef2ee7079" xmlns:ns4="809d60e0-4fd0-4844-9ff1-0d1c7b224338" targetNamespace="http://schemas.microsoft.com/office/2006/metadata/properties" ma:root="true" ma:fieldsID="9387b71428f4258bb9e72fe3db28a4a1" ns3:_="" ns4:_="">
    <xsd:import namespace="2b358fc9-af72-40a7-8e6c-9aaef2ee7079"/>
    <xsd:import namespace="809d60e0-4fd0-4844-9ff1-0d1c7b22433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358fc9-af72-40a7-8e6c-9aaef2ee707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09d60e0-4fd0-4844-9ff1-0d1c7b22433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378C54E-2121-40E0-88A2-010BE6DF122D}"/>
</file>

<file path=customXml/itemProps2.xml><?xml version="1.0" encoding="utf-8"?>
<ds:datastoreItem xmlns:ds="http://schemas.openxmlformats.org/officeDocument/2006/customXml" ds:itemID="{A5E56DF1-E1EC-43C5-A89A-8F89FBA174EE}"/>
</file>

<file path=customXml/itemProps3.xml><?xml version="1.0" encoding="utf-8"?>
<ds:datastoreItem xmlns:ds="http://schemas.openxmlformats.org/officeDocument/2006/customXml" ds:itemID="{DABB4B4A-54FD-4072-B56F-A68DCC17DAD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Vince Shah</dc:creator>
  <cp:keywords/>
  <dc:description/>
  <cp:lastModifiedBy>Hani Audah</cp:lastModifiedBy>
  <cp:revision/>
  <dcterms:created xsi:type="dcterms:W3CDTF">2013-11-23T02:50:42Z</dcterms:created>
  <dcterms:modified xsi:type="dcterms:W3CDTF">2020-06-12T21:37:04Z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443fdbf3-796d-418f-820a-4906e67faa6d</vt:lpwstr>
  </property>
  <property fmtid="{D5CDD505-2E9C-101B-9397-08002B2CF9AE}" pid="3" name="ContentTypeId">
    <vt:lpwstr>0x0101000F49C4B67BC1294E920F467E0A8C92D5</vt:lpwstr>
  </property>
  <property fmtid="{D5CDD505-2E9C-101B-9397-08002B2CF9AE}" pid="4" name="AuthorIds_UIVersion_2560">
    <vt:lpwstr>71</vt:lpwstr>
  </property>
</Properties>
</file>