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in2/Desktop/GitHub/Notes/RemNB/Purdue/"/>
    </mc:Choice>
  </mc:AlternateContent>
  <xr:revisionPtr revIDLastSave="0" documentId="8_{037C29B7-63C5-0E47-B33C-759961F797EA}" xr6:coauthVersionLast="47" xr6:coauthVersionMax="47" xr10:uidLastSave="{00000000-0000-0000-0000-000000000000}"/>
  <bookViews>
    <workbookView xWindow="0" yWindow="740" windowWidth="34560" windowHeight="21600" activeTab="2" xr2:uid="{AFEB53E5-A291-E14A-921A-D77FACADB536}"/>
  </bookViews>
  <sheets>
    <sheet name="MT422U3" sheetId="1" r:id="rId1"/>
    <sheet name="MT422U4" sheetId="2" r:id="rId2"/>
    <sheet name="MT422U5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7" i="3" l="1"/>
  <c r="V11" i="3"/>
  <c r="U11" i="3"/>
  <c r="W11" i="3" s="1"/>
  <c r="V10" i="3"/>
  <c r="U10" i="3"/>
  <c r="X10" i="3" s="1"/>
  <c r="V9" i="3"/>
  <c r="U9" i="3"/>
  <c r="X9" i="3" s="1"/>
  <c r="V8" i="3"/>
  <c r="U8" i="3"/>
  <c r="W8" i="3" s="1"/>
  <c r="U7" i="3"/>
  <c r="X7" i="3" s="1"/>
  <c r="V6" i="3"/>
  <c r="U6" i="3"/>
  <c r="X6" i="3" s="1"/>
  <c r="V5" i="3"/>
  <c r="W5" i="3"/>
  <c r="V4" i="3"/>
  <c r="U4" i="3"/>
  <c r="X4" i="3" s="1"/>
  <c r="V3" i="3"/>
  <c r="U3" i="3"/>
  <c r="X3" i="3" s="1"/>
  <c r="C3" i="3"/>
  <c r="C4" i="3"/>
  <c r="C5" i="3"/>
  <c r="C6" i="3"/>
  <c r="E6" i="3" s="1"/>
  <c r="C7" i="3"/>
  <c r="E7" i="3" s="1"/>
  <c r="C8" i="3"/>
  <c r="D3" i="3"/>
  <c r="D4" i="3"/>
  <c r="D5" i="3"/>
  <c r="D6" i="3"/>
  <c r="D7" i="3"/>
  <c r="D8" i="3"/>
  <c r="C9" i="3"/>
  <c r="D9" i="3"/>
  <c r="C10" i="3"/>
  <c r="D10" i="3"/>
  <c r="P5" i="3"/>
  <c r="P6" i="3"/>
  <c r="P7" i="3"/>
  <c r="P8" i="3"/>
  <c r="P9" i="3"/>
  <c r="P10" i="3"/>
  <c r="P11" i="3"/>
  <c r="P12" i="3"/>
  <c r="P13" i="3"/>
  <c r="P4" i="3"/>
  <c r="O5" i="3"/>
  <c r="O6" i="3"/>
  <c r="O7" i="3"/>
  <c r="O8" i="3"/>
  <c r="O9" i="3"/>
  <c r="O10" i="3"/>
  <c r="O11" i="3"/>
  <c r="O12" i="3"/>
  <c r="O13" i="3"/>
  <c r="O4" i="3"/>
  <c r="G19" i="3"/>
  <c r="G20" i="3"/>
  <c r="G21" i="3"/>
  <c r="G22" i="3"/>
  <c r="G18" i="3"/>
  <c r="F19" i="3"/>
  <c r="F20" i="3"/>
  <c r="F21" i="3"/>
  <c r="F22" i="3"/>
  <c r="F18" i="3"/>
  <c r="D11" i="3"/>
  <c r="C11" i="3"/>
  <c r="F11" i="3" s="1"/>
  <c r="I14" i="2"/>
  <c r="J45" i="2"/>
  <c r="I45" i="2"/>
  <c r="F45" i="2"/>
  <c r="J42" i="2"/>
  <c r="F42" i="2"/>
  <c r="J39" i="2"/>
  <c r="F39" i="2"/>
  <c r="I12" i="2"/>
  <c r="D33" i="2"/>
  <c r="D34" i="2" s="1"/>
  <c r="B29" i="2"/>
  <c r="B28" i="2"/>
  <c r="L31" i="2"/>
  <c r="M31" i="2"/>
  <c r="I31" i="2"/>
  <c r="J31" i="2"/>
  <c r="K31" i="2"/>
  <c r="H31" i="2"/>
  <c r="H25" i="2"/>
  <c r="H30" i="2"/>
  <c r="I30" i="2"/>
  <c r="J30" i="2"/>
  <c r="K30" i="2"/>
  <c r="L30" i="2"/>
  <c r="G30" i="2"/>
  <c r="I28" i="2"/>
  <c r="J28" i="2"/>
  <c r="K28" i="2"/>
  <c r="L28" i="2"/>
  <c r="H28" i="2"/>
  <c r="H27" i="2"/>
  <c r="I27" i="2"/>
  <c r="J27" i="2"/>
  <c r="K27" i="2"/>
  <c r="L27" i="2"/>
  <c r="G27" i="2"/>
  <c r="M27" i="2" s="1"/>
  <c r="N29" i="2" s="1"/>
  <c r="I25" i="2"/>
  <c r="J25" i="2"/>
  <c r="K25" i="2"/>
  <c r="L25" i="2"/>
  <c r="H24" i="2"/>
  <c r="I24" i="2"/>
  <c r="J24" i="2"/>
  <c r="K24" i="2"/>
  <c r="L24" i="2"/>
  <c r="G24" i="2"/>
  <c r="B21" i="2"/>
  <c r="B18" i="2"/>
  <c r="B19" i="2"/>
  <c r="B20" i="2"/>
  <c r="B17" i="2"/>
  <c r="C16" i="2"/>
  <c r="A10" i="2"/>
  <c r="A11" i="2" s="1"/>
  <c r="J16" i="2"/>
  <c r="K16" i="2"/>
  <c r="I13" i="2"/>
  <c r="I9" i="2"/>
  <c r="J9" i="2"/>
  <c r="H6" i="2"/>
  <c r="I3" i="2"/>
  <c r="J3" i="2" s="1"/>
  <c r="C7" i="2"/>
  <c r="C1" i="2" s="1"/>
  <c r="B5" i="2"/>
  <c r="B6" i="2"/>
  <c r="B7" i="2"/>
  <c r="B4" i="2"/>
  <c r="A4" i="2"/>
  <c r="A5" i="2" s="1"/>
  <c r="A6" i="2" s="1"/>
  <c r="A7" i="2" s="1"/>
  <c r="A8" i="2" s="1"/>
  <c r="A9" i="2" s="1"/>
  <c r="L5" i="1"/>
  <c r="D8" i="1"/>
  <c r="M5" i="1"/>
  <c r="D18" i="1"/>
  <c r="E18" i="1"/>
  <c r="C18" i="1"/>
  <c r="C11" i="1"/>
  <c r="E11" i="1" s="1"/>
  <c r="L8" i="1"/>
  <c r="L9" i="1"/>
  <c r="K9" i="1"/>
  <c r="K8" i="1"/>
  <c r="K10" i="1" s="1"/>
  <c r="H10" i="1"/>
  <c r="G10" i="1"/>
  <c r="K2" i="1"/>
  <c r="E5" i="1"/>
  <c r="C5" i="1"/>
  <c r="A2" i="1"/>
  <c r="E2" i="1" s="1"/>
  <c r="X5" i="3" l="1"/>
  <c r="X8" i="3"/>
  <c r="W10" i="3"/>
  <c r="W4" i="3"/>
  <c r="W3" i="3"/>
  <c r="X11" i="3"/>
  <c r="W9" i="3"/>
  <c r="W6" i="3"/>
  <c r="W7" i="3"/>
  <c r="F10" i="3"/>
  <c r="F9" i="3"/>
  <c r="E5" i="3"/>
  <c r="E8" i="3"/>
  <c r="E4" i="3"/>
  <c r="F8" i="3"/>
  <c r="F7" i="3"/>
  <c r="F4" i="3"/>
  <c r="F5" i="3"/>
  <c r="F6" i="3"/>
  <c r="E11" i="3"/>
  <c r="E10" i="3"/>
  <c r="E9" i="3"/>
  <c r="F3" i="3"/>
  <c r="E3" i="3"/>
  <c r="M30" i="2"/>
  <c r="N32" i="2" s="1"/>
  <c r="M25" i="2"/>
  <c r="M24" i="2"/>
  <c r="N26" i="2" s="1"/>
  <c r="B30" i="2"/>
  <c r="C18" i="2"/>
  <c r="C22" i="2" s="1"/>
  <c r="L16" i="2"/>
  <c r="A12" i="2"/>
  <c r="L9" i="2"/>
  <c r="E19" i="1"/>
  <c r="D19" i="1"/>
  <c r="L10" i="1"/>
  <c r="M10" i="1" s="1"/>
  <c r="N5" i="1"/>
  <c r="I10" i="1"/>
  <c r="X12" i="3" l="1"/>
  <c r="W12" i="3"/>
  <c r="Y12" i="3" s="1"/>
  <c r="F12" i="3"/>
  <c r="E12" i="3"/>
  <c r="G12" i="3" s="1"/>
  <c r="C20" i="2"/>
  <c r="D18" i="2" s="1"/>
  <c r="B1" i="2"/>
  <c r="D1" i="2" s="1"/>
</calcChain>
</file>

<file path=xl/sharedStrings.xml><?xml version="1.0" encoding="utf-8"?>
<sst xmlns="http://schemas.openxmlformats.org/spreadsheetml/2006/main" count="184" uniqueCount="159">
  <si>
    <t>Nav ?</t>
  </si>
  <si>
    <t>market value</t>
  </si>
  <si>
    <t>share outstanding</t>
  </si>
  <si>
    <t>Market Price</t>
  </si>
  <si>
    <t>Frontend load ?</t>
  </si>
  <si>
    <t>Atm Invested</t>
  </si>
  <si>
    <t>NAV</t>
  </si>
  <si>
    <t>Purchased Share</t>
  </si>
  <si>
    <t>Appreciated</t>
  </si>
  <si>
    <t>Final share ?</t>
  </si>
  <si>
    <t>Sold at</t>
  </si>
  <si>
    <t>purchased</t>
  </si>
  <si>
    <t>average daily asset</t>
  </si>
  <si>
    <t>Fund turnover ?</t>
  </si>
  <si>
    <t>Initial Nav</t>
  </si>
  <si>
    <t>final nav</t>
  </si>
  <si>
    <t>short-term paid</t>
  </si>
  <si>
    <t>long-term piad</t>
  </si>
  <si>
    <t>ROR ?</t>
  </si>
  <si>
    <t>StockA Price</t>
  </si>
  <si>
    <t>StockB price</t>
  </si>
  <si>
    <t>StockC price</t>
  </si>
  <si>
    <t>Divisor Num</t>
  </si>
  <si>
    <t>Divisor den</t>
  </si>
  <si>
    <t>split num</t>
  </si>
  <si>
    <t>split den</t>
  </si>
  <si>
    <t>Divisor ?</t>
  </si>
  <si>
    <t>Price B</t>
  </si>
  <si>
    <t>Beginning</t>
  </si>
  <si>
    <t>Ending</t>
  </si>
  <si>
    <t>Price A</t>
  </si>
  <si>
    <t>ROR? (price-weighted)</t>
  </si>
  <si>
    <t>Share outstanding</t>
  </si>
  <si>
    <t>ROR? Value-weighted</t>
  </si>
  <si>
    <t>divisor</t>
  </si>
  <si>
    <t>points</t>
  </si>
  <si>
    <t>sigmaP</t>
  </si>
  <si>
    <t>increase by dollar</t>
  </si>
  <si>
    <t>New Index level ?</t>
  </si>
  <si>
    <t>shares</t>
  </si>
  <si>
    <t>date1 price</t>
  </si>
  <si>
    <t>date3 price</t>
  </si>
  <si>
    <t>date2 price</t>
  </si>
  <si>
    <t>stockA</t>
  </si>
  <si>
    <t>StockB</t>
  </si>
  <si>
    <t>StockC</t>
  </si>
  <si>
    <t>Price-Weight Index ?</t>
  </si>
  <si>
    <t>4-1 is divide by 4</t>
  </si>
  <si>
    <t>1-2 divided by (1/2)</t>
  </si>
  <si>
    <t>regular div</t>
  </si>
  <si>
    <t>liquidating div</t>
  </si>
  <si>
    <t>Yrs</t>
  </si>
  <si>
    <t>discount rate</t>
  </si>
  <si>
    <t>current value???</t>
  </si>
  <si>
    <t>Stock beta</t>
  </si>
  <si>
    <t>debt-to-equity</t>
  </si>
  <si>
    <t>tax-rate</t>
  </si>
  <si>
    <t>Asset Beta???</t>
  </si>
  <si>
    <t>EV</t>
  </si>
  <si>
    <t>EBITDA</t>
  </si>
  <si>
    <t>EV ratio???</t>
  </si>
  <si>
    <t>Paid Div</t>
  </si>
  <si>
    <t>sell price</t>
  </si>
  <si>
    <t>num</t>
  </si>
  <si>
    <t>den</t>
  </si>
  <si>
    <t>Div growth???</t>
  </si>
  <si>
    <t>goal seek target</t>
  </si>
  <si>
    <t>risk-free rate</t>
  </si>
  <si>
    <t>Market Risk Prem</t>
  </si>
  <si>
    <t>expected Return???</t>
  </si>
  <si>
    <t>Expected EPS</t>
  </si>
  <si>
    <t>book value/share</t>
  </si>
  <si>
    <t>Earning growth</t>
  </si>
  <si>
    <t>Stock Price???</t>
  </si>
  <si>
    <t>Num</t>
  </si>
  <si>
    <t>Den</t>
  </si>
  <si>
    <t>Treasury Yield</t>
  </si>
  <si>
    <t>Expect Share price???</t>
  </si>
  <si>
    <t>K</t>
  </si>
  <si>
    <t>average</t>
  </si>
  <si>
    <t>Year</t>
  </si>
  <si>
    <t>Price</t>
  </si>
  <si>
    <t>EPS</t>
  </si>
  <si>
    <t>CFPS</t>
  </si>
  <si>
    <t>SPS</t>
  </si>
  <si>
    <t>P/E</t>
  </si>
  <si>
    <t>eps growth</t>
  </si>
  <si>
    <t>Expected  P/E???</t>
  </si>
  <si>
    <t>Expected P/CFPS???</t>
  </si>
  <si>
    <t>P/CFPS</t>
  </si>
  <si>
    <t>CFPS growth</t>
  </si>
  <si>
    <t>P/S</t>
  </si>
  <si>
    <t>SPS growth</t>
  </si>
  <si>
    <t>Expected P/S???</t>
  </si>
  <si>
    <t>stock price</t>
  </si>
  <si>
    <t>earning  growth</t>
  </si>
  <si>
    <t>expected return</t>
  </si>
  <si>
    <t>EPS (Current)</t>
  </si>
  <si>
    <t>EPS (Future)???</t>
  </si>
  <si>
    <t>Price (Future)</t>
  </si>
  <si>
    <t>P/E (Future)??? After a year</t>
  </si>
  <si>
    <t>Cur Sell price</t>
  </si>
  <si>
    <t>Discount rate</t>
  </si>
  <si>
    <t>growth rate</t>
  </si>
  <si>
    <t xml:space="preserve">Div </t>
  </si>
  <si>
    <t>yrs</t>
  </si>
  <si>
    <t>Expect values of Div???</t>
  </si>
  <si>
    <t>Projected Beta</t>
  </si>
  <si>
    <t>PreviousEPS*AverageP/E*(1+AverageEPSGrowth)</t>
  </si>
  <si>
    <t>Expect P/E</t>
  </si>
  <si>
    <t>Cur EPS</t>
  </si>
  <si>
    <t>EPS growth</t>
  </si>
  <si>
    <t>Forecast EPS=CurEPS*(1+EPSGrowth)</t>
  </si>
  <si>
    <t>P/E  Multiple</t>
  </si>
  <si>
    <t>SharePrice from P/E= P/E*ForecasteEPS ???</t>
  </si>
  <si>
    <t>Forecast CFPS= CurCFPS*(1+CFPSGrowth)</t>
  </si>
  <si>
    <t>Cur CFPS</t>
  </si>
  <si>
    <t>CFPS Growth</t>
  </si>
  <si>
    <t>P/CF ratio</t>
  </si>
  <si>
    <t>SharePrice from P/CF=P/CF*Forecast CFPS</t>
  </si>
  <si>
    <t>Forecast SPS=CurSPS*(1+SPSGrowth)</t>
  </si>
  <si>
    <t>Cur SPS</t>
  </si>
  <si>
    <t>SPS Growth</t>
  </si>
  <si>
    <t>P/S ratio</t>
  </si>
  <si>
    <t>SharePrice from P/S =P/Sratio*Forecast SPS</t>
  </si>
  <si>
    <t>yrs div</t>
  </si>
  <si>
    <t>Volume</t>
  </si>
  <si>
    <t>Up/Down</t>
  </si>
  <si>
    <t>PricexVols</t>
  </si>
  <si>
    <t>Positive inflow</t>
  </si>
  <si>
    <t>Negative Outflow</t>
  </si>
  <si>
    <t>sum</t>
  </si>
  <si>
    <t>Net Money Flow</t>
  </si>
  <si>
    <t>Stocks</t>
  </si>
  <si>
    <t>Advancing</t>
  </si>
  <si>
    <t>Declining</t>
  </si>
  <si>
    <t>Monday</t>
  </si>
  <si>
    <t>Tuesday</t>
  </si>
  <si>
    <t>Wednesday</t>
  </si>
  <si>
    <t>Thursday</t>
  </si>
  <si>
    <t>Friday</t>
  </si>
  <si>
    <t>Accumulative</t>
  </si>
  <si>
    <t>Arm Ratio</t>
  </si>
  <si>
    <t>January</t>
  </si>
  <si>
    <t>$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</si>
  <si>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</si>
  <si>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</si>
  <si>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</si>
  <si>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</si>
  <si>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</si>
  <si>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</si>
  <si>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</si>
  <si>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</si>
  <si>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</si>
  <si>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</si>
  <si>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</si>
  <si>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IBM</t>
  </si>
  <si>
    <t>AMZN</t>
  </si>
  <si>
    <t>IBM 3Months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</si>
</sst>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;[Red]\(0.00\)"/>
    <numFmt numFmtId="165" formatCode="0.00000"/>
    <numFmt numFmtId="166" formatCode="0.00000%"/>
    <numFmt numFmtId="177" formatCode="0.000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9"/>
      <name val="Aptos Narrow"/>
      <family val="2"/>
      <scheme val="minor"/>
    </font>
    <font>
      <sz val="12"/>
      <color theme="1"/>
      <name val="Courier New"/>
      <family val="1"/>
    </font>
    <font>
      <sz val="12"/>
      <color rgb="FF252525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11" fontId="0" fillId="0" borderId="0" xfId="0" applyNumberFormat="1"/>
    <xf numFmtId="11" fontId="0" fillId="2" borderId="0" xfId="0" applyNumberFormat="1" applyFill="1"/>
    <xf numFmtId="0" fontId="0" fillId="2" borderId="0" xfId="0" applyFill="1"/>
    <xf numFmtId="10" fontId="2" fillId="0" borderId="0" xfId="1" applyNumberFormat="1" applyFont="1"/>
    <xf numFmtId="0" fontId="2" fillId="0" borderId="0" xfId="0" applyFont="1"/>
    <xf numFmtId="165" fontId="2" fillId="0" borderId="0" xfId="0" applyNumberFormat="1" applyFont="1"/>
    <xf numFmtId="164" fontId="2" fillId="0" borderId="0" xfId="0" applyNumberFormat="1" applyFont="1"/>
    <xf numFmtId="10" fontId="0" fillId="2" borderId="0" xfId="1" applyNumberFormat="1" applyFont="1" applyFill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2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10" fontId="2" fillId="0" borderId="0" xfId="0" applyNumberFormat="1" applyFont="1"/>
    <xf numFmtId="166" fontId="0" fillId="0" borderId="0" xfId="0" applyNumberFormat="1"/>
    <xf numFmtId="0" fontId="3" fillId="0" borderId="0" xfId="0" applyFont="1"/>
    <xf numFmtId="2" fontId="0" fillId="0" borderId="0" xfId="1" applyNumberFormat="1" applyFont="1"/>
    <xf numFmtId="0" fontId="4" fillId="0" borderId="0" xfId="0" applyFont="1"/>
    <xf numFmtId="3" fontId="0" fillId="0" borderId="0" xfId="0" applyNumberFormat="1"/>
    <xf numFmtId="3" fontId="4" fillId="0" borderId="0" xfId="0" applyNumberFormat="1" applyFont="1"/>
    <xf numFmtId="177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8292C-B9AC-614C-A681-60E7FFB586D9}">
  <dimension ref="A1:P19"/>
  <sheetViews>
    <sheetView topLeftCell="D1" workbookViewId="0">
      <selection activeCell="L6" sqref="L6"/>
    </sheetView>
  </sheetViews>
  <sheetFormatPr baseColWidth="10" defaultRowHeight="16" x14ac:dyDescent="0.2"/>
  <cols>
    <col min="1" max="1" width="16.5" bestFit="1" customWidth="1"/>
    <col min="3" max="3" width="15.5" bestFit="1" customWidth="1"/>
    <col min="4" max="5" width="13.5" bestFit="1" customWidth="1"/>
    <col min="9" max="9" width="19.6640625" bestFit="1" customWidth="1"/>
    <col min="14" max="14" width="11.66406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</row>
    <row r="2" spans="1:16" x14ac:dyDescent="0.2">
      <c r="A2" s="7">
        <f>B2/C2</f>
        <v>17.66990291262136</v>
      </c>
      <c r="B2" s="2">
        <v>9100000000</v>
      </c>
      <c r="C2" s="2">
        <v>515000000</v>
      </c>
      <c r="D2">
        <v>19</v>
      </c>
      <c r="E2" s="4">
        <f>(D2-A2)/D2</f>
        <v>7.0005109862033676E-2</v>
      </c>
      <c r="G2">
        <v>80.19</v>
      </c>
      <c r="H2">
        <v>77.48</v>
      </c>
      <c r="I2">
        <v>0.35</v>
      </c>
      <c r="J2">
        <v>0.52</v>
      </c>
      <c r="K2" s="4">
        <f>(H2-G2+I2+J2)/G2</f>
        <v>-2.2945504426985831E-2</v>
      </c>
    </row>
    <row r="4" spans="1:16" x14ac:dyDescent="0.2">
      <c r="A4" t="s">
        <v>5</v>
      </c>
      <c r="B4" t="s">
        <v>6</v>
      </c>
      <c r="C4" t="s">
        <v>7</v>
      </c>
      <c r="D4" t="s">
        <v>8</v>
      </c>
      <c r="E4" t="s">
        <v>9</v>
      </c>
      <c r="G4" t="s">
        <v>19</v>
      </c>
      <c r="H4" s="3" t="s">
        <v>20</v>
      </c>
      <c r="I4" t="s">
        <v>21</v>
      </c>
      <c r="J4" t="s">
        <v>24</v>
      </c>
      <c r="K4" t="s">
        <v>25</v>
      </c>
      <c r="L4" t="s">
        <v>22</v>
      </c>
      <c r="M4" t="s">
        <v>23</v>
      </c>
      <c r="N4" t="s">
        <v>26</v>
      </c>
    </row>
    <row r="5" spans="1:16" x14ac:dyDescent="0.2">
      <c r="A5" s="3">
        <v>30000</v>
      </c>
      <c r="B5">
        <v>1</v>
      </c>
      <c r="C5">
        <f>A5/B5</f>
        <v>30000</v>
      </c>
      <c r="D5" s="8">
        <v>1.0999999999999999E-2</v>
      </c>
      <c r="E5" s="5">
        <f>A5*(1+D5)</f>
        <v>30329.999999999996</v>
      </c>
      <c r="G5" s="3">
        <v>97</v>
      </c>
      <c r="H5" s="3">
        <v>61</v>
      </c>
      <c r="I5" s="3">
        <v>84</v>
      </c>
      <c r="J5" s="3">
        <v>1</v>
      </c>
      <c r="K5" s="3">
        <v>2</v>
      </c>
      <c r="L5">
        <f>G5/2+H5+I5</f>
        <v>193.5</v>
      </c>
      <c r="M5">
        <f>AVERAGE(G5:I5)</f>
        <v>80.666666666666671</v>
      </c>
      <c r="N5" s="6">
        <f>L5/M5</f>
        <v>2.3987603305785123</v>
      </c>
      <c r="P5" t="s">
        <v>47</v>
      </c>
    </row>
    <row r="6" spans="1:16" x14ac:dyDescent="0.2">
      <c r="P6" t="s">
        <v>48</v>
      </c>
    </row>
    <row r="7" spans="1:16" x14ac:dyDescent="0.2">
      <c r="A7" t="s">
        <v>10</v>
      </c>
      <c r="B7" t="s">
        <v>11</v>
      </c>
      <c r="C7" t="s">
        <v>12</v>
      </c>
      <c r="D7" t="s">
        <v>13</v>
      </c>
      <c r="G7" t="s">
        <v>28</v>
      </c>
      <c r="H7" t="s">
        <v>29</v>
      </c>
      <c r="I7" t="s">
        <v>31</v>
      </c>
      <c r="J7" t="s">
        <v>32</v>
      </c>
      <c r="K7" t="s">
        <v>28</v>
      </c>
      <c r="L7" t="s">
        <v>29</v>
      </c>
      <c r="M7" t="s">
        <v>33</v>
      </c>
    </row>
    <row r="8" spans="1:16" x14ac:dyDescent="0.2">
      <c r="A8" s="2">
        <v>44000000</v>
      </c>
      <c r="B8" s="1">
        <v>71000000</v>
      </c>
      <c r="C8" s="2">
        <v>236000000</v>
      </c>
      <c r="D8" s="4">
        <f>B8/C8</f>
        <v>0.30084745762711862</v>
      </c>
      <c r="F8" t="s">
        <v>30</v>
      </c>
      <c r="G8" s="3">
        <v>39</v>
      </c>
      <c r="H8" s="3">
        <v>43</v>
      </c>
      <c r="J8" s="3">
        <v>32000</v>
      </c>
      <c r="K8">
        <f>G8*$J8</f>
        <v>1248000</v>
      </c>
      <c r="L8">
        <f>H8*$J8</f>
        <v>1376000</v>
      </c>
    </row>
    <row r="9" spans="1:16" x14ac:dyDescent="0.2">
      <c r="F9" t="s">
        <v>27</v>
      </c>
      <c r="G9" s="3">
        <v>74</v>
      </c>
      <c r="H9" s="3">
        <v>79</v>
      </c>
      <c r="J9" s="3">
        <v>31000</v>
      </c>
      <c r="K9">
        <f>G9*$J9</f>
        <v>2294000</v>
      </c>
      <c r="L9">
        <f>H9*$J9</f>
        <v>2449000</v>
      </c>
    </row>
    <row r="10" spans="1:16" x14ac:dyDescent="0.2">
      <c r="A10" t="s">
        <v>34</v>
      </c>
      <c r="B10" t="s">
        <v>35</v>
      </c>
      <c r="C10" t="s">
        <v>36</v>
      </c>
      <c r="D10" t="s">
        <v>37</v>
      </c>
      <c r="E10" t="s">
        <v>38</v>
      </c>
      <c r="G10">
        <f>AVERAGE(G8:G9)</f>
        <v>56.5</v>
      </c>
      <c r="H10">
        <f>AVERAGE(H8:H9)</f>
        <v>61</v>
      </c>
      <c r="I10" s="4">
        <f>(H10-G10)/G10</f>
        <v>7.9646017699115043E-2</v>
      </c>
      <c r="K10">
        <f>AVERAGE(K8:K9)</f>
        <v>1771000</v>
      </c>
      <c r="L10">
        <f>AVERAGE(L8:L9)</f>
        <v>1912500</v>
      </c>
      <c r="M10" s="4">
        <f>(L10-K10)/K10</f>
        <v>7.989836250705816E-2</v>
      </c>
    </row>
    <row r="11" spans="1:16" x14ac:dyDescent="0.2">
      <c r="A11">
        <v>0.13229337899999999</v>
      </c>
      <c r="B11">
        <v>8900.81</v>
      </c>
      <c r="C11">
        <f>B11*A11</f>
        <v>1177.5182307369898</v>
      </c>
      <c r="D11">
        <v>3</v>
      </c>
      <c r="E11" s="9">
        <f>(C11+D11)/A11</f>
        <v>8923.4868718334728</v>
      </c>
    </row>
    <row r="14" spans="1:16" x14ac:dyDescent="0.2">
      <c r="B14" t="s">
        <v>39</v>
      </c>
      <c r="C14" t="s">
        <v>40</v>
      </c>
      <c r="D14" t="s">
        <v>42</v>
      </c>
      <c r="E14" t="s">
        <v>41</v>
      </c>
    </row>
    <row r="15" spans="1:16" x14ac:dyDescent="0.2">
      <c r="A15" t="s">
        <v>43</v>
      </c>
      <c r="B15" s="1">
        <v>345000000</v>
      </c>
      <c r="C15">
        <v>94</v>
      </c>
      <c r="D15">
        <v>97</v>
      </c>
      <c r="E15">
        <v>34.5</v>
      </c>
    </row>
    <row r="16" spans="1:16" x14ac:dyDescent="0.2">
      <c r="A16" t="s">
        <v>44</v>
      </c>
      <c r="B16" s="1">
        <v>450000000</v>
      </c>
      <c r="C16">
        <v>66</v>
      </c>
      <c r="D16">
        <v>61</v>
      </c>
      <c r="E16">
        <v>75</v>
      </c>
    </row>
    <row r="17" spans="1:5" x14ac:dyDescent="0.2">
      <c r="A17" t="s">
        <v>45</v>
      </c>
      <c r="B17" s="1">
        <v>310000000</v>
      </c>
      <c r="C17">
        <v>95</v>
      </c>
      <c r="D17">
        <v>84</v>
      </c>
      <c r="E17">
        <v>101</v>
      </c>
    </row>
    <row r="18" spans="1:5" x14ac:dyDescent="0.2">
      <c r="A18" t="s">
        <v>46</v>
      </c>
      <c r="C18" s="5">
        <f>AVERAGE(C15:C17)</f>
        <v>85</v>
      </c>
      <c r="D18" s="5">
        <f t="shared" ref="D18:E18" si="0">AVERAGE(D15:D17)</f>
        <v>80.666666666666671</v>
      </c>
      <c r="E18" s="5">
        <f t="shared" si="0"/>
        <v>70.166666666666671</v>
      </c>
    </row>
    <row r="19" spans="1:5" x14ac:dyDescent="0.2">
      <c r="A19" t="s">
        <v>18</v>
      </c>
      <c r="C19" s="5"/>
      <c r="D19" s="4">
        <f>(D18-C18)/C18</f>
        <v>-5.0980392156862689E-2</v>
      </c>
      <c r="E19" s="4">
        <f>(E18-D18)/D18</f>
        <v>-0.13016528925619833</v>
      </c>
    </row>
  </sheetData>
  <pageMargins left="0.7" right="0.7" top="0.75" bottom="0.75" header="0.3" footer="0.3"/>
  <pageSetup orientation="portrait" horizontalDpi="0" verticalDpi="0"/>
  <headerFooter>
    <oddFooter>&amp;R_x000D_&amp;1#&amp;"Calibri"&amp;8&amp;K000000 Cisco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D5FFA-CBC8-4947-85D7-09EF6BE4F053}">
  <dimension ref="A1:R45"/>
  <sheetViews>
    <sheetView workbookViewId="0">
      <selection activeCell="D18" sqref="D18"/>
    </sheetView>
  </sheetViews>
  <sheetFormatPr baseColWidth="10" defaultRowHeight="16" x14ac:dyDescent="0.2"/>
  <cols>
    <col min="1" max="1" width="14.33203125" bestFit="1" customWidth="1"/>
    <col min="3" max="3" width="19.6640625" bestFit="1" customWidth="1"/>
    <col min="4" max="4" width="13.6640625" bestFit="1" customWidth="1"/>
    <col min="6" max="6" width="31.5" bestFit="1" customWidth="1"/>
    <col min="7" max="7" width="14.83203125" bestFit="1" customWidth="1"/>
    <col min="8" max="8" width="15" bestFit="1" customWidth="1"/>
    <col min="12" max="12" width="13.6640625" bestFit="1" customWidth="1"/>
  </cols>
  <sheetData>
    <row r="1" spans="1:12" x14ac:dyDescent="0.2">
      <c r="A1" t="s">
        <v>53</v>
      </c>
      <c r="B1">
        <f>SUM(B4:B12)</f>
        <v>8.7472436680441028</v>
      </c>
      <c r="C1">
        <f>SUM(C4:C12)</f>
        <v>44.630788297107379</v>
      </c>
      <c r="D1" s="9">
        <f>SUM(B1:C1)</f>
        <v>53.378031965151479</v>
      </c>
    </row>
    <row r="2" spans="1:12" x14ac:dyDescent="0.2">
      <c r="A2" t="s">
        <v>51</v>
      </c>
      <c r="B2" t="s">
        <v>49</v>
      </c>
      <c r="C2" t="s">
        <v>50</v>
      </c>
      <c r="D2" t="s">
        <v>52</v>
      </c>
      <c r="F2" t="s">
        <v>54</v>
      </c>
      <c r="G2" t="s">
        <v>55</v>
      </c>
      <c r="H2" t="s">
        <v>56</v>
      </c>
      <c r="J2" t="s">
        <v>57</v>
      </c>
    </row>
    <row r="3" spans="1:12" x14ac:dyDescent="0.2">
      <c r="A3">
        <v>0</v>
      </c>
      <c r="B3">
        <v>2.7</v>
      </c>
      <c r="C3">
        <v>63</v>
      </c>
      <c r="D3" s="10">
        <v>0.09</v>
      </c>
      <c r="F3">
        <v>1.7</v>
      </c>
      <c r="G3">
        <v>0.7</v>
      </c>
      <c r="H3" s="10">
        <v>0.4</v>
      </c>
      <c r="I3" s="11">
        <f>1+(G3*(1-H3))</f>
        <v>1.42</v>
      </c>
      <c r="J3" s="9">
        <f>F3/I3</f>
        <v>1.1971830985915493</v>
      </c>
    </row>
    <row r="4" spans="1:12" x14ac:dyDescent="0.2">
      <c r="A4">
        <f>A3+1</f>
        <v>1</v>
      </c>
      <c r="B4">
        <f>$B$3/(1+$D$3)^A4</f>
        <v>2.477064220183486</v>
      </c>
    </row>
    <row r="5" spans="1:12" x14ac:dyDescent="0.2">
      <c r="A5">
        <f t="shared" ref="A5:A12" si="0">A4+1</f>
        <v>2</v>
      </c>
      <c r="B5">
        <f t="shared" ref="B5:B7" si="1">$B$3/(1+$D$3)^A5</f>
        <v>2.2725359818197122</v>
      </c>
      <c r="F5" t="s">
        <v>58</v>
      </c>
      <c r="G5" t="s">
        <v>59</v>
      </c>
      <c r="H5" t="s">
        <v>60</v>
      </c>
    </row>
    <row r="6" spans="1:12" x14ac:dyDescent="0.2">
      <c r="A6">
        <f t="shared" si="0"/>
        <v>3</v>
      </c>
      <c r="B6">
        <f t="shared" si="1"/>
        <v>2.0848953961648733</v>
      </c>
      <c r="F6">
        <v>910</v>
      </c>
      <c r="G6">
        <v>221</v>
      </c>
      <c r="H6" s="9">
        <f>F6/G6</f>
        <v>4.117647058823529</v>
      </c>
    </row>
    <row r="7" spans="1:12" x14ac:dyDescent="0.2">
      <c r="A7">
        <f t="shared" si="0"/>
        <v>4</v>
      </c>
      <c r="B7">
        <f t="shared" si="1"/>
        <v>1.9127480698760306</v>
      </c>
      <c r="C7">
        <f>$C$3/(1+$D$3)^A7</f>
        <v>44.630788297107379</v>
      </c>
    </row>
    <row r="8" spans="1:12" x14ac:dyDescent="0.2">
      <c r="A8">
        <f t="shared" si="0"/>
        <v>5</v>
      </c>
      <c r="F8" t="s">
        <v>61</v>
      </c>
      <c r="G8" t="s">
        <v>62</v>
      </c>
      <c r="H8" t="s">
        <v>52</v>
      </c>
      <c r="I8" t="s">
        <v>63</v>
      </c>
      <c r="J8" t="s">
        <v>64</v>
      </c>
      <c r="K8" t="s">
        <v>65</v>
      </c>
      <c r="L8" t="s">
        <v>66</v>
      </c>
    </row>
    <row r="9" spans="1:12" x14ac:dyDescent="0.2">
      <c r="A9">
        <f t="shared" si="0"/>
        <v>6</v>
      </c>
      <c r="F9">
        <v>1.67</v>
      </c>
      <c r="G9">
        <v>36</v>
      </c>
      <c r="H9" s="10">
        <v>0.1</v>
      </c>
      <c r="I9">
        <f>F9*(1+K9)</f>
        <v>1.755561460919749</v>
      </c>
      <c r="J9" s="11">
        <f>(H9-K9)</f>
        <v>4.876559226362337E-2</v>
      </c>
      <c r="K9" s="4">
        <v>5.1234407736376636E-2</v>
      </c>
      <c r="L9">
        <f>I9/J9</f>
        <v>36.000002859173883</v>
      </c>
    </row>
    <row r="10" spans="1:12" x14ac:dyDescent="0.2">
      <c r="A10">
        <f t="shared" si="0"/>
        <v>7</v>
      </c>
    </row>
    <row r="11" spans="1:12" x14ac:dyDescent="0.2">
      <c r="A11">
        <f t="shared" si="0"/>
        <v>8</v>
      </c>
      <c r="F11" t="s">
        <v>54</v>
      </c>
      <c r="G11" t="s">
        <v>67</v>
      </c>
      <c r="H11" t="s">
        <v>68</v>
      </c>
      <c r="I11" t="s">
        <v>69</v>
      </c>
    </row>
    <row r="12" spans="1:12" x14ac:dyDescent="0.2">
      <c r="A12">
        <f t="shared" si="0"/>
        <v>9</v>
      </c>
      <c r="F12">
        <v>1.65</v>
      </c>
      <c r="G12" s="13">
        <v>5.3999999999999999E-2</v>
      </c>
      <c r="H12" s="13">
        <v>8.8999999999999996E-2</v>
      </c>
      <c r="I12" s="15">
        <f>G12+F12*H12</f>
        <v>0.20084999999999997</v>
      </c>
    </row>
    <row r="13" spans="1:12" x14ac:dyDescent="0.2">
      <c r="F13">
        <v>1.74</v>
      </c>
      <c r="G13" s="13">
        <v>5.3999999999999999E-2</v>
      </c>
      <c r="H13" s="13">
        <v>8.8999999999999996E-2</v>
      </c>
      <c r="I13" s="15">
        <f>G13+F13*H13</f>
        <v>0.20885999999999999</v>
      </c>
    </row>
    <row r="14" spans="1:12" x14ac:dyDescent="0.2">
      <c r="A14" t="s">
        <v>125</v>
      </c>
      <c r="B14" t="s">
        <v>68</v>
      </c>
      <c r="C14" t="s">
        <v>76</v>
      </c>
      <c r="D14" t="s">
        <v>107</v>
      </c>
      <c r="F14">
        <v>1.1599999999999999</v>
      </c>
      <c r="G14" s="13">
        <v>0.04</v>
      </c>
      <c r="H14" s="13">
        <v>7.0000000000000007E-2</v>
      </c>
      <c r="I14" s="15">
        <f>G14+F14*H14</f>
        <v>0.1212</v>
      </c>
    </row>
    <row r="15" spans="1:12" x14ac:dyDescent="0.2">
      <c r="A15">
        <v>1.06</v>
      </c>
      <c r="B15" s="13">
        <v>0.129</v>
      </c>
      <c r="C15" s="13">
        <v>6.2E-2</v>
      </c>
      <c r="D15">
        <v>0.79</v>
      </c>
      <c r="F15" t="s">
        <v>70</v>
      </c>
      <c r="G15" t="s">
        <v>71</v>
      </c>
      <c r="H15" t="s">
        <v>52</v>
      </c>
      <c r="I15" t="s">
        <v>72</v>
      </c>
      <c r="J15" t="s">
        <v>74</v>
      </c>
      <c r="K15" t="s">
        <v>75</v>
      </c>
      <c r="L15" t="s">
        <v>73</v>
      </c>
    </row>
    <row r="16" spans="1:12" x14ac:dyDescent="0.2">
      <c r="A16">
        <v>1.1399999999999999</v>
      </c>
      <c r="B16" t="s">
        <v>78</v>
      </c>
      <c r="C16" s="16">
        <f>C15+D15*B15</f>
        <v>0.16391</v>
      </c>
      <c r="F16">
        <v>2.5</v>
      </c>
      <c r="G16">
        <v>4.3</v>
      </c>
      <c r="H16" s="13">
        <v>0.17</v>
      </c>
      <c r="I16" s="13">
        <v>3.4000000000000002E-2</v>
      </c>
      <c r="J16">
        <f>F16-(G16*H16)</f>
        <v>1.7690000000000001</v>
      </c>
      <c r="K16" s="14">
        <f>H16-I16</f>
        <v>0.13600000000000001</v>
      </c>
      <c r="L16" s="9">
        <f>G16+J16/K16</f>
        <v>17.307352941176472</v>
      </c>
    </row>
    <row r="17" spans="1:18" x14ac:dyDescent="0.2">
      <c r="A17">
        <v>1.23</v>
      </c>
      <c r="B17" s="13">
        <f>(A16-A15)/A15</f>
        <v>7.5471698113207406E-2</v>
      </c>
      <c r="C17" s="14" t="s">
        <v>79</v>
      </c>
      <c r="D17" t="s">
        <v>77</v>
      </c>
    </row>
    <row r="18" spans="1:18" x14ac:dyDescent="0.2">
      <c r="A18">
        <v>1.31</v>
      </c>
      <c r="B18" s="13">
        <f t="shared" ref="B18:B21" si="2">(A17-A16)/A16</f>
        <v>7.894736842105271E-2</v>
      </c>
      <c r="C18" s="14">
        <f>AVERAGE(B17:B21)</f>
        <v>6.6251317542232208E-2</v>
      </c>
      <c r="D18" s="9">
        <f>C20/C22</f>
        <v>15.940486646283199</v>
      </c>
      <c r="M18" t="s">
        <v>79</v>
      </c>
    </row>
    <row r="19" spans="1:18" ht="17" x14ac:dyDescent="0.25">
      <c r="A19">
        <v>1.41</v>
      </c>
      <c r="B19" s="13">
        <f t="shared" si="2"/>
        <v>6.5040650406504127E-2</v>
      </c>
      <c r="C19" t="s">
        <v>74</v>
      </c>
      <c r="F19" s="17" t="s">
        <v>80</v>
      </c>
      <c r="G19" s="17">
        <v>2011</v>
      </c>
      <c r="H19" s="17">
        <v>2012</v>
      </c>
      <c r="I19" s="17">
        <v>2013</v>
      </c>
      <c r="J19" s="17">
        <v>2014</v>
      </c>
      <c r="K19" s="17">
        <v>2015</v>
      </c>
      <c r="L19" s="17">
        <v>2016</v>
      </c>
    </row>
    <row r="20" spans="1:18" ht="17" x14ac:dyDescent="0.25">
      <c r="A20">
        <v>1.46</v>
      </c>
      <c r="B20" s="13">
        <f t="shared" si="2"/>
        <v>7.6335877862595311E-2</v>
      </c>
      <c r="C20">
        <f>A20*(1+C18)</f>
        <v>1.5567269236116588</v>
      </c>
      <c r="F20" s="17" t="s">
        <v>81</v>
      </c>
      <c r="G20" s="17">
        <v>56.9</v>
      </c>
      <c r="H20" s="17">
        <v>62.8</v>
      </c>
      <c r="I20" s="17">
        <v>61.5</v>
      </c>
      <c r="J20" s="17">
        <v>59</v>
      </c>
      <c r="K20" s="17">
        <v>80.5</v>
      </c>
      <c r="L20" s="17">
        <v>95.9</v>
      </c>
      <c r="M20" s="17"/>
      <c r="N20" s="17"/>
      <c r="O20" s="17"/>
      <c r="P20" s="17"/>
      <c r="Q20" s="17"/>
      <c r="R20" s="17"/>
    </row>
    <row r="21" spans="1:18" ht="17" x14ac:dyDescent="0.25">
      <c r="B21" s="13">
        <f t="shared" si="2"/>
        <v>3.5460992907801449E-2</v>
      </c>
      <c r="C21" t="s">
        <v>75</v>
      </c>
      <c r="F21" s="17" t="s">
        <v>82</v>
      </c>
      <c r="G21" s="17">
        <v>2.5</v>
      </c>
      <c r="H21" s="17">
        <v>3.21</v>
      </c>
      <c r="I21" s="17">
        <v>4.01</v>
      </c>
      <c r="J21">
        <v>4.71</v>
      </c>
      <c r="K21" s="17">
        <v>7.05</v>
      </c>
      <c r="L21" s="17">
        <v>8.0500000000000007</v>
      </c>
      <c r="M21" s="17"/>
      <c r="N21" s="17"/>
      <c r="O21" s="17"/>
      <c r="P21" s="17"/>
      <c r="Q21" s="17"/>
      <c r="R21" s="17"/>
    </row>
    <row r="22" spans="1:18" ht="17" x14ac:dyDescent="0.25">
      <c r="C22" s="16">
        <f>C16-C18</f>
        <v>9.7658682457767793E-2</v>
      </c>
      <c r="F22" s="17" t="s">
        <v>83</v>
      </c>
      <c r="G22" s="17">
        <v>7.32</v>
      </c>
      <c r="H22" s="17">
        <v>8.2799999999999994</v>
      </c>
      <c r="I22" s="17">
        <v>8.74</v>
      </c>
      <c r="J22" s="17">
        <v>10.17</v>
      </c>
      <c r="K22" s="17">
        <v>11.83</v>
      </c>
      <c r="L22" s="17">
        <v>13.12</v>
      </c>
      <c r="M22" s="17"/>
      <c r="N22" s="17"/>
      <c r="O22" s="17"/>
      <c r="P22" s="17"/>
      <c r="Q22" s="17"/>
      <c r="R22" s="17"/>
    </row>
    <row r="23" spans="1:18" ht="17" x14ac:dyDescent="0.25">
      <c r="F23" s="17" t="s">
        <v>84</v>
      </c>
      <c r="G23" s="17">
        <v>34.799999999999997</v>
      </c>
      <c r="H23" s="17">
        <v>39.799999999999997</v>
      </c>
      <c r="I23" s="17">
        <v>39.200000000000003</v>
      </c>
      <c r="J23" s="17">
        <v>42.7</v>
      </c>
      <c r="K23" s="17">
        <v>53.9</v>
      </c>
      <c r="L23" s="17">
        <v>61.9</v>
      </c>
      <c r="M23" s="17"/>
      <c r="N23" s="17"/>
      <c r="O23" s="17"/>
      <c r="P23" s="17"/>
      <c r="Q23" s="17"/>
      <c r="R23" s="17"/>
    </row>
    <row r="24" spans="1:18" ht="17" x14ac:dyDescent="0.25">
      <c r="A24" t="s">
        <v>94</v>
      </c>
      <c r="B24">
        <v>58</v>
      </c>
      <c r="F24" s="17" t="s">
        <v>85</v>
      </c>
      <c r="G24">
        <f>IF(G21&gt;0,G20/G21,"")</f>
        <v>22.759999999999998</v>
      </c>
      <c r="H24">
        <f t="shared" ref="H24:L24" si="3">IF(H21&gt;0,H20/H21,"")</f>
        <v>19.563862928348907</v>
      </c>
      <c r="I24">
        <f t="shared" si="3"/>
        <v>15.336658354114714</v>
      </c>
      <c r="J24">
        <f t="shared" si="3"/>
        <v>12.526539278131635</v>
      </c>
      <c r="K24">
        <f t="shared" si="3"/>
        <v>11.418439716312058</v>
      </c>
      <c r="L24">
        <f t="shared" si="3"/>
        <v>11.913043478260869</v>
      </c>
      <c r="M24">
        <f>AVERAGE(G24:L24)</f>
        <v>15.586423959194699</v>
      </c>
    </row>
    <row r="25" spans="1:18" ht="17" x14ac:dyDescent="0.25">
      <c r="A25" t="s">
        <v>97</v>
      </c>
      <c r="B25">
        <v>4.9000000000000004</v>
      </c>
      <c r="F25" s="17" t="s">
        <v>86</v>
      </c>
      <c r="H25" s="13">
        <f>ABS(H21-G21)/ABS(G21)</f>
        <v>0.28399999999999997</v>
      </c>
      <c r="I25" s="13">
        <f t="shared" ref="I25:L25" si="4">ABS(I21-H21)/ABS(H21)</f>
        <v>0.249221183800623</v>
      </c>
      <c r="J25" s="13">
        <f t="shared" si="4"/>
        <v>0.17456359102244395</v>
      </c>
      <c r="K25" s="13">
        <f t="shared" si="4"/>
        <v>0.49681528662420382</v>
      </c>
      <c r="L25" s="13">
        <f t="shared" si="4"/>
        <v>0.1418439716312058</v>
      </c>
      <c r="M25" s="13">
        <f>AVERAGE(G25:L25)</f>
        <v>0.26928880661569538</v>
      </c>
    </row>
    <row r="26" spans="1:18" ht="17" x14ac:dyDescent="0.25">
      <c r="A26" t="s">
        <v>95</v>
      </c>
      <c r="B26" s="10">
        <v>5.5E-2</v>
      </c>
      <c r="F26" s="17" t="s">
        <v>87</v>
      </c>
      <c r="M26" s="9"/>
      <c r="N26" s="9">
        <f>M24*L21*(1+M25)</f>
        <v>159.25857140590881</v>
      </c>
    </row>
    <row r="27" spans="1:18" ht="17" x14ac:dyDescent="0.25">
      <c r="A27" t="s">
        <v>96</v>
      </c>
      <c r="B27" s="10">
        <v>0.16</v>
      </c>
      <c r="F27" s="17" t="s">
        <v>89</v>
      </c>
      <c r="G27">
        <f>IF(G22&gt;0,G20/G22,"")</f>
        <v>7.7732240437158469</v>
      </c>
      <c r="H27">
        <f t="shared" ref="H27:L27" si="5">IF(H22&gt;0,H20/H22,"")</f>
        <v>7.5845410628019323</v>
      </c>
      <c r="I27">
        <f t="shared" si="5"/>
        <v>7.0366132723112127</v>
      </c>
      <c r="J27">
        <f t="shared" si="5"/>
        <v>5.8013765978367751</v>
      </c>
      <c r="K27">
        <f t="shared" si="5"/>
        <v>6.8047337278106506</v>
      </c>
      <c r="L27">
        <f t="shared" si="5"/>
        <v>7.3094512195121961</v>
      </c>
      <c r="M27">
        <f>AVERAGE(G27:L27)</f>
        <v>7.0516566539981023</v>
      </c>
    </row>
    <row r="28" spans="1:18" ht="17" x14ac:dyDescent="0.25">
      <c r="A28" t="s">
        <v>99</v>
      </c>
      <c r="B28">
        <f>B24*(1+B27)</f>
        <v>67.28</v>
      </c>
      <c r="F28" s="17" t="s">
        <v>90</v>
      </c>
      <c r="H28" s="13">
        <f>ABS(H22-G22)/ABS(G22)</f>
        <v>0.13114754098360643</v>
      </c>
      <c r="I28" s="13">
        <f t="shared" ref="I28:L28" si="6">ABS(I22-H22)/ABS(H22)</f>
        <v>5.5555555555555663E-2</v>
      </c>
      <c r="J28" s="13">
        <f t="shared" si="6"/>
        <v>0.16361556064073224</v>
      </c>
      <c r="K28" s="13">
        <f t="shared" si="6"/>
        <v>0.16322517207472961</v>
      </c>
      <c r="L28" s="13">
        <f t="shared" si="6"/>
        <v>0.10904480135249359</v>
      </c>
      <c r="M28" s="13"/>
    </row>
    <row r="29" spans="1:18" ht="17" x14ac:dyDescent="0.25">
      <c r="A29" t="s">
        <v>98</v>
      </c>
      <c r="B29" s="5">
        <f>B25*(1+B26)</f>
        <v>5.1695000000000002</v>
      </c>
      <c r="F29" s="17" t="s">
        <v>88</v>
      </c>
      <c r="N29" s="9">
        <f>M27*L22*(1+L28)</f>
        <v>102.60631336787581</v>
      </c>
    </row>
    <row r="30" spans="1:18" ht="17" x14ac:dyDescent="0.25">
      <c r="A30" t="s">
        <v>100</v>
      </c>
      <c r="B30" s="9">
        <f>B28/B29</f>
        <v>13.01479833639617</v>
      </c>
      <c r="F30" s="17" t="s">
        <v>91</v>
      </c>
      <c r="G30">
        <f>IF(G23&gt;0,G20/G23,"")</f>
        <v>1.635057471264368</v>
      </c>
      <c r="H30">
        <f t="shared" ref="H30:L30" si="7">IF(H23&gt;0,H20/H23,"")</f>
        <v>1.5778894472361809</v>
      </c>
      <c r="I30">
        <f t="shared" si="7"/>
        <v>1.568877551020408</v>
      </c>
      <c r="J30">
        <f t="shared" si="7"/>
        <v>1.3817330210772834</v>
      </c>
      <c r="K30">
        <f t="shared" si="7"/>
        <v>1.4935064935064934</v>
      </c>
      <c r="L30">
        <f t="shared" si="7"/>
        <v>1.5492730210016157</v>
      </c>
      <c r="M30" s="18">
        <f>AVERAGE(G30:L30)</f>
        <v>1.5343895008510584</v>
      </c>
    </row>
    <row r="31" spans="1:18" ht="17" x14ac:dyDescent="0.25">
      <c r="F31" s="17" t="s">
        <v>92</v>
      </c>
      <c r="H31" s="13">
        <f>ABS(H23-G23)/ABS(G23)</f>
        <v>0.14367816091954025</v>
      </c>
      <c r="I31" s="13">
        <f t="shared" ref="I31:K31" si="8">ABS(I23-H23)/ABS(H23)</f>
        <v>1.5075376884421969E-2</v>
      </c>
      <c r="J31" s="13">
        <f t="shared" si="8"/>
        <v>8.9285714285714274E-2</v>
      </c>
      <c r="K31" s="13">
        <f t="shared" si="8"/>
        <v>0.26229508196721302</v>
      </c>
      <c r="L31" s="13">
        <f>(L23-K23)/K23</f>
        <v>0.14842300556586271</v>
      </c>
      <c r="M31" s="13">
        <f>AVERAGE(G31:L31)</f>
        <v>0.13175146792455045</v>
      </c>
    </row>
    <row r="32" spans="1:18" ht="17" x14ac:dyDescent="0.25">
      <c r="A32" t="s">
        <v>101</v>
      </c>
      <c r="B32" t="s">
        <v>102</v>
      </c>
      <c r="C32" t="s">
        <v>103</v>
      </c>
      <c r="D32" t="s">
        <v>104</v>
      </c>
      <c r="F32" s="17" t="s">
        <v>93</v>
      </c>
      <c r="N32" s="9">
        <f>M30*L23*(1+M31)</f>
        <v>107.49229458028898</v>
      </c>
    </row>
    <row r="33" spans="1:10" x14ac:dyDescent="0.2">
      <c r="A33">
        <v>38</v>
      </c>
      <c r="B33" s="10">
        <v>0.09</v>
      </c>
      <c r="C33" s="13">
        <v>3.7999999999999999E-2</v>
      </c>
      <c r="D33">
        <f>A33*(B33-C33)</f>
        <v>1.976</v>
      </c>
    </row>
    <row r="34" spans="1:10" x14ac:dyDescent="0.2">
      <c r="A34" t="s">
        <v>105</v>
      </c>
      <c r="B34">
        <v>3</v>
      </c>
      <c r="C34" t="s">
        <v>106</v>
      </c>
      <c r="D34" s="9">
        <f>D33*(1+C33)^(B34-1)</f>
        <v>2.1290293440000001</v>
      </c>
    </row>
    <row r="35" spans="1:10" ht="17" x14ac:dyDescent="0.25">
      <c r="F35" s="17" t="s">
        <v>109</v>
      </c>
      <c r="G35" t="s">
        <v>108</v>
      </c>
    </row>
    <row r="38" spans="1:10" x14ac:dyDescent="0.2">
      <c r="F38" t="s">
        <v>112</v>
      </c>
      <c r="G38" t="s">
        <v>110</v>
      </c>
      <c r="H38" t="s">
        <v>111</v>
      </c>
      <c r="I38" s="12" t="s">
        <v>113</v>
      </c>
      <c r="J38" t="s">
        <v>114</v>
      </c>
    </row>
    <row r="39" spans="1:10" x14ac:dyDescent="0.2">
      <c r="F39">
        <f>G39*(1+H39)</f>
        <v>5.6740000000000004</v>
      </c>
      <c r="G39">
        <v>5</v>
      </c>
      <c r="H39" s="13">
        <v>0.1348</v>
      </c>
      <c r="I39">
        <v>13.1</v>
      </c>
      <c r="J39" s="9">
        <f>F39*I39</f>
        <v>74.329400000000007</v>
      </c>
    </row>
    <row r="40" spans="1:10" x14ac:dyDescent="0.2">
      <c r="G40" s="12"/>
    </row>
    <row r="41" spans="1:10" x14ac:dyDescent="0.2">
      <c r="F41" t="s">
        <v>115</v>
      </c>
      <c r="G41" t="s">
        <v>116</v>
      </c>
      <c r="H41" t="s">
        <v>117</v>
      </c>
      <c r="I41" t="s">
        <v>118</v>
      </c>
      <c r="J41" t="s">
        <v>119</v>
      </c>
    </row>
    <row r="42" spans="1:10" x14ac:dyDescent="0.2">
      <c r="F42">
        <f>G42*(1+H42)</f>
        <v>7.3530600000000002</v>
      </c>
      <c r="G42">
        <v>6.6</v>
      </c>
      <c r="H42" s="13">
        <v>0.11409999999999999</v>
      </c>
      <c r="I42">
        <v>9.42</v>
      </c>
      <c r="J42" s="9">
        <f>F42*I42</f>
        <v>69.265825199999995</v>
      </c>
    </row>
    <row r="44" spans="1:10" x14ac:dyDescent="0.2">
      <c r="F44" t="s">
        <v>120</v>
      </c>
      <c r="G44" t="s">
        <v>121</v>
      </c>
      <c r="H44" t="s">
        <v>122</v>
      </c>
      <c r="I44" t="s">
        <v>123</v>
      </c>
      <c r="J44" t="s">
        <v>124</v>
      </c>
    </row>
    <row r="45" spans="1:10" x14ac:dyDescent="0.2">
      <c r="F45">
        <f>G45*(1+H45)</f>
        <v>27.532709999999994</v>
      </c>
      <c r="G45">
        <v>25.65</v>
      </c>
      <c r="H45" s="13">
        <v>7.3400000000000007E-2</v>
      </c>
      <c r="I45">
        <f>2.36</f>
        <v>2.36</v>
      </c>
      <c r="J45" s="9">
        <f>F45*I45</f>
        <v>64.977195599999988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4E4C4-7F7A-1345-B923-2EF177C4BD4E}">
  <dimension ref="A1:Y44"/>
  <sheetViews>
    <sheetView tabSelected="1" workbookViewId="0">
      <selection activeCell="V7" sqref="V7"/>
    </sheetView>
  </sheetViews>
  <sheetFormatPr baseColWidth="10" defaultRowHeight="16" x14ac:dyDescent="0.2"/>
  <cols>
    <col min="3" max="4" width="11.6640625" bestFit="1" customWidth="1"/>
    <col min="7" max="7" width="12.6640625" bestFit="1" customWidth="1"/>
    <col min="11" max="11" width="11.6640625" bestFit="1" customWidth="1"/>
  </cols>
  <sheetData>
    <row r="1" spans="1:25" x14ac:dyDescent="0.2">
      <c r="A1" t="s">
        <v>81</v>
      </c>
      <c r="B1" t="s">
        <v>126</v>
      </c>
      <c r="C1" t="s">
        <v>127</v>
      </c>
      <c r="D1" t="s">
        <v>128</v>
      </c>
      <c r="E1" t="s">
        <v>129</v>
      </c>
      <c r="F1" t="s">
        <v>130</v>
      </c>
      <c r="G1" t="s">
        <v>132</v>
      </c>
      <c r="L1" t="s">
        <v>156</v>
      </c>
      <c r="N1" t="s">
        <v>157</v>
      </c>
      <c r="O1" t="s">
        <v>158</v>
      </c>
      <c r="S1" t="s">
        <v>81</v>
      </c>
      <c r="T1" t="s">
        <v>126</v>
      </c>
      <c r="U1" t="s">
        <v>127</v>
      </c>
      <c r="V1" t="s">
        <v>128</v>
      </c>
      <c r="W1" t="s">
        <v>129</v>
      </c>
      <c r="X1" t="s">
        <v>130</v>
      </c>
      <c r="Y1" t="s">
        <v>132</v>
      </c>
    </row>
    <row r="2" spans="1:25" ht="17" x14ac:dyDescent="0.25">
      <c r="A2" s="19">
        <v>61.85</v>
      </c>
      <c r="J2" s="19" t="s">
        <v>143</v>
      </c>
      <c r="K2" s="19" t="s">
        <v>144</v>
      </c>
      <c r="L2" s="19">
        <v>169.64</v>
      </c>
      <c r="M2" s="19" t="s">
        <v>144</v>
      </c>
      <c r="N2" s="19">
        <v>600.36</v>
      </c>
      <c r="S2" s="19">
        <v>10</v>
      </c>
    </row>
    <row r="3" spans="1:25" ht="17" x14ac:dyDescent="0.25">
      <c r="A3" s="19">
        <v>61.81</v>
      </c>
      <c r="B3" s="21">
        <v>1000</v>
      </c>
      <c r="C3" t="str">
        <f>IF(A3&gt;A2,"+","-")</f>
        <v>-</v>
      </c>
      <c r="D3">
        <f>A3*B3</f>
        <v>61810</v>
      </c>
      <c r="E3" t="str">
        <f>IF(C3="+",D3,"")</f>
        <v/>
      </c>
      <c r="F3">
        <f>IF(C3="-",D3*-1,"")</f>
        <v>-61810</v>
      </c>
      <c r="J3" s="19" t="s">
        <v>145</v>
      </c>
      <c r="K3" s="19"/>
      <c r="L3" s="19">
        <v>173.29</v>
      </c>
      <c r="M3" s="19"/>
      <c r="N3" s="19">
        <v>613.4</v>
      </c>
      <c r="S3" s="19">
        <v>11</v>
      </c>
      <c r="T3" s="21">
        <v>1000</v>
      </c>
      <c r="U3" t="str">
        <f>IF(S3&gt;S2,"+","-")</f>
        <v>+</v>
      </c>
      <c r="V3">
        <f>S3*T3</f>
        <v>11000</v>
      </c>
      <c r="W3">
        <f>IF(U3="+",V3,"")</f>
        <v>11000</v>
      </c>
      <c r="X3" t="str">
        <f>IF(U3="-",V3*-1,"")</f>
        <v/>
      </c>
    </row>
    <row r="4" spans="1:25" ht="17" x14ac:dyDescent="0.25">
      <c r="A4" s="19">
        <v>61.82</v>
      </c>
      <c r="B4" s="21">
        <v>1400</v>
      </c>
      <c r="C4" t="str">
        <f t="shared" ref="C4:C11" si="0">IF(A4&gt;A3,"+","-")</f>
        <v>+</v>
      </c>
      <c r="D4">
        <f t="shared" ref="D4:D11" si="1">A4*B4</f>
        <v>86548</v>
      </c>
      <c r="E4">
        <f t="shared" ref="E4:E11" si="2">IF(C4="+",D4,"")</f>
        <v>86548</v>
      </c>
      <c r="F4" t="str">
        <f t="shared" ref="F4:F11" si="3">IF(C4="-",D4*-1,"")</f>
        <v/>
      </c>
      <c r="J4" s="19" t="s">
        <v>146</v>
      </c>
      <c r="K4" s="19"/>
      <c r="L4" s="19">
        <v>180.13</v>
      </c>
      <c r="M4" s="19"/>
      <c r="N4" s="19">
        <v>586.76</v>
      </c>
      <c r="O4" s="12">
        <f>AVERAGE(L2:L4)</f>
        <v>174.35333333333332</v>
      </c>
      <c r="P4" s="12">
        <f>AVERAGE(N2:N4)</f>
        <v>600.17333333333329</v>
      </c>
      <c r="S4" s="19">
        <v>12</v>
      </c>
      <c r="T4" s="21">
        <v>100</v>
      </c>
      <c r="U4" t="str">
        <f t="shared" ref="U4:U11" si="4">IF(S4&gt;S3,"+","-")</f>
        <v>+</v>
      </c>
      <c r="V4">
        <f t="shared" ref="V4:V11" si="5">S4*T4</f>
        <v>1200</v>
      </c>
      <c r="W4">
        <f t="shared" ref="W4:W11" si="6">IF(U4="+",V4,"")</f>
        <v>1200</v>
      </c>
      <c r="X4" t="str">
        <f t="shared" ref="X4:X11" si="7">IF(U4="-",V4*-1,"")</f>
        <v/>
      </c>
    </row>
    <row r="5" spans="1:25" ht="17" x14ac:dyDescent="0.25">
      <c r="A5" s="19">
        <v>61.85</v>
      </c>
      <c r="B5" s="21">
        <v>1300</v>
      </c>
      <c r="C5" t="str">
        <f t="shared" si="0"/>
        <v>+</v>
      </c>
      <c r="D5">
        <f t="shared" si="1"/>
        <v>80405</v>
      </c>
      <c r="E5">
        <f t="shared" si="2"/>
        <v>80405</v>
      </c>
      <c r="F5" t="str">
        <f t="shared" si="3"/>
        <v/>
      </c>
      <c r="J5" s="19" t="s">
        <v>147</v>
      </c>
      <c r="K5" s="19"/>
      <c r="L5" s="19">
        <v>195.81</v>
      </c>
      <c r="M5" s="19"/>
      <c r="N5" s="19">
        <v>544.1</v>
      </c>
      <c r="O5" s="12">
        <f t="shared" ref="O5:O13" si="8">AVERAGE(L3:L5)</f>
        <v>183.07666666666668</v>
      </c>
      <c r="P5" s="12">
        <f t="shared" ref="P5:P13" si="9">AVERAGE(N3:N5)</f>
        <v>581.41999999999996</v>
      </c>
      <c r="S5" s="19">
        <v>12</v>
      </c>
      <c r="T5" s="21">
        <v>500</v>
      </c>
      <c r="U5">
        <v>0</v>
      </c>
      <c r="V5">
        <f t="shared" si="5"/>
        <v>6000</v>
      </c>
      <c r="W5" t="str">
        <f t="shared" si="6"/>
        <v/>
      </c>
      <c r="X5" t="str">
        <f t="shared" si="7"/>
        <v/>
      </c>
    </row>
    <row r="6" spans="1:25" ht="17" x14ac:dyDescent="0.25">
      <c r="A6" s="19">
        <v>61.84</v>
      </c>
      <c r="B6" s="19">
        <v>800</v>
      </c>
      <c r="C6" t="str">
        <f t="shared" si="0"/>
        <v>-</v>
      </c>
      <c r="D6">
        <f t="shared" si="1"/>
        <v>49472</v>
      </c>
      <c r="E6" t="str">
        <f t="shared" si="2"/>
        <v/>
      </c>
      <c r="F6">
        <f t="shared" si="3"/>
        <v>-49472</v>
      </c>
      <c r="J6" s="19" t="s">
        <v>148</v>
      </c>
      <c r="K6" s="19"/>
      <c r="L6" s="19">
        <v>196.69</v>
      </c>
      <c r="M6" s="19"/>
      <c r="N6" s="19">
        <v>529.02</v>
      </c>
      <c r="O6" s="12">
        <f t="shared" si="8"/>
        <v>190.87666666666667</v>
      </c>
      <c r="P6" s="12">
        <f t="shared" si="9"/>
        <v>553.29333333333341</v>
      </c>
      <c r="S6" s="19">
        <v>11</v>
      </c>
      <c r="T6" s="21">
        <v>500</v>
      </c>
      <c r="U6" t="str">
        <f t="shared" si="4"/>
        <v>-</v>
      </c>
      <c r="V6">
        <f t="shared" si="5"/>
        <v>5500</v>
      </c>
      <c r="W6" t="str">
        <f t="shared" si="6"/>
        <v/>
      </c>
      <c r="X6">
        <f t="shared" si="7"/>
        <v>-5500</v>
      </c>
    </row>
    <row r="7" spans="1:25" ht="17" x14ac:dyDescent="0.25">
      <c r="A7" s="19">
        <v>61.87</v>
      </c>
      <c r="B7" s="21">
        <v>1100</v>
      </c>
      <c r="C7" t="str">
        <f t="shared" si="0"/>
        <v>+</v>
      </c>
      <c r="D7">
        <f t="shared" si="1"/>
        <v>68057</v>
      </c>
      <c r="E7">
        <f t="shared" si="2"/>
        <v>68057</v>
      </c>
      <c r="F7" t="str">
        <f t="shared" si="3"/>
        <v/>
      </c>
      <c r="J7" s="19" t="s">
        <v>149</v>
      </c>
      <c r="K7" s="19"/>
      <c r="L7" s="19">
        <v>204.49</v>
      </c>
      <c r="M7" s="19"/>
      <c r="N7" s="19">
        <v>506.38</v>
      </c>
      <c r="O7" s="12">
        <f t="shared" si="8"/>
        <v>198.99666666666667</v>
      </c>
      <c r="P7" s="12">
        <f t="shared" si="9"/>
        <v>526.5</v>
      </c>
      <c r="S7" s="19">
        <v>10</v>
      </c>
      <c r="T7" s="21">
        <v>50</v>
      </c>
      <c r="U7" t="str">
        <f t="shared" si="4"/>
        <v>-</v>
      </c>
      <c r="V7">
        <f>S7*T7</f>
        <v>500</v>
      </c>
      <c r="W7" t="str">
        <f t="shared" si="6"/>
        <v/>
      </c>
      <c r="X7">
        <f t="shared" si="7"/>
        <v>-500</v>
      </c>
    </row>
    <row r="8" spans="1:25" ht="17" x14ac:dyDescent="0.25">
      <c r="A8" s="19">
        <v>61.88</v>
      </c>
      <c r="B8" s="21">
        <v>1400</v>
      </c>
      <c r="C8" t="str">
        <f t="shared" si="0"/>
        <v>+</v>
      </c>
      <c r="D8">
        <f t="shared" si="1"/>
        <v>86632</v>
      </c>
      <c r="E8">
        <f t="shared" si="2"/>
        <v>86632</v>
      </c>
      <c r="F8" t="str">
        <f t="shared" si="3"/>
        <v/>
      </c>
      <c r="J8" s="19" t="s">
        <v>150</v>
      </c>
      <c r="K8" s="19"/>
      <c r="L8" s="19">
        <v>222.52</v>
      </c>
      <c r="M8" s="19"/>
      <c r="N8" s="19">
        <v>603.69000000000005</v>
      </c>
      <c r="O8" s="12">
        <f t="shared" si="8"/>
        <v>207.9</v>
      </c>
      <c r="P8" s="12">
        <f t="shared" si="9"/>
        <v>546.36333333333334</v>
      </c>
      <c r="S8" s="19"/>
      <c r="T8" s="21"/>
      <c r="U8" t="str">
        <f t="shared" si="4"/>
        <v>-</v>
      </c>
      <c r="V8">
        <f t="shared" si="5"/>
        <v>0</v>
      </c>
      <c r="W8" t="str">
        <f t="shared" si="6"/>
        <v/>
      </c>
      <c r="X8">
        <f t="shared" si="7"/>
        <v>0</v>
      </c>
    </row>
    <row r="9" spans="1:25" ht="17" x14ac:dyDescent="0.25">
      <c r="A9" s="19">
        <v>61.92</v>
      </c>
      <c r="B9" s="19">
        <v>600</v>
      </c>
      <c r="C9" t="str">
        <f t="shared" si="0"/>
        <v>+</v>
      </c>
      <c r="D9">
        <f t="shared" si="1"/>
        <v>37152</v>
      </c>
      <c r="E9">
        <f t="shared" si="2"/>
        <v>37152</v>
      </c>
      <c r="F9" t="str">
        <f t="shared" si="3"/>
        <v/>
      </c>
      <c r="J9" s="19" t="s">
        <v>151</v>
      </c>
      <c r="K9" s="19"/>
      <c r="L9" s="19">
        <v>215.23</v>
      </c>
      <c r="M9" s="19"/>
      <c r="N9" s="19">
        <v>540.96</v>
      </c>
      <c r="O9" s="12">
        <f t="shared" si="8"/>
        <v>214.08</v>
      </c>
      <c r="P9" s="12">
        <f t="shared" si="9"/>
        <v>550.34333333333336</v>
      </c>
      <c r="S9" s="19"/>
      <c r="T9" s="19"/>
      <c r="U9" t="str">
        <f t="shared" si="4"/>
        <v>-</v>
      </c>
      <c r="V9">
        <f t="shared" si="5"/>
        <v>0</v>
      </c>
      <c r="W9" t="str">
        <f t="shared" si="6"/>
        <v/>
      </c>
      <c r="X9">
        <f t="shared" si="7"/>
        <v>0</v>
      </c>
    </row>
    <row r="10" spans="1:25" ht="17" x14ac:dyDescent="0.25">
      <c r="A10" s="19">
        <v>61.91</v>
      </c>
      <c r="B10" s="21">
        <v>1200</v>
      </c>
      <c r="C10" t="str">
        <f t="shared" si="0"/>
        <v>-</v>
      </c>
      <c r="D10">
        <f t="shared" si="1"/>
        <v>74292</v>
      </c>
      <c r="E10" t="str">
        <f t="shared" si="2"/>
        <v/>
      </c>
      <c r="F10">
        <f t="shared" si="3"/>
        <v>-74292</v>
      </c>
      <c r="J10" s="19" t="s">
        <v>152</v>
      </c>
      <c r="K10" s="19"/>
      <c r="L10" s="19">
        <v>216.23</v>
      </c>
      <c r="M10" s="19"/>
      <c r="N10" s="19">
        <v>515.04</v>
      </c>
      <c r="O10" s="12">
        <f t="shared" si="8"/>
        <v>217.99333333333334</v>
      </c>
      <c r="P10" s="12">
        <f t="shared" si="9"/>
        <v>553.23</v>
      </c>
      <c r="S10" s="19"/>
      <c r="T10" s="21"/>
      <c r="U10" t="str">
        <f t="shared" si="4"/>
        <v>-</v>
      </c>
      <c r="V10">
        <f t="shared" si="5"/>
        <v>0</v>
      </c>
      <c r="W10" t="str">
        <f t="shared" si="6"/>
        <v/>
      </c>
      <c r="X10">
        <f t="shared" si="7"/>
        <v>0</v>
      </c>
    </row>
    <row r="11" spans="1:25" ht="17" x14ac:dyDescent="0.25">
      <c r="A11" s="19">
        <v>61.93</v>
      </c>
      <c r="B11" s="21">
        <v>1600</v>
      </c>
      <c r="C11" t="str">
        <f t="shared" si="0"/>
        <v>+</v>
      </c>
      <c r="D11">
        <f t="shared" si="1"/>
        <v>99088</v>
      </c>
      <c r="E11">
        <f t="shared" si="2"/>
        <v>99088</v>
      </c>
      <c r="F11" t="str">
        <f t="shared" si="3"/>
        <v/>
      </c>
      <c r="J11" s="19" t="s">
        <v>153</v>
      </c>
      <c r="K11" s="19"/>
      <c r="L11" s="19">
        <v>213.51</v>
      </c>
      <c r="M11" s="19"/>
      <c r="N11" s="19">
        <v>592.64</v>
      </c>
      <c r="O11" s="12">
        <f t="shared" si="8"/>
        <v>214.99</v>
      </c>
      <c r="P11" s="12">
        <f t="shared" si="9"/>
        <v>549.54666666666662</v>
      </c>
      <c r="S11" s="19"/>
      <c r="T11" s="21"/>
      <c r="U11" t="str">
        <f t="shared" si="4"/>
        <v>-</v>
      </c>
      <c r="V11">
        <f t="shared" si="5"/>
        <v>0</v>
      </c>
      <c r="W11" t="str">
        <f t="shared" si="6"/>
        <v/>
      </c>
      <c r="X11">
        <f t="shared" si="7"/>
        <v>0</v>
      </c>
    </row>
    <row r="12" spans="1:25" ht="17" x14ac:dyDescent="0.25">
      <c r="C12" t="s">
        <v>131</v>
      </c>
      <c r="E12">
        <f>SUM(E3:E11)</f>
        <v>457882</v>
      </c>
      <c r="F12">
        <f>SUM(F3:F11)</f>
        <v>-185574</v>
      </c>
      <c r="G12">
        <f>SUM(E12:F12)</f>
        <v>272308</v>
      </c>
      <c r="J12" s="19" t="s">
        <v>154</v>
      </c>
      <c r="K12" s="19"/>
      <c r="L12" s="19">
        <v>192.29</v>
      </c>
      <c r="M12" s="19"/>
      <c r="N12" s="19">
        <v>599.39</v>
      </c>
      <c r="O12" s="12">
        <f t="shared" si="8"/>
        <v>207.34333333333333</v>
      </c>
      <c r="P12" s="12">
        <f t="shared" si="9"/>
        <v>569.0233333333332</v>
      </c>
      <c r="U12" t="s">
        <v>131</v>
      </c>
      <c r="W12">
        <f>SUM(W3:W11)</f>
        <v>12200</v>
      </c>
      <c r="X12">
        <f>SUM(X3:X11)</f>
        <v>-6000</v>
      </c>
      <c r="Y12">
        <f>SUM(W12:X12)</f>
        <v>6200</v>
      </c>
    </row>
    <row r="13" spans="1:25" ht="17" x14ac:dyDescent="0.25">
      <c r="J13" s="19" t="s">
        <v>155</v>
      </c>
      <c r="K13" s="19"/>
      <c r="L13" s="19">
        <v>173.1</v>
      </c>
      <c r="M13" s="19"/>
      <c r="N13" s="19">
        <v>645.9</v>
      </c>
      <c r="O13" s="12">
        <f t="shared" si="8"/>
        <v>192.96666666666667</v>
      </c>
      <c r="P13" s="12">
        <f t="shared" si="9"/>
        <v>612.64333333333332</v>
      </c>
    </row>
    <row r="15" spans="1:25" ht="17" x14ac:dyDescent="0.25">
      <c r="B15" s="19" t="s">
        <v>134</v>
      </c>
      <c r="C15" s="19" t="s">
        <v>133</v>
      </c>
      <c r="D15" s="19" t="s">
        <v>135</v>
      </c>
    </row>
    <row r="16" spans="1:25" ht="17" x14ac:dyDescent="0.25">
      <c r="A16" s="19" t="s">
        <v>133</v>
      </c>
      <c r="B16" s="19" t="s">
        <v>126</v>
      </c>
      <c r="C16" s="19" t="s">
        <v>135</v>
      </c>
      <c r="D16" s="19" t="s">
        <v>126</v>
      </c>
      <c r="F16" s="19" t="s">
        <v>141</v>
      </c>
      <c r="G16" s="19" t="s">
        <v>142</v>
      </c>
    </row>
    <row r="17" spans="1:13" ht="17" x14ac:dyDescent="0.25">
      <c r="A17" s="19" t="s">
        <v>134</v>
      </c>
      <c r="B17" s="19"/>
      <c r="C17" s="19"/>
      <c r="D17" s="19"/>
    </row>
    <row r="18" spans="1:13" ht="17" x14ac:dyDescent="0.25">
      <c r="A18" s="19" t="s">
        <v>136</v>
      </c>
      <c r="B18" s="21">
        <v>1634</v>
      </c>
      <c r="C18" s="21">
        <v>825503</v>
      </c>
      <c r="D18" s="21">
        <v>1402</v>
      </c>
      <c r="E18" s="21">
        <v>684997</v>
      </c>
      <c r="F18" s="20">
        <f>B18-D18</f>
        <v>232</v>
      </c>
      <c r="G18" s="22">
        <f>(E18/D18)/(C18/B18)</f>
        <v>0.96710594309971931</v>
      </c>
    </row>
    <row r="19" spans="1:13" ht="17" x14ac:dyDescent="0.25">
      <c r="A19" s="19" t="s">
        <v>137</v>
      </c>
      <c r="B19" s="21">
        <v>1876</v>
      </c>
      <c r="C19" s="21">
        <v>928360</v>
      </c>
      <c r="D19" s="21">
        <v>1171</v>
      </c>
      <c r="E19" s="21">
        <v>440665</v>
      </c>
      <c r="F19" s="20">
        <f t="shared" ref="F19:F22" si="10">B19-D19</f>
        <v>705</v>
      </c>
      <c r="G19" s="22">
        <f t="shared" ref="G19:G22" si="11">(E19/D19)/(C19/B19)</f>
        <v>0.76044546972800064</v>
      </c>
    </row>
    <row r="20" spans="1:13" ht="17" x14ac:dyDescent="0.25">
      <c r="A20" s="19" t="s">
        <v>138</v>
      </c>
      <c r="B20" s="21">
        <v>1640</v>
      </c>
      <c r="C20" s="21">
        <v>623369</v>
      </c>
      <c r="D20" s="21">
        <v>1410</v>
      </c>
      <c r="E20" s="21">
        <v>719592</v>
      </c>
      <c r="F20" s="20">
        <f t="shared" si="10"/>
        <v>230</v>
      </c>
      <c r="G20" s="22">
        <f t="shared" si="11"/>
        <v>1.3426594125135336</v>
      </c>
    </row>
    <row r="21" spans="1:13" ht="17" x14ac:dyDescent="0.25">
      <c r="A21" s="19" t="s">
        <v>139</v>
      </c>
      <c r="B21" s="21">
        <v>2495</v>
      </c>
      <c r="C21" s="21">
        <v>1101332</v>
      </c>
      <c r="D21" s="19">
        <v>537</v>
      </c>
      <c r="E21" s="21">
        <v>173003</v>
      </c>
      <c r="F21" s="20">
        <f t="shared" si="10"/>
        <v>1958</v>
      </c>
      <c r="G21" s="22">
        <f t="shared" si="11"/>
        <v>0.72984668586955226</v>
      </c>
    </row>
    <row r="22" spans="1:13" ht="17" x14ac:dyDescent="0.25">
      <c r="A22" s="19" t="s">
        <v>140</v>
      </c>
      <c r="B22" s="21">
        <v>1532</v>
      </c>
      <c r="C22" s="21">
        <v>508790</v>
      </c>
      <c r="D22" s="21">
        <v>1459</v>
      </c>
      <c r="E22" s="21">
        <v>498585</v>
      </c>
      <c r="F22" s="20">
        <f t="shared" si="10"/>
        <v>73</v>
      </c>
      <c r="G22" s="22">
        <f t="shared" si="11"/>
        <v>1.0289733220618942</v>
      </c>
    </row>
    <row r="28" spans="1:13" ht="17" x14ac:dyDescent="0.25">
      <c r="I28" s="19">
        <v>70.12</v>
      </c>
      <c r="J28" s="19"/>
    </row>
    <row r="29" spans="1:13" ht="17" x14ac:dyDescent="0.25">
      <c r="C29" s="19"/>
      <c r="D29" s="19"/>
      <c r="E29" s="19"/>
      <c r="H29" s="19"/>
      <c r="I29" s="19">
        <v>70.14</v>
      </c>
      <c r="J29" s="19"/>
      <c r="K29" s="21">
        <v>1900</v>
      </c>
    </row>
    <row r="30" spans="1:13" ht="17" x14ac:dyDescent="0.25">
      <c r="C30" s="19"/>
      <c r="D30" s="19"/>
      <c r="E30" s="19"/>
      <c r="F30" s="19"/>
      <c r="G30" s="21"/>
      <c r="H30" s="19"/>
      <c r="I30" s="19">
        <v>70.13</v>
      </c>
      <c r="J30" s="19"/>
      <c r="K30" s="21">
        <v>1400</v>
      </c>
      <c r="L30" s="21"/>
      <c r="M30" s="21"/>
    </row>
    <row r="31" spans="1:13" ht="17" x14ac:dyDescent="0.25">
      <c r="C31" s="19"/>
      <c r="D31" s="19"/>
      <c r="E31" s="19"/>
      <c r="F31" s="19"/>
      <c r="G31" s="21"/>
      <c r="H31" s="19"/>
      <c r="I31" s="19">
        <v>70.09</v>
      </c>
      <c r="J31" s="19"/>
      <c r="K31" s="21">
        <v>1800</v>
      </c>
      <c r="L31" s="21"/>
      <c r="M31" s="21"/>
    </row>
    <row r="32" spans="1:13" ht="17" x14ac:dyDescent="0.25">
      <c r="B32" s="19"/>
      <c r="C32" s="19"/>
      <c r="D32" s="19"/>
      <c r="F32" s="19"/>
      <c r="G32" s="21"/>
      <c r="H32" s="19"/>
      <c r="I32" s="19">
        <v>70.05</v>
      </c>
      <c r="J32" s="19"/>
      <c r="K32" s="21">
        <v>2100</v>
      </c>
      <c r="L32" s="21"/>
      <c r="M32" s="21"/>
    </row>
    <row r="33" spans="2:13" ht="17" x14ac:dyDescent="0.25">
      <c r="B33" s="19"/>
      <c r="C33" s="19"/>
      <c r="D33" s="19"/>
      <c r="E33" s="19"/>
      <c r="F33" s="19"/>
      <c r="G33" s="19"/>
      <c r="H33" s="19"/>
      <c r="I33" s="19">
        <v>70.069999999999993</v>
      </c>
      <c r="J33" s="19"/>
      <c r="K33" s="21">
        <v>2700</v>
      </c>
      <c r="L33" s="19"/>
      <c r="M33" s="21"/>
    </row>
    <row r="34" spans="2:13" ht="17" x14ac:dyDescent="0.25">
      <c r="B34" s="19"/>
      <c r="C34" s="19"/>
      <c r="D34" s="19"/>
      <c r="E34" s="19"/>
      <c r="F34" s="19"/>
      <c r="G34" s="21"/>
      <c r="H34" s="19"/>
      <c r="I34" s="19">
        <v>70.03</v>
      </c>
      <c r="J34" s="19"/>
      <c r="K34" s="21">
        <v>3000</v>
      </c>
      <c r="L34" s="21"/>
      <c r="M34" s="21"/>
    </row>
    <row r="35" spans="2:13" ht="17" x14ac:dyDescent="0.25">
      <c r="B35" s="19"/>
      <c r="C35" s="19"/>
      <c r="D35" s="19"/>
      <c r="E35" s="19"/>
      <c r="F35" s="19"/>
      <c r="G35" s="21"/>
      <c r="H35" s="19"/>
      <c r="I35" s="19"/>
    </row>
    <row r="36" spans="2:13" ht="17" x14ac:dyDescent="0.25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21"/>
    </row>
    <row r="37" spans="2:13" ht="17" x14ac:dyDescent="0.25">
      <c r="B37" s="19"/>
      <c r="C37" s="19"/>
      <c r="D37" s="19"/>
      <c r="E37" s="19"/>
      <c r="F37" s="19"/>
      <c r="G37" s="21"/>
      <c r="I37" s="19"/>
      <c r="J37" s="19"/>
      <c r="K37" s="19"/>
      <c r="L37" s="19"/>
      <c r="M37" s="19"/>
    </row>
    <row r="38" spans="2:13" ht="17" x14ac:dyDescent="0.25">
      <c r="B38" s="19"/>
      <c r="C38" s="19"/>
      <c r="D38" s="19"/>
      <c r="E38" s="19"/>
      <c r="F38" s="19"/>
      <c r="G38" s="21"/>
      <c r="I38" s="19"/>
      <c r="J38" s="19"/>
      <c r="K38" s="19"/>
      <c r="L38" s="19"/>
      <c r="M38" s="21"/>
    </row>
    <row r="39" spans="2:13" ht="17" x14ac:dyDescent="0.25">
      <c r="B39" s="19"/>
      <c r="C39" s="19"/>
      <c r="D39" s="19"/>
      <c r="E39" s="19"/>
      <c r="F39" s="19"/>
      <c r="I39" s="19"/>
      <c r="J39" s="19"/>
      <c r="K39" s="19"/>
      <c r="L39" s="19"/>
      <c r="M39" s="21"/>
    </row>
    <row r="40" spans="2:13" ht="17" x14ac:dyDescent="0.25">
      <c r="B40" s="19"/>
      <c r="C40" s="19"/>
      <c r="D40" s="19"/>
      <c r="E40" s="19"/>
      <c r="F40" s="19"/>
    </row>
    <row r="41" spans="2:13" ht="17" x14ac:dyDescent="0.25">
      <c r="B41" s="19"/>
      <c r="C41" s="19"/>
      <c r="D41" s="19"/>
      <c r="E41" s="19"/>
      <c r="F41" s="19"/>
    </row>
    <row r="42" spans="2:13" ht="17" x14ac:dyDescent="0.25">
      <c r="B42" s="19"/>
      <c r="C42" s="19"/>
      <c r="D42" s="19"/>
      <c r="E42" s="19"/>
      <c r="F42" s="19"/>
    </row>
    <row r="43" spans="2:13" ht="17" x14ac:dyDescent="0.25">
      <c r="B43" s="19"/>
      <c r="C43" s="19"/>
      <c r="D43" s="19"/>
      <c r="E43" s="19"/>
      <c r="F43" s="19"/>
    </row>
    <row r="44" spans="2:13" ht="17" x14ac:dyDescent="0.25">
      <c r="B44" s="19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MT422U3</vt:lpstr>
      <vt:lpstr>MT422U4</vt:lpstr>
      <vt:lpstr>MT422U5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 Nguyen (hain2)</dc:creator>
  <cp:lastModifiedBy>Hai Nguyen (hain2)</cp:lastModifiedBy>
  <dcterms:created xsi:type="dcterms:W3CDTF">2025-03-18T06:08:52Z</dcterms:created>
  <dcterms:modified xsi:type="dcterms:W3CDTF">2025-04-01T12:59:03Z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f49a32-fde3-48a5-9266-b5b0972a22dc_Enabled">
    <vt:lpwstr>true</vt:lpwstr>
  </property>
  <property fmtid="{D5CDD505-2E9C-101B-9397-08002B2CF9AE}" pid="3" name="MSIP_Label_c8f49a32-fde3-48a5-9266-b5b0972a22dc_SetDate">
    <vt:lpwstr>2025-03-18T07:02:17Z</vt:lpwstr>
  </property>
  <property fmtid="{D5CDD505-2E9C-101B-9397-08002B2CF9AE}" pid="4" name="MSIP_Label_c8f49a32-fde3-48a5-9266-b5b0972a22dc_Method">
    <vt:lpwstr>Standard</vt:lpwstr>
  </property>
  <property fmtid="{D5CDD505-2E9C-101B-9397-08002B2CF9AE}" pid="5" name="MSIP_Label_c8f49a32-fde3-48a5-9266-b5b0972a22dc_Name">
    <vt:lpwstr>Cisco Confidential</vt:lpwstr>
  </property>
  <property fmtid="{D5CDD505-2E9C-101B-9397-08002B2CF9AE}" pid="6" name="MSIP_Label_c8f49a32-fde3-48a5-9266-b5b0972a22dc_SiteId">
    <vt:lpwstr>5ae1af62-9505-4097-a69a-c1553ef7840e</vt:lpwstr>
  </property>
  <property fmtid="{D5CDD505-2E9C-101B-9397-08002B2CF9AE}" pid="7" name="MSIP_Label_c8f49a32-fde3-48a5-9266-b5b0972a22dc_ActionId">
    <vt:lpwstr>8e710059-5a54-433c-8aaf-dd4a063bdf37</vt:lpwstr>
  </property>
  <property fmtid="{D5CDD505-2E9C-101B-9397-08002B2CF9AE}" pid="8" name="MSIP_Label_c8f49a32-fde3-48a5-9266-b5b0972a22dc_ContentBits">
    <vt:lpwstr>2</vt:lpwstr>
  </property>
  <property fmtid="{D5CDD505-2E9C-101B-9397-08002B2CF9AE}" pid="9" name="MSIP_Label_c8f49a32-fde3-48a5-9266-b5b0972a22dc_Tag">
    <vt:lpwstr>50, 3, 0, 1</vt:lpwstr>
  </property>
</Properties>
</file>