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urdueClass\RemNB\Purdue\"/>
    </mc:Choice>
  </mc:AlternateContent>
  <xr:revisionPtr revIDLastSave="0" documentId="13_ncr:1_{9FE298BC-8CF9-48B8-9C67-0D410EE6D61B}" xr6:coauthVersionLast="47" xr6:coauthVersionMax="47" xr10:uidLastSave="{00000000-0000-0000-0000-000000000000}"/>
  <bookViews>
    <workbookView xWindow="0" yWindow="0" windowWidth="14400" windowHeight="15600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3" l="1"/>
  <c r="N13" i="3"/>
  <c r="N12" i="3"/>
  <c r="P61" i="2"/>
  <c r="P63" i="2" s="1"/>
  <c r="P59" i="2"/>
  <c r="P56" i="2"/>
  <c r="P55" i="2"/>
  <c r="Q44" i="2"/>
  <c r="Q46" i="2" s="1"/>
  <c r="Q48" i="2" s="1"/>
  <c r="Q36" i="2"/>
  <c r="Q40" i="2" s="1"/>
  <c r="Q25" i="2"/>
  <c r="Q29" i="2" s="1"/>
  <c r="S10" i="2"/>
  <c r="S7" i="2"/>
  <c r="S6" i="2"/>
  <c r="Q5" i="2"/>
  <c r="Q9" i="2" s="1"/>
  <c r="Q12" i="2" s="1"/>
  <c r="S4" i="2"/>
  <c r="S3" i="2"/>
  <c r="F21" i="2"/>
  <c r="J24" i="2"/>
  <c r="C47" i="2"/>
  <c r="C43" i="2"/>
  <c r="C42" i="2"/>
  <c r="C39" i="2"/>
  <c r="C38" i="2"/>
  <c r="C37" i="2"/>
  <c r="C35" i="2"/>
  <c r="C33" i="2"/>
  <c r="F32" i="2"/>
  <c r="C28" i="2"/>
  <c r="C27" i="2"/>
  <c r="F26" i="2"/>
  <c r="C24" i="2"/>
  <c r="C23" i="2"/>
  <c r="F22" i="2"/>
  <c r="C11" i="2"/>
  <c r="F10" i="2"/>
  <c r="D44" i="2"/>
  <c r="D46" i="2" s="1"/>
  <c r="D48" i="2" s="1"/>
  <c r="D36" i="2"/>
  <c r="D40" i="2" s="1"/>
  <c r="D25" i="2"/>
  <c r="D29" i="2" s="1"/>
  <c r="F7" i="2"/>
  <c r="F6" i="2"/>
  <c r="F4" i="2"/>
  <c r="C4" i="2" s="1"/>
  <c r="F3" i="2"/>
  <c r="C3" i="2" s="1"/>
  <c r="D5" i="2"/>
  <c r="D9" i="2" s="1"/>
  <c r="D12" i="2" s="1"/>
  <c r="D14" i="2" s="1"/>
  <c r="F65" i="1"/>
  <c r="N82" i="1"/>
  <c r="F68" i="1"/>
  <c r="F71" i="1" s="1"/>
  <c r="N91" i="1"/>
  <c r="N93" i="1" s="1"/>
  <c r="O90" i="1"/>
  <c r="N79" i="1"/>
  <c r="N81" i="1"/>
  <c r="P77" i="1"/>
  <c r="P82" i="1" s="1"/>
  <c r="N86" i="1"/>
  <c r="M69" i="1"/>
  <c r="G108" i="1"/>
  <c r="F106" i="1"/>
  <c r="F108" i="1" s="1"/>
  <c r="F100" i="1"/>
  <c r="J92" i="1"/>
  <c r="I92" i="1"/>
  <c r="F86" i="1"/>
  <c r="K87" i="1"/>
  <c r="L101" i="1"/>
  <c r="J86" i="1"/>
  <c r="I86" i="1"/>
  <c r="G85" i="1"/>
  <c r="J82" i="1"/>
  <c r="I82" i="1"/>
  <c r="I81" i="1"/>
  <c r="J81" i="1" s="1"/>
  <c r="G73" i="1"/>
  <c r="G104" i="1" s="1"/>
  <c r="J72" i="1"/>
  <c r="F97" i="1"/>
  <c r="K69" i="1"/>
  <c r="J69" i="1"/>
  <c r="F64" i="1"/>
  <c r="G68" i="1"/>
  <c r="K66" i="1"/>
  <c r="J66" i="1"/>
  <c r="J55" i="1"/>
  <c r="K65" i="1"/>
  <c r="J65" i="1"/>
  <c r="K55" i="1"/>
  <c r="N97" i="1"/>
  <c r="M97" i="1"/>
  <c r="F62" i="1"/>
  <c r="J62" i="1"/>
  <c r="L98" i="1"/>
  <c r="G100" i="1"/>
  <c r="G96" i="1"/>
  <c r="D109" i="1"/>
  <c r="D108" i="1"/>
  <c r="D107" i="1"/>
  <c r="D106" i="1"/>
  <c r="D105" i="1"/>
  <c r="D103" i="1"/>
  <c r="D102" i="1"/>
  <c r="D100" i="1"/>
  <c r="D98" i="1"/>
  <c r="D97" i="1"/>
  <c r="D96" i="1"/>
  <c r="D89" i="1"/>
  <c r="D85" i="1"/>
  <c r="D73" i="1"/>
  <c r="D71" i="1"/>
  <c r="D70" i="1"/>
  <c r="D69" i="1"/>
  <c r="D64" i="1"/>
  <c r="D68" i="1" s="1"/>
  <c r="F69" i="1"/>
  <c r="G64" i="1"/>
  <c r="F81" i="1"/>
  <c r="F92" i="1"/>
  <c r="F107" i="1"/>
  <c r="F103" i="1"/>
  <c r="F102" i="1"/>
  <c r="F99" i="1"/>
  <c r="F98" i="1"/>
  <c r="F88" i="1"/>
  <c r="F87" i="1"/>
  <c r="F82" i="1"/>
  <c r="G89" i="1"/>
  <c r="F84" i="1"/>
  <c r="F83" i="1"/>
  <c r="B72" i="1"/>
  <c r="F59" i="1"/>
  <c r="F70" i="1"/>
  <c r="F96" i="1"/>
  <c r="F93" i="1"/>
  <c r="F63" i="1"/>
  <c r="C57" i="1"/>
  <c r="C58" i="1"/>
  <c r="C60" i="1"/>
  <c r="B57" i="1"/>
  <c r="B58" i="1" s="1"/>
  <c r="C52" i="1"/>
  <c r="C53" i="1" s="1"/>
  <c r="B52" i="1"/>
  <c r="C48" i="1"/>
  <c r="C47" i="1"/>
  <c r="B47" i="1"/>
  <c r="B48" i="1" s="1"/>
  <c r="C43" i="1"/>
  <c r="B43" i="1"/>
  <c r="J25" i="1"/>
  <c r="J27" i="1" s="1"/>
  <c r="Q49" i="2" l="1"/>
  <c r="D49" i="2"/>
  <c r="C46" i="2"/>
  <c r="C48" i="2" s="1"/>
  <c r="C10" i="2"/>
  <c r="Q14" i="2"/>
  <c r="S13" i="2"/>
  <c r="C5" i="2"/>
  <c r="C21" i="2"/>
  <c r="C26" i="2"/>
  <c r="C7" i="2"/>
  <c r="C6" i="2"/>
  <c r="C22" i="2"/>
  <c r="C32" i="2"/>
  <c r="F13" i="2"/>
  <c r="J26" i="2"/>
  <c r="J28" i="2" s="1"/>
  <c r="K72" i="1"/>
  <c r="F109" i="1"/>
  <c r="B53" i="1"/>
  <c r="B60" i="1"/>
  <c r="C59" i="1"/>
  <c r="C61" i="1" s="1"/>
  <c r="G71" i="1"/>
  <c r="F66" i="1"/>
  <c r="C9" i="2" l="1"/>
  <c r="C12" i="2" s="1"/>
  <c r="C13" i="2" s="1"/>
  <c r="C36" i="2"/>
  <c r="J20" i="2"/>
  <c r="C25" i="2"/>
  <c r="C29" i="2" s="1"/>
  <c r="F72" i="1"/>
  <c r="F73" i="1" s="1"/>
  <c r="B59" i="1"/>
  <c r="B61" i="1"/>
  <c r="C14" i="2" l="1"/>
  <c r="J21" i="2"/>
  <c r="C40" i="2"/>
  <c r="C49" i="2" s="1"/>
  <c r="C50" i="2" s="1"/>
  <c r="G106" i="1" l="1"/>
  <c r="G109" i="1" s="1"/>
  <c r="R77" i="1"/>
  <c r="Q77" i="1"/>
  <c r="F85" i="1"/>
  <c r="F89" i="1" l="1"/>
  <c r="F110" i="1" s="1"/>
  <c r="K85" i="1"/>
</calcChain>
</file>

<file path=xl/sharedStrings.xml><?xml version="1.0" encoding="utf-8"?>
<sst xmlns="http://schemas.openxmlformats.org/spreadsheetml/2006/main" count="380" uniqueCount="214">
  <si>
    <r>
      <rPr>
        <sz val="11.5"/>
        <rFont val="Times New Roman"/>
        <family val="1"/>
      </rPr>
      <t>WALT DISNEY COMPANY</t>
    </r>
  </si>
  <si>
    <r>
      <rPr>
        <sz val="11.5"/>
        <rFont val="Times New Roman"/>
        <family val="1"/>
      </rPr>
      <t>Selected Financial Statement and Other Data</t>
    </r>
  </si>
  <si>
    <r>
      <rPr>
        <sz val="11.5"/>
        <rFont val="Times New Roman"/>
        <family val="1"/>
      </rPr>
      <t>($ millions except per share data)</t>
    </r>
  </si>
  <si>
    <r>
      <rPr>
        <sz val="11.5"/>
        <rFont val="Times New Roman"/>
        <family val="1"/>
      </rPr>
      <t>Year 13</t>
    </r>
  </si>
  <si>
    <r>
      <rPr>
        <sz val="11.5"/>
        <rFont val="Times New Roman"/>
        <family val="1"/>
      </rPr>
      <t>Year 9</t>
    </r>
  </si>
  <si>
    <r>
      <rPr>
        <sz val="11.5"/>
        <rFont val="Times New Roman"/>
        <family val="1"/>
      </rPr>
      <t>Income Statement</t>
    </r>
  </si>
  <si>
    <r>
      <rPr>
        <sz val="11.5"/>
        <rFont val="Times New Roman"/>
        <family val="1"/>
      </rPr>
      <t xml:space="preserve">Revenue  </t>
    </r>
  </si>
  <si>
    <r>
      <rPr>
        <sz val="11.5"/>
        <rFont val="Times New Roman"/>
        <family val="1"/>
      </rPr>
      <t xml:space="preserve">Operating expenses  </t>
    </r>
  </si>
  <si>
    <r>
      <rPr>
        <sz val="11.5"/>
        <rFont val="Times New Roman"/>
        <family val="1"/>
      </rPr>
      <t xml:space="preserve">Interest expense  </t>
    </r>
  </si>
  <si>
    <r>
      <rPr>
        <sz val="11.5"/>
        <rFont val="Times New Roman"/>
        <family val="1"/>
      </rPr>
      <t xml:space="preserve">Investment and interest income </t>
    </r>
  </si>
  <si>
    <r>
      <rPr>
        <sz val="11.5"/>
        <rFont val="Times New Roman"/>
        <family val="1"/>
      </rPr>
      <t xml:space="preserve">Income </t>
    </r>
    <r>
      <rPr>
        <sz val="11.5"/>
        <rFont val="Times New Roman"/>
        <family val="1"/>
      </rPr>
      <t xml:space="preserve">(loss) from </t>
    </r>
    <r>
      <rPr>
        <sz val="11.5"/>
        <rFont val="Times New Roman"/>
        <family val="1"/>
      </rPr>
      <t xml:space="preserve">Euro Disney </t>
    </r>
  </si>
  <si>
    <r>
      <rPr>
        <sz val="11.5"/>
        <rFont val="Times New Roman"/>
        <family val="1"/>
      </rPr>
      <t xml:space="preserve">Pretax income </t>
    </r>
  </si>
  <si>
    <r>
      <rPr>
        <sz val="11.5"/>
        <rFont val="Times New Roman"/>
        <family val="1"/>
      </rPr>
      <t xml:space="preserve">Taxes </t>
    </r>
  </si>
  <si>
    <r>
      <rPr>
        <sz val="11.5"/>
        <rFont val="Times New Roman"/>
        <family val="1"/>
      </rPr>
      <t xml:space="preserve">Net income </t>
    </r>
  </si>
  <si>
    <r>
      <rPr>
        <sz val="11.5"/>
        <rFont val="Times New Roman"/>
        <family val="1"/>
      </rPr>
      <t xml:space="preserve">Earnings per share  </t>
    </r>
  </si>
  <si>
    <r>
      <rPr>
        <sz val="11.5"/>
        <rFont val="Times New Roman"/>
        <family val="1"/>
      </rPr>
      <t xml:space="preserve">Dividends per share  </t>
    </r>
  </si>
  <si>
    <r>
      <rPr>
        <sz val="11.5"/>
        <rFont val="Times New Roman"/>
        <family val="1"/>
      </rPr>
      <t>Balance Sheet</t>
    </r>
  </si>
  <si>
    <r>
      <rPr>
        <sz val="11.5"/>
        <rFont val="Times New Roman"/>
        <family val="1"/>
      </rPr>
      <t xml:space="preserve">Cash </t>
    </r>
  </si>
  <si>
    <r>
      <rPr>
        <sz val="11.5"/>
        <rFont val="Times New Roman"/>
        <family val="1"/>
      </rPr>
      <t xml:space="preserve">Receivables  </t>
    </r>
  </si>
  <si>
    <r>
      <rPr>
        <sz val="11.5"/>
        <rFont val="Times New Roman"/>
        <family val="1"/>
      </rPr>
      <t xml:space="preserve">Inventories  </t>
    </r>
  </si>
  <si>
    <r>
      <rPr>
        <sz val="11.5"/>
        <rFont val="Times New Roman"/>
        <family val="1"/>
      </rPr>
      <t xml:space="preserve">Other </t>
    </r>
  </si>
  <si>
    <r>
      <rPr>
        <sz val="11.5"/>
        <rFont val="Times New Roman"/>
        <family val="1"/>
      </rPr>
      <t xml:space="preserve">Current assets  </t>
    </r>
  </si>
  <si>
    <r>
      <rPr>
        <sz val="11.5"/>
        <rFont val="Times New Roman"/>
        <family val="1"/>
      </rPr>
      <t xml:space="preserve">Property, plant, and equipment, net  </t>
    </r>
  </si>
  <si>
    <r>
      <rPr>
        <sz val="11.5"/>
        <rFont val="Times New Roman"/>
        <family val="1"/>
      </rPr>
      <t xml:space="preserve">Other assets  </t>
    </r>
  </si>
  <si>
    <r>
      <rPr>
        <sz val="11.5"/>
        <rFont val="Times New Roman"/>
        <family val="1"/>
      </rPr>
      <t xml:space="preserve">Total as sets  </t>
    </r>
  </si>
  <si>
    <r>
      <rPr>
        <sz val="11.5"/>
        <rFont val="Times New Roman"/>
        <family val="1"/>
      </rPr>
      <t xml:space="preserve">Current liabilities  </t>
    </r>
  </si>
  <si>
    <r>
      <rPr>
        <sz val="11.5"/>
        <rFont val="Times New Roman"/>
        <family val="1"/>
      </rPr>
      <t xml:space="preserve">Bo rrov• in gs  </t>
    </r>
  </si>
  <si>
    <r>
      <rPr>
        <sz val="11.5"/>
        <rFont val="Times New Roman"/>
        <family val="1"/>
      </rPr>
      <t xml:space="preserve">Other liabilities </t>
    </r>
  </si>
  <si>
    <r>
      <rPr>
        <sz val="11.5"/>
        <rFont val="Times New Roman"/>
        <family val="1"/>
      </rPr>
      <t xml:space="preserve">Stockholders' equity  </t>
    </r>
  </si>
  <si>
    <r>
      <rPr>
        <sz val="11.5"/>
        <rFont val="Times New Roman"/>
        <family val="1"/>
      </rPr>
      <t xml:space="preserve">Total liabilities and stockholders' equity </t>
    </r>
  </si>
  <si>
    <r>
      <rPr>
        <sz val="11.5"/>
        <rFont val="Times New Roman"/>
        <family val="1"/>
      </rPr>
      <t xml:space="preserve">Cash Flow from Operations  </t>
    </r>
  </si>
  <si>
    <r>
      <rPr>
        <sz val="11.5"/>
        <rFont val="Times New Roman"/>
        <family val="1"/>
      </rPr>
      <t>Other Data</t>
    </r>
  </si>
  <si>
    <r>
      <rPr>
        <sz val="11.5"/>
        <rFont val="Times New Roman"/>
        <family val="1"/>
      </rPr>
      <t xml:space="preserve">Common shares outstanding (millions)  </t>
    </r>
  </si>
  <si>
    <r>
      <rPr>
        <sz val="11.5"/>
        <rFont val="Times New Roman"/>
        <family val="1"/>
      </rPr>
      <t xml:space="preserve">Closing price, common stock per share  </t>
    </r>
  </si>
  <si>
    <r>
      <rPr>
        <sz val="11.5"/>
        <rFont val="Times New Roman"/>
        <family val="1"/>
      </rPr>
      <t xml:space="preserve">Note. Total assets except "other" current assets. current kabilitres. and other </t>
    </r>
  </si>
  <si>
    <r>
      <rPr>
        <sz val="11.5"/>
        <rFont val="Times New Roman"/>
        <family val="1"/>
      </rPr>
      <t>lab...litres are considered operating, as rs the Euro Disney loss.</t>
    </r>
  </si>
  <si>
    <r>
      <rPr>
        <sz val="11.5"/>
        <rFont val="Times New Roman"/>
        <family val="1"/>
      </rPr>
      <t>BUSINESS SEGMENT DATA</t>
    </r>
  </si>
  <si>
    <r>
      <rPr>
        <sz val="11.5"/>
        <rFont val="Times New Roman"/>
        <family val="1"/>
      </rPr>
      <t>Years Ending September 30</t>
    </r>
  </si>
  <si>
    <r>
      <rPr>
        <sz val="11.5"/>
        <rFont val="Times New Roman"/>
        <family val="1"/>
      </rPr>
      <t xml:space="preserve">(S millions)
</t>
    </r>
    <r>
      <rPr>
        <sz val="11.5"/>
        <rFont val="Times New Roman"/>
        <family val="1"/>
      </rPr>
      <t>Business Segments</t>
    </r>
  </si>
  <si>
    <r>
      <rPr>
        <sz val="11.5"/>
        <rFont val="Times New Roman"/>
        <family val="1"/>
      </rPr>
      <t xml:space="preserve">YEAR </t>
    </r>
    <r>
      <rPr>
        <sz val="11.5"/>
        <rFont val="Times New Roman"/>
        <family val="1"/>
      </rPr>
      <t>13</t>
    </r>
  </si>
  <si>
    <r>
      <rPr>
        <sz val="11.5"/>
        <rFont val="Times New Roman"/>
        <family val="1"/>
      </rPr>
      <t>YEAR 9</t>
    </r>
  </si>
  <si>
    <r>
      <rPr>
        <sz val="11.5"/>
        <rFont val="Times New Roman"/>
        <family val="1"/>
      </rPr>
      <t>Revenue</t>
    </r>
  </si>
  <si>
    <r>
      <rPr>
        <sz val="11.5"/>
        <rFont val="Times New Roman"/>
        <family val="1"/>
      </rPr>
      <t xml:space="preserve">Operating
</t>
    </r>
    <r>
      <rPr>
        <sz val="11.5"/>
        <rFont val="Times New Roman"/>
        <family val="1"/>
      </rPr>
      <t>Income</t>
    </r>
  </si>
  <si>
    <r>
      <rPr>
        <sz val="11.5"/>
        <rFont val="Times New Roman"/>
        <family val="1"/>
      </rPr>
      <t xml:space="preserve">Theme parks and resorts  </t>
    </r>
  </si>
  <si>
    <r>
      <rPr>
        <sz val="11.5"/>
        <rFont val="Times New Roman"/>
        <family val="1"/>
      </rPr>
      <t xml:space="preserve">Film entertainment  </t>
    </r>
  </si>
  <si>
    <r>
      <rPr>
        <sz val="11.5"/>
        <rFont val="Times New Roman"/>
        <family val="1"/>
      </rPr>
      <t xml:space="preserve">Consumer products  </t>
    </r>
  </si>
  <si>
    <t>For years Ending September 30</t>
  </si>
  <si>
    <r>
      <rPr>
        <sz val="11.5"/>
        <rFont val="Times New Roman"/>
        <family val="1"/>
      </rPr>
      <t>FAX CORPORATION</t>
    </r>
  </si>
  <si>
    <r>
      <rPr>
        <sz val="11.5"/>
        <rFont val="Times New Roman"/>
        <family val="1"/>
      </rPr>
      <t>Income Statement</t>
    </r>
  </si>
  <si>
    <r>
      <rPr>
        <sz val="11.5"/>
        <rFont val="Times New Roman"/>
        <family val="1"/>
      </rPr>
      <t>For Year Ended December 31, Year 1</t>
    </r>
  </si>
  <si>
    <r>
      <rPr>
        <sz val="11.5"/>
        <rFont val="Times New Roman"/>
        <family val="1"/>
      </rPr>
      <t xml:space="preserve">Net sales </t>
    </r>
  </si>
  <si>
    <r>
      <rPr>
        <sz val="11.5"/>
        <rFont val="Times New Roman"/>
        <family val="1"/>
      </rPr>
      <t xml:space="preserve">Cost of goods sold (excluding depreciation)  </t>
    </r>
  </si>
  <si>
    <r>
      <rPr>
        <sz val="11.5"/>
        <rFont val="Times New Roman"/>
        <family val="1"/>
      </rPr>
      <t xml:space="preserve">Gross profit </t>
    </r>
  </si>
  <si>
    <r>
      <rPr>
        <sz val="11.5"/>
        <rFont val="Times New Roman"/>
        <family val="1"/>
      </rPr>
      <t xml:space="preserve">Depreciation expense  </t>
    </r>
  </si>
  <si>
    <r>
      <rPr>
        <sz val="11.5"/>
        <rFont val="Times New Roman"/>
        <family val="1"/>
      </rPr>
      <t xml:space="preserve">Selling and administrative expenses  </t>
    </r>
  </si>
  <si>
    <r>
      <rPr>
        <sz val="11.5"/>
        <rFont val="Times New Roman"/>
        <family val="1"/>
      </rPr>
      <t xml:space="preserve">Income before taxes  </t>
    </r>
  </si>
  <si>
    <r>
      <rPr>
        <sz val="11.5"/>
        <rFont val="Times New Roman"/>
        <family val="1"/>
      </rPr>
      <t xml:space="preserve">Income taxes (state and federal)  </t>
    </r>
  </si>
  <si>
    <r>
      <rPr>
        <sz val="11.5"/>
        <rFont val="Times New Roman"/>
        <family val="1"/>
      </rPr>
      <t xml:space="preserve">Net income  </t>
    </r>
  </si>
  <si>
    <r>
      <rPr>
        <sz val="11.5"/>
        <rFont val="Times New Roman"/>
        <family val="1"/>
      </rPr>
      <t>Balance Sheet</t>
    </r>
  </si>
  <si>
    <r>
      <rPr>
        <sz val="11.5"/>
        <rFont val="Times New Roman"/>
        <family val="1"/>
      </rPr>
      <t>December 31, Year 1</t>
    </r>
  </si>
  <si>
    <r>
      <rPr>
        <sz val="11.5"/>
        <rFont val="Times New Roman"/>
        <family val="1"/>
      </rPr>
      <t xml:space="preserve">Assets
</t>
    </r>
    <r>
      <rPr>
        <sz val="11.5"/>
        <rFont val="Times New Roman"/>
        <family val="1"/>
      </rPr>
      <t>Current assets</t>
    </r>
  </si>
  <si>
    <r>
      <rPr>
        <sz val="11.5"/>
        <rFont val="Times New Roman"/>
        <family val="1"/>
      </rPr>
      <t xml:space="preserve">Cash  </t>
    </r>
  </si>
  <si>
    <r>
      <rPr>
        <sz val="11.5"/>
        <rFont val="Times New Roman"/>
        <family val="1"/>
      </rPr>
      <t xml:space="preserve">Marketable securities  </t>
    </r>
  </si>
  <si>
    <r>
      <rPr>
        <sz val="11.5"/>
        <rFont val="Times New Roman"/>
        <family val="1"/>
      </rPr>
      <t xml:space="preserve">Accounts receivable </t>
    </r>
  </si>
  <si>
    <r>
      <rPr>
        <sz val="11.5"/>
        <rFont val="Times New Roman"/>
        <family val="1"/>
      </rPr>
      <t xml:space="preserve">Inventory  </t>
    </r>
  </si>
  <si>
    <r>
      <rPr>
        <sz val="11.5"/>
        <rFont val="Times New Roman"/>
        <family val="1"/>
      </rPr>
      <t xml:space="preserve">Total current assets </t>
    </r>
  </si>
  <si>
    <r>
      <rPr>
        <sz val="11.5"/>
        <rFont val="Times New Roman"/>
        <family val="1"/>
      </rPr>
      <t xml:space="preserve">Plant and equipment  </t>
    </r>
  </si>
  <si>
    <r>
      <rPr>
        <sz val="11.5"/>
        <rFont val="Times New Roman"/>
        <family val="1"/>
      </rPr>
      <t xml:space="preserve">Less:Accumulated depreciation  </t>
    </r>
  </si>
  <si>
    <r>
      <rPr>
        <sz val="11.5"/>
        <rFont val="Times New Roman"/>
        <family val="1"/>
      </rPr>
      <t xml:space="preserve">Total assets  </t>
    </r>
  </si>
  <si>
    <r>
      <rPr>
        <sz val="11.5"/>
        <rFont val="Times New Roman"/>
        <family val="1"/>
      </rPr>
      <t>Liabilities and Equity</t>
    </r>
  </si>
  <si>
    <r>
      <rPr>
        <sz val="11.5"/>
        <rFont val="Times New Roman"/>
        <family val="1"/>
      </rPr>
      <t>Current liabilities</t>
    </r>
  </si>
  <si>
    <r>
      <rPr>
        <sz val="11.5"/>
        <rFont val="Times New Roman"/>
        <family val="1"/>
      </rPr>
      <t xml:space="preserve">Accounts payable  </t>
    </r>
  </si>
  <si>
    <r>
      <rPr>
        <sz val="11.5"/>
        <rFont val="Times New Roman"/>
        <family val="1"/>
      </rPr>
      <t xml:space="preserve">Notes payable  </t>
    </r>
  </si>
  <si>
    <r>
      <rPr>
        <sz val="11.5"/>
        <rFont val="Times New Roman"/>
        <family val="1"/>
      </rPr>
      <t xml:space="preserve">Total current liabilities  </t>
    </r>
  </si>
  <si>
    <r>
      <rPr>
        <sz val="11.5"/>
        <rFont val="Times New Roman"/>
        <family val="1"/>
      </rPr>
      <t xml:space="preserve">Long-term debt  </t>
    </r>
  </si>
  <si>
    <r>
      <rPr>
        <sz val="11.5"/>
        <rFont val="Times New Roman"/>
        <family val="1"/>
      </rPr>
      <t>Equity</t>
    </r>
  </si>
  <si>
    <r>
      <rPr>
        <sz val="11.5"/>
        <rFont val="Times New Roman"/>
        <family val="1"/>
      </rPr>
      <t xml:space="preserve">Capital stock </t>
    </r>
  </si>
  <si>
    <r>
      <rPr>
        <sz val="11.5"/>
        <rFont val="Times New Roman"/>
        <family val="1"/>
      </rPr>
      <t xml:space="preserve">Retained earnings </t>
    </r>
  </si>
  <si>
    <r>
      <rPr>
        <sz val="11.5"/>
        <rFont val="Times New Roman"/>
        <family val="1"/>
      </rPr>
      <t xml:space="preserve">Total liabilities and equity </t>
    </r>
  </si>
  <si>
    <t>Cash (Beginning Balance)</t>
  </si>
  <si>
    <t>Add (cash Collections for customer during year 2)</t>
  </si>
  <si>
    <t>Equals: Total Cash inflow</t>
  </si>
  <si>
    <t>Total Cash disbursements</t>
  </si>
  <si>
    <t>Less minimum cash balance</t>
  </si>
  <si>
    <t>Deduct: Cash disbursements</t>
  </si>
  <si>
    <t>Payment to suppliers</t>
  </si>
  <si>
    <t>Payments of SG&amp;A expense</t>
  </si>
  <si>
    <t>Payments of income tax expense</t>
  </si>
  <si>
    <t>Payments of not payable</t>
  </si>
  <si>
    <t>Payments of long-term debt</t>
  </si>
  <si>
    <t>Equals: net cash flow</t>
  </si>
  <si>
    <t>sale growth</t>
  </si>
  <si>
    <t xml:space="preserve">Stockholders' equity  </t>
  </si>
  <si>
    <t>ROCE</t>
  </si>
  <si>
    <t>Operating Income</t>
  </si>
  <si>
    <t>Tax Rate</t>
  </si>
  <si>
    <t>NOPAT</t>
  </si>
  <si>
    <t>NOA</t>
  </si>
  <si>
    <t>RNOA</t>
  </si>
  <si>
    <t>NFO </t>
  </si>
  <si>
    <t xml:space="preserve">Borrowings  </t>
  </si>
  <si>
    <t>NBC</t>
  </si>
  <si>
    <t>Spread </t>
  </si>
  <si>
    <t>($ millions)</t>
  </si>
  <si>
    <t>Year 13</t>
  </si>
  <si>
    <t>Year 9</t>
  </si>
  <si>
    <t xml:space="preserve">Net income </t>
  </si>
  <si>
    <t xml:space="preserve">Taxes </t>
  </si>
  <si>
    <t xml:space="preserve">Pretax income </t>
  </si>
  <si>
    <t xml:space="preserve">Total as sets  </t>
  </si>
  <si>
    <t xml:space="preserve">Cash </t>
  </si>
  <si>
    <t xml:space="preserve">Other liabilities </t>
  </si>
  <si>
    <t xml:space="preserve">Interest expense  </t>
  </si>
  <si>
    <t>LEV</t>
  </si>
  <si>
    <t>ROCE_disaggregate</t>
  </si>
  <si>
    <r>
      <rPr>
        <sz val="11.5"/>
        <rFont val="Times New Roman"/>
        <family val="1"/>
      </rPr>
      <t>INCOME STATEMENT</t>
    </r>
  </si>
  <si>
    <r>
      <rPr>
        <sz val="11.5"/>
        <rFont val="Times New Roman"/>
        <family val="1"/>
      </rPr>
      <t>For Year Ended December 31 (In millions)</t>
    </r>
  </si>
  <si>
    <r>
      <rPr>
        <sz val="11.5"/>
        <rFont val="Times New Roman"/>
        <family val="1"/>
      </rPr>
      <t>20x6</t>
    </r>
  </si>
  <si>
    <r>
      <rPr>
        <sz val="11.5"/>
        <rFont val="Times New Roman"/>
        <family val="1"/>
      </rPr>
      <t>20x4</t>
    </r>
  </si>
  <si>
    <r>
      <rPr>
        <sz val="11.5"/>
        <rFont val="Times New Roman"/>
        <family val="1"/>
      </rPr>
      <t xml:space="preserve">Cost of goods sold </t>
    </r>
  </si>
  <si>
    <r>
      <rPr>
        <sz val="11.5"/>
        <rFont val="Times New Roman"/>
        <family val="1"/>
      </rPr>
      <t xml:space="preserve">Selling, general, and administrative expenses  </t>
    </r>
  </si>
  <si>
    <r>
      <rPr>
        <sz val="11.5"/>
        <rFont val="Times New Roman"/>
        <family val="1"/>
      </rPr>
      <t xml:space="preserve">Research and development costs  </t>
    </r>
  </si>
  <si>
    <r>
      <rPr>
        <sz val="11.5"/>
        <rFont val="Times New Roman"/>
        <family val="1"/>
      </rPr>
      <t xml:space="preserve">Restructuring costs (credits) and other </t>
    </r>
  </si>
  <si>
    <r>
      <rPr>
        <sz val="11.5"/>
        <rFont val="Times New Roman"/>
        <family val="1"/>
      </rPr>
      <t xml:space="preserve">Other income (charges)  </t>
    </r>
  </si>
  <si>
    <r>
      <rPr>
        <sz val="11.5"/>
        <rFont val="Times New Roman"/>
        <family val="1"/>
      </rPr>
      <t xml:space="preserve">Provision for income taxes </t>
    </r>
  </si>
  <si>
    <r>
      <rPr>
        <sz val="11.5"/>
        <rFont val="Times New Roman"/>
        <family val="1"/>
      </rPr>
      <t xml:space="preserve">Net earnings </t>
    </r>
  </si>
  <si>
    <r>
      <rPr>
        <sz val="11.5"/>
        <rFont val="Times New Roman"/>
        <family val="1"/>
      </rPr>
      <t>BALANCE SHEET</t>
    </r>
  </si>
  <si>
    <r>
      <rPr>
        <sz val="11.5"/>
        <rFont val="Times New Roman"/>
        <family val="1"/>
      </rPr>
      <t>At December 31 (In millions, except share and per share data)</t>
    </r>
  </si>
  <si>
    <r>
      <rPr>
        <sz val="11.5"/>
        <rFont val="Times New Roman"/>
        <family val="1"/>
      </rPr>
      <t>20x5</t>
    </r>
  </si>
  <si>
    <r>
      <rPr>
        <sz val="11.5"/>
        <rFont val="Times New Roman"/>
        <family val="1"/>
      </rPr>
      <t>Assets</t>
    </r>
  </si>
  <si>
    <r>
      <rPr>
        <sz val="11.5"/>
        <rFont val="Times New Roman"/>
        <family val="1"/>
      </rPr>
      <t>Current assets</t>
    </r>
  </si>
  <si>
    <r>
      <rPr>
        <sz val="11.5"/>
        <rFont val="Times New Roman"/>
        <family val="1"/>
      </rPr>
      <t xml:space="preserve">Cash and cash equivalents </t>
    </r>
  </si>
  <si>
    <r>
      <rPr>
        <sz val="11.5"/>
        <rFont val="Times New Roman"/>
        <family val="1"/>
      </rPr>
      <t xml:space="preserve">Receivables, net  </t>
    </r>
  </si>
  <si>
    <r>
      <rPr>
        <sz val="10"/>
        <rFont val="Arial"/>
        <family val="2"/>
      </rPr>
      <t>Inventories. net</t>
    </r>
    <r>
      <rPr>
        <sz val="11.5"/>
        <rFont val="Times New Roman"/>
        <family val="1"/>
      </rPr>
      <t xml:space="preserve">  </t>
    </r>
  </si>
  <si>
    <r>
      <rPr>
        <sz val="11.5"/>
        <rFont val="Times New Roman"/>
        <family val="1"/>
      </rPr>
      <t xml:space="preserve">Deferred income taxes </t>
    </r>
  </si>
  <si>
    <r>
      <rPr>
        <sz val="11.5"/>
        <rFont val="Times New Roman"/>
        <family val="1"/>
      </rPr>
      <t xml:space="preserve">Other current assets  </t>
    </r>
  </si>
  <si>
    <r>
      <rPr>
        <sz val="10"/>
        <rFont val="Arial"/>
        <family val="2"/>
      </rPr>
      <t>Goodwill. net</t>
    </r>
    <r>
      <rPr>
        <sz val="11.5"/>
        <rFont val="Times New Roman"/>
        <family val="1"/>
      </rPr>
      <t xml:space="preserve">  </t>
    </r>
  </si>
  <si>
    <r>
      <rPr>
        <sz val="11.5"/>
        <rFont val="Times New Roman"/>
        <family val="1"/>
      </rPr>
      <t xml:space="preserve">Other long-term assets  </t>
    </r>
  </si>
  <si>
    <r>
      <rPr>
        <sz val="11.5"/>
        <rFont val="Times New Roman"/>
        <family val="1"/>
      </rPr>
      <t xml:space="preserve">Total assets </t>
    </r>
  </si>
  <si>
    <r>
      <rPr>
        <sz val="11.5"/>
        <rFont val="Times New Roman"/>
        <family val="1"/>
      </rPr>
      <t>Liabilities and shareholders' equity</t>
    </r>
  </si>
  <si>
    <r>
      <rPr>
        <sz val="11.5"/>
        <rFont val="Times New Roman"/>
        <family val="1"/>
      </rPr>
      <t xml:space="preserve">Accounts payable and other current liabilities  </t>
    </r>
  </si>
  <si>
    <r>
      <rPr>
        <sz val="11.5"/>
        <rFont val="Times New Roman"/>
        <family val="1"/>
      </rPr>
      <t xml:space="preserve">Short-term borrowings </t>
    </r>
  </si>
  <si>
    <r>
      <rPr>
        <sz val="11.5"/>
        <rFont val="Times New Roman"/>
        <family val="1"/>
      </rPr>
      <t xml:space="preserve">Current portion of long-term debt </t>
    </r>
  </si>
  <si>
    <r>
      <rPr>
        <sz val="11.5"/>
        <rFont val="Times New Roman"/>
        <family val="1"/>
      </rPr>
      <t xml:space="preserve">Accrued income taxes  </t>
    </r>
  </si>
  <si>
    <r>
      <rPr>
        <sz val="11.5"/>
        <rFont val="Times New Roman"/>
        <family val="1"/>
      </rPr>
      <t xml:space="preserve">Long-term </t>
    </r>
    <r>
      <rPr>
        <sz val="10"/>
        <rFont val="Arial"/>
        <family val="2"/>
      </rPr>
      <t>debt. net</t>
    </r>
    <r>
      <rPr>
        <sz val="11.5"/>
        <rFont val="Times New Roman"/>
        <family val="1"/>
      </rPr>
      <t xml:space="preserve"> of current portion  </t>
    </r>
  </si>
  <si>
    <r>
      <rPr>
        <sz val="11.5"/>
        <rFont val="Times New Roman"/>
        <family val="1"/>
      </rPr>
      <t xml:space="preserve">Postemployment liabilities  </t>
    </r>
  </si>
  <si>
    <r>
      <rPr>
        <sz val="11.5"/>
        <rFont val="Times New Roman"/>
        <family val="1"/>
      </rPr>
      <t xml:space="preserve">Other long-term liabilities </t>
    </r>
  </si>
  <si>
    <r>
      <rPr>
        <sz val="11.5"/>
        <rFont val="Times New Roman"/>
        <family val="1"/>
      </rPr>
      <t xml:space="preserve">Total liabilities  </t>
    </r>
  </si>
  <si>
    <r>
      <rPr>
        <sz val="11.5"/>
        <rFont val="Times New Roman"/>
        <family val="1"/>
      </rPr>
      <t xml:space="preserve">Additional paid in capital </t>
    </r>
  </si>
  <si>
    <r>
      <rPr>
        <sz val="11.5"/>
        <rFont val="Times New Roman"/>
        <family val="1"/>
      </rPr>
      <t xml:space="preserve">Retained earnings  </t>
    </r>
  </si>
  <si>
    <r>
      <rPr>
        <sz val="11.5"/>
        <rFont val="Times New Roman"/>
        <family val="1"/>
      </rPr>
      <t xml:space="preserve">Accumulated other comprehensive loss </t>
    </r>
  </si>
  <si>
    <r>
      <rPr>
        <sz val="11.5"/>
        <rFont val="Times New Roman"/>
        <family val="1"/>
      </rPr>
      <t xml:space="preserve">Treasury stock, at cost; 100,363.059 shares in 20x6 and 100,808.494 shares in 20x5  </t>
    </r>
  </si>
  <si>
    <r>
      <rPr>
        <sz val="11.5"/>
        <rFont val="Times New Roman"/>
        <family val="1"/>
      </rPr>
      <t xml:space="preserve">Total shareholders' equity  </t>
    </r>
  </si>
  <si>
    <r>
      <rPr>
        <sz val="11.5"/>
        <rFont val="Times New Roman"/>
        <family val="1"/>
      </rPr>
      <t xml:space="preserve">Total liabilities and shareholders' equity </t>
    </r>
  </si>
  <si>
    <t>20x5</t>
  </si>
  <si>
    <t>20x7</t>
  </si>
  <si>
    <t xml:space="preserve">Depreciation expense  </t>
  </si>
  <si>
    <t>dividend</t>
  </si>
  <si>
    <t>PP&amp;E</t>
  </si>
  <si>
    <t>Sale</t>
  </si>
  <si>
    <t xml:space="preserve">Common stock. $2.50 par value 950,000.000 shares authorized: issued 391.292,760 shares in 20x6 and 20x5; 290.929.701 and 290.484,266 shares outstanding in 20x6 and 20x5  </t>
  </si>
  <si>
    <t>Shareholders' equity</t>
  </si>
  <si>
    <t>Net Income after tax</t>
  </si>
  <si>
    <t>Net Cash flow from opearting activity</t>
  </si>
  <si>
    <t>Cash flows from investing activities</t>
  </si>
  <si>
    <t>Cash flows from operating activities</t>
  </si>
  <si>
    <t>cash inflow from investing activities</t>
  </si>
  <si>
    <t>Net cash flows from investing activies</t>
  </si>
  <si>
    <t>Cash flow from financing activities</t>
  </si>
  <si>
    <t>cash inflows from financing activities</t>
  </si>
  <si>
    <t>net cash flows from financing activities</t>
  </si>
  <si>
    <t>net cash flow during the period</t>
  </si>
  <si>
    <t>Earnings from operations  (EBIT)</t>
  </si>
  <si>
    <t>operating profit</t>
  </si>
  <si>
    <t>Earnings before income taxes (EBT)</t>
  </si>
  <si>
    <t xml:space="preserve">Total current assets  </t>
  </si>
  <si>
    <t>after substracting accumulate deprec</t>
  </si>
  <si>
    <t>debt</t>
  </si>
  <si>
    <t>gross PPE</t>
  </si>
  <si>
    <t>20x6</t>
  </si>
  <si>
    <t>net ppe</t>
  </si>
  <si>
    <t xml:space="preserve"> sub accumulative depreciation</t>
  </si>
  <si>
    <t>dep</t>
  </si>
  <si>
    <t>included</t>
  </si>
  <si>
    <t>depreciation expense</t>
  </si>
  <si>
    <t>decrease in current asset</t>
  </si>
  <si>
    <t>increase in current liability</t>
  </si>
  <si>
    <t>decrease in current liablity</t>
  </si>
  <si>
    <t>increase in current asset</t>
  </si>
  <si>
    <t>cash outflow from investing activities</t>
  </si>
  <si>
    <t>cash outflows from financing activities</t>
  </si>
  <si>
    <t>beginning cash balance</t>
  </si>
  <si>
    <t>Ending balance</t>
  </si>
  <si>
    <t>F62*((G65-765)/G62)</t>
  </si>
  <si>
    <t>Percent/Proportion</t>
  </si>
  <si>
    <t>Net Income after Tax</t>
  </si>
  <si>
    <t>Depreciation Expense</t>
  </si>
  <si>
    <t>Decrease in Current Assets</t>
  </si>
  <si>
    <t>Decrease in Current Liabilities</t>
  </si>
  <si>
    <t>Net Cash Flow from Operating Activities</t>
  </si>
  <si>
    <t>Cash Outflow from Investing Activities</t>
  </si>
  <si>
    <t>Net Cash Flows from Investing Activities</t>
  </si>
  <si>
    <t>Net Cash Flows from Financing Activities</t>
  </si>
  <si>
    <t>Net Cash Flow During the Period</t>
  </si>
  <si>
    <t>Beginning Cash Balance</t>
  </si>
  <si>
    <t>Ending Balance (Projected)</t>
  </si>
  <si>
    <t>Forecast Calc</t>
  </si>
  <si>
    <t>Forecast Math</t>
  </si>
  <si>
    <t>Percent/Proportion
Calc.</t>
  </si>
  <si>
    <t>Cash Flow</t>
  </si>
  <si>
    <t>Used Math</t>
  </si>
  <si>
    <t>Forecast</t>
  </si>
  <si>
    <t>Year 2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</si>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</sst>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;&quot;$&quot;\-#,##0"/>
    <numFmt numFmtId="165" formatCode="0.00_);[Red]\(0.00\)"/>
    <numFmt numFmtId="166" formatCode="0.0%"/>
    <numFmt numFmtId="170" formatCode="0.000E+00"/>
    <numFmt numFmtId="176" formatCode="0_);[Red]\(0\)"/>
  </numFmts>
  <fonts count="12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Calibri"/>
      <family val="2"/>
    </font>
    <font>
      <sz val="11.5"/>
      <name val="Times New Roman"/>
      <family val="1"/>
    </font>
    <font>
      <b/>
      <sz val="12"/>
      <color rgb="FF404040"/>
      <name val="Segoe UI"/>
      <family val="2"/>
    </font>
    <font>
      <b/>
      <sz val="11.5"/>
      <name val="Times New Roman"/>
      <family val="1"/>
    </font>
    <font>
      <sz val="10"/>
      <name val="Arial"/>
      <family val="2"/>
    </font>
    <font>
      <sz val="15"/>
      <color rgb="FF404040"/>
      <name val="Times New Roman"/>
      <family val="1"/>
    </font>
    <font>
      <b/>
      <sz val="11"/>
      <color rgb="FF000000"/>
      <name val="Calibri"/>
      <family val="2"/>
    </font>
    <font>
      <sz val="11"/>
      <color theme="5"/>
      <name val="Calibri"/>
      <family val="2"/>
    </font>
    <font>
      <sz val="11"/>
      <color theme="9"/>
      <name val="Calibri"/>
      <family val="2"/>
    </font>
    <font>
      <sz val="9.6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0" borderId="1"/>
    <xf numFmtId="0" fontId="2" fillId="0" borderId="1"/>
  </cellStyleXfs>
  <cellXfs count="89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65" fontId="1" fillId="0" borderId="2" xfId="0" applyNumberFormat="1" applyFont="1" applyBorder="1" applyAlignment="1">
      <alignment horizontal="left" vertical="top" wrapText="1"/>
    </xf>
    <xf numFmtId="165" fontId="0" fillId="0" borderId="2" xfId="0" applyNumberForma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1" xfId="0" quotePrefix="1" applyFont="1" applyBorder="1" applyAlignment="1">
      <alignment horizontal="left" vertical="top"/>
    </xf>
    <xf numFmtId="2" fontId="3" fillId="0" borderId="2" xfId="0" applyNumberFormat="1" applyFont="1" applyBorder="1" applyAlignment="1">
      <alignment horizontal="left" vertical="top" wrapText="1"/>
    </xf>
    <xf numFmtId="0" fontId="2" fillId="0" borderId="1" xfId="2"/>
    <xf numFmtId="0" fontId="3" fillId="0" borderId="1" xfId="2" applyFont="1" applyAlignment="1">
      <alignment horizontal="left" vertical="top"/>
    </xf>
    <xf numFmtId="0" fontId="3" fillId="0" borderId="2" xfId="2" applyFon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164" fontId="3" fillId="0" borderId="2" xfId="2" applyNumberFormat="1" applyFont="1" applyBorder="1" applyAlignment="1">
      <alignment horizontal="left" vertical="top" wrapText="1"/>
    </xf>
    <xf numFmtId="37" fontId="3" fillId="0" borderId="2" xfId="2" applyNumberFormat="1" applyFont="1" applyBorder="1" applyAlignment="1">
      <alignment horizontal="left" vertical="top" wrapText="1"/>
    </xf>
    <xf numFmtId="3" fontId="3" fillId="0" borderId="2" xfId="2" applyNumberFormat="1" applyFont="1" applyBorder="1" applyAlignment="1">
      <alignment horizontal="left" vertical="top" wrapText="1"/>
    </xf>
    <xf numFmtId="0" fontId="2" fillId="0" borderId="1" xfId="3"/>
    <xf numFmtId="0" fontId="3" fillId="0" borderId="1" xfId="3" applyFont="1" applyAlignment="1">
      <alignment horizontal="left" vertical="top"/>
    </xf>
    <xf numFmtId="0" fontId="3" fillId="0" borderId="2" xfId="3" applyFont="1" applyBorder="1" applyAlignment="1">
      <alignment horizontal="left" vertical="top" wrapText="1"/>
    </xf>
    <xf numFmtId="0" fontId="2" fillId="0" borderId="2" xfId="3" applyBorder="1" applyAlignment="1">
      <alignment horizontal="left" vertical="top" wrapText="1"/>
    </xf>
    <xf numFmtId="164" fontId="3" fillId="0" borderId="2" xfId="3" applyNumberFormat="1" applyFont="1" applyBorder="1" applyAlignment="1">
      <alignment horizontal="left" vertical="top" wrapText="1"/>
    </xf>
    <xf numFmtId="3" fontId="3" fillId="0" borderId="2" xfId="3" applyNumberFormat="1" applyFont="1" applyBorder="1" applyAlignment="1">
      <alignment horizontal="left" vertical="top" wrapText="1"/>
    </xf>
    <xf numFmtId="37" fontId="3" fillId="0" borderId="2" xfId="3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9" fontId="0" fillId="0" borderId="0" xfId="1" applyFont="1"/>
    <xf numFmtId="10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5" fillId="0" borderId="3" xfId="0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165" fontId="5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 vertical="center" wrapText="1"/>
    </xf>
    <xf numFmtId="10" fontId="0" fillId="0" borderId="2" xfId="1" applyNumberFormat="1" applyFon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66" fontId="0" fillId="0" borderId="2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3" fontId="7" fillId="0" borderId="0" xfId="0" applyNumberFormat="1" applyFont="1"/>
    <xf numFmtId="165" fontId="1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165" fontId="5" fillId="0" borderId="2" xfId="0" applyNumberFormat="1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170" fontId="0" fillId="0" borderId="0" xfId="0" applyNumberFormat="1"/>
    <xf numFmtId="0" fontId="8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5" fontId="11" fillId="0" borderId="2" xfId="0" applyNumberFormat="1" applyFont="1" applyBorder="1" applyAlignment="1">
      <alignment horizontal="center" vertical="center" wrapText="1"/>
    </xf>
    <xf numFmtId="0" fontId="3" fillId="0" borderId="1" xfId="2" applyFont="1" applyAlignment="1">
      <alignment horizontal="center" vertical="center"/>
    </xf>
    <xf numFmtId="0" fontId="2" fillId="0" borderId="1" xfId="2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2" fillId="0" borderId="2" xfId="2" applyBorder="1" applyAlignment="1">
      <alignment horizontal="center" vertical="center" wrapText="1"/>
    </xf>
    <xf numFmtId="164" fontId="3" fillId="0" borderId="2" xfId="2" applyNumberFormat="1" applyFont="1" applyBorder="1" applyAlignment="1">
      <alignment horizontal="center" vertical="center" wrapText="1"/>
    </xf>
    <xf numFmtId="37" fontId="3" fillId="0" borderId="2" xfId="2" applyNumberFormat="1" applyFont="1" applyBorder="1" applyAlignment="1">
      <alignment horizontal="center" vertical="center" wrapText="1"/>
    </xf>
    <xf numFmtId="3" fontId="3" fillId="0" borderId="2" xfId="2" applyNumberFormat="1" applyFont="1" applyBorder="1" applyAlignment="1">
      <alignment horizontal="center" vertical="center" wrapText="1"/>
    </xf>
    <xf numFmtId="0" fontId="3" fillId="0" borderId="1" xfId="3" applyFont="1" applyAlignment="1">
      <alignment horizontal="center" vertical="center"/>
    </xf>
    <xf numFmtId="0" fontId="2" fillId="0" borderId="1" xfId="3" applyAlignment="1">
      <alignment horizontal="center" vertical="center"/>
    </xf>
    <xf numFmtId="0" fontId="3" fillId="0" borderId="2" xfId="3" applyFont="1" applyBorder="1" applyAlignment="1">
      <alignment horizontal="center" vertical="center" wrapText="1"/>
    </xf>
    <xf numFmtId="0" fontId="2" fillId="0" borderId="2" xfId="3" applyBorder="1" applyAlignment="1">
      <alignment horizontal="center" vertical="center" wrapText="1"/>
    </xf>
    <xf numFmtId="164" fontId="3" fillId="0" borderId="2" xfId="3" applyNumberFormat="1" applyFont="1" applyBorder="1" applyAlignment="1">
      <alignment horizontal="center" vertical="center" wrapText="1"/>
    </xf>
    <xf numFmtId="3" fontId="3" fillId="0" borderId="2" xfId="3" applyNumberFormat="1" applyFont="1" applyBorder="1" applyAlignment="1">
      <alignment horizontal="center" vertical="center" wrapText="1"/>
    </xf>
    <xf numFmtId="37" fontId="3" fillId="0" borderId="2" xfId="3" applyNumberFormat="1" applyFont="1" applyBorder="1" applyAlignment="1">
      <alignment horizontal="center" vertical="center" wrapText="1"/>
    </xf>
    <xf numFmtId="164" fontId="0" fillId="0" borderId="0" xfId="0" applyNumberFormat="1"/>
    <xf numFmtId="38" fontId="0" fillId="0" borderId="0" xfId="0" applyNumberFormat="1"/>
  </cellXfs>
  <cellStyles count="4">
    <cellStyle name="Normal" xfId="0" builtinId="0"/>
    <cellStyle name="Normal 2" xfId="2" xr:uid="{445A77F6-5F44-48EA-8859-708AB4A838CF}"/>
    <cellStyle name="Normal 3" xfId="3" xr:uid="{6D272F29-7BD0-41CE-BBBA-935BF61A85F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opLeftCell="A18" zoomScale="85" zoomScaleNormal="85" workbookViewId="0">
      <selection activeCell="E14" sqref="E14:G47"/>
    </sheetView>
  </sheetViews>
  <sheetFormatPr defaultRowHeight="15" x14ac:dyDescent="0.25"/>
  <cols>
    <col min="1" max="1" width="32" customWidth="1"/>
    <col min="2" max="2" width="7.7109375" bestFit="1" customWidth="1"/>
    <col min="3" max="3" width="7.5703125" bestFit="1" customWidth="1"/>
    <col min="4" max="4" width="22.5703125" customWidth="1"/>
    <col min="5" max="5" width="26.28515625" bestFit="1" customWidth="1"/>
    <col min="7" max="7" width="9" bestFit="1" customWidth="1"/>
    <col min="9" max="9" width="18.85546875" customWidth="1"/>
    <col min="11" max="11" width="44.140625" bestFit="1" customWidth="1"/>
    <col min="12" max="12" width="15.7109375" bestFit="1" customWidth="1"/>
    <col min="13" max="13" width="44.140625" bestFit="1" customWidth="1"/>
    <col min="14" max="14" width="10" bestFit="1" customWidth="1"/>
    <col min="15" max="15" width="10.42578125" bestFit="1" customWidth="1"/>
  </cols>
  <sheetData>
    <row r="1" spans="1:10" x14ac:dyDescent="0.25">
      <c r="A1" s="1" t="s">
        <v>0</v>
      </c>
      <c r="E1" s="6" t="s">
        <v>36</v>
      </c>
    </row>
    <row r="2" spans="1:10" x14ac:dyDescent="0.25">
      <c r="A2" s="1" t="s">
        <v>1</v>
      </c>
      <c r="E2" s="6" t="s">
        <v>37</v>
      </c>
    </row>
    <row r="3" spans="1:10" ht="30" x14ac:dyDescent="0.25">
      <c r="A3" s="8" t="s">
        <v>46</v>
      </c>
      <c r="E3" s="55" t="s">
        <v>38</v>
      </c>
      <c r="F3" s="3"/>
      <c r="G3" s="7" t="s">
        <v>39</v>
      </c>
      <c r="H3" s="7" t="s">
        <v>40</v>
      </c>
      <c r="I3" s="3"/>
    </row>
    <row r="4" spans="1:10" ht="45" x14ac:dyDescent="0.25">
      <c r="A4" s="2" t="s">
        <v>2</v>
      </c>
      <c r="B4" s="4" t="s">
        <v>3</v>
      </c>
      <c r="C4" s="4" t="s">
        <v>4</v>
      </c>
      <c r="E4" s="55"/>
      <c r="F4" s="7" t="s">
        <v>41</v>
      </c>
      <c r="G4" s="7" t="s">
        <v>42</v>
      </c>
      <c r="H4" s="7" t="s">
        <v>41</v>
      </c>
      <c r="I4" s="7" t="s">
        <v>42</v>
      </c>
    </row>
    <row r="5" spans="1:10" x14ac:dyDescent="0.25">
      <c r="A5" s="2" t="s">
        <v>5</v>
      </c>
      <c r="B5" s="5"/>
      <c r="C5" s="5"/>
      <c r="E5" s="7" t="s">
        <v>43</v>
      </c>
      <c r="F5" s="9">
        <v>3441</v>
      </c>
      <c r="G5" s="9">
        <v>747</v>
      </c>
      <c r="H5" s="9">
        <v>2595</v>
      </c>
      <c r="I5" s="9">
        <v>785</v>
      </c>
    </row>
    <row r="6" spans="1:10" x14ac:dyDescent="0.25">
      <c r="A6" s="2" t="s">
        <v>6</v>
      </c>
      <c r="B6" s="4">
        <v>8529</v>
      </c>
      <c r="C6" s="4">
        <v>4594</v>
      </c>
      <c r="E6" s="7" t="s">
        <v>44</v>
      </c>
      <c r="F6" s="9">
        <v>3673</v>
      </c>
      <c r="G6" s="9">
        <v>622</v>
      </c>
      <c r="H6" s="9">
        <v>1588</v>
      </c>
      <c r="I6" s="9">
        <v>256</v>
      </c>
    </row>
    <row r="7" spans="1:10" x14ac:dyDescent="0.25">
      <c r="A7" s="2" t="s">
        <v>7</v>
      </c>
      <c r="B7" s="4">
        <v>-6968</v>
      </c>
      <c r="C7" s="4">
        <v>-3484</v>
      </c>
      <c r="E7" s="7" t="s">
        <v>45</v>
      </c>
      <c r="F7" s="9">
        <v>1415</v>
      </c>
      <c r="G7" s="9">
        <v>355</v>
      </c>
      <c r="H7" s="9">
        <v>411</v>
      </c>
      <c r="I7" s="9">
        <v>188</v>
      </c>
    </row>
    <row r="8" spans="1:10" x14ac:dyDescent="0.25">
      <c r="A8" s="2" t="s">
        <v>8</v>
      </c>
      <c r="B8" s="4">
        <v>-158</v>
      </c>
      <c r="C8" s="4">
        <v>-24</v>
      </c>
      <c r="E8" s="3"/>
      <c r="F8" s="9">
        <v>8.5289999999999999</v>
      </c>
      <c r="G8" s="9">
        <v>1724</v>
      </c>
      <c r="H8" s="9">
        <v>4594</v>
      </c>
      <c r="I8" s="9">
        <v>1229</v>
      </c>
    </row>
    <row r="9" spans="1:10" x14ac:dyDescent="0.25">
      <c r="A9" s="2" t="s">
        <v>9</v>
      </c>
      <c r="B9" s="4">
        <v>186</v>
      </c>
      <c r="C9" s="4">
        <v>67</v>
      </c>
    </row>
    <row r="10" spans="1:10" x14ac:dyDescent="0.25">
      <c r="A10" s="2" t="s">
        <v>10</v>
      </c>
      <c r="B10" s="4">
        <v>-515</v>
      </c>
      <c r="C10" s="4">
        <v>0</v>
      </c>
    </row>
    <row r="11" spans="1:10" x14ac:dyDescent="0.25">
      <c r="A11" s="2" t="s">
        <v>11</v>
      </c>
      <c r="B11" s="4">
        <v>1074</v>
      </c>
      <c r="C11" s="4">
        <v>1153</v>
      </c>
    </row>
    <row r="12" spans="1:10" x14ac:dyDescent="0.25">
      <c r="A12" s="2" t="s">
        <v>12</v>
      </c>
      <c r="B12" s="4">
        <v>-403</v>
      </c>
      <c r="C12" s="4">
        <v>-450</v>
      </c>
      <c r="I12" t="s">
        <v>91</v>
      </c>
      <c r="J12" s="25">
        <v>0.15</v>
      </c>
    </row>
    <row r="13" spans="1:10" x14ac:dyDescent="0.25">
      <c r="A13" s="2" t="s">
        <v>13</v>
      </c>
      <c r="B13" s="4">
        <v>671</v>
      </c>
      <c r="C13" s="4">
        <v>703</v>
      </c>
    </row>
    <row r="14" spans="1:10" x14ac:dyDescent="0.25">
      <c r="A14" s="2" t="s">
        <v>14</v>
      </c>
      <c r="B14" s="4">
        <v>1.23</v>
      </c>
      <c r="C14" s="4">
        <v>1.27</v>
      </c>
      <c r="E14" s="11" t="s">
        <v>47</v>
      </c>
      <c r="F14" s="10"/>
      <c r="G14" s="10"/>
    </row>
    <row r="15" spans="1:10" x14ac:dyDescent="0.25">
      <c r="A15" s="2" t="s">
        <v>15</v>
      </c>
      <c r="B15" s="4">
        <v>0.23</v>
      </c>
      <c r="C15" s="4">
        <v>0.11</v>
      </c>
      <c r="E15" s="11" t="s">
        <v>48</v>
      </c>
      <c r="F15" s="10"/>
      <c r="G15" s="10"/>
      <c r="I15" t="s">
        <v>79</v>
      </c>
      <c r="J15">
        <v>3000</v>
      </c>
    </row>
    <row r="16" spans="1:10" x14ac:dyDescent="0.25">
      <c r="A16" s="2" t="s">
        <v>16</v>
      </c>
      <c r="B16" s="5"/>
      <c r="C16" s="5"/>
      <c r="E16" s="11" t="s">
        <v>49</v>
      </c>
      <c r="F16" s="10"/>
      <c r="G16" s="10"/>
      <c r="I16" t="s">
        <v>80</v>
      </c>
      <c r="J16">
        <v>59800</v>
      </c>
    </row>
    <row r="17" spans="1:10" x14ac:dyDescent="0.25">
      <c r="A17" s="2" t="s">
        <v>17</v>
      </c>
      <c r="B17" s="4">
        <v>363</v>
      </c>
      <c r="C17" s="4">
        <v>381</v>
      </c>
      <c r="E17" s="12" t="s">
        <v>50</v>
      </c>
      <c r="F17" s="13"/>
      <c r="G17" s="14">
        <v>960000</v>
      </c>
      <c r="I17" s="24" t="s">
        <v>81</v>
      </c>
      <c r="J17">
        <v>89800</v>
      </c>
    </row>
    <row r="18" spans="1:10" ht="30" x14ac:dyDescent="0.25">
      <c r="A18" s="2" t="s">
        <v>18</v>
      </c>
      <c r="B18" s="4">
        <v>1390</v>
      </c>
      <c r="C18" s="4">
        <v>224</v>
      </c>
      <c r="E18" s="12" t="s">
        <v>51</v>
      </c>
      <c r="F18" s="13"/>
      <c r="G18" s="15">
        <v>-550000</v>
      </c>
      <c r="I18" t="s">
        <v>84</v>
      </c>
    </row>
    <row r="19" spans="1:10" x14ac:dyDescent="0.25">
      <c r="A19" s="2" t="s">
        <v>19</v>
      </c>
      <c r="B19" s="4">
        <v>609</v>
      </c>
      <c r="C19" s="4">
        <v>909</v>
      </c>
      <c r="E19" s="12" t="s">
        <v>52</v>
      </c>
      <c r="F19" s="13"/>
      <c r="G19" s="16">
        <v>410000</v>
      </c>
      <c r="I19" t="s">
        <v>85</v>
      </c>
      <c r="J19">
        <v>522000</v>
      </c>
    </row>
    <row r="20" spans="1:10" x14ac:dyDescent="0.25">
      <c r="A20" s="2" t="s">
        <v>20</v>
      </c>
      <c r="B20" s="4">
        <v>1889</v>
      </c>
      <c r="C20" s="4">
        <v>662</v>
      </c>
      <c r="E20" s="12" t="s">
        <v>53</v>
      </c>
      <c r="F20" s="14">
        <v>30000</v>
      </c>
      <c r="G20" s="13"/>
      <c r="I20" t="s">
        <v>86</v>
      </c>
      <c r="J20">
        <v>176000</v>
      </c>
    </row>
    <row r="21" spans="1:10" ht="30" x14ac:dyDescent="0.25">
      <c r="A21" s="2" t="s">
        <v>21</v>
      </c>
      <c r="B21" s="4">
        <v>4251</v>
      </c>
      <c r="C21" s="4">
        <v>2176</v>
      </c>
      <c r="E21" s="12" t="s">
        <v>54</v>
      </c>
      <c r="F21" s="16">
        <v>160000</v>
      </c>
      <c r="G21" s="15">
        <v>-190000</v>
      </c>
      <c r="I21" t="s">
        <v>87</v>
      </c>
      <c r="J21">
        <v>105000</v>
      </c>
    </row>
    <row r="22" spans="1:10" x14ac:dyDescent="0.25">
      <c r="A22" s="2" t="s">
        <v>22</v>
      </c>
      <c r="B22" s="4">
        <v>5228</v>
      </c>
      <c r="C22" s="4">
        <v>3397</v>
      </c>
      <c r="E22" s="12" t="s">
        <v>55</v>
      </c>
      <c r="F22" s="13"/>
      <c r="G22" s="16">
        <v>220000</v>
      </c>
      <c r="I22" t="s">
        <v>88</v>
      </c>
      <c r="J22">
        <v>20000</v>
      </c>
    </row>
    <row r="23" spans="1:10" ht="30" x14ac:dyDescent="0.25">
      <c r="A23" s="2" t="s">
        <v>23</v>
      </c>
      <c r="B23" s="4">
        <v>2272</v>
      </c>
      <c r="C23" s="4">
        <v>1084</v>
      </c>
      <c r="E23" s="12" t="s">
        <v>56</v>
      </c>
      <c r="F23" s="13"/>
      <c r="G23" s="15">
        <v>-105600</v>
      </c>
      <c r="I23" t="s">
        <v>89</v>
      </c>
      <c r="J23">
        <v>25000</v>
      </c>
    </row>
    <row r="24" spans="1:10" x14ac:dyDescent="0.25">
      <c r="A24" s="2" t="s">
        <v>24</v>
      </c>
      <c r="B24" s="4">
        <v>11751</v>
      </c>
      <c r="C24" s="4">
        <v>6657</v>
      </c>
      <c r="E24" s="12" t="s">
        <v>57</v>
      </c>
      <c r="F24" s="13"/>
      <c r="G24" s="14">
        <v>114400</v>
      </c>
      <c r="I24" s="24" t="s">
        <v>82</v>
      </c>
      <c r="J24">
        <v>848600</v>
      </c>
    </row>
    <row r="25" spans="1:10" x14ac:dyDescent="0.25">
      <c r="A25" s="2" t="s">
        <v>25</v>
      </c>
      <c r="B25" s="4">
        <v>2821</v>
      </c>
      <c r="C25" s="4">
        <v>1262</v>
      </c>
      <c r="I25" t="s">
        <v>90</v>
      </c>
      <c r="J25">
        <f>J17-J24</f>
        <v>-758800</v>
      </c>
    </row>
    <row r="26" spans="1:10" x14ac:dyDescent="0.25">
      <c r="A26" s="2" t="s">
        <v>26</v>
      </c>
      <c r="B26" s="4">
        <v>2386</v>
      </c>
      <c r="C26" s="4">
        <v>861</v>
      </c>
      <c r="E26" s="18" t="s">
        <v>47</v>
      </c>
      <c r="F26" s="17"/>
      <c r="G26" s="17"/>
      <c r="I26" t="s">
        <v>83</v>
      </c>
      <c r="J26">
        <v>20000</v>
      </c>
    </row>
    <row r="27" spans="1:10" x14ac:dyDescent="0.25">
      <c r="A27" s="2" t="s">
        <v>27</v>
      </c>
      <c r="B27" s="4">
        <v>1514</v>
      </c>
      <c r="C27" s="4">
        <v>1490</v>
      </c>
      <c r="E27" s="18" t="s">
        <v>58</v>
      </c>
      <c r="F27" s="17"/>
      <c r="G27" s="17"/>
      <c r="J27">
        <f>J25-J26</f>
        <v>-778800</v>
      </c>
    </row>
    <row r="28" spans="1:10" x14ac:dyDescent="0.25">
      <c r="A28" s="2" t="s">
        <v>28</v>
      </c>
      <c r="B28" s="4">
        <v>5030</v>
      </c>
      <c r="C28" s="4">
        <v>3044</v>
      </c>
      <c r="E28" s="18" t="s">
        <v>59</v>
      </c>
      <c r="F28" s="17"/>
      <c r="G28" s="17"/>
    </row>
    <row r="29" spans="1:10" ht="30" x14ac:dyDescent="0.25">
      <c r="A29" s="2" t="s">
        <v>29</v>
      </c>
      <c r="B29" s="4">
        <v>11751</v>
      </c>
      <c r="C29" s="4">
        <v>6657</v>
      </c>
      <c r="E29" s="19" t="s">
        <v>60</v>
      </c>
      <c r="F29" s="20"/>
      <c r="G29" s="20"/>
    </row>
    <row r="30" spans="1:10" x14ac:dyDescent="0.25">
      <c r="A30" s="2" t="s">
        <v>30</v>
      </c>
      <c r="B30" s="4">
        <v>2145</v>
      </c>
      <c r="C30" s="4">
        <v>1275</v>
      </c>
      <c r="E30" s="19" t="s">
        <v>61</v>
      </c>
      <c r="F30" s="21">
        <v>30000</v>
      </c>
      <c r="G30" s="20"/>
    </row>
    <row r="31" spans="1:10" x14ac:dyDescent="0.25">
      <c r="A31" s="2" t="s">
        <v>31</v>
      </c>
      <c r="B31" s="5"/>
      <c r="C31" s="5"/>
      <c r="E31" s="19" t="s">
        <v>62</v>
      </c>
      <c r="F31" s="22">
        <v>5500</v>
      </c>
      <c r="G31" s="20"/>
    </row>
    <row r="32" spans="1:10" ht="30" x14ac:dyDescent="0.25">
      <c r="A32" s="2" t="s">
        <v>32</v>
      </c>
      <c r="B32" s="4">
        <v>544</v>
      </c>
      <c r="C32" s="4">
        <v>552</v>
      </c>
      <c r="E32" s="19" t="s">
        <v>63</v>
      </c>
      <c r="F32" s="22">
        <v>52000</v>
      </c>
      <c r="G32" s="20"/>
    </row>
    <row r="33" spans="1:7" ht="30" x14ac:dyDescent="0.25">
      <c r="A33" s="2" t="s">
        <v>33</v>
      </c>
      <c r="B33" s="4">
        <v>37.75</v>
      </c>
      <c r="C33" s="4">
        <v>30.22</v>
      </c>
      <c r="E33" s="19" t="s">
        <v>64</v>
      </c>
      <c r="F33" s="22">
        <v>112500</v>
      </c>
      <c r="G33" s="20"/>
    </row>
    <row r="34" spans="1:7" x14ac:dyDescent="0.25">
      <c r="E34" s="19" t="s">
        <v>65</v>
      </c>
      <c r="F34" s="20"/>
      <c r="G34" s="21">
        <v>200000</v>
      </c>
    </row>
    <row r="35" spans="1:7" x14ac:dyDescent="0.25">
      <c r="A35" s="1" t="s">
        <v>34</v>
      </c>
      <c r="E35" s="19" t="s">
        <v>66</v>
      </c>
      <c r="F35" s="22">
        <v>630000</v>
      </c>
      <c r="G35" s="20"/>
    </row>
    <row r="36" spans="1:7" ht="30" x14ac:dyDescent="0.25">
      <c r="A36" s="1" t="s">
        <v>35</v>
      </c>
      <c r="E36" s="19" t="s">
        <v>67</v>
      </c>
      <c r="F36" s="23">
        <v>-130000</v>
      </c>
      <c r="G36" s="22">
        <v>500000</v>
      </c>
    </row>
    <row r="37" spans="1:7" x14ac:dyDescent="0.25">
      <c r="E37" s="19" t="s">
        <v>68</v>
      </c>
      <c r="F37" s="20"/>
      <c r="G37" s="21">
        <v>700000</v>
      </c>
    </row>
    <row r="38" spans="1:7" x14ac:dyDescent="0.25">
      <c r="E38" s="19" t="s">
        <v>69</v>
      </c>
      <c r="F38" s="20"/>
      <c r="G38" s="20"/>
    </row>
    <row r="39" spans="1:7" ht="15.75" thickBot="1" x14ac:dyDescent="0.3">
      <c r="E39" s="19" t="s">
        <v>70</v>
      </c>
      <c r="F39" s="20"/>
      <c r="G39" s="20"/>
    </row>
    <row r="40" spans="1:7" ht="28.5" x14ac:dyDescent="0.25">
      <c r="A40" s="29" t="s">
        <v>103</v>
      </c>
      <c r="B40" s="30" t="s">
        <v>104</v>
      </c>
      <c r="C40" s="31" t="s">
        <v>105</v>
      </c>
      <c r="E40" s="19" t="s">
        <v>71</v>
      </c>
      <c r="F40" s="21">
        <v>60000</v>
      </c>
      <c r="G40" s="20"/>
    </row>
    <row r="41" spans="1:7" x14ac:dyDescent="0.25">
      <c r="A41" s="32" t="s">
        <v>106</v>
      </c>
      <c r="B41" s="33">
        <v>671</v>
      </c>
      <c r="C41" s="34">
        <v>703</v>
      </c>
      <c r="E41" s="19" t="s">
        <v>72</v>
      </c>
      <c r="F41" s="22">
        <v>50000</v>
      </c>
      <c r="G41" s="20"/>
    </row>
    <row r="42" spans="1:7" x14ac:dyDescent="0.25">
      <c r="A42" s="32" t="s">
        <v>92</v>
      </c>
      <c r="B42" s="33">
        <v>5030</v>
      </c>
      <c r="C42" s="34">
        <v>3044</v>
      </c>
      <c r="E42" s="19" t="s">
        <v>73</v>
      </c>
      <c r="F42" s="20"/>
      <c r="G42" s="21">
        <v>110000</v>
      </c>
    </row>
    <row r="43" spans="1:7" x14ac:dyDescent="0.25">
      <c r="A43" s="32" t="s">
        <v>93</v>
      </c>
      <c r="B43" s="35">
        <f>B41/B42</f>
        <v>0.13339960238568588</v>
      </c>
      <c r="C43" s="36">
        <f>C41/C42</f>
        <v>0.23094612352168201</v>
      </c>
      <c r="E43" s="19" t="s">
        <v>74</v>
      </c>
      <c r="F43" s="20"/>
      <c r="G43" s="22">
        <v>150000</v>
      </c>
    </row>
    <row r="44" spans="1:7" ht="17.25" x14ac:dyDescent="0.25">
      <c r="A44" s="37" t="s">
        <v>94</v>
      </c>
      <c r="B44" s="38">
        <v>1724</v>
      </c>
      <c r="C44" s="39">
        <v>1229</v>
      </c>
      <c r="E44" s="19" t="s">
        <v>75</v>
      </c>
      <c r="F44" s="20"/>
      <c r="G44" s="20"/>
    </row>
    <row r="45" spans="1:7" x14ac:dyDescent="0.25">
      <c r="A45" s="32" t="s">
        <v>107</v>
      </c>
      <c r="B45" s="33">
        <v>-403</v>
      </c>
      <c r="C45" s="34">
        <v>-450</v>
      </c>
      <c r="E45" s="19" t="s">
        <v>76</v>
      </c>
      <c r="F45" s="22">
        <v>250000</v>
      </c>
      <c r="G45" s="20"/>
    </row>
    <row r="46" spans="1:7" x14ac:dyDescent="0.25">
      <c r="A46" s="32" t="s">
        <v>108</v>
      </c>
      <c r="B46" s="33">
        <v>1074</v>
      </c>
      <c r="C46" s="34">
        <v>1153</v>
      </c>
      <c r="E46" s="19" t="s">
        <v>77</v>
      </c>
      <c r="F46" s="22">
        <v>190000</v>
      </c>
      <c r="G46" s="22">
        <v>440000</v>
      </c>
    </row>
    <row r="47" spans="1:7" x14ac:dyDescent="0.25">
      <c r="A47" s="32" t="s">
        <v>95</v>
      </c>
      <c r="B47" s="35">
        <f>-B45/B46</f>
        <v>0.37523277467411548</v>
      </c>
      <c r="C47" s="36">
        <f>-C45/C46</f>
        <v>0.39028620988725066</v>
      </c>
      <c r="E47" s="19" t="s">
        <v>78</v>
      </c>
      <c r="F47" s="20"/>
      <c r="G47" s="21">
        <v>700000</v>
      </c>
    </row>
    <row r="48" spans="1:7" x14ac:dyDescent="0.25">
      <c r="A48" s="32" t="s">
        <v>96</v>
      </c>
      <c r="B48" s="40">
        <f>B44*(1-B47)</f>
        <v>1077.0986964618248</v>
      </c>
      <c r="C48" s="41">
        <f>C44*(1-C47)</f>
        <v>749.33824804856897</v>
      </c>
    </row>
    <row r="49" spans="1:11" x14ac:dyDescent="0.25">
      <c r="A49" s="32" t="s">
        <v>109</v>
      </c>
      <c r="B49" s="33">
        <v>11751</v>
      </c>
      <c r="C49" s="34">
        <v>6657</v>
      </c>
    </row>
    <row r="50" spans="1:11" x14ac:dyDescent="0.25">
      <c r="A50" s="32" t="s">
        <v>110</v>
      </c>
      <c r="B50" s="33">
        <v>363</v>
      </c>
      <c r="C50" s="34">
        <v>381</v>
      </c>
    </row>
    <row r="51" spans="1:11" x14ac:dyDescent="0.25">
      <c r="A51" s="32" t="s">
        <v>111</v>
      </c>
      <c r="B51" s="33">
        <v>1514</v>
      </c>
      <c r="C51" s="34">
        <v>1490</v>
      </c>
    </row>
    <row r="52" spans="1:11" x14ac:dyDescent="0.25">
      <c r="A52" s="32" t="s">
        <v>97</v>
      </c>
      <c r="B52" s="42">
        <f>B49-B50-B51</f>
        <v>9874</v>
      </c>
      <c r="C52" s="43">
        <f>C49-C50-C51</f>
        <v>4786</v>
      </c>
    </row>
    <row r="53" spans="1:11" x14ac:dyDescent="0.25">
      <c r="A53" s="32" t="s">
        <v>98</v>
      </c>
      <c r="B53" s="35">
        <f>B48/B52</f>
        <v>0.10908433223230958</v>
      </c>
      <c r="C53" s="36">
        <f>C48/C52</f>
        <v>0.15656879399259693</v>
      </c>
    </row>
    <row r="54" spans="1:11" x14ac:dyDescent="0.25">
      <c r="A54" s="32" t="s">
        <v>112</v>
      </c>
      <c r="B54" s="33">
        <v>-158</v>
      </c>
      <c r="C54" s="34">
        <v>-24</v>
      </c>
    </row>
    <row r="55" spans="1:11" x14ac:dyDescent="0.25">
      <c r="A55" s="32" t="s">
        <v>100</v>
      </c>
      <c r="B55" s="33">
        <v>2386</v>
      </c>
      <c r="C55" s="34">
        <v>861</v>
      </c>
      <c r="D55" s="28"/>
      <c r="I55" s="26" t="s">
        <v>182</v>
      </c>
      <c r="J55" s="25">
        <f>765/L97</f>
        <v>5.8927746109998458E-2</v>
      </c>
      <c r="K55">
        <f>N97*J55</f>
        <v>765.00006169735013</v>
      </c>
    </row>
    <row r="56" spans="1:11" x14ac:dyDescent="0.25">
      <c r="A56" s="32" t="s">
        <v>111</v>
      </c>
      <c r="B56" s="33">
        <v>1514</v>
      </c>
      <c r="C56" s="34">
        <v>1490</v>
      </c>
    </row>
    <row r="57" spans="1:11" ht="17.25" x14ac:dyDescent="0.25">
      <c r="A57" s="37" t="s">
        <v>99</v>
      </c>
      <c r="B57" s="42">
        <f>B55+B56</f>
        <v>3900</v>
      </c>
      <c r="C57" s="42">
        <f>C55+C56</f>
        <v>2351</v>
      </c>
    </row>
    <row r="58" spans="1:11" ht="17.25" x14ac:dyDescent="0.25">
      <c r="A58" s="37" t="s">
        <v>101</v>
      </c>
      <c r="B58" s="35">
        <f>B54/B57</f>
        <v>-4.0512820512820513E-2</v>
      </c>
      <c r="C58" s="35">
        <f>C54/C57</f>
        <v>-1.0208421948107189E-2</v>
      </c>
    </row>
    <row r="59" spans="1:11" ht="17.25" x14ac:dyDescent="0.25">
      <c r="A59" s="37" t="s">
        <v>102</v>
      </c>
      <c r="B59" s="44">
        <f>B53-B58</f>
        <v>0.14959715274513008</v>
      </c>
      <c r="C59" s="44">
        <f>C53-C58</f>
        <v>0.16677721594070413</v>
      </c>
      <c r="F59">
        <f>765/12982</f>
        <v>5.8927746109998458E-2</v>
      </c>
    </row>
    <row r="60" spans="1:11" ht="17.25" x14ac:dyDescent="0.25">
      <c r="A60" s="37" t="s">
        <v>113</v>
      </c>
      <c r="B60" s="45">
        <f>B48/B42</f>
        <v>0.21413492971408049</v>
      </c>
      <c r="C60" s="45">
        <f>C48/C42</f>
        <v>0.24616893825511466</v>
      </c>
      <c r="E60" s="49" t="s">
        <v>115</v>
      </c>
      <c r="F60" s="40"/>
      <c r="G60" s="40"/>
      <c r="H60" s="40"/>
      <c r="I60" s="40"/>
      <c r="K60" t="s">
        <v>193</v>
      </c>
    </row>
    <row r="61" spans="1:11" ht="30.75" thickBot="1" x14ac:dyDescent="0.3">
      <c r="A61" s="46" t="s">
        <v>114</v>
      </c>
      <c r="B61" s="47">
        <f>B53+(B60*B59)</f>
        <v>0.14111830802081457</v>
      </c>
      <c r="C61" s="47">
        <f>C53+(C60*C59)</f>
        <v>0.19762416416586404</v>
      </c>
      <c r="E61" s="48" t="s">
        <v>116</v>
      </c>
      <c r="F61" s="40" t="s">
        <v>155</v>
      </c>
      <c r="G61" s="48" t="s">
        <v>117</v>
      </c>
      <c r="H61" s="48" t="s">
        <v>154</v>
      </c>
      <c r="I61" s="48" t="s">
        <v>118</v>
      </c>
    </row>
    <row r="62" spans="1:11" x14ac:dyDescent="0.25">
      <c r="D62">
        <v>12515</v>
      </c>
      <c r="E62" s="48" t="s">
        <v>50</v>
      </c>
      <c r="F62" s="60">
        <f>(G62/H62)*G62</f>
        <v>12515.274832070887</v>
      </c>
      <c r="G62" s="33">
        <v>13234</v>
      </c>
      <c r="H62" s="33">
        <v>13994</v>
      </c>
      <c r="I62" s="33">
        <v>14089</v>
      </c>
      <c r="J62">
        <f>G62/H62</f>
        <v>0.94569101043304271</v>
      </c>
    </row>
    <row r="63" spans="1:11" x14ac:dyDescent="0.25">
      <c r="D63">
        <v>8198</v>
      </c>
      <c r="E63" s="48" t="s">
        <v>119</v>
      </c>
      <c r="F63" s="40">
        <f>(G62/H62)*G63</f>
        <v>8199.1410604544799</v>
      </c>
      <c r="G63" s="33">
        <v>8670</v>
      </c>
      <c r="H63" s="33">
        <v>8375</v>
      </c>
      <c r="I63" s="33">
        <v>8086</v>
      </c>
    </row>
    <row r="64" spans="1:11" x14ac:dyDescent="0.25">
      <c r="D64" s="56">
        <f>D62-D63</f>
        <v>4317</v>
      </c>
      <c r="E64" s="58" t="s">
        <v>52</v>
      </c>
      <c r="F64" s="33">
        <f>F62-F63</f>
        <v>4316.1337716164071</v>
      </c>
      <c r="G64" s="33">
        <f>G62-G63</f>
        <v>4564</v>
      </c>
      <c r="H64" s="33">
        <v>5619</v>
      </c>
      <c r="I64" s="33">
        <v>6003</v>
      </c>
    </row>
    <row r="65" spans="1:18" ht="30" x14ac:dyDescent="0.25">
      <c r="D65">
        <v>2628</v>
      </c>
      <c r="E65" s="48" t="s">
        <v>120</v>
      </c>
      <c r="F65" s="40">
        <f>F62*((G65-765)/G62)</f>
        <v>1906.513077033014</v>
      </c>
      <c r="G65" s="33">
        <v>2781</v>
      </c>
      <c r="H65" s="33">
        <v>2665</v>
      </c>
      <c r="I65" s="33">
        <v>2846</v>
      </c>
      <c r="J65">
        <f>(G65-765)/G62</f>
        <v>0.15233489496750793</v>
      </c>
      <c r="K65">
        <f>F62*J65</f>
        <v>1906.513077033014</v>
      </c>
    </row>
    <row r="66" spans="1:18" ht="30" x14ac:dyDescent="0.25">
      <c r="D66">
        <v>738</v>
      </c>
      <c r="E66" s="48" t="s">
        <v>121</v>
      </c>
      <c r="F66" s="40">
        <f>F62*(G66/G62)</f>
        <v>736.69329712734032</v>
      </c>
      <c r="G66" s="33">
        <v>779</v>
      </c>
      <c r="H66" s="33">
        <v>784</v>
      </c>
      <c r="I66" s="33">
        <v>817</v>
      </c>
      <c r="J66">
        <f>G66/G62</f>
        <v>5.8863533323258277E-2</v>
      </c>
      <c r="K66">
        <f>J66*F62</f>
        <v>736.69329712734032</v>
      </c>
    </row>
    <row r="67" spans="1:18" ht="30" x14ac:dyDescent="0.25">
      <c r="D67">
        <v>0</v>
      </c>
      <c r="E67" s="48" t="s">
        <v>122</v>
      </c>
      <c r="F67" s="59">
        <v>0</v>
      </c>
      <c r="G67" s="33">
        <v>659</v>
      </c>
      <c r="H67" s="33">
        <v>-44</v>
      </c>
      <c r="I67" s="33">
        <v>350</v>
      </c>
    </row>
    <row r="68" spans="1:18" ht="30" x14ac:dyDescent="0.25">
      <c r="D68" s="56">
        <f>D64-SUM(D65:D67)</f>
        <v>951</v>
      </c>
      <c r="E68" s="58" t="s">
        <v>172</v>
      </c>
      <c r="F68" s="33">
        <f>F64-SUM(F65:F67)</f>
        <v>1672.9273974560529</v>
      </c>
      <c r="G68" s="33">
        <f>G64-SUM(G65:G67)</f>
        <v>345</v>
      </c>
      <c r="H68" s="33">
        <v>2214</v>
      </c>
      <c r="I68" s="33">
        <v>1990</v>
      </c>
    </row>
    <row r="69" spans="1:18" x14ac:dyDescent="0.25">
      <c r="A69" t="s">
        <v>157</v>
      </c>
      <c r="B69">
        <v>643</v>
      </c>
      <c r="D69" s="27">
        <f>G69</f>
        <v>219</v>
      </c>
      <c r="E69" s="48" t="s">
        <v>8</v>
      </c>
      <c r="F69" s="40">
        <f>(F93+F94+F97)*(G69/(G93+G94+G97))</f>
        <v>208.32374999999999</v>
      </c>
      <c r="G69" s="33">
        <v>219</v>
      </c>
      <c r="H69" s="33">
        <v>178</v>
      </c>
      <c r="I69" s="33">
        <v>142</v>
      </c>
      <c r="J69">
        <f>G69/(G93+G94+G97)</f>
        <v>6.8437499999999998E-2</v>
      </c>
      <c r="K69">
        <f>J69*(F93+F94+F97)</f>
        <v>208.32374999999999</v>
      </c>
      <c r="M69">
        <f>4463-4683</f>
        <v>-220</v>
      </c>
    </row>
    <row r="70" spans="1:18" x14ac:dyDescent="0.25">
      <c r="A70" t="s">
        <v>158</v>
      </c>
      <c r="B70">
        <v>13972</v>
      </c>
      <c r="D70" s="27">
        <f>F70</f>
        <v>-18</v>
      </c>
      <c r="E70" s="48" t="s">
        <v>123</v>
      </c>
      <c r="F70" s="61">
        <f>G70</f>
        <v>-18</v>
      </c>
      <c r="G70" s="33">
        <v>-18</v>
      </c>
      <c r="H70" s="33">
        <v>96</v>
      </c>
      <c r="I70" s="33">
        <v>261</v>
      </c>
    </row>
    <row r="71" spans="1:18" ht="30" x14ac:dyDescent="0.25">
      <c r="A71" t="s">
        <v>159</v>
      </c>
      <c r="B71">
        <v>12515</v>
      </c>
      <c r="D71" s="33">
        <f>D68-D69+D70</f>
        <v>714</v>
      </c>
      <c r="E71" s="58" t="s">
        <v>174</v>
      </c>
      <c r="F71" s="33">
        <f>F68-F69+F70</f>
        <v>1446.6036474560528</v>
      </c>
      <c r="G71" s="33">
        <f>G68-G69+G70</f>
        <v>108</v>
      </c>
      <c r="H71" s="33">
        <v>2132</v>
      </c>
      <c r="I71" s="33">
        <v>2109</v>
      </c>
    </row>
    <row r="72" spans="1:18" x14ac:dyDescent="0.25">
      <c r="A72" s="48" t="s">
        <v>156</v>
      </c>
      <c r="B72" s="40">
        <f>(12982+0.001047)*(C72/12982)</f>
        <v>765.00006169735013</v>
      </c>
      <c r="C72" s="33">
        <v>765</v>
      </c>
      <c r="D72">
        <v>544</v>
      </c>
      <c r="E72" s="48" t="s">
        <v>124</v>
      </c>
      <c r="F72" s="40">
        <f>F71*(G72/G71)</f>
        <v>428.62330294994155</v>
      </c>
      <c r="G72" s="33">
        <v>32</v>
      </c>
      <c r="H72" s="33">
        <v>725</v>
      </c>
      <c r="I72" s="33">
        <v>717</v>
      </c>
      <c r="J72">
        <f>G72/G71</f>
        <v>0.29629629629629628</v>
      </c>
      <c r="K72">
        <f>J72*F71</f>
        <v>428.62330294994155</v>
      </c>
    </row>
    <row r="73" spans="1:18" x14ac:dyDescent="0.25">
      <c r="D73" s="27">
        <f>D71-D72</f>
        <v>170</v>
      </c>
      <c r="E73" s="48" t="s">
        <v>125</v>
      </c>
      <c r="F73" s="33">
        <f>F71-F72</f>
        <v>1017.9803445061114</v>
      </c>
      <c r="G73" s="33">
        <f>G71-G72</f>
        <v>76</v>
      </c>
      <c r="H73" s="33">
        <v>1407</v>
      </c>
      <c r="I73" s="33">
        <v>1392</v>
      </c>
    </row>
    <row r="75" spans="1:18" x14ac:dyDescent="0.25">
      <c r="M75" s="63" t="s">
        <v>165</v>
      </c>
    </row>
    <row r="76" spans="1:18" x14ac:dyDescent="0.25">
      <c r="E76" s="1" t="s">
        <v>126</v>
      </c>
      <c r="F76" s="27"/>
      <c r="M76" s="64" t="s">
        <v>162</v>
      </c>
      <c r="N76">
        <v>120</v>
      </c>
      <c r="O76">
        <v>170</v>
      </c>
    </row>
    <row r="77" spans="1:18" ht="45" x14ac:dyDescent="0.25">
      <c r="E77" s="48" t="s">
        <v>127</v>
      </c>
      <c r="F77" s="40" t="s">
        <v>155</v>
      </c>
      <c r="G77" s="48" t="s">
        <v>117</v>
      </c>
      <c r="H77" s="48" t="s">
        <v>128</v>
      </c>
      <c r="M77" t="s">
        <v>184</v>
      </c>
      <c r="N77" s="54">
        <v>765</v>
      </c>
      <c r="O77" s="57">
        <v>765</v>
      </c>
      <c r="P77">
        <f>SUM(N76:N77)</f>
        <v>885</v>
      </c>
      <c r="Q77" s="27">
        <f>SUM(N79:N81)</f>
        <v>-447.83635843933098</v>
      </c>
      <c r="R77" s="27">
        <f>P77+Q77</f>
        <v>437.16364156066902</v>
      </c>
    </row>
    <row r="78" spans="1:18" x14ac:dyDescent="0.25">
      <c r="E78" s="2" t="s">
        <v>129</v>
      </c>
      <c r="F78" s="40"/>
      <c r="G78" s="50"/>
      <c r="H78" s="50"/>
      <c r="M78" t="s">
        <v>188</v>
      </c>
      <c r="N78" s="54"/>
    </row>
    <row r="79" spans="1:18" x14ac:dyDescent="0.25">
      <c r="E79" s="48" t="s">
        <v>130</v>
      </c>
      <c r="F79" s="40"/>
      <c r="G79" s="50"/>
      <c r="H79" s="50"/>
      <c r="M79" t="s">
        <v>185</v>
      </c>
      <c r="N79" s="27">
        <f>(F81-G81)</f>
        <v>-126.92010861797917</v>
      </c>
    </row>
    <row r="80" spans="1:18" x14ac:dyDescent="0.25">
      <c r="D80">
        <v>426</v>
      </c>
      <c r="E80" s="48" t="s">
        <v>131</v>
      </c>
      <c r="F80" s="66">
        <v>241</v>
      </c>
      <c r="G80" s="33">
        <v>448</v>
      </c>
      <c r="H80" s="33">
        <v>246</v>
      </c>
      <c r="M80" t="s">
        <v>186</v>
      </c>
    </row>
    <row r="81" spans="4:22" x14ac:dyDescent="0.25">
      <c r="D81">
        <v>2215</v>
      </c>
      <c r="E81" s="48" t="s">
        <v>132</v>
      </c>
      <c r="F81" s="40">
        <f>F62/(G62/G81)</f>
        <v>2210.0798913820208</v>
      </c>
      <c r="G81" s="33">
        <v>2337</v>
      </c>
      <c r="H81" s="33">
        <v>2653</v>
      </c>
      <c r="I81">
        <f>G62/G81</f>
        <v>5.662815575524176</v>
      </c>
      <c r="J81">
        <f>F62/I81</f>
        <v>2210.0798913820208</v>
      </c>
      <c r="M81" t="s">
        <v>187</v>
      </c>
      <c r="N81" s="27">
        <f>F96-G96</f>
        <v>-320.91624982135181</v>
      </c>
      <c r="P81" s="27"/>
    </row>
    <row r="82" spans="4:22" x14ac:dyDescent="0.25">
      <c r="D82">
        <v>1076</v>
      </c>
      <c r="E82" s="48" t="s">
        <v>133</v>
      </c>
      <c r="F82" s="40">
        <f>F63/(G63/G82)</f>
        <v>1075.2506788623696</v>
      </c>
      <c r="G82" s="33">
        <v>1137</v>
      </c>
      <c r="H82" s="33">
        <v>1718</v>
      </c>
      <c r="I82">
        <f>G63/G82</f>
        <v>7.6253298153034299</v>
      </c>
      <c r="J82">
        <f>F63/I82</f>
        <v>1075.2506788623696</v>
      </c>
      <c r="M82" s="24" t="s">
        <v>163</v>
      </c>
      <c r="N82" s="27">
        <f>N76+N77+N79+N81</f>
        <v>437.16364156066902</v>
      </c>
      <c r="O82">
        <v>-193.99895299999989</v>
      </c>
      <c r="P82" s="27">
        <f>P77+N79+N81</f>
        <v>437.16364156066902</v>
      </c>
    </row>
    <row r="83" spans="4:22" x14ac:dyDescent="0.25">
      <c r="D83">
        <v>521</v>
      </c>
      <c r="E83" s="48" t="s">
        <v>134</v>
      </c>
      <c r="F83" s="42">
        <f>G83</f>
        <v>521</v>
      </c>
      <c r="G83" s="33">
        <v>521</v>
      </c>
      <c r="H83" s="33">
        <v>575</v>
      </c>
      <c r="L83" t="s">
        <v>173</v>
      </c>
      <c r="M83" s="63" t="s">
        <v>164</v>
      </c>
      <c r="N83" s="27"/>
    </row>
    <row r="84" spans="4:22" x14ac:dyDescent="0.25">
      <c r="D84">
        <v>225</v>
      </c>
      <c r="E84" s="48" t="s">
        <v>135</v>
      </c>
      <c r="F84" s="42">
        <f>G84</f>
        <v>240</v>
      </c>
      <c r="G84" s="33">
        <v>240</v>
      </c>
      <c r="H84" s="33">
        <v>299</v>
      </c>
      <c r="L84" s="27"/>
      <c r="M84" t="s">
        <v>166</v>
      </c>
      <c r="N84" s="27"/>
    </row>
    <row r="85" spans="4:22" x14ac:dyDescent="0.25">
      <c r="D85">
        <f>SUM(D80:D84)</f>
        <v>4463</v>
      </c>
      <c r="E85" s="52" t="s">
        <v>175</v>
      </c>
      <c r="F85" s="33">
        <f>SUM(F80:F84)</f>
        <v>4287.3305702443904</v>
      </c>
      <c r="G85" s="33">
        <f>SUM(G80:G84)</f>
        <v>4683</v>
      </c>
      <c r="H85" s="33">
        <v>5491</v>
      </c>
      <c r="K85" s="27">
        <f>F85-G85</f>
        <v>-395.6694297556096</v>
      </c>
      <c r="M85" t="s">
        <v>189</v>
      </c>
      <c r="N85" s="62">
        <v>-1.047E-3</v>
      </c>
    </row>
    <row r="86" spans="4:22" ht="30" x14ac:dyDescent="0.25">
      <c r="D86">
        <v>5659</v>
      </c>
      <c r="E86" s="48" t="s">
        <v>22</v>
      </c>
      <c r="F86" s="33">
        <f>(0.001047/G62)*F62+G86</f>
        <v>5659.0009901384883</v>
      </c>
      <c r="G86" s="33">
        <v>5659</v>
      </c>
      <c r="H86" s="33">
        <v>5919</v>
      </c>
      <c r="I86">
        <f>(0.001047/G62)*F62</f>
        <v>9.901384879233957E-4</v>
      </c>
      <c r="J86" s="27">
        <f>I86+G86</f>
        <v>5659.0009901384883</v>
      </c>
      <c r="K86" s="4" t="s">
        <v>176</v>
      </c>
      <c r="M86" s="24" t="s">
        <v>167</v>
      </c>
      <c r="N86" s="62">
        <f>N85</f>
        <v>-1.047E-3</v>
      </c>
    </row>
    <row r="87" spans="4:22" x14ac:dyDescent="0.25">
      <c r="D87">
        <v>948</v>
      </c>
      <c r="E87" s="48" t="s">
        <v>136</v>
      </c>
      <c r="F87" s="42">
        <f>G87</f>
        <v>948</v>
      </c>
      <c r="G87" s="33">
        <v>948</v>
      </c>
      <c r="H87" s="33">
        <v>947</v>
      </c>
      <c r="K87" s="27">
        <f>J86+K55</f>
        <v>6424.0010518358386</v>
      </c>
      <c r="M87" s="63" t="s">
        <v>168</v>
      </c>
    </row>
    <row r="88" spans="4:22" x14ac:dyDescent="0.25">
      <c r="D88">
        <v>2072</v>
      </c>
      <c r="E88" s="48" t="s">
        <v>137</v>
      </c>
      <c r="F88" s="42">
        <f>G88</f>
        <v>2072</v>
      </c>
      <c r="G88" s="33">
        <v>2072</v>
      </c>
      <c r="H88" s="33">
        <v>1855</v>
      </c>
      <c r="M88" t="s">
        <v>169</v>
      </c>
    </row>
    <row r="89" spans="4:22" x14ac:dyDescent="0.25">
      <c r="D89">
        <f>SUM(D85:D88)</f>
        <v>13142</v>
      </c>
      <c r="E89" s="48" t="s">
        <v>138</v>
      </c>
      <c r="F89" s="33">
        <f>F85+F86+F87+F88</f>
        <v>12966.331560382878</v>
      </c>
      <c r="G89" s="33">
        <f>G85+G86+G87+G88</f>
        <v>13362</v>
      </c>
      <c r="H89" s="33">
        <v>14212</v>
      </c>
      <c r="I89" s="4"/>
      <c r="M89" t="s">
        <v>190</v>
      </c>
      <c r="N89">
        <v>-13</v>
      </c>
    </row>
    <row r="90" spans="4:22" ht="30" x14ac:dyDescent="0.25">
      <c r="E90" s="48" t="s">
        <v>139</v>
      </c>
      <c r="F90" s="40"/>
      <c r="G90" s="50"/>
      <c r="H90" s="50"/>
      <c r="M90" s="63" t="s">
        <v>170</v>
      </c>
      <c r="N90">
        <v>-13</v>
      </c>
      <c r="O90" s="62">
        <f>N90+N86</f>
        <v>-13.001047</v>
      </c>
    </row>
    <row r="91" spans="4:22" x14ac:dyDescent="0.25">
      <c r="E91" s="48" t="s">
        <v>70</v>
      </c>
      <c r="F91" s="40"/>
      <c r="G91" s="50"/>
      <c r="H91" s="50"/>
      <c r="M91" t="s">
        <v>171</v>
      </c>
      <c r="N91" s="54">
        <f>O82+N86+N90</f>
        <v>-206.99999999999989</v>
      </c>
      <c r="O91">
        <v>-207</v>
      </c>
    </row>
    <row r="92" spans="4:22" ht="30" x14ac:dyDescent="0.25">
      <c r="D92">
        <v>3104</v>
      </c>
      <c r="E92" s="48" t="s">
        <v>140</v>
      </c>
      <c r="F92" s="40">
        <f>F63/(G63/G92)</f>
        <v>3098.0837501786477</v>
      </c>
      <c r="G92" s="33">
        <v>3276</v>
      </c>
      <c r="H92" s="33">
        <v>3403</v>
      </c>
      <c r="I92">
        <f>G63/G92</f>
        <v>2.6465201465201464</v>
      </c>
      <c r="J92">
        <f>F63/I92</f>
        <v>3098.0837501786477</v>
      </c>
      <c r="M92" t="s">
        <v>191</v>
      </c>
      <c r="N92">
        <v>448</v>
      </c>
    </row>
    <row r="93" spans="4:22" x14ac:dyDescent="0.25">
      <c r="D93">
        <v>1378</v>
      </c>
      <c r="E93" s="48" t="s">
        <v>141</v>
      </c>
      <c r="F93" s="42">
        <f>G93</f>
        <v>1378</v>
      </c>
      <c r="G93" s="33">
        <v>1378</v>
      </c>
      <c r="H93" s="33">
        <v>2058</v>
      </c>
      <c r="I93" t="s">
        <v>177</v>
      </c>
      <c r="M93" t="s">
        <v>192</v>
      </c>
      <c r="N93" s="27">
        <f>N92+N91</f>
        <v>241.00000000000011</v>
      </c>
    </row>
    <row r="94" spans="4:22" ht="30" x14ac:dyDescent="0.3">
      <c r="D94">
        <v>13</v>
      </c>
      <c r="E94" s="48" t="s">
        <v>142</v>
      </c>
      <c r="F94" s="40">
        <v>13</v>
      </c>
      <c r="G94" s="33">
        <v>156</v>
      </c>
      <c r="H94" s="33">
        <v>148</v>
      </c>
      <c r="V94" s="53">
        <v>3098</v>
      </c>
    </row>
    <row r="95" spans="4:22" x14ac:dyDescent="0.25">
      <c r="D95">
        <v>544</v>
      </c>
      <c r="E95" s="48" t="s">
        <v>143</v>
      </c>
      <c r="F95" s="59">
        <v>544</v>
      </c>
      <c r="G95" s="33">
        <v>544</v>
      </c>
      <c r="H95" s="33">
        <v>606</v>
      </c>
    </row>
    <row r="96" spans="4:22" x14ac:dyDescent="0.25">
      <c r="D96">
        <f>SUM(D92:D95)</f>
        <v>5039</v>
      </c>
      <c r="E96" s="48" t="s">
        <v>73</v>
      </c>
      <c r="F96" s="40">
        <f>SUM(F92:F95)</f>
        <v>5033.0837501786482</v>
      </c>
      <c r="G96" s="33">
        <f>SUM(G92:G95)</f>
        <v>5354</v>
      </c>
      <c r="H96" s="33">
        <v>6215</v>
      </c>
      <c r="I96" s="27"/>
      <c r="L96" t="s">
        <v>179</v>
      </c>
    </row>
    <row r="97" spans="4:14" ht="30" x14ac:dyDescent="0.25">
      <c r="D97" s="27">
        <f>G97</f>
        <v>1666</v>
      </c>
      <c r="E97" s="48" t="s">
        <v>144</v>
      </c>
      <c r="F97" s="42">
        <f>G97-F94</f>
        <v>1653</v>
      </c>
      <c r="G97" s="33">
        <v>1666</v>
      </c>
      <c r="H97" s="33">
        <v>1166</v>
      </c>
      <c r="K97" t="s">
        <v>178</v>
      </c>
      <c r="L97">
        <v>12982</v>
      </c>
      <c r="M97">
        <f>0.001047</f>
        <v>1.047E-3</v>
      </c>
      <c r="N97">
        <f>L97+M97</f>
        <v>12982.001047</v>
      </c>
    </row>
    <row r="98" spans="4:14" x14ac:dyDescent="0.25">
      <c r="D98" s="27">
        <f>G98</f>
        <v>2728</v>
      </c>
      <c r="E98" s="48" t="s">
        <v>145</v>
      </c>
      <c r="F98" s="42">
        <f>G98</f>
        <v>2728</v>
      </c>
      <c r="G98" s="33">
        <v>2728</v>
      </c>
      <c r="H98" s="33">
        <v>2722</v>
      </c>
      <c r="K98" t="s">
        <v>181</v>
      </c>
      <c r="L98">
        <f>L97-L99</f>
        <v>7323</v>
      </c>
    </row>
    <row r="99" spans="4:14" x14ac:dyDescent="0.25">
      <c r="D99">
        <v>720</v>
      </c>
      <c r="E99" s="48" t="s">
        <v>146</v>
      </c>
      <c r="F99" s="42">
        <f>G99</f>
        <v>720</v>
      </c>
      <c r="G99" s="33">
        <v>720</v>
      </c>
      <c r="H99" s="33">
        <v>681</v>
      </c>
      <c r="K99" t="s">
        <v>180</v>
      </c>
      <c r="L99">
        <v>5659</v>
      </c>
    </row>
    <row r="100" spans="4:14" x14ac:dyDescent="0.25">
      <c r="D100">
        <f>SUM(D96:D99)</f>
        <v>10153</v>
      </c>
      <c r="E100" s="48" t="s">
        <v>147</v>
      </c>
      <c r="F100" s="33">
        <f>SUM(F96:F99)</f>
        <v>10134.083750178648</v>
      </c>
      <c r="G100" s="33">
        <f>SUM(G96:G99)</f>
        <v>10468</v>
      </c>
      <c r="H100" s="33">
        <v>10784</v>
      </c>
      <c r="I100" s="4"/>
    </row>
    <row r="101" spans="4:14" x14ac:dyDescent="0.25">
      <c r="E101" s="52" t="s">
        <v>161</v>
      </c>
      <c r="F101" s="40"/>
      <c r="G101" s="50"/>
      <c r="H101" s="50"/>
      <c r="L101">
        <f>L98+K55</f>
        <v>8088.0000616973502</v>
      </c>
    </row>
    <row r="102" spans="4:14" ht="105" x14ac:dyDescent="0.25">
      <c r="D102" s="27">
        <f>F102</f>
        <v>978</v>
      </c>
      <c r="E102" s="48" t="s">
        <v>160</v>
      </c>
      <c r="F102" s="42">
        <f>G102</f>
        <v>978</v>
      </c>
      <c r="G102" s="33">
        <v>978</v>
      </c>
      <c r="H102" s="33">
        <v>978</v>
      </c>
    </row>
    <row r="103" spans="4:14" x14ac:dyDescent="0.25">
      <c r="D103" s="27">
        <f>F103</f>
        <v>849</v>
      </c>
      <c r="E103" s="48" t="s">
        <v>148</v>
      </c>
      <c r="F103" s="42">
        <f>G103</f>
        <v>849</v>
      </c>
      <c r="G103" s="33">
        <v>849</v>
      </c>
      <c r="H103" s="33">
        <v>871</v>
      </c>
    </row>
    <row r="104" spans="4:14" x14ac:dyDescent="0.25">
      <c r="D104">
        <v>7601</v>
      </c>
      <c r="E104" s="48" t="s">
        <v>149</v>
      </c>
      <c r="F104" s="40">
        <v>6773</v>
      </c>
      <c r="G104" s="33">
        <f>H104+G73</f>
        <v>7945</v>
      </c>
      <c r="H104" s="33">
        <v>7869</v>
      </c>
      <c r="I104" s="27"/>
    </row>
    <row r="105" spans="4:14" ht="30" x14ac:dyDescent="0.25">
      <c r="D105" s="27">
        <f>G105</f>
        <v>-597</v>
      </c>
      <c r="E105" s="48" t="s">
        <v>150</v>
      </c>
      <c r="F105" s="42" t="s">
        <v>183</v>
      </c>
      <c r="G105" s="33">
        <v>-597</v>
      </c>
      <c r="H105" s="33">
        <v>-482</v>
      </c>
    </row>
    <row r="106" spans="4:14" x14ac:dyDescent="0.25">
      <c r="D106" s="27">
        <f>SUM(D102:D105)</f>
        <v>8831</v>
      </c>
      <c r="E106" s="51"/>
      <c r="F106" s="33">
        <f>SUM(F102:F104)</f>
        <v>8600</v>
      </c>
      <c r="G106" s="33">
        <f>SUM(G102:G105)</f>
        <v>9175</v>
      </c>
      <c r="H106" s="33">
        <v>9236</v>
      </c>
      <c r="I106" s="27"/>
    </row>
    <row r="107" spans="4:14" ht="60" x14ac:dyDescent="0.25">
      <c r="D107" s="27">
        <f>G107</f>
        <v>-5767</v>
      </c>
      <c r="E107" s="48" t="s">
        <v>151</v>
      </c>
      <c r="F107" s="42">
        <f>G107</f>
        <v>-5767</v>
      </c>
      <c r="G107" s="33">
        <v>-5767</v>
      </c>
      <c r="H107" s="33">
        <v>-5808</v>
      </c>
    </row>
    <row r="108" spans="4:14" x14ac:dyDescent="0.25">
      <c r="D108" s="27">
        <f>SUM(D106:D107)</f>
        <v>3064</v>
      </c>
      <c r="E108" s="48" t="s">
        <v>152</v>
      </c>
      <c r="F108" s="33">
        <f>SUM(F106:F107)</f>
        <v>2833</v>
      </c>
      <c r="G108" s="33">
        <f>SUM(G106:G107)</f>
        <v>3408</v>
      </c>
      <c r="H108" s="33">
        <v>3428</v>
      </c>
      <c r="I108" s="27"/>
    </row>
    <row r="109" spans="4:14" ht="30" x14ac:dyDescent="0.25">
      <c r="D109" s="33">
        <f>D108+D100</f>
        <v>13217</v>
      </c>
      <c r="E109" s="48" t="s">
        <v>153</v>
      </c>
      <c r="F109" s="33">
        <f>F108+F100</f>
        <v>12967.083750178648</v>
      </c>
      <c r="G109" s="33">
        <f>G108+G100</f>
        <v>13876</v>
      </c>
      <c r="H109" s="33">
        <v>14212</v>
      </c>
      <c r="I109" s="4"/>
    </row>
    <row r="110" spans="4:14" x14ac:dyDescent="0.25">
      <c r="F110" s="27">
        <f>F89-F109</f>
        <v>-0.75218979577039136</v>
      </c>
    </row>
    <row r="111" spans="4:14" x14ac:dyDescent="0.25">
      <c r="F111" s="27"/>
    </row>
  </sheetData>
  <mergeCells count="1">
    <mergeCell ref="E3:E4"/>
  </mergeCells>
  <pageMargins left="1.25" right="1.25" top="1" bottom="0.79166666666666696" header="0.25" footer="0.25"/>
  <pageSetup orientation="portrait" r:id="rId1"/>
  <headerFooter>
    <oddFooter>&amp;R_x000D_&amp;1#&amp;"Calibri"&amp;8&amp;K000000 Cisco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4935-EDE3-46A9-A50D-FF7C12EB9784}">
  <dimension ref="J9:N42"/>
  <sheetViews>
    <sheetView tabSelected="1" topLeftCell="F1" workbookViewId="0">
      <selection activeCell="N15" sqref="N15"/>
    </sheetView>
  </sheetViews>
  <sheetFormatPr defaultRowHeight="15" x14ac:dyDescent="0.25"/>
  <cols>
    <col min="10" max="10" width="34.28515625" bestFit="1" customWidth="1"/>
    <col min="14" max="14" width="10.140625" bestFit="1" customWidth="1"/>
  </cols>
  <sheetData>
    <row r="9" spans="10:14" x14ac:dyDescent="0.25">
      <c r="J9" s="73" t="s">
        <v>47</v>
      </c>
      <c r="K9" s="74"/>
      <c r="L9" s="74"/>
    </row>
    <row r="10" spans="10:14" x14ac:dyDescent="0.25">
      <c r="J10" s="73" t="s">
        <v>5</v>
      </c>
      <c r="K10" s="74"/>
      <c r="L10" s="74"/>
    </row>
    <row r="11" spans="10:14" x14ac:dyDescent="0.25">
      <c r="J11" s="73" t="s">
        <v>49</v>
      </c>
      <c r="K11" s="74"/>
      <c r="L11" s="74"/>
      <c r="M11" t="s">
        <v>213</v>
      </c>
      <c r="N11" t="s">
        <v>212</v>
      </c>
    </row>
    <row r="12" spans="10:14" x14ac:dyDescent="0.25">
      <c r="J12" s="75" t="s">
        <v>50</v>
      </c>
      <c r="K12" s="76"/>
      <c r="L12" s="77">
        <v>960000</v>
      </c>
      <c r="M12" s="25">
        <v>0.15</v>
      </c>
      <c r="N12" s="87">
        <f>L12+L12*M12</f>
        <v>1104000</v>
      </c>
    </row>
    <row r="13" spans="10:14" ht="24.75" customHeight="1" x14ac:dyDescent="0.25">
      <c r="J13" s="75" t="s">
        <v>51</v>
      </c>
      <c r="K13" s="76"/>
      <c r="L13" s="78">
        <v>-550000</v>
      </c>
      <c r="M13" s="25">
        <v>0.1</v>
      </c>
      <c r="N13" s="88">
        <f>L13+L13*M13</f>
        <v>-605000</v>
      </c>
    </row>
    <row r="14" spans="10:14" ht="30" x14ac:dyDescent="0.25">
      <c r="J14" s="75" t="s">
        <v>52</v>
      </c>
      <c r="K14" s="76"/>
      <c r="L14" s="79">
        <v>410000</v>
      </c>
      <c r="N14" s="87">
        <f>N12+N13</f>
        <v>499000</v>
      </c>
    </row>
    <row r="15" spans="10:14" ht="45" x14ac:dyDescent="0.25">
      <c r="J15" s="75" t="s">
        <v>53</v>
      </c>
      <c r="K15" s="77">
        <v>30000</v>
      </c>
      <c r="L15" s="76"/>
    </row>
    <row r="16" spans="10:14" ht="75" x14ac:dyDescent="0.25">
      <c r="J16" s="75" t="s">
        <v>54</v>
      </c>
      <c r="K16" s="79">
        <v>160000</v>
      </c>
      <c r="L16" s="78">
        <v>-190000</v>
      </c>
    </row>
    <row r="17" spans="10:12" ht="45" x14ac:dyDescent="0.25">
      <c r="J17" s="75" t="s">
        <v>55</v>
      </c>
      <c r="K17" s="76"/>
      <c r="L17" s="79">
        <v>220000</v>
      </c>
    </row>
    <row r="18" spans="10:12" ht="75" x14ac:dyDescent="0.25">
      <c r="J18" s="75" t="s">
        <v>56</v>
      </c>
      <c r="K18" s="76"/>
      <c r="L18" s="78">
        <v>-105600</v>
      </c>
    </row>
    <row r="19" spans="10:12" ht="30" x14ac:dyDescent="0.25">
      <c r="J19" s="75" t="s">
        <v>57</v>
      </c>
      <c r="K19" s="76"/>
      <c r="L19" s="77">
        <v>114400</v>
      </c>
    </row>
    <row r="20" spans="10:12" x14ac:dyDescent="0.25">
      <c r="J20" s="65"/>
      <c r="K20" s="65"/>
      <c r="L20" s="65"/>
    </row>
    <row r="21" spans="10:12" x14ac:dyDescent="0.25">
      <c r="J21" s="80" t="s">
        <v>47</v>
      </c>
      <c r="K21" s="81"/>
      <c r="L21" s="81"/>
    </row>
    <row r="22" spans="10:12" x14ac:dyDescent="0.25">
      <c r="J22" s="80" t="s">
        <v>16</v>
      </c>
      <c r="K22" s="81"/>
      <c r="L22" s="81"/>
    </row>
    <row r="23" spans="10:12" x14ac:dyDescent="0.25">
      <c r="J23" s="80" t="s">
        <v>59</v>
      </c>
      <c r="K23" s="81"/>
      <c r="L23" s="81"/>
    </row>
    <row r="24" spans="10:12" ht="45" x14ac:dyDescent="0.25">
      <c r="J24" s="82" t="s">
        <v>60</v>
      </c>
      <c r="K24" s="83"/>
      <c r="L24" s="83"/>
    </row>
    <row r="25" spans="10:12" x14ac:dyDescent="0.25">
      <c r="J25" s="82" t="s">
        <v>61</v>
      </c>
      <c r="K25" s="84">
        <v>30000</v>
      </c>
      <c r="L25" s="83"/>
    </row>
    <row r="26" spans="10:12" ht="45" x14ac:dyDescent="0.25">
      <c r="J26" s="82" t="s">
        <v>62</v>
      </c>
      <c r="K26" s="85">
        <v>5500</v>
      </c>
      <c r="L26" s="83"/>
    </row>
    <row r="27" spans="10:12" ht="45" x14ac:dyDescent="0.25">
      <c r="J27" s="82" t="s">
        <v>63</v>
      </c>
      <c r="K27" s="85">
        <v>52000</v>
      </c>
      <c r="L27" s="83"/>
    </row>
    <row r="28" spans="10:12" x14ac:dyDescent="0.25">
      <c r="J28" s="82" t="s">
        <v>64</v>
      </c>
      <c r="K28" s="85">
        <v>112500</v>
      </c>
      <c r="L28" s="83"/>
    </row>
    <row r="29" spans="10:12" ht="45" x14ac:dyDescent="0.25">
      <c r="J29" s="82" t="s">
        <v>65</v>
      </c>
      <c r="K29" s="83"/>
      <c r="L29" s="84">
        <v>200000</v>
      </c>
    </row>
    <row r="30" spans="10:12" ht="45" x14ac:dyDescent="0.25">
      <c r="J30" s="82" t="s">
        <v>66</v>
      </c>
      <c r="K30" s="85">
        <v>630000</v>
      </c>
      <c r="L30" s="83"/>
    </row>
    <row r="31" spans="10:12" ht="60" x14ac:dyDescent="0.25">
      <c r="J31" s="82" t="s">
        <v>67</v>
      </c>
      <c r="K31" s="86">
        <v>-130000</v>
      </c>
      <c r="L31" s="85">
        <v>500000</v>
      </c>
    </row>
    <row r="32" spans="10:12" ht="30" x14ac:dyDescent="0.25">
      <c r="J32" s="82" t="s">
        <v>68</v>
      </c>
      <c r="K32" s="83"/>
      <c r="L32" s="84">
        <v>700000</v>
      </c>
    </row>
    <row r="33" spans="10:12" ht="45" x14ac:dyDescent="0.25">
      <c r="J33" s="82" t="s">
        <v>69</v>
      </c>
      <c r="K33" s="83"/>
      <c r="L33" s="83"/>
    </row>
    <row r="34" spans="10:12" ht="30" x14ac:dyDescent="0.25">
      <c r="J34" s="82" t="s">
        <v>70</v>
      </c>
      <c r="K34" s="83"/>
      <c r="L34" s="83"/>
    </row>
    <row r="35" spans="10:12" ht="30" x14ac:dyDescent="0.25">
      <c r="J35" s="82" t="s">
        <v>71</v>
      </c>
      <c r="K35" s="84">
        <v>60000</v>
      </c>
      <c r="L35" s="83"/>
    </row>
    <row r="36" spans="10:12" ht="30" x14ac:dyDescent="0.25">
      <c r="J36" s="82" t="s">
        <v>72</v>
      </c>
      <c r="K36" s="85">
        <v>50000</v>
      </c>
      <c r="L36" s="83"/>
    </row>
    <row r="37" spans="10:12" ht="45" x14ac:dyDescent="0.25">
      <c r="J37" s="82" t="s">
        <v>73</v>
      </c>
      <c r="K37" s="83"/>
      <c r="L37" s="84">
        <v>110000</v>
      </c>
    </row>
    <row r="38" spans="10:12" ht="30" x14ac:dyDescent="0.25">
      <c r="J38" s="82" t="s">
        <v>74</v>
      </c>
      <c r="K38" s="83"/>
      <c r="L38" s="85">
        <v>150000</v>
      </c>
    </row>
    <row r="39" spans="10:12" x14ac:dyDescent="0.25">
      <c r="J39" s="82" t="s">
        <v>75</v>
      </c>
      <c r="K39" s="83"/>
      <c r="L39" s="83"/>
    </row>
    <row r="40" spans="10:12" ht="30" x14ac:dyDescent="0.25">
      <c r="J40" s="82" t="s">
        <v>76</v>
      </c>
      <c r="K40" s="85">
        <v>250000</v>
      </c>
      <c r="L40" s="83"/>
    </row>
    <row r="41" spans="10:12" ht="30" x14ac:dyDescent="0.25">
      <c r="J41" s="82" t="s">
        <v>77</v>
      </c>
      <c r="K41" s="85">
        <v>190000</v>
      </c>
      <c r="L41" s="85">
        <v>440000</v>
      </c>
    </row>
    <row r="42" spans="10:12" ht="60" x14ac:dyDescent="0.25">
      <c r="J42" s="82" t="s">
        <v>78</v>
      </c>
      <c r="K42" s="83"/>
      <c r="L42" s="84">
        <v>700000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6256-D3C0-42D3-A942-FD7E4D2F0989}">
  <dimension ref="A1:S63"/>
  <sheetViews>
    <sheetView topLeftCell="A43" zoomScale="115" zoomScaleNormal="115" workbookViewId="0">
      <selection activeCell="O1" sqref="O1:R63"/>
    </sheetView>
  </sheetViews>
  <sheetFormatPr defaultRowHeight="15" x14ac:dyDescent="0.25"/>
  <cols>
    <col min="1" max="1" width="23.140625" customWidth="1"/>
    <col min="2" max="2" width="4.7109375" customWidth="1"/>
    <col min="3" max="3" width="9.85546875" bestFit="1" customWidth="1"/>
    <col min="5" max="5" width="3.5703125" customWidth="1"/>
    <col min="6" max="6" width="13.140625" bestFit="1" customWidth="1"/>
    <col min="7" max="7" width="4.28515625" customWidth="1"/>
    <col min="9" max="9" width="20.85546875" customWidth="1"/>
    <col min="10" max="10" width="10.140625" customWidth="1"/>
    <col min="11" max="11" width="5" customWidth="1"/>
    <col min="15" max="15" width="41.42578125" bestFit="1" customWidth="1"/>
    <col min="17" max="18" width="10.140625" bestFit="1" customWidth="1"/>
  </cols>
  <sheetData>
    <row r="1" spans="1:19" x14ac:dyDescent="0.25">
      <c r="A1" s="40" t="s">
        <v>115</v>
      </c>
      <c r="B1" s="40"/>
      <c r="C1" s="40"/>
      <c r="D1" s="40"/>
      <c r="E1" s="40"/>
      <c r="F1" s="40"/>
      <c r="O1" s="40" t="s">
        <v>115</v>
      </c>
      <c r="P1" s="40"/>
      <c r="Q1" s="40"/>
      <c r="R1" s="40"/>
      <c r="S1" s="40"/>
    </row>
    <row r="2" spans="1:19" x14ac:dyDescent="0.25">
      <c r="A2" s="40" t="s">
        <v>116</v>
      </c>
      <c r="B2" s="40" t="s">
        <v>155</v>
      </c>
      <c r="C2" s="40" t="s">
        <v>206</v>
      </c>
      <c r="D2" s="40" t="s">
        <v>117</v>
      </c>
      <c r="E2" s="40" t="s">
        <v>154</v>
      </c>
      <c r="G2" s="40" t="s">
        <v>194</v>
      </c>
      <c r="O2" s="40" t="s">
        <v>116</v>
      </c>
      <c r="P2" s="40" t="s">
        <v>155</v>
      </c>
      <c r="Q2" s="40" t="s">
        <v>117</v>
      </c>
      <c r="R2" s="40" t="s">
        <v>154</v>
      </c>
    </row>
    <row r="3" spans="1:19" x14ac:dyDescent="0.25">
      <c r="A3" s="40" t="s">
        <v>50</v>
      </c>
      <c r="B3" s="69">
        <v>12515.274832070887</v>
      </c>
      <c r="C3" s="40">
        <f>D3*F3</f>
        <v>12515.274832070887</v>
      </c>
      <c r="D3" s="40">
        <v>13234</v>
      </c>
      <c r="E3" s="40">
        <v>13994</v>
      </c>
      <c r="F3" s="40">
        <f>D3/E3</f>
        <v>0.94569101043304271</v>
      </c>
      <c r="G3">
        <v>0.94569101043304271</v>
      </c>
      <c r="O3" s="40" t="s">
        <v>50</v>
      </c>
      <c r="P3" s="69">
        <v>12515.274832070887</v>
      </c>
      <c r="Q3" s="40">
        <v>13234</v>
      </c>
      <c r="R3" s="40">
        <v>13994</v>
      </c>
      <c r="S3" s="40">
        <f>Q3/R3</f>
        <v>0.94569101043304271</v>
      </c>
    </row>
    <row r="4" spans="1:19" x14ac:dyDescent="0.25">
      <c r="A4" s="40" t="s">
        <v>119</v>
      </c>
      <c r="B4" s="69">
        <v>8199.1410604544799</v>
      </c>
      <c r="C4" s="40">
        <f>F4*D4</f>
        <v>8199.1410604544799</v>
      </c>
      <c r="D4" s="40">
        <v>8670</v>
      </c>
      <c r="E4" s="40">
        <v>8375</v>
      </c>
      <c r="F4" s="40">
        <f>D3/E3</f>
        <v>0.94569101043304271</v>
      </c>
      <c r="G4">
        <v>0.94569101043304271</v>
      </c>
      <c r="O4" s="40" t="s">
        <v>119</v>
      </c>
      <c r="P4" s="69">
        <v>8199.1410604544799</v>
      </c>
      <c r="Q4" s="40">
        <v>8670</v>
      </c>
      <c r="R4" s="40">
        <v>8375</v>
      </c>
      <c r="S4" s="40">
        <f>Q3/R3</f>
        <v>0.94569101043304271</v>
      </c>
    </row>
    <row r="5" spans="1:19" x14ac:dyDescent="0.25">
      <c r="A5" s="40" t="s">
        <v>52</v>
      </c>
      <c r="B5" s="69">
        <v>4316.1337716164071</v>
      </c>
      <c r="C5" s="40">
        <f>C3-C4</f>
        <v>4316.1337716164071</v>
      </c>
      <c r="D5" s="40">
        <f>D3-D4</f>
        <v>4564</v>
      </c>
      <c r="E5" s="40">
        <v>5619</v>
      </c>
      <c r="F5" s="40"/>
      <c r="O5" s="40" t="s">
        <v>52</v>
      </c>
      <c r="P5" s="69">
        <v>4316.1337716164071</v>
      </c>
      <c r="Q5" s="40">
        <f>Q3-Q4</f>
        <v>4564</v>
      </c>
      <c r="R5" s="40">
        <v>5619</v>
      </c>
      <c r="S5" s="40"/>
    </row>
    <row r="6" spans="1:19" x14ac:dyDescent="0.25">
      <c r="A6" s="40" t="s">
        <v>120</v>
      </c>
      <c r="B6" s="69">
        <v>2629.9667000142917</v>
      </c>
      <c r="C6" s="40">
        <f>C3*F6</f>
        <v>2629.9667000142917</v>
      </c>
      <c r="D6" s="40">
        <v>2781</v>
      </c>
      <c r="E6" s="40">
        <v>2665</v>
      </c>
      <c r="F6" s="40">
        <f>D6/D3</f>
        <v>0.21014054707571406</v>
      </c>
      <c r="G6">
        <v>0.21014054707571406</v>
      </c>
      <c r="O6" s="40" t="s">
        <v>120</v>
      </c>
      <c r="P6" s="69">
        <v>2629.9667000142917</v>
      </c>
      <c r="Q6" s="40">
        <v>2781</v>
      </c>
      <c r="R6" s="40">
        <v>2665</v>
      </c>
      <c r="S6" s="40">
        <f>Q6/Q3</f>
        <v>0.21014054707571406</v>
      </c>
    </row>
    <row r="7" spans="1:19" x14ac:dyDescent="0.25">
      <c r="A7" s="40" t="s">
        <v>121</v>
      </c>
      <c r="B7" s="69">
        <v>736.69329712734032</v>
      </c>
      <c r="C7" s="40">
        <f>C3*F7</f>
        <v>736.69329712734032</v>
      </c>
      <c r="D7" s="40">
        <v>779</v>
      </c>
      <c r="E7" s="40">
        <v>784</v>
      </c>
      <c r="F7" s="40">
        <f>D7/D3</f>
        <v>5.8863533323258277E-2</v>
      </c>
      <c r="G7">
        <v>5.8863533323258277E-2</v>
      </c>
      <c r="O7" s="40" t="s">
        <v>121</v>
      </c>
      <c r="P7" s="69">
        <v>736.69329712734032</v>
      </c>
      <c r="Q7" s="40">
        <v>779</v>
      </c>
      <c r="R7" s="40">
        <v>784</v>
      </c>
      <c r="S7" s="40">
        <f>Q7/Q3</f>
        <v>5.8863533323258277E-2</v>
      </c>
    </row>
    <row r="8" spans="1:19" x14ac:dyDescent="0.25">
      <c r="A8" s="40" t="s">
        <v>122</v>
      </c>
      <c r="B8" s="69">
        <v>0</v>
      </c>
      <c r="C8" s="40">
        <v>0</v>
      </c>
      <c r="D8" s="40">
        <v>659</v>
      </c>
      <c r="E8" s="40">
        <v>-44</v>
      </c>
      <c r="F8" s="40"/>
      <c r="O8" s="40" t="s">
        <v>122</v>
      </c>
      <c r="P8" s="69">
        <v>0</v>
      </c>
      <c r="Q8" s="40">
        <v>659</v>
      </c>
      <c r="R8" s="40">
        <v>-44</v>
      </c>
      <c r="S8" s="40"/>
    </row>
    <row r="9" spans="1:19" x14ac:dyDescent="0.25">
      <c r="A9" s="40" t="s">
        <v>172</v>
      </c>
      <c r="B9" s="69">
        <v>949.47377447477504</v>
      </c>
      <c r="C9" s="40">
        <f>C5-C6-C7</f>
        <v>949.47377447477504</v>
      </c>
      <c r="D9" s="40">
        <f>D5-SUM(D6:D8)</f>
        <v>345</v>
      </c>
      <c r="E9" s="40">
        <v>2214</v>
      </c>
      <c r="F9" s="40"/>
      <c r="O9" s="40" t="s">
        <v>172</v>
      </c>
      <c r="P9" s="69">
        <v>949.47377447477504</v>
      </c>
      <c r="Q9" s="40">
        <f>Q5-SUM(Q6:Q8)</f>
        <v>345</v>
      </c>
      <c r="R9" s="40">
        <v>2214</v>
      </c>
      <c r="S9" s="40"/>
    </row>
    <row r="10" spans="1:19" x14ac:dyDescent="0.25">
      <c r="A10" s="40" t="s">
        <v>8</v>
      </c>
      <c r="B10" s="69">
        <v>208.32374999999999</v>
      </c>
      <c r="C10" s="40">
        <f>F10*(C33+C34+C37)</f>
        <v>208.32374999999999</v>
      </c>
      <c r="D10" s="40">
        <v>219</v>
      </c>
      <c r="E10" s="40">
        <v>178</v>
      </c>
      <c r="F10" s="40">
        <f>D10/(D33+D34+D37)</f>
        <v>6.8437499999999998E-2</v>
      </c>
      <c r="G10">
        <v>6.8437499999999998E-2</v>
      </c>
      <c r="O10" s="40" t="s">
        <v>8</v>
      </c>
      <c r="P10" s="69">
        <v>208.32374999999999</v>
      </c>
      <c r="Q10" s="40">
        <v>219</v>
      </c>
      <c r="R10" s="40">
        <v>178</v>
      </c>
      <c r="S10" s="40">
        <f>Q10/(Q33+Q34+Q37)</f>
        <v>6.8437499999999998E-2</v>
      </c>
    </row>
    <row r="11" spans="1:19" x14ac:dyDescent="0.25">
      <c r="A11" s="40" t="s">
        <v>123</v>
      </c>
      <c r="B11" s="69">
        <v>-18</v>
      </c>
      <c r="C11" s="40">
        <f>D11</f>
        <v>-18</v>
      </c>
      <c r="D11" s="40">
        <v>-18</v>
      </c>
      <c r="E11" s="40">
        <v>96</v>
      </c>
      <c r="F11" s="40"/>
      <c r="O11" s="40" t="s">
        <v>123</v>
      </c>
      <c r="P11" s="69">
        <v>-18</v>
      </c>
      <c r="Q11" s="40">
        <v>-18</v>
      </c>
      <c r="R11" s="40">
        <v>96</v>
      </c>
      <c r="S11" s="40"/>
    </row>
    <row r="12" spans="1:19" x14ac:dyDescent="0.25">
      <c r="A12" s="40" t="s">
        <v>174</v>
      </c>
      <c r="B12" s="69">
        <v>759.15002447477502</v>
      </c>
      <c r="C12" s="40">
        <f>C9-C10-C11</f>
        <v>759.15002447477502</v>
      </c>
      <c r="D12" s="40">
        <f>D9-D10+D11</f>
        <v>108</v>
      </c>
      <c r="E12" s="40">
        <v>2132</v>
      </c>
      <c r="F12" s="40"/>
      <c r="O12" s="40" t="s">
        <v>174</v>
      </c>
      <c r="P12" s="69">
        <v>759.15002447477502</v>
      </c>
      <c r="Q12" s="40">
        <f>Q9-Q10+Q11</f>
        <v>108</v>
      </c>
      <c r="R12" s="40">
        <v>2132</v>
      </c>
      <c r="S12" s="40"/>
    </row>
    <row r="13" spans="1:19" x14ac:dyDescent="0.25">
      <c r="A13" s="40" t="s">
        <v>124</v>
      </c>
      <c r="B13" s="69">
        <v>224.93334058511851</v>
      </c>
      <c r="C13" s="40">
        <f>C12*F13</f>
        <v>224.93334058511851</v>
      </c>
      <c r="D13" s="40">
        <v>32</v>
      </c>
      <c r="E13" s="40">
        <v>725</v>
      </c>
      <c r="F13" s="40">
        <f>D13/D12</f>
        <v>0.29629629629629628</v>
      </c>
      <c r="G13">
        <v>0.29629629629629628</v>
      </c>
      <c r="O13" s="40" t="s">
        <v>124</v>
      </c>
      <c r="P13" s="69">
        <v>224.93334058511851</v>
      </c>
      <c r="Q13" s="40">
        <v>32</v>
      </c>
      <c r="R13" s="40">
        <v>725</v>
      </c>
      <c r="S13" s="40">
        <f>Q13/Q12</f>
        <v>0.29629629629629628</v>
      </c>
    </row>
    <row r="14" spans="1:19" x14ac:dyDescent="0.25">
      <c r="A14" s="40" t="s">
        <v>125</v>
      </c>
      <c r="B14" s="69">
        <v>534.21668388965645</v>
      </c>
      <c r="C14" s="40">
        <f>C12-C13</f>
        <v>534.21668388965645</v>
      </c>
      <c r="D14" s="40">
        <f>D12-D13</f>
        <v>76</v>
      </c>
      <c r="E14" s="40">
        <v>1407</v>
      </c>
      <c r="F14" s="40"/>
      <c r="O14" s="40" t="s">
        <v>125</v>
      </c>
      <c r="P14" s="69">
        <v>534.21668388965645</v>
      </c>
      <c r="Q14" s="40">
        <f>Q12-Q13</f>
        <v>76</v>
      </c>
      <c r="R14" s="40">
        <v>1407</v>
      </c>
      <c r="S14" s="40"/>
    </row>
    <row r="16" spans="1:19" x14ac:dyDescent="0.25">
      <c r="A16" s="67" t="s">
        <v>126</v>
      </c>
      <c r="B16" s="67"/>
      <c r="C16" s="68"/>
      <c r="D16" s="65"/>
      <c r="E16" s="65"/>
      <c r="O16" s="67" t="s">
        <v>126</v>
      </c>
      <c r="P16" s="67"/>
      <c r="Q16" s="65"/>
      <c r="R16" s="65"/>
    </row>
    <row r="17" spans="1:18" ht="42" customHeight="1" x14ac:dyDescent="0.25">
      <c r="A17" s="48" t="s">
        <v>127</v>
      </c>
      <c r="B17" s="48" t="s">
        <v>155</v>
      </c>
      <c r="C17" s="40" t="s">
        <v>207</v>
      </c>
      <c r="D17" s="48" t="s">
        <v>117</v>
      </c>
      <c r="E17" s="48" t="s">
        <v>128</v>
      </c>
      <c r="F17" s="48" t="s">
        <v>208</v>
      </c>
      <c r="G17" s="48" t="s">
        <v>194</v>
      </c>
      <c r="I17" s="70" t="s">
        <v>209</v>
      </c>
      <c r="J17" s="70" t="s">
        <v>210</v>
      </c>
      <c r="K17" s="70" t="s">
        <v>211</v>
      </c>
      <c r="O17" s="48" t="s">
        <v>127</v>
      </c>
      <c r="P17" s="48" t="s">
        <v>155</v>
      </c>
      <c r="Q17" s="48" t="s">
        <v>117</v>
      </c>
      <c r="R17" s="48" t="s">
        <v>128</v>
      </c>
    </row>
    <row r="18" spans="1:18" x14ac:dyDescent="0.25">
      <c r="A18" s="48" t="s">
        <v>129</v>
      </c>
      <c r="B18" s="48"/>
      <c r="C18" s="40"/>
      <c r="D18" s="50"/>
      <c r="E18" s="50"/>
      <c r="I18" s="71" t="s">
        <v>195</v>
      </c>
      <c r="J18" s="71">
        <v>534.22</v>
      </c>
      <c r="K18" s="40">
        <v>534.22</v>
      </c>
      <c r="O18" s="48" t="s">
        <v>129</v>
      </c>
      <c r="P18" s="48"/>
      <c r="Q18" s="50"/>
      <c r="R18" s="50"/>
    </row>
    <row r="19" spans="1:18" x14ac:dyDescent="0.25">
      <c r="A19" s="48" t="s">
        <v>130</v>
      </c>
      <c r="B19" s="48"/>
      <c r="C19" s="40"/>
      <c r="D19" s="50"/>
      <c r="E19" s="50"/>
      <c r="I19" s="71" t="s">
        <v>196</v>
      </c>
      <c r="J19" s="71">
        <v>765</v>
      </c>
      <c r="K19" s="40">
        <v>765</v>
      </c>
      <c r="O19" s="48" t="s">
        <v>130</v>
      </c>
      <c r="P19" s="48"/>
      <c r="Q19" s="50"/>
      <c r="R19" s="50"/>
    </row>
    <row r="20" spans="1:18" ht="30" x14ac:dyDescent="0.25">
      <c r="A20" s="48" t="s">
        <v>131</v>
      </c>
      <c r="B20" s="48">
        <v>177</v>
      </c>
      <c r="C20" s="66">
        <v>177</v>
      </c>
      <c r="D20" s="33">
        <v>448</v>
      </c>
      <c r="E20" s="33">
        <v>246</v>
      </c>
      <c r="I20" s="71" t="s">
        <v>197</v>
      </c>
      <c r="J20" s="72">
        <f>(C21-D21)+(C22-D22)</f>
        <v>-188.6694297556096</v>
      </c>
      <c r="K20" s="40">
        <v>-188.6694297556096</v>
      </c>
      <c r="O20" s="48" t="s">
        <v>131</v>
      </c>
      <c r="P20" s="48">
        <v>177</v>
      </c>
      <c r="Q20" s="33">
        <v>448</v>
      </c>
      <c r="R20" s="33">
        <v>246</v>
      </c>
    </row>
    <row r="21" spans="1:18" ht="28.5" x14ac:dyDescent="0.25">
      <c r="A21" s="48" t="s">
        <v>132</v>
      </c>
      <c r="B21" s="48">
        <v>2210.0798913820208</v>
      </c>
      <c r="C21" s="40">
        <f>C3/F21</f>
        <v>2210.0798913820208</v>
      </c>
      <c r="D21" s="33">
        <v>2337</v>
      </c>
      <c r="E21" s="33">
        <v>2653</v>
      </c>
      <c r="F21">
        <f>D3/D21</f>
        <v>5.662815575524176</v>
      </c>
      <c r="G21" s="27">
        <v>5.662815575524176</v>
      </c>
      <c r="I21" s="71" t="s">
        <v>198</v>
      </c>
      <c r="J21" s="72">
        <f>C36-D36</f>
        <v>-320.91624982135181</v>
      </c>
      <c r="K21" s="42">
        <v>-320.91624982135181</v>
      </c>
      <c r="O21" s="48" t="s">
        <v>132</v>
      </c>
      <c r="P21" s="48">
        <v>2210.0798913820208</v>
      </c>
      <c r="Q21" s="33">
        <v>2337</v>
      </c>
      <c r="R21" s="33">
        <v>2653</v>
      </c>
    </row>
    <row r="22" spans="1:18" ht="28.5" x14ac:dyDescent="0.25">
      <c r="A22" s="48" t="s">
        <v>133</v>
      </c>
      <c r="B22" s="48">
        <v>1075.2506788623696</v>
      </c>
      <c r="C22" s="40">
        <f>C4/F22</f>
        <v>1075.2506788623696</v>
      </c>
      <c r="D22" s="33">
        <v>1137</v>
      </c>
      <c r="E22" s="33">
        <v>1718</v>
      </c>
      <c r="F22">
        <f>D4/D22</f>
        <v>7.6253298153034299</v>
      </c>
      <c r="G22" s="27">
        <v>7.6253298153034299</v>
      </c>
      <c r="I22" s="71" t="s">
        <v>199</v>
      </c>
      <c r="J22" s="71">
        <v>789</v>
      </c>
      <c r="K22" s="42">
        <v>789</v>
      </c>
      <c r="O22" s="48" t="s">
        <v>133</v>
      </c>
      <c r="P22" s="48">
        <v>1075.2506788623696</v>
      </c>
      <c r="Q22" s="33">
        <v>1137</v>
      </c>
      <c r="R22" s="33">
        <v>1718</v>
      </c>
    </row>
    <row r="23" spans="1:18" ht="28.5" x14ac:dyDescent="0.25">
      <c r="A23" s="48" t="s">
        <v>134</v>
      </c>
      <c r="B23" s="48">
        <v>521</v>
      </c>
      <c r="C23" s="42">
        <f>D23</f>
        <v>521</v>
      </c>
      <c r="D23" s="33">
        <v>521</v>
      </c>
      <c r="E23" s="33">
        <v>575</v>
      </c>
      <c r="I23" s="71" t="s">
        <v>200</v>
      </c>
      <c r="J23" s="71">
        <v>-1047</v>
      </c>
      <c r="K23" s="40">
        <v>-1047</v>
      </c>
      <c r="O23" s="48" t="s">
        <v>134</v>
      </c>
      <c r="P23" s="48">
        <v>521</v>
      </c>
      <c r="Q23" s="33">
        <v>521</v>
      </c>
      <c r="R23" s="33">
        <v>575</v>
      </c>
    </row>
    <row r="24" spans="1:18" ht="28.5" x14ac:dyDescent="0.25">
      <c r="A24" s="48" t="s">
        <v>135</v>
      </c>
      <c r="B24" s="48">
        <v>240</v>
      </c>
      <c r="C24" s="42">
        <f>D24</f>
        <v>240</v>
      </c>
      <c r="D24" s="33">
        <v>240</v>
      </c>
      <c r="E24" s="33">
        <v>299</v>
      </c>
      <c r="I24" s="71" t="s">
        <v>201</v>
      </c>
      <c r="J24" s="71">
        <f>J23</f>
        <v>-1047</v>
      </c>
      <c r="K24" s="40">
        <v>-1047</v>
      </c>
      <c r="O24" s="48" t="s">
        <v>135</v>
      </c>
      <c r="P24" s="48">
        <v>240</v>
      </c>
      <c r="Q24" s="33">
        <v>240</v>
      </c>
      <c r="R24" s="33">
        <v>299</v>
      </c>
    </row>
    <row r="25" spans="1:18" ht="28.5" x14ac:dyDescent="0.25">
      <c r="A25" s="52" t="s">
        <v>175</v>
      </c>
      <c r="B25" s="52">
        <v>4223.3305702443904</v>
      </c>
      <c r="C25" s="33">
        <f>SUM(C20:C24)</f>
        <v>4223.3305702443904</v>
      </c>
      <c r="D25" s="33">
        <f>SUM(D20:D24)</f>
        <v>4683</v>
      </c>
      <c r="E25" s="33">
        <v>5491</v>
      </c>
      <c r="I25" s="71" t="s">
        <v>202</v>
      </c>
      <c r="J25" s="71">
        <v>-13</v>
      </c>
      <c r="K25" s="40">
        <v>-13</v>
      </c>
      <c r="O25" s="52" t="s">
        <v>175</v>
      </c>
      <c r="P25" s="52">
        <v>4223.3305702443904</v>
      </c>
      <c r="Q25" s="33">
        <f>SUM(Q20:Q24)</f>
        <v>4683</v>
      </c>
      <c r="R25" s="33">
        <v>5491</v>
      </c>
    </row>
    <row r="26" spans="1:18" ht="30" x14ac:dyDescent="0.25">
      <c r="A26" s="48" t="s">
        <v>22</v>
      </c>
      <c r="B26" s="48">
        <v>5659.0009901384883</v>
      </c>
      <c r="C26" s="33">
        <f>D26+C3*F26</f>
        <v>5659.0009901384883</v>
      </c>
      <c r="D26" s="33">
        <v>5659</v>
      </c>
      <c r="E26" s="33">
        <v>5919</v>
      </c>
      <c r="F26">
        <f>0.001047/D3</f>
        <v>7.9114402297113487E-8</v>
      </c>
      <c r="G26">
        <v>7.9114402297113487E-8</v>
      </c>
      <c r="I26" s="71" t="s">
        <v>203</v>
      </c>
      <c r="J26" s="71">
        <f>J22+J24+J25</f>
        <v>-271</v>
      </c>
      <c r="K26" s="40">
        <v>-271</v>
      </c>
      <c r="O26" s="48" t="s">
        <v>22</v>
      </c>
      <c r="P26" s="48">
        <v>5659.0009901384883</v>
      </c>
      <c r="Q26" s="33">
        <v>5659</v>
      </c>
      <c r="R26" s="33">
        <v>5919</v>
      </c>
    </row>
    <row r="27" spans="1:18" x14ac:dyDescent="0.25">
      <c r="A27" s="48" t="s">
        <v>136</v>
      </c>
      <c r="B27" s="48">
        <v>948</v>
      </c>
      <c r="C27" s="42">
        <f>D27</f>
        <v>948</v>
      </c>
      <c r="D27" s="33">
        <v>948</v>
      </c>
      <c r="E27" s="33">
        <v>947</v>
      </c>
      <c r="I27" s="71" t="s">
        <v>204</v>
      </c>
      <c r="J27" s="71">
        <v>448</v>
      </c>
      <c r="K27" s="40">
        <v>448</v>
      </c>
      <c r="O27" s="48" t="s">
        <v>136</v>
      </c>
      <c r="P27" s="48">
        <v>948</v>
      </c>
      <c r="Q27" s="33">
        <v>948</v>
      </c>
      <c r="R27" s="33">
        <v>947</v>
      </c>
    </row>
    <row r="28" spans="1:18" ht="28.5" x14ac:dyDescent="0.25">
      <c r="A28" s="48" t="s">
        <v>137</v>
      </c>
      <c r="B28" s="48">
        <v>2072</v>
      </c>
      <c r="C28" s="42">
        <f>D28</f>
        <v>2072</v>
      </c>
      <c r="D28" s="33">
        <v>2072</v>
      </c>
      <c r="E28" s="33">
        <v>1855</v>
      </c>
      <c r="I28" s="71" t="s">
        <v>205</v>
      </c>
      <c r="J28" s="71">
        <f>J26+J27</f>
        <v>177</v>
      </c>
      <c r="K28" s="71">
        <v>177</v>
      </c>
      <c r="O28" s="48" t="s">
        <v>137</v>
      </c>
      <c r="P28" s="48">
        <v>2072</v>
      </c>
      <c r="Q28" s="33">
        <v>2072</v>
      </c>
      <c r="R28" s="33">
        <v>1855</v>
      </c>
    </row>
    <row r="29" spans="1:18" x14ac:dyDescent="0.25">
      <c r="A29" s="48" t="s">
        <v>138</v>
      </c>
      <c r="B29" s="48">
        <v>12902.331560382878</v>
      </c>
      <c r="C29" s="33">
        <f>C25+C26+C27+C28</f>
        <v>12902.331560382878</v>
      </c>
      <c r="D29" s="33">
        <f>D25+D26+D27+D28</f>
        <v>13362</v>
      </c>
      <c r="E29" s="33">
        <v>14212</v>
      </c>
      <c r="O29" s="48" t="s">
        <v>138</v>
      </c>
      <c r="P29" s="48">
        <v>12902.331560382878</v>
      </c>
      <c r="Q29" s="33">
        <f>Q25+Q26+Q27+Q28</f>
        <v>13362</v>
      </c>
      <c r="R29" s="33">
        <v>14212</v>
      </c>
    </row>
    <row r="30" spans="1:18" ht="15.75" customHeight="1" x14ac:dyDescent="0.25">
      <c r="A30" s="48" t="s">
        <v>139</v>
      </c>
      <c r="B30" s="48"/>
      <c r="C30" s="40"/>
      <c r="D30" s="50"/>
      <c r="E30" s="50"/>
      <c r="O30" s="48" t="s">
        <v>139</v>
      </c>
      <c r="P30" s="48"/>
      <c r="Q30" s="50"/>
      <c r="R30" s="50"/>
    </row>
    <row r="31" spans="1:18" x14ac:dyDescent="0.25">
      <c r="A31" s="48" t="s">
        <v>70</v>
      </c>
      <c r="B31" s="48"/>
      <c r="C31" s="40"/>
      <c r="D31" s="50"/>
      <c r="E31" s="50"/>
      <c r="O31" s="48" t="s">
        <v>70</v>
      </c>
      <c r="P31" s="48"/>
      <c r="Q31" s="50"/>
      <c r="R31" s="50"/>
    </row>
    <row r="32" spans="1:18" ht="30" x14ac:dyDescent="0.25">
      <c r="A32" s="48" t="s">
        <v>140</v>
      </c>
      <c r="B32" s="48"/>
      <c r="C32" s="40">
        <f>C4/F32</f>
        <v>3098.0837501786477</v>
      </c>
      <c r="D32" s="33">
        <v>3276</v>
      </c>
      <c r="E32" s="33">
        <v>3403</v>
      </c>
      <c r="F32">
        <f>D4/D32</f>
        <v>2.6465201465201464</v>
      </c>
      <c r="G32" s="27">
        <v>2.6465201465201464</v>
      </c>
      <c r="O32" s="48" t="s">
        <v>140</v>
      </c>
      <c r="P32" s="48"/>
      <c r="Q32" s="33">
        <v>3276</v>
      </c>
      <c r="R32" s="33">
        <v>3403</v>
      </c>
    </row>
    <row r="33" spans="1:18" x14ac:dyDescent="0.25">
      <c r="A33" s="48" t="s">
        <v>141</v>
      </c>
      <c r="B33" s="48"/>
      <c r="C33" s="42">
        <f>D33</f>
        <v>1378</v>
      </c>
      <c r="D33" s="33">
        <v>1378</v>
      </c>
      <c r="E33" s="33">
        <v>2058</v>
      </c>
      <c r="O33" s="48" t="s">
        <v>141</v>
      </c>
      <c r="P33" s="48"/>
      <c r="Q33" s="33">
        <v>1378</v>
      </c>
      <c r="R33" s="33">
        <v>2058</v>
      </c>
    </row>
    <row r="34" spans="1:18" ht="30" x14ac:dyDescent="0.25">
      <c r="A34" s="48" t="s">
        <v>142</v>
      </c>
      <c r="B34" s="48"/>
      <c r="C34" s="40">
        <v>13</v>
      </c>
      <c r="D34" s="33">
        <v>156</v>
      </c>
      <c r="E34" s="33">
        <v>148</v>
      </c>
      <c r="O34" s="48" t="s">
        <v>142</v>
      </c>
      <c r="P34" s="48"/>
      <c r="Q34" s="33">
        <v>156</v>
      </c>
      <c r="R34" s="33">
        <v>148</v>
      </c>
    </row>
    <row r="35" spans="1:18" x14ac:dyDescent="0.25">
      <c r="A35" s="48" t="s">
        <v>143</v>
      </c>
      <c r="B35" s="48"/>
      <c r="C35" s="61">
        <f>D35</f>
        <v>544</v>
      </c>
      <c r="D35" s="33">
        <v>544</v>
      </c>
      <c r="E35" s="33">
        <v>606</v>
      </c>
      <c r="O35" s="48" t="s">
        <v>143</v>
      </c>
      <c r="P35" s="48"/>
      <c r="Q35" s="33">
        <v>544</v>
      </c>
      <c r="R35" s="33">
        <v>606</v>
      </c>
    </row>
    <row r="36" spans="1:18" x14ac:dyDescent="0.25">
      <c r="A36" s="48" t="s">
        <v>73</v>
      </c>
      <c r="B36" s="48"/>
      <c r="C36" s="40">
        <f>SUM(C32:C35)</f>
        <v>5033.0837501786482</v>
      </c>
      <c r="D36" s="33">
        <f>SUM(D32:D35)</f>
        <v>5354</v>
      </c>
      <c r="E36" s="33">
        <v>6215</v>
      </c>
      <c r="O36" s="48" t="s">
        <v>73</v>
      </c>
      <c r="P36" s="48"/>
      <c r="Q36" s="33">
        <f>SUM(Q32:Q35)</f>
        <v>5354</v>
      </c>
      <c r="R36" s="33">
        <v>6215</v>
      </c>
    </row>
    <row r="37" spans="1:18" ht="18" customHeight="1" x14ac:dyDescent="0.25">
      <c r="A37" s="48" t="s">
        <v>144</v>
      </c>
      <c r="B37" s="48"/>
      <c r="C37" s="42">
        <f>D37-C34</f>
        <v>1653</v>
      </c>
      <c r="D37" s="33">
        <v>1666</v>
      </c>
      <c r="E37" s="33">
        <v>1166</v>
      </c>
      <c r="O37" s="48" t="s">
        <v>144</v>
      </c>
      <c r="P37" s="48"/>
      <c r="Q37" s="33">
        <v>1666</v>
      </c>
      <c r="R37" s="33">
        <v>1166</v>
      </c>
    </row>
    <row r="38" spans="1:18" x14ac:dyDescent="0.25">
      <c r="A38" s="48" t="s">
        <v>145</v>
      </c>
      <c r="B38" s="48"/>
      <c r="C38" s="42">
        <f>D38</f>
        <v>2728</v>
      </c>
      <c r="D38" s="33">
        <v>2728</v>
      </c>
      <c r="E38" s="33">
        <v>2722</v>
      </c>
      <c r="O38" s="48" t="s">
        <v>145</v>
      </c>
      <c r="P38" s="48"/>
      <c r="Q38" s="33">
        <v>2728</v>
      </c>
      <c r="R38" s="33">
        <v>2722</v>
      </c>
    </row>
    <row r="39" spans="1:18" x14ac:dyDescent="0.25">
      <c r="A39" s="48" t="s">
        <v>146</v>
      </c>
      <c r="B39" s="48"/>
      <c r="C39" s="42">
        <f>D39</f>
        <v>720</v>
      </c>
      <c r="D39" s="33">
        <v>720</v>
      </c>
      <c r="E39" s="33">
        <v>681</v>
      </c>
      <c r="O39" s="48" t="s">
        <v>146</v>
      </c>
      <c r="P39" s="48"/>
      <c r="Q39" s="33">
        <v>720</v>
      </c>
      <c r="R39" s="33">
        <v>681</v>
      </c>
    </row>
    <row r="40" spans="1:18" x14ac:dyDescent="0.25">
      <c r="A40" s="48" t="s">
        <v>147</v>
      </c>
      <c r="B40" s="48"/>
      <c r="C40" s="33">
        <f>SUM(C36:C39)</f>
        <v>10134.083750178648</v>
      </c>
      <c r="D40" s="33">
        <f>SUM(D36:D39)</f>
        <v>10468</v>
      </c>
      <c r="E40" s="33">
        <v>10784</v>
      </c>
      <c r="O40" s="48" t="s">
        <v>147</v>
      </c>
      <c r="P40" s="48"/>
      <c r="Q40" s="33">
        <f>SUM(Q36:Q39)</f>
        <v>10468</v>
      </c>
      <c r="R40" s="33">
        <v>10784</v>
      </c>
    </row>
    <row r="41" spans="1:18" x14ac:dyDescent="0.25">
      <c r="A41" s="52" t="s">
        <v>161</v>
      </c>
      <c r="B41" s="52"/>
      <c r="C41" s="40"/>
      <c r="D41" s="50"/>
      <c r="E41" s="50"/>
      <c r="O41" s="52" t="s">
        <v>161</v>
      </c>
      <c r="P41" s="52"/>
      <c r="Q41" s="50"/>
      <c r="R41" s="50"/>
    </row>
    <row r="42" spans="1:18" ht="56.25" customHeight="1" x14ac:dyDescent="0.25">
      <c r="A42" s="48" t="s">
        <v>160</v>
      </c>
      <c r="B42" s="48"/>
      <c r="C42" s="42">
        <f>D42</f>
        <v>978</v>
      </c>
      <c r="D42" s="33">
        <v>978</v>
      </c>
      <c r="E42" s="33">
        <v>978</v>
      </c>
      <c r="O42" s="48" t="s">
        <v>160</v>
      </c>
      <c r="P42" s="48"/>
      <c r="Q42" s="33">
        <v>978</v>
      </c>
      <c r="R42" s="33">
        <v>978</v>
      </c>
    </row>
    <row r="43" spans="1:18" x14ac:dyDescent="0.25">
      <c r="A43" s="48" t="s">
        <v>148</v>
      </c>
      <c r="B43" s="48"/>
      <c r="C43" s="42">
        <f>D43</f>
        <v>849</v>
      </c>
      <c r="D43" s="33">
        <v>849</v>
      </c>
      <c r="E43" s="33">
        <v>871</v>
      </c>
      <c r="O43" s="48" t="s">
        <v>148</v>
      </c>
      <c r="P43" s="48"/>
      <c r="Q43" s="33">
        <v>849</v>
      </c>
      <c r="R43" s="33">
        <v>871</v>
      </c>
    </row>
    <row r="44" spans="1:18" x14ac:dyDescent="0.25">
      <c r="A44" s="48" t="s">
        <v>149</v>
      </c>
      <c r="B44" s="48"/>
      <c r="C44" s="40">
        <v>6773</v>
      </c>
      <c r="D44" s="33">
        <f>E44+D13</f>
        <v>7901</v>
      </c>
      <c r="E44" s="33">
        <v>7869</v>
      </c>
      <c r="O44" s="48" t="s">
        <v>149</v>
      </c>
      <c r="P44" s="48"/>
      <c r="Q44" s="33">
        <f>R44+Q13</f>
        <v>7901</v>
      </c>
      <c r="R44" s="33">
        <v>7869</v>
      </c>
    </row>
    <row r="45" spans="1:18" ht="17.25" customHeight="1" x14ac:dyDescent="0.25">
      <c r="A45" s="48" t="s">
        <v>150</v>
      </c>
      <c r="B45" s="48"/>
      <c r="C45" s="42" t="s">
        <v>183</v>
      </c>
      <c r="D45" s="33">
        <v>-597</v>
      </c>
      <c r="E45" s="33">
        <v>-482</v>
      </c>
      <c r="O45" s="48" t="s">
        <v>150</v>
      </c>
      <c r="P45" s="48"/>
      <c r="Q45" s="33">
        <v>-597</v>
      </c>
      <c r="R45" s="33">
        <v>-482</v>
      </c>
    </row>
    <row r="46" spans="1:18" x14ac:dyDescent="0.25">
      <c r="A46" s="51"/>
      <c r="B46" s="51"/>
      <c r="C46" s="33">
        <f>SUM(C42:C45)</f>
        <v>8600</v>
      </c>
      <c r="D46" s="33">
        <f>SUM(D42:D45)</f>
        <v>9131</v>
      </c>
      <c r="E46" s="33">
        <v>9236</v>
      </c>
      <c r="O46" s="51"/>
      <c r="P46" s="51"/>
      <c r="Q46" s="33">
        <f>SUM(Q42:Q45)</f>
        <v>9131</v>
      </c>
      <c r="R46" s="33">
        <v>9236</v>
      </c>
    </row>
    <row r="47" spans="1:18" ht="24.75" customHeight="1" x14ac:dyDescent="0.25">
      <c r="A47" s="48" t="s">
        <v>151</v>
      </c>
      <c r="B47" s="48"/>
      <c r="C47" s="42">
        <f>D47</f>
        <v>-5767</v>
      </c>
      <c r="D47" s="33">
        <v>-5767</v>
      </c>
      <c r="E47" s="33">
        <v>-5808</v>
      </c>
      <c r="O47" s="48" t="s">
        <v>151</v>
      </c>
      <c r="P47" s="48"/>
      <c r="Q47" s="33">
        <v>-5767</v>
      </c>
      <c r="R47" s="33">
        <v>-5808</v>
      </c>
    </row>
    <row r="48" spans="1:18" x14ac:dyDescent="0.25">
      <c r="A48" s="48" t="s">
        <v>152</v>
      </c>
      <c r="B48" s="48"/>
      <c r="C48" s="33">
        <f>SUM(C46:C47)</f>
        <v>2833</v>
      </c>
      <c r="D48" s="33">
        <f>SUM(D46:D47)</f>
        <v>3364</v>
      </c>
      <c r="E48" s="33">
        <v>3428</v>
      </c>
      <c r="O48" s="48" t="s">
        <v>152</v>
      </c>
      <c r="P48" s="48"/>
      <c r="Q48" s="33">
        <f>SUM(Q46:Q47)</f>
        <v>3364</v>
      </c>
      <c r="R48" s="33">
        <v>3428</v>
      </c>
    </row>
    <row r="49" spans="1:18" ht="17.25" customHeight="1" x14ac:dyDescent="0.25">
      <c r="A49" s="48" t="s">
        <v>153</v>
      </c>
      <c r="B49" s="48"/>
      <c r="C49" s="33">
        <f>C48+C40</f>
        <v>12967.083750178648</v>
      </c>
      <c r="D49" s="33">
        <f>D48+D40</f>
        <v>13832</v>
      </c>
      <c r="E49" s="33">
        <v>14212</v>
      </c>
      <c r="O49" s="48" t="s">
        <v>153</v>
      </c>
      <c r="P49" s="48"/>
      <c r="Q49" s="33">
        <f>Q48+Q40</f>
        <v>13832</v>
      </c>
      <c r="R49" s="33">
        <v>14212</v>
      </c>
    </row>
    <row r="50" spans="1:18" x14ac:dyDescent="0.25">
      <c r="C50" s="27">
        <f>C29-C49</f>
        <v>-64.752189795770391</v>
      </c>
    </row>
    <row r="52" spans="1:18" ht="30" x14ac:dyDescent="0.25">
      <c r="O52" s="70" t="s">
        <v>209</v>
      </c>
      <c r="P52" s="70" t="s">
        <v>210</v>
      </c>
    </row>
    <row r="53" spans="1:18" x14ac:dyDescent="0.25">
      <c r="O53" s="71" t="s">
        <v>195</v>
      </c>
      <c r="P53" s="71">
        <v>534.22</v>
      </c>
    </row>
    <row r="54" spans="1:18" x14ac:dyDescent="0.25">
      <c r="O54" s="71" t="s">
        <v>196</v>
      </c>
      <c r="P54" s="71">
        <v>765</v>
      </c>
    </row>
    <row r="55" spans="1:18" x14ac:dyDescent="0.25">
      <c r="O55" s="71" t="s">
        <v>197</v>
      </c>
      <c r="P55" s="72">
        <f>(I56-J56)+(I57-J57)</f>
        <v>0</v>
      </c>
    </row>
    <row r="56" spans="1:18" x14ac:dyDescent="0.25">
      <c r="O56" s="71" t="s">
        <v>198</v>
      </c>
      <c r="P56" s="72">
        <f>I71-J71</f>
        <v>0</v>
      </c>
    </row>
    <row r="57" spans="1:18" x14ac:dyDescent="0.25">
      <c r="O57" s="71" t="s">
        <v>199</v>
      </c>
      <c r="P57" s="71">
        <v>789</v>
      </c>
    </row>
    <row r="58" spans="1:18" x14ac:dyDescent="0.25">
      <c r="O58" s="71" t="s">
        <v>200</v>
      </c>
      <c r="P58" s="71">
        <v>-1047</v>
      </c>
    </row>
    <row r="59" spans="1:18" x14ac:dyDescent="0.25">
      <c r="O59" s="71" t="s">
        <v>201</v>
      </c>
      <c r="P59" s="71">
        <f>P58</f>
        <v>-1047</v>
      </c>
    </row>
    <row r="60" spans="1:18" x14ac:dyDescent="0.25">
      <c r="O60" s="71" t="s">
        <v>202</v>
      </c>
      <c r="P60" s="71">
        <v>-13</v>
      </c>
    </row>
    <row r="61" spans="1:18" x14ac:dyDescent="0.25">
      <c r="O61" s="71" t="s">
        <v>203</v>
      </c>
      <c r="P61" s="71">
        <f>P57+P59+P60</f>
        <v>-271</v>
      </c>
    </row>
    <row r="62" spans="1:18" x14ac:dyDescent="0.25">
      <c r="O62" s="71" t="s">
        <v>204</v>
      </c>
      <c r="P62" s="71">
        <v>448</v>
      </c>
    </row>
    <row r="63" spans="1:18" x14ac:dyDescent="0.25">
      <c r="O63" s="71" t="s">
        <v>205</v>
      </c>
      <c r="P63" s="71">
        <f>P61+P62</f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 Nguyen</cp:lastModifiedBy>
  <dcterms:created xsi:type="dcterms:W3CDTF">2025-02-03T22:08:22Z</dcterms:created>
  <dcterms:modified xsi:type="dcterms:W3CDTF">2025-02-04T19:53:45Z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2025-02-03T22:08:21Z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768775ca-45a9-4cc9-95f8-19323bb685e0</vt:lpwstr>
  </property>
  <property fmtid="{D5CDD505-2E9C-101B-9397-08002B2CF9AE}" pid="8" name="MSIP_Label_c8f49a32-fde3-48a5-9266-b5b0972a22dc_ContentBits">
    <vt:lpwstr>2</vt:lpwstr>
  </property>
</Properties>
</file>