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17. Excel Fundamentals - Formulas for Finance\- Duncan's Files\"/>
    </mc:Choice>
  </mc:AlternateContent>
  <xr:revisionPtr revIDLastSave="0" documentId="13_ncr:1_{3404C7F2-129F-4F7C-ACFA-31EECAE73869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Cover" sheetId="2" r:id="rId1"/>
    <sheet name="Pricing" sheetId="3" r:id="rId2"/>
    <sheet name="Aggregate" sheetId="4" r:id="rId3"/>
    <sheet name="Lookups" sheetId="5" r:id="rId4"/>
    <sheet name="Dates" sheetId="6" r:id="rId5"/>
    <sheet name="Returns" sheetId="7" r:id="rId6"/>
  </sheets>
  <definedNames>
    <definedName name="_xlnm.Print_Area" localSheetId="2">Aggregate!$B$3:$L$33</definedName>
    <definedName name="_xlnm.Print_Area" localSheetId="0">Cover!$B$2:$O$39</definedName>
    <definedName name="_xlnm.Print_Area" localSheetId="4">Dates!$B$3:$P$41,Dates!$B$44:$P$70</definedName>
    <definedName name="_xlnm.Print_Area" localSheetId="3">Lookups!$B$3:$I$34</definedName>
    <definedName name="_xlnm.Print_Area" localSheetId="1">Pricing!$B$3:$L$18</definedName>
    <definedName name="_xlnm.Print_Area" localSheetId="5">Returns!$B$3:$L$40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7" l="1"/>
  <c r="F20" i="7" s="1"/>
  <c r="B15" i="7"/>
  <c r="H21" i="7"/>
  <c r="H22" i="7" s="1"/>
  <c r="I21" i="7"/>
  <c r="I22" i="7"/>
  <c r="I23" i="7"/>
  <c r="I24" i="7"/>
  <c r="F25" i="7"/>
  <c r="I25" i="7"/>
  <c r="F26" i="7"/>
  <c r="I26" i="7"/>
  <c r="I27" i="7"/>
  <c r="I28" i="7"/>
  <c r="I29" i="7"/>
  <c r="I30" i="7"/>
  <c r="I31" i="7"/>
  <c r="I32" i="7"/>
  <c r="E5" i="6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C7" i="6"/>
  <c r="E12" i="6"/>
  <c r="F12" i="6"/>
  <c r="G12" i="6"/>
  <c r="H12" i="6"/>
  <c r="I12" i="6"/>
  <c r="J12" i="6"/>
  <c r="K12" i="6"/>
  <c r="L12" i="6"/>
  <c r="M12" i="6"/>
  <c r="N12" i="6"/>
  <c r="O12" i="6"/>
  <c r="P12" i="6"/>
  <c r="C24" i="6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E28" i="6"/>
  <c r="F28" i="6"/>
  <c r="G28" i="6"/>
  <c r="H28" i="6"/>
  <c r="I28" i="6"/>
  <c r="J28" i="6"/>
  <c r="K28" i="6"/>
  <c r="L28" i="6"/>
  <c r="M28" i="6"/>
  <c r="N28" i="6"/>
  <c r="O28" i="6"/>
  <c r="P28" i="6"/>
  <c r="E34" i="6"/>
  <c r="F34" i="6" s="1"/>
  <c r="G34" i="6" s="1"/>
  <c r="H34" i="6" s="1"/>
  <c r="I34" i="6" s="1"/>
  <c r="J34" i="6" s="1"/>
  <c r="K34" i="6" s="1"/>
  <c r="L34" i="6" s="1"/>
  <c r="M34" i="6" s="1"/>
  <c r="N34" i="6" s="1"/>
  <c r="O34" i="6" s="1"/>
  <c r="P34" i="6" s="1"/>
  <c r="E40" i="6"/>
  <c r="F40" i="6"/>
  <c r="G40" i="6"/>
  <c r="H40" i="6"/>
  <c r="I40" i="6"/>
  <c r="J40" i="6"/>
  <c r="K40" i="6"/>
  <c r="L40" i="6"/>
  <c r="M40" i="6"/>
  <c r="N40" i="6"/>
  <c r="O40" i="6"/>
  <c r="P40" i="6"/>
  <c r="E46" i="6"/>
  <c r="F46" i="6" s="1"/>
  <c r="G46" i="6" s="1"/>
  <c r="H46" i="6" s="1"/>
  <c r="I46" i="6" s="1"/>
  <c r="J46" i="6" s="1"/>
  <c r="K46" i="6" s="1"/>
  <c r="L46" i="6" s="1"/>
  <c r="M46" i="6" s="1"/>
  <c r="N46" i="6" s="1"/>
  <c r="O46" i="6" s="1"/>
  <c r="P46" i="6" s="1"/>
  <c r="E53" i="6"/>
  <c r="F53" i="6"/>
  <c r="G53" i="6"/>
  <c r="H53" i="6"/>
  <c r="I53" i="6"/>
  <c r="J53" i="6"/>
  <c r="K53" i="6"/>
  <c r="L53" i="6"/>
  <c r="M53" i="6"/>
  <c r="N53" i="6"/>
  <c r="O53" i="6"/>
  <c r="P53" i="6"/>
  <c r="G62" i="6"/>
  <c r="H62" i="6" s="1"/>
  <c r="F68" i="6"/>
  <c r="F69" i="6" s="1"/>
  <c r="E69" i="6"/>
  <c r="E21" i="5"/>
  <c r="F21" i="5"/>
  <c r="G21" i="5"/>
  <c r="H21" i="5"/>
  <c r="I21" i="5" s="1"/>
  <c r="B22" i="5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E22" i="5"/>
  <c r="F22" i="5"/>
  <c r="G22" i="5"/>
  <c r="H22" i="5"/>
  <c r="I22" i="5"/>
  <c r="E23" i="5"/>
  <c r="F23" i="5"/>
  <c r="G23" i="5"/>
  <c r="H23" i="5"/>
  <c r="I23" i="5" s="1"/>
  <c r="E24" i="5"/>
  <c r="F24" i="5"/>
  <c r="G24" i="5"/>
  <c r="H24" i="5"/>
  <c r="I24" i="5" s="1"/>
  <c r="E25" i="5"/>
  <c r="F25" i="5"/>
  <c r="G25" i="5"/>
  <c r="H25" i="5"/>
  <c r="I25" i="5"/>
  <c r="E26" i="5"/>
  <c r="F26" i="5"/>
  <c r="G26" i="5"/>
  <c r="H26" i="5"/>
  <c r="I26" i="5"/>
  <c r="E27" i="5"/>
  <c r="F27" i="5"/>
  <c r="G27" i="5"/>
  <c r="H27" i="5"/>
  <c r="I27" i="5"/>
  <c r="E28" i="5"/>
  <c r="F28" i="5"/>
  <c r="G28" i="5"/>
  <c r="H28" i="5"/>
  <c r="I28" i="5" s="1"/>
  <c r="E29" i="5"/>
  <c r="F29" i="5"/>
  <c r="G29" i="5"/>
  <c r="H29" i="5"/>
  <c r="I29" i="5"/>
  <c r="E30" i="5"/>
  <c r="F30" i="5"/>
  <c r="G30" i="5"/>
  <c r="H30" i="5"/>
  <c r="I30" i="5" s="1"/>
  <c r="E31" i="5"/>
  <c r="F31" i="5"/>
  <c r="G31" i="5"/>
  <c r="H31" i="5"/>
  <c r="I31" i="5" s="1"/>
  <c r="E32" i="5"/>
  <c r="F32" i="5"/>
  <c r="G32" i="5"/>
  <c r="H32" i="5"/>
  <c r="I32" i="5" s="1"/>
  <c r="F7" i="4"/>
  <c r="G7" i="4"/>
  <c r="I7" i="4"/>
  <c r="F8" i="4"/>
  <c r="G8" i="4"/>
  <c r="I8" i="4"/>
  <c r="J8" i="4" s="1"/>
  <c r="F9" i="4"/>
  <c r="G9" i="4"/>
  <c r="I9" i="4"/>
  <c r="F10" i="4"/>
  <c r="G10" i="4"/>
  <c r="I10" i="4"/>
  <c r="F11" i="4"/>
  <c r="G11" i="4"/>
  <c r="I11" i="4"/>
  <c r="F12" i="4"/>
  <c r="G12" i="4"/>
  <c r="F13" i="4"/>
  <c r="G13" i="4"/>
  <c r="F14" i="4"/>
  <c r="G14" i="4"/>
  <c r="F15" i="4"/>
  <c r="F27" i="4" s="1"/>
  <c r="G15" i="4"/>
  <c r="F16" i="4"/>
  <c r="G16" i="4"/>
  <c r="F17" i="4"/>
  <c r="G17" i="4"/>
  <c r="F18" i="4"/>
  <c r="G18" i="4"/>
  <c r="D19" i="4"/>
  <c r="C26" i="4"/>
  <c r="D26" i="4"/>
  <c r="C27" i="4"/>
  <c r="D27" i="4"/>
  <c r="C28" i="4"/>
  <c r="D28" i="4"/>
  <c r="C29" i="4"/>
  <c r="D29" i="4"/>
  <c r="C30" i="4"/>
  <c r="D30" i="4"/>
  <c r="H6" i="3"/>
  <c r="L6" i="3"/>
  <c r="H7" i="3"/>
  <c r="L7" i="3"/>
  <c r="H8" i="3"/>
  <c r="H14" i="3" s="1"/>
  <c r="L8" i="3"/>
  <c r="H9" i="3"/>
  <c r="L9" i="3"/>
  <c r="L10" i="3"/>
  <c r="L13" i="3"/>
  <c r="L14" i="3"/>
  <c r="L15" i="3"/>
  <c r="L16" i="3"/>
  <c r="L17" i="3"/>
  <c r="G68" i="6" l="1"/>
  <c r="G69" i="6" s="1"/>
  <c r="F28" i="4"/>
  <c r="E28" i="4" s="1"/>
  <c r="K11" i="4"/>
  <c r="J7" i="4"/>
  <c r="F22" i="7"/>
  <c r="F23" i="7"/>
  <c r="L25" i="7"/>
  <c r="L20" i="7"/>
  <c r="L22" i="7" s="1"/>
  <c r="I62" i="6"/>
  <c r="H68" i="6"/>
  <c r="H69" i="6" s="1"/>
  <c r="I33" i="5"/>
  <c r="J11" i="4"/>
  <c r="F29" i="4"/>
  <c r="E29" i="4" s="1"/>
  <c r="D31" i="4"/>
  <c r="C31" i="4"/>
  <c r="F26" i="4"/>
  <c r="E26" i="4" s="1"/>
  <c r="E27" i="4"/>
  <c r="J10" i="4"/>
  <c r="J9" i="4"/>
  <c r="L9" i="4" s="1"/>
  <c r="L26" i="4" s="1"/>
  <c r="F19" i="4"/>
  <c r="E19" i="4" s="1"/>
  <c r="F30" i="4"/>
  <c r="E30" i="4" s="1"/>
  <c r="L28" i="4"/>
  <c r="K7" i="4"/>
  <c r="K10" i="4"/>
  <c r="H23" i="7"/>
  <c r="H17" i="3"/>
  <c r="K9" i="4"/>
  <c r="H13" i="3"/>
  <c r="K8" i="4"/>
  <c r="L8" i="4" s="1"/>
  <c r="H16" i="3"/>
  <c r="H15" i="3"/>
  <c r="L11" i="4" l="1"/>
  <c r="L27" i="4" s="1"/>
  <c r="J62" i="6"/>
  <c r="I68" i="6"/>
  <c r="I69" i="6" s="1"/>
  <c r="J12" i="4"/>
  <c r="F31" i="4"/>
  <c r="E31" i="4" s="1"/>
  <c r="L10" i="4"/>
  <c r="H24" i="7"/>
  <c r="K12" i="4"/>
  <c r="L7" i="4"/>
  <c r="L12" i="4" l="1"/>
  <c r="K62" i="6"/>
  <c r="L62" i="6" s="1"/>
  <c r="M62" i="6" s="1"/>
  <c r="K68" i="6"/>
  <c r="K69" i="6" s="1"/>
  <c r="J68" i="6"/>
  <c r="J69" i="6" s="1"/>
  <c r="H25" i="7"/>
  <c r="L68" i="6" l="1"/>
  <c r="L69" i="6" s="1"/>
  <c r="H26" i="7"/>
  <c r="N62" i="6"/>
  <c r="M68" i="6"/>
  <c r="M69" i="6" s="1"/>
  <c r="O62" i="6" l="1"/>
  <c r="N68" i="6"/>
  <c r="N69" i="6" s="1"/>
  <c r="H27" i="7"/>
  <c r="H28" i="7" l="1"/>
  <c r="P62" i="6"/>
  <c r="P68" i="6" s="1"/>
  <c r="P69" i="6" s="1"/>
  <c r="O68" i="6"/>
  <c r="O69" i="6" s="1"/>
  <c r="H29" i="7" l="1"/>
  <c r="H30" i="7" l="1"/>
  <c r="H31" i="7" l="1"/>
  <c r="H32" i="7" l="1"/>
  <c r="L23" i="7" l="1"/>
  <c r="L26" i="7"/>
</calcChain>
</file>

<file path=xl/sharedStrings.xml><?xml version="1.0" encoding="utf-8"?>
<sst xmlns="http://schemas.openxmlformats.org/spreadsheetml/2006/main" count="223" uniqueCount="107">
  <si>
    <t xml:space="preserve"> </t>
  </si>
  <si>
    <t>https://corporatefinanceinstitute.com/</t>
  </si>
  <si>
    <t>except in the case of certain noncommercial uses permitted by copyright law.</t>
  </si>
  <si>
    <t xml:space="preserve">form by any means, including photocopying, recording, or other electronic or mechanical methods, without prior written permission of the publisher, </t>
  </si>
  <si>
    <t>under international copyright and trademark laws.  No part of this publication may be modified, manipulated, reproduced, distributed, or transmitted in any</t>
  </si>
  <si>
    <t>All rights reserved.  The contents of this publication, including but not limited to all written material, content layout, images, formulas, and code, are protected</t>
  </si>
  <si>
    <t>This Excel model is for educational purposes only and should not be used for any other reason. All content is Copyright material of CFI Education Inc.</t>
  </si>
  <si>
    <t>© 2015 to 2023 CFI Education Inc.</t>
  </si>
  <si>
    <t>Returns</t>
  </si>
  <si>
    <t>Dates</t>
  </si>
  <si>
    <t>Lookups</t>
  </si>
  <si>
    <t>Aggregate</t>
  </si>
  <si>
    <t>Pricing</t>
  </si>
  <si>
    <t>Table of Contents</t>
  </si>
  <si>
    <t>Strictly Confidential</t>
  </si>
  <si>
    <t>Excel Fundamentals - Formulas for Finance</t>
  </si>
  <si>
    <t>Average</t>
  </si>
  <si>
    <t>Teamer</t>
  </si>
  <si>
    <t>Xtreme</t>
  </si>
  <si>
    <t>Selfie</t>
  </si>
  <si>
    <t>Soloist</t>
  </si>
  <si>
    <t>Low Priced Items</t>
  </si>
  <si>
    <t>Amount</t>
  </si>
  <si>
    <t>Digits</t>
  </si>
  <si>
    <t>Round</t>
  </si>
  <si>
    <t>Maxio</t>
  </si>
  <si>
    <t>Median</t>
  </si>
  <si>
    <t>Maximum</t>
  </si>
  <si>
    <t>Minimum</t>
  </si>
  <si>
    <t>High Priced Items</t>
  </si>
  <si>
    <t>Calculation</t>
  </si>
  <si>
    <t>Price</t>
  </si>
  <si>
    <t>Item</t>
  </si>
  <si>
    <t>Invoice</t>
  </si>
  <si>
    <t>Pricing Range</t>
  </si>
  <si>
    <t>Pricing Analysis</t>
  </si>
  <si>
    <t>Invoice Data</t>
  </si>
  <si>
    <t>Totals</t>
  </si>
  <si>
    <t xml:space="preserve">SUMIFS only works for AND logic. </t>
  </si>
  <si>
    <r>
      <t xml:space="preserve">Totals </t>
    </r>
    <r>
      <rPr>
        <b/>
        <vertAlign val="superscript"/>
        <sz val="10"/>
        <color rgb="FF000000"/>
        <rFont val="Open Sans"/>
        <family val="2"/>
      </rPr>
      <t>1</t>
    </r>
  </si>
  <si>
    <t>Revenue</t>
  </si>
  <si>
    <t>Quantity</t>
  </si>
  <si>
    <t>Invoices</t>
  </si>
  <si>
    <t>Revenue for Select Items</t>
  </si>
  <si>
    <t>Revenue by Item</t>
  </si>
  <si>
    <t>No</t>
  </si>
  <si>
    <t>Yes</t>
  </si>
  <si>
    <t>Single Item?</t>
  </si>
  <si>
    <t>Revenue by Single Items</t>
  </si>
  <si>
    <t>Total</t>
  </si>
  <si>
    <t>Commission</t>
  </si>
  <si>
    <r>
      <t xml:space="preserve">XLOOKUP </t>
    </r>
    <r>
      <rPr>
        <b/>
        <vertAlign val="superscript"/>
        <sz val="10"/>
        <color rgb="FF000000"/>
        <rFont val="Open Sans"/>
        <family val="2"/>
      </rPr>
      <t>2</t>
    </r>
  </si>
  <si>
    <r>
      <t xml:space="preserve">XLOOKUP </t>
    </r>
    <r>
      <rPr>
        <b/>
        <vertAlign val="superscript"/>
        <sz val="10"/>
        <color rgb="FF000000"/>
        <rFont val="Open Sans"/>
        <family val="2"/>
      </rPr>
      <t>1</t>
    </r>
  </si>
  <si>
    <t>VLOOKUP</t>
  </si>
  <si>
    <t>HLOOKUP</t>
  </si>
  <si>
    <t>Commission Calculations</t>
  </si>
  <si>
    <t>Commission Rates</t>
  </si>
  <si>
    <t>Unlevered Free Cash Flow</t>
  </si>
  <si>
    <t>Partial Period Adjustment</t>
  </si>
  <si>
    <t>ADJUSTED CASH FLOW</t>
  </si>
  <si>
    <t>UNADJUSTED CASH FLOW</t>
  </si>
  <si>
    <t>(YY-MM-DD)</t>
  </si>
  <si>
    <t>Fiscal Years</t>
  </si>
  <si>
    <t>Valuation</t>
  </si>
  <si>
    <t>All figures in USD thousands unless stated</t>
  </si>
  <si>
    <t>Stub Period Calculation</t>
  </si>
  <si>
    <t>(USD/Unit)</t>
  </si>
  <si>
    <t>Sales Price</t>
  </si>
  <si>
    <t>(Units)</t>
  </si>
  <si>
    <t>Sales Volume</t>
  </si>
  <si>
    <t xml:space="preserve">Frequency </t>
  </si>
  <si>
    <t>First Payment</t>
  </si>
  <si>
    <t>Debt Payments</t>
  </si>
  <si>
    <t>Start Year</t>
  </si>
  <si>
    <t>Annual Modeling</t>
  </si>
  <si>
    <t>Date</t>
  </si>
  <si>
    <t>Day</t>
  </si>
  <si>
    <t>Month</t>
  </si>
  <si>
    <t>Year</t>
  </si>
  <si>
    <t>Model Start</t>
  </si>
  <si>
    <t>Quarterly Modeling</t>
  </si>
  <si>
    <t>Current Date</t>
  </si>
  <si>
    <t>Monthly Modeling</t>
  </si>
  <si>
    <t xml:space="preserve">The slight difference comes from the treatment of leap years.    </t>
  </si>
  <si>
    <t xml:space="preserve">The IRR function always assumes even spacing for the cash flows.    </t>
  </si>
  <si>
    <t xml:space="preserve">The XIRR result is roughly equal to the IRR result. </t>
  </si>
  <si>
    <t xml:space="preserve">The IRR result is incorrect in this case, but the XIRR result is correct. </t>
  </si>
  <si>
    <t xml:space="preserve">The NPV function always assumes even spacing for the cash flows.    </t>
  </si>
  <si>
    <t xml:space="preserve">The XNPV result is roughly equal to the NPV result. </t>
  </si>
  <si>
    <t xml:space="preserve">The NPV result is incorrect in this case, but the XNPV result is correct. </t>
  </si>
  <si>
    <r>
      <t xml:space="preserve">XIRR </t>
    </r>
    <r>
      <rPr>
        <b/>
        <vertAlign val="superscript"/>
        <sz val="10"/>
        <color rgb="FF000000"/>
        <rFont val="Open Sans"/>
        <family val="2"/>
      </rPr>
      <t>4</t>
    </r>
  </si>
  <si>
    <r>
      <t xml:space="preserve">XIRR </t>
    </r>
    <r>
      <rPr>
        <b/>
        <vertAlign val="superscript"/>
        <sz val="10"/>
        <color theme="1"/>
        <rFont val="Open Sans"/>
        <family val="2"/>
      </rPr>
      <t>2</t>
    </r>
  </si>
  <si>
    <t>IRR</t>
  </si>
  <si>
    <r>
      <t xml:space="preserve">XNPV </t>
    </r>
    <r>
      <rPr>
        <b/>
        <vertAlign val="superscript"/>
        <sz val="10"/>
        <color theme="1"/>
        <rFont val="Open Sans"/>
        <family val="2"/>
      </rPr>
      <t>3</t>
    </r>
  </si>
  <si>
    <r>
      <t xml:space="preserve">XNPV </t>
    </r>
    <r>
      <rPr>
        <b/>
        <vertAlign val="superscript"/>
        <sz val="10"/>
        <color theme="1"/>
        <rFont val="Open Sans"/>
        <family val="2"/>
      </rPr>
      <t>1</t>
    </r>
  </si>
  <si>
    <t>NPV</t>
  </si>
  <si>
    <t>WACC</t>
  </si>
  <si>
    <t>Cashflows</t>
  </si>
  <si>
    <t>Regular Cashflow Timing</t>
  </si>
  <si>
    <t>Irregular Cashflow Timing</t>
  </si>
  <si>
    <t>Net Present Value &amp; Return Calculations</t>
  </si>
  <si>
    <t>Weighted Average Cost of Capital</t>
  </si>
  <si>
    <t>Equity Capital</t>
  </si>
  <si>
    <t>Debt Capital</t>
  </si>
  <si>
    <t>Cost</t>
  </si>
  <si>
    <t>Weight</t>
  </si>
  <si>
    <t xml:space="preserve">SUMIFS does not work for OR logic.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</si>
</sst>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43" formatCode="_(* #,##0.00_);_(* \(#,##0.00\);_(* &quot;-&quot;??_);_(@_)"/>
    <numFmt numFmtId="164" formatCode="_(#,##0_)_%;\(#,##0\)_%;_(&quot;–&quot;_)_%;_(@_)_%"/>
    <numFmt numFmtId="165" formatCode="&quot;Yes&quot;;&quot;ERROR&quot;;&quot;No&quot;;&quot;ERROR&quot;"/>
    <numFmt numFmtId="166" formatCode="_(#,##0_);\(#,##0\);_(&quot;–&quot;_);_(@_)"/>
    <numFmt numFmtId="167" formatCode="_(#,##0.0000_);\(#,##0.0000\);_(&quot;–&quot;_);_(@_)"/>
    <numFmt numFmtId="168" formatCode="_(#,##0_);\(#,##0\);_(#,##0_);_(@_)"/>
    <numFmt numFmtId="169" formatCode="000"/>
    <numFmt numFmtId="170" formatCode="#,##0.0_);\(#,##0.0\)"/>
    <numFmt numFmtId="171" formatCode="@\⁽\¹\⁾"/>
    <numFmt numFmtId="172" formatCode="0&quot;A&quot;"/>
    <numFmt numFmtId="173" formatCode="_(#,##0.00_);\(#,##0.00\);_(&quot;–&quot;_);_(@_)"/>
    <numFmt numFmtId="174" formatCode="_(#,##0.0%_);\(#,##0.0%\);_(&quot;–&quot;_);_(@_)"/>
    <numFmt numFmtId="175" formatCode="_(#,##0.0_);\(#,##0.0\);_(&quot;–&quot;_);_(@_)"/>
    <numFmt numFmtId="176" formatCode="#,##0_);\(#,##0\);\-"/>
    <numFmt numFmtId="177" formatCode="_(#,##0.0%_);\(#,##0.0%\);_(&quot;–&quot;_)_%;_(@_)_%"/>
    <numFmt numFmtId="178" formatCode="_(0.0000\x_);\(0.0000\x\);_(&quot;–&quot;_);_(@_)"/>
    <numFmt numFmtId="179" formatCode="0&quot;F&quot;"/>
    <numFmt numFmtId="180" formatCode="yy\-mm\-dd"/>
    <numFmt numFmtId="181" formatCode="0&quot;E&quot;"/>
    <numFmt numFmtId="182" formatCode="0\ &quot;Months&quot;"/>
    <numFmt numFmtId="183" formatCode="yyyy\-mm\-dd;@"/>
    <numFmt numFmtId="184" formatCode="mmm\ d\,\ yyyy_)"/>
    <numFmt numFmtId="185" formatCode="0000_)"/>
    <numFmt numFmtId="186" formatCode="00"/>
    <numFmt numFmtId="187" formatCode="0000"/>
    <numFmt numFmtId="188" formatCode="mmm\-yy_)"/>
    <numFmt numFmtId="189" formatCode="@\⁽\⁴\⁾"/>
    <numFmt numFmtId="190" formatCode="@\⁽\²\⁾"/>
    <numFmt numFmtId="191" formatCode="@\⁽\³\⁾"/>
    <numFmt numFmtId="192" formatCode="_-&quot;$&quot;* #,##0_-;\-&quot;$&quot;* #,##0_-;_-&quot;$&quot;* &quot;-&quot;??_-;_-@_-"/>
    <numFmt numFmtId="193" formatCode="_(#,##0.000%_);\(#,##0.000%\);_(&quot;–&quot;_);_(@_)"/>
    <numFmt numFmtId="194" formatCode="_(#,##0.00%_);\(#,##0.00%\);_(&quot;–&quot;_);_(@_)"/>
  </numFmts>
  <fonts count="46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sz val="11"/>
      <color theme="1"/>
      <name val="Open Sans"/>
      <family val="2"/>
    </font>
    <font>
      <sz val="11"/>
      <color theme="0"/>
      <name val="Open Sans"/>
      <family val="2"/>
    </font>
    <font>
      <b/>
      <sz val="12"/>
      <color theme="0"/>
      <name val="Open Sans"/>
      <family val="2"/>
    </font>
    <font>
      <u/>
      <sz val="10"/>
      <color theme="10"/>
      <name val="Arial"/>
      <family val="2"/>
    </font>
    <font>
      <sz val="12"/>
      <color theme="1"/>
      <name val="Open Sans"/>
      <family val="2"/>
    </font>
    <font>
      <sz val="11"/>
      <color rgb="FFFA621C"/>
      <name val="Open Sans"/>
      <family val="2"/>
    </font>
    <font>
      <b/>
      <sz val="11"/>
      <color rgb="FFFA621C"/>
      <name val="Open Sans"/>
      <family val="2"/>
    </font>
    <font>
      <u/>
      <sz val="11"/>
      <color rgb="FFFA621C"/>
      <name val="Open Sans"/>
      <family val="2"/>
    </font>
    <font>
      <sz val="12"/>
      <color rgb="FF002060"/>
      <name val="Open Sans"/>
      <family val="2"/>
    </font>
    <font>
      <sz val="10"/>
      <color rgb="FF002060"/>
      <name val="Open Sans"/>
      <family val="2"/>
    </font>
    <font>
      <b/>
      <sz val="10"/>
      <color rgb="FFFA621C"/>
      <name val="Open Sans"/>
      <family val="2"/>
    </font>
    <font>
      <sz val="10"/>
      <name val="Open Sans"/>
      <family val="2"/>
    </font>
    <font>
      <sz val="12"/>
      <color rgb="FF000000"/>
      <name val="Open Sans"/>
      <family val="2"/>
    </font>
    <font>
      <b/>
      <sz val="14"/>
      <color rgb="FF132E57"/>
      <name val="Open Sans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Open Sans"/>
      <family val="2"/>
    </font>
    <font>
      <b/>
      <sz val="11"/>
      <color theme="1"/>
      <name val="Open Sans"/>
      <family val="2"/>
    </font>
    <font>
      <b/>
      <sz val="20"/>
      <color rgb="FF4472C4"/>
      <name val="Open Sans"/>
      <family val="2"/>
    </font>
    <font>
      <sz val="8"/>
      <color theme="1"/>
      <name val="Open Sans"/>
      <family val="2"/>
    </font>
    <font>
      <sz val="10"/>
      <color rgb="FFFA621C"/>
      <name val="Open Sans"/>
      <family val="2"/>
    </font>
    <font>
      <sz val="10"/>
      <color rgb="FF000000"/>
      <name val="Open Sans"/>
      <family val="2"/>
    </font>
    <font>
      <b/>
      <sz val="10"/>
      <color rgb="FF000000"/>
      <name val="Open Sans"/>
      <family val="2"/>
    </font>
    <font>
      <sz val="10"/>
      <color rgb="FF3271D2"/>
      <name val="Open Sans"/>
      <family val="2"/>
    </font>
    <font>
      <b/>
      <sz val="14"/>
      <color rgb="FF3271D2"/>
      <name val="Open Sans"/>
      <family val="2"/>
    </font>
    <font>
      <sz val="11"/>
      <name val="Open Sans"/>
      <family val="2"/>
    </font>
    <font>
      <sz val="14"/>
      <color theme="1"/>
      <name val="Open Sans"/>
      <family val="2"/>
    </font>
    <font>
      <b/>
      <vertAlign val="superscript"/>
      <sz val="10"/>
      <color rgb="FF000000"/>
      <name val="Open Sans"/>
      <family val="2"/>
    </font>
    <font>
      <b/>
      <sz val="10"/>
      <name val="Open Sans"/>
      <family val="2"/>
    </font>
    <font>
      <sz val="10"/>
      <color rgb="FFC32838"/>
      <name val="Open Sans"/>
      <family val="2"/>
    </font>
    <font>
      <b/>
      <sz val="9"/>
      <color rgb="FFFA621C"/>
      <name val="Open Sans"/>
      <family val="2"/>
    </font>
    <font>
      <b/>
      <sz val="14"/>
      <color rgb="FF0000FF"/>
      <name val="Open Sans"/>
      <family val="2"/>
    </font>
    <font>
      <b/>
      <sz val="9"/>
      <color rgb="FF000000"/>
      <name val="Open Sans"/>
      <family val="2"/>
    </font>
    <font>
      <sz val="8"/>
      <name val="Open Sans"/>
      <family val="2"/>
    </font>
    <font>
      <i/>
      <sz val="9"/>
      <name val="Open Sans"/>
      <family val="2"/>
    </font>
    <font>
      <i/>
      <sz val="8"/>
      <color theme="1"/>
      <name val="Open Sans"/>
      <family val="2"/>
    </font>
    <font>
      <b/>
      <vertAlign val="superscript"/>
      <sz val="10"/>
      <color theme="1"/>
      <name val="Open Sans"/>
      <family val="2"/>
    </font>
    <font>
      <strike/>
      <sz val="10"/>
      <color theme="1"/>
      <name val="Open Sans"/>
      <family val="2"/>
    </font>
    <font>
      <i/>
      <sz val="10"/>
      <color theme="1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5F7"/>
        <bgColor rgb="FF000000"/>
      </patternFill>
    </fill>
    <fill>
      <patternFill patternType="solid">
        <fgColor rgb="FFD9E5F7"/>
        <bgColor rgb="FFFFFFFF"/>
      </patternFill>
    </fill>
  </fills>
  <borders count="39">
    <border>
      <left/>
      <right/>
      <top/>
      <bottom/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ck">
        <color rgb="FF132E57"/>
      </right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thin">
        <color rgb="FF3271D2"/>
      </right>
      <top/>
      <bottom style="medium">
        <color rgb="FF3271D2"/>
      </bottom>
      <diagonal/>
    </border>
    <border>
      <left/>
      <right/>
      <top/>
      <bottom style="medium">
        <color rgb="FF3271D2"/>
      </bottom>
      <diagonal/>
    </border>
    <border>
      <left style="thin">
        <color rgb="FF3271D2"/>
      </left>
      <right/>
      <top/>
      <bottom style="medium">
        <color rgb="FF3271D2"/>
      </bottom>
      <diagonal/>
    </border>
    <border>
      <left/>
      <right style="thin">
        <color rgb="FF3271D2"/>
      </right>
      <top style="thin">
        <color rgb="FF3271D2"/>
      </top>
      <bottom/>
      <diagonal/>
    </border>
    <border>
      <left/>
      <right/>
      <top style="thin">
        <color rgb="FF3271D2"/>
      </top>
      <bottom/>
      <diagonal/>
    </border>
    <border>
      <left style="thin">
        <color rgb="FF3271D2"/>
      </left>
      <right/>
      <top style="thin">
        <color rgb="FF3271D2"/>
      </top>
      <bottom/>
      <diagonal/>
    </border>
    <border>
      <left/>
      <right style="thin">
        <color rgb="FF3271D2"/>
      </right>
      <top style="thin">
        <color rgb="FF3271D2"/>
      </top>
      <bottom style="medium">
        <color rgb="FF3271D2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 style="thin">
        <color rgb="FF3271D2"/>
      </left>
      <right/>
      <top style="thin">
        <color rgb="FF3271D2"/>
      </top>
      <bottom style="medium">
        <color rgb="FF3271D2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3271D2"/>
      </left>
      <right style="hair">
        <color rgb="FF3271D2"/>
      </right>
      <top style="hair">
        <color rgb="FF3271D2"/>
      </top>
      <bottom style="hair">
        <color rgb="FF3271D2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 style="hair">
        <color rgb="FF3271D2"/>
      </top>
      <bottom/>
      <diagonal/>
    </border>
    <border>
      <left style="hair">
        <color rgb="FF3271D2"/>
      </left>
      <right/>
      <top/>
      <bottom/>
      <diagonal/>
    </border>
    <border>
      <left style="hair">
        <color rgb="FF3271D2"/>
      </left>
      <right style="hair">
        <color rgb="FF3271D2"/>
      </right>
      <top/>
      <bottom/>
      <diagonal/>
    </border>
    <border>
      <left style="hair">
        <color rgb="FF3271D2"/>
      </left>
      <right/>
      <top style="hair">
        <color rgb="FF3271D2"/>
      </top>
      <bottom/>
      <diagonal/>
    </border>
    <border>
      <left style="hair">
        <color rgb="FF3271D2"/>
      </left>
      <right style="hair">
        <color rgb="FF3271D2"/>
      </right>
      <top style="hair">
        <color rgb="FF3271D2"/>
      </top>
      <bottom/>
      <diagonal/>
    </border>
    <border>
      <left/>
      <right/>
      <top/>
      <bottom style="thin">
        <color rgb="FF3271D2"/>
      </bottom>
      <diagonal/>
    </border>
  </borders>
  <cellStyleXfs count="7">
    <xf numFmtId="0" fontId="0" fillId="0" borderId="0"/>
    <xf numFmtId="0" fontId="4" fillId="0" borderId="0"/>
    <xf numFmtId="0" fontId="1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 applyFont="0" applyFill="0" applyBorder="0" applyAlignment="0" applyProtection="0"/>
  </cellStyleXfs>
  <cellXfs count="217">
    <xf numFmtId="0" fontId="0" fillId="0" borderId="0" xfId="0"/>
    <xf numFmtId="0" fontId="26" fillId="4" borderId="0" xfId="1" applyFont="1" applyFill="1"/>
    <xf numFmtId="0" fontId="8" fillId="0" borderId="0" xfId="1" applyFont="1"/>
    <xf numFmtId="0" fontId="8" fillId="0" borderId="1" xfId="1" applyFont="1" applyBorder="1"/>
    <xf numFmtId="0" fontId="8" fillId="0" borderId="2" xfId="1" applyFont="1" applyBorder="1"/>
    <xf numFmtId="0" fontId="8" fillId="0" borderId="3" xfId="1" applyFont="1" applyBorder="1"/>
    <xf numFmtId="0" fontId="8" fillId="0" borderId="4" xfId="1" applyFont="1" applyBorder="1"/>
    <xf numFmtId="0" fontId="7" fillId="2" borderId="0" xfId="1" applyFont="1" applyFill="1"/>
    <xf numFmtId="164" fontId="9" fillId="2" borderId="0" xfId="1" applyNumberFormat="1" applyFont="1" applyFill="1"/>
    <xf numFmtId="0" fontId="8" fillId="0" borderId="5" xfId="1" applyFont="1" applyBorder="1"/>
    <xf numFmtId="0" fontId="3" fillId="2" borderId="0" xfId="1" applyFont="1" applyFill="1"/>
    <xf numFmtId="0" fontId="10" fillId="2" borderId="0" xfId="1" applyFont="1" applyFill="1"/>
    <xf numFmtId="0" fontId="3" fillId="0" borderId="0" xfId="1" applyFont="1"/>
    <xf numFmtId="0" fontId="12" fillId="0" borderId="0" xfId="2" applyFont="1" applyFill="1" applyBorder="1"/>
    <xf numFmtId="0" fontId="13" fillId="0" borderId="0" xfId="2" applyFont="1" applyFill="1" applyBorder="1"/>
    <xf numFmtId="0" fontId="13" fillId="0" borderId="0" xfId="1" applyFont="1"/>
    <xf numFmtId="0" fontId="14" fillId="0" borderId="0" xfId="1" applyFont="1"/>
    <xf numFmtId="164" fontId="15" fillId="0" borderId="0" xfId="2" applyNumberFormat="1" applyFont="1" applyFill="1" applyBorder="1"/>
    <xf numFmtId="0" fontId="16" fillId="0" borderId="0" xfId="2" applyFont="1" applyFill="1" applyBorder="1" applyProtection="1">
      <protection locked="0"/>
    </xf>
    <xf numFmtId="0" fontId="17" fillId="0" borderId="0" xfId="2" applyFont="1" applyFill="1" applyBorder="1" applyProtection="1">
      <protection locked="0"/>
    </xf>
    <xf numFmtId="0" fontId="19" fillId="0" borderId="0" xfId="1" applyFont="1" applyAlignment="1">
      <alignment horizontal="left"/>
    </xf>
    <xf numFmtId="165" fontId="20" fillId="0" borderId="0" xfId="2" applyNumberFormat="1" applyFont="1" applyFill="1" applyBorder="1" applyAlignment="1" applyProtection="1">
      <alignment horizontal="center"/>
      <protection locked="0"/>
    </xf>
    <xf numFmtId="164" fontId="20" fillId="0" borderId="0" xfId="2" applyNumberFormat="1" applyFont="1" applyFill="1" applyBorder="1" applyAlignment="1" applyProtection="1">
      <alignment horizontal="left"/>
      <protection locked="0"/>
    </xf>
    <xf numFmtId="0" fontId="21" fillId="0" borderId="0" xfId="1" applyFont="1" applyProtection="1">
      <protection locked="0"/>
    </xf>
    <xf numFmtId="164" fontId="23" fillId="0" borderId="0" xfId="3" applyNumberFormat="1" applyFont="1" applyFill="1" applyBorder="1" applyProtection="1">
      <protection locked="0"/>
    </xf>
    <xf numFmtId="0" fontId="18" fillId="0" borderId="0" xfId="1" applyFont="1"/>
    <xf numFmtId="0" fontId="8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21" fillId="0" borderId="0" xfId="1" applyFont="1" applyAlignment="1" applyProtection="1">
      <alignment horizontal="left"/>
      <protection locked="0"/>
    </xf>
    <xf numFmtId="0" fontId="3" fillId="0" borderId="6" xfId="1" applyFont="1" applyBorder="1"/>
    <xf numFmtId="0" fontId="21" fillId="0" borderId="6" xfId="1" applyFont="1" applyBorder="1" applyProtection="1">
      <protection locked="0"/>
    </xf>
    <xf numFmtId="0" fontId="24" fillId="0" borderId="0" xfId="1" applyFont="1"/>
    <xf numFmtId="0" fontId="8" fillId="0" borderId="0" xfId="1" applyFont="1" applyProtection="1">
      <protection locked="0"/>
    </xf>
    <xf numFmtId="0" fontId="21" fillId="0" borderId="0" xfId="1" applyFont="1" applyAlignment="1">
      <alignment horizontal="right"/>
    </xf>
    <xf numFmtId="0" fontId="25" fillId="0" borderId="0" xfId="1" applyFont="1" applyProtection="1">
      <protection locked="0"/>
    </xf>
    <xf numFmtId="0" fontId="8" fillId="3" borderId="4" xfId="1" applyFont="1" applyFill="1" applyBorder="1"/>
    <xf numFmtId="0" fontId="8" fillId="3" borderId="0" xfId="1" applyFont="1" applyFill="1"/>
    <xf numFmtId="0" fontId="8" fillId="3" borderId="5" xfId="1" applyFont="1" applyFill="1" applyBorder="1"/>
    <xf numFmtId="0" fontId="26" fillId="3" borderId="0" xfId="1" applyFont="1" applyFill="1"/>
    <xf numFmtId="0" fontId="8" fillId="3" borderId="7" xfId="1" applyFont="1" applyFill="1" applyBorder="1"/>
    <xf numFmtId="0" fontId="8" fillId="3" borderId="8" xfId="1" applyFont="1" applyFill="1" applyBorder="1"/>
    <xf numFmtId="0" fontId="8" fillId="3" borderId="9" xfId="1" applyFont="1" applyFill="1" applyBorder="1"/>
    <xf numFmtId="0" fontId="3" fillId="0" borderId="0" xfId="0" applyFont="1"/>
    <xf numFmtId="0" fontId="27" fillId="0" borderId="0" xfId="1" applyFont="1" applyAlignment="1">
      <alignment horizontal="left" indent="1"/>
    </xf>
    <xf numFmtId="0" fontId="3" fillId="0" borderId="10" xfId="0" applyFont="1" applyBorder="1"/>
    <xf numFmtId="0" fontId="29" fillId="0" borderId="0" xfId="0" applyFont="1" applyAlignment="1">
      <alignment horizontal="left" indent="2"/>
    </xf>
    <xf numFmtId="166" fontId="28" fillId="5" borderId="0" xfId="0" applyNumberFormat="1" applyFont="1" applyFill="1" applyAlignment="1">
      <alignment horizontal="center"/>
    </xf>
    <xf numFmtId="166" fontId="30" fillId="0" borderId="0" xfId="0" applyNumberFormat="1" applyFont="1" applyAlignment="1">
      <alignment horizontal="center"/>
    </xf>
    <xf numFmtId="167" fontId="28" fillId="5" borderId="0" xfId="0" applyNumberFormat="1" applyFont="1" applyFill="1" applyAlignment="1">
      <alignment horizontal="center"/>
    </xf>
    <xf numFmtId="168" fontId="30" fillId="0" borderId="0" xfId="0" applyNumberFormat="1" applyFont="1" applyAlignment="1">
      <alignment horizontal="center"/>
    </xf>
    <xf numFmtId="0" fontId="28" fillId="0" borderId="0" xfId="0" applyFont="1" applyAlignment="1">
      <alignment horizontal="left" indent="1"/>
    </xf>
    <xf numFmtId="0" fontId="30" fillId="0" borderId="0" xfId="0" applyFont="1" applyAlignment="1">
      <alignment horizontal="center"/>
    </xf>
    <xf numFmtId="169" fontId="30" fillId="0" borderId="0" xfId="0" applyNumberFormat="1" applyFont="1" applyAlignment="1">
      <alignment horizontal="left" indent="2"/>
    </xf>
    <xf numFmtId="0" fontId="29" fillId="0" borderId="10" xfId="0" applyFont="1" applyBorder="1" applyAlignment="1">
      <alignment horizontal="left"/>
    </xf>
    <xf numFmtId="0" fontId="29" fillId="0" borderId="10" xfId="0" applyFont="1" applyBorder="1" applyAlignment="1">
      <alignment horizontal="center"/>
    </xf>
    <xf numFmtId="0" fontId="18" fillId="0" borderId="0" xfId="0" applyFont="1" applyAlignment="1">
      <alignment horizontal="center"/>
    </xf>
    <xf numFmtId="166" fontId="28" fillId="5" borderId="0" xfId="0" applyNumberFormat="1" applyFont="1" applyFill="1" applyAlignment="1">
      <alignment horizontal="centerContinuous"/>
    </xf>
    <xf numFmtId="166" fontId="18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29" fillId="0" borderId="10" xfId="0" applyFont="1" applyBorder="1" applyAlignment="1">
      <alignment horizontal="left" indent="1"/>
    </xf>
    <xf numFmtId="170" fontId="6" fillId="0" borderId="0" xfId="0" applyNumberFormat="1" applyFont="1"/>
    <xf numFmtId="37" fontId="7" fillId="6" borderId="0" xfId="0" applyNumberFormat="1" applyFont="1" applyFill="1" applyAlignment="1">
      <alignment vertical="center"/>
    </xf>
    <xf numFmtId="37" fontId="5" fillId="6" borderId="0" xfId="0" applyNumberFormat="1" applyFont="1" applyFill="1" applyAlignment="1">
      <alignment vertical="center"/>
    </xf>
    <xf numFmtId="37" fontId="31" fillId="7" borderId="0" xfId="0" applyNumberFormat="1" applyFont="1" applyFill="1" applyAlignment="1">
      <alignment vertical="center"/>
    </xf>
    <xf numFmtId="0" fontId="8" fillId="0" borderId="0" xfId="0" applyFont="1"/>
    <xf numFmtId="0" fontId="32" fillId="3" borderId="0" xfId="0" applyFont="1" applyFill="1"/>
    <xf numFmtId="37" fontId="33" fillId="0" borderId="0" xfId="0" applyNumberFormat="1" applyFont="1" applyAlignment="1">
      <alignment vertical="center"/>
    </xf>
    <xf numFmtId="0" fontId="29" fillId="0" borderId="0" xfId="0" applyFont="1" applyAlignment="1">
      <alignment horizontal="center"/>
    </xf>
    <xf numFmtId="166" fontId="29" fillId="5" borderId="11" xfId="0" applyNumberFormat="1" applyFont="1" applyFill="1" applyBorder="1" applyAlignment="1">
      <alignment horizontal="center"/>
    </xf>
    <xf numFmtId="0" fontId="30" fillId="0" borderId="0" xfId="0" applyFont="1" applyAlignment="1">
      <alignment horizontal="left" indent="2"/>
    </xf>
    <xf numFmtId="166" fontId="28" fillId="5" borderId="11" xfId="0" applyNumberFormat="1" applyFont="1" applyFill="1" applyBorder="1" applyAlignment="1">
      <alignment horizontal="center"/>
    </xf>
    <xf numFmtId="166" fontId="29" fillId="0" borderId="10" xfId="0" applyNumberFormat="1" applyFont="1" applyBorder="1" applyAlignment="1">
      <alignment horizontal="center"/>
    </xf>
    <xf numFmtId="0" fontId="32" fillId="0" borderId="0" xfId="0" applyFont="1"/>
    <xf numFmtId="172" fontId="5" fillId="6" borderId="0" xfId="0" applyNumberFormat="1" applyFont="1" applyFill="1" applyAlignment="1">
      <alignment horizontal="right"/>
    </xf>
    <xf numFmtId="173" fontId="29" fillId="5" borderId="11" xfId="0" applyNumberFormat="1" applyFont="1" applyFill="1" applyBorder="1" applyAlignment="1">
      <alignment horizontal="center"/>
    </xf>
    <xf numFmtId="0" fontId="28" fillId="5" borderId="0" xfId="0" applyFont="1" applyFill="1" applyAlignment="1">
      <alignment horizontal="center"/>
    </xf>
    <xf numFmtId="0" fontId="28" fillId="0" borderId="0" xfId="0" applyFont="1" applyAlignment="1">
      <alignment horizontal="left" indent="2"/>
    </xf>
    <xf numFmtId="166" fontId="29" fillId="0" borderId="0" xfId="0" applyNumberFormat="1" applyFont="1" applyAlignment="1">
      <alignment horizontal="center"/>
    </xf>
    <xf numFmtId="166" fontId="29" fillId="5" borderId="11" xfId="0" applyNumberFormat="1" applyFont="1" applyFill="1" applyBorder="1"/>
    <xf numFmtId="166" fontId="28" fillId="5" borderId="0" xfId="0" applyNumberFormat="1" applyFont="1" applyFill="1"/>
    <xf numFmtId="174" fontId="28" fillId="5" borderId="0" xfId="4" applyNumberFormat="1" applyFont="1" applyFill="1" applyBorder="1" applyAlignment="1">
      <alignment horizontal="center"/>
    </xf>
    <xf numFmtId="166" fontId="30" fillId="0" borderId="0" xfId="0" applyNumberFormat="1" applyFont="1"/>
    <xf numFmtId="169" fontId="28" fillId="0" borderId="0" xfId="0" applyNumberFormat="1" applyFont="1" applyAlignment="1">
      <alignment horizontal="center"/>
    </xf>
    <xf numFmtId="166" fontId="28" fillId="5" borderId="0" xfId="0" applyNumberFormat="1" applyFont="1" applyFill="1" applyAlignment="1">
      <alignment horizontal="right"/>
    </xf>
    <xf numFmtId="169" fontId="30" fillId="0" borderId="0" xfId="0" applyNumberFormat="1" applyFont="1" applyAlignment="1">
      <alignment horizontal="center"/>
    </xf>
    <xf numFmtId="175" fontId="29" fillId="0" borderId="10" xfId="0" applyNumberFormat="1" applyFont="1" applyBorder="1" applyAlignment="1">
      <alignment horizontal="right"/>
    </xf>
    <xf numFmtId="166" fontId="29" fillId="0" borderId="10" xfId="0" applyNumberFormat="1" applyFont="1" applyBorder="1" applyAlignment="1">
      <alignment horizontal="right"/>
    </xf>
    <xf numFmtId="0" fontId="3" fillId="0" borderId="0" xfId="0" applyFont="1" applyAlignment="1">
      <alignment horizontal="centerContinuous" vertical="center"/>
    </xf>
    <xf numFmtId="0" fontId="6" fillId="0" borderId="0" xfId="0" applyFont="1" applyAlignment="1">
      <alignment horizontal="centerContinuous" vertical="center"/>
    </xf>
    <xf numFmtId="166" fontId="29" fillId="0" borderId="0" xfId="0" applyNumberFormat="1" applyFont="1" applyAlignment="1">
      <alignment horizontal="right"/>
    </xf>
    <xf numFmtId="166" fontId="18" fillId="6" borderId="0" xfId="0" applyNumberFormat="1" applyFont="1" applyFill="1" applyAlignment="1">
      <alignment horizontal="right" vertical="center"/>
    </xf>
    <xf numFmtId="37" fontId="18" fillId="6" borderId="0" xfId="0" applyNumberFormat="1" applyFont="1" applyFill="1" applyAlignment="1">
      <alignment horizontal="center" vertical="center"/>
    </xf>
    <xf numFmtId="174" fontId="30" fillId="0" borderId="12" xfId="4" applyNumberFormat="1" applyFont="1" applyFill="1" applyBorder="1" applyAlignment="1">
      <alignment horizontal="center"/>
    </xf>
    <xf numFmtId="0" fontId="30" fillId="0" borderId="13" xfId="0" applyFont="1" applyBorder="1" applyAlignment="1">
      <alignment horizontal="center"/>
    </xf>
    <xf numFmtId="174" fontId="30" fillId="0" borderId="14" xfId="4" applyNumberFormat="1" applyFont="1" applyFill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174" fontId="30" fillId="0" borderId="10" xfId="4" applyNumberFormat="1" applyFont="1" applyFill="1" applyBorder="1" applyAlignment="1">
      <alignment horizontal="center"/>
    </xf>
    <xf numFmtId="0" fontId="6" fillId="0" borderId="18" xfId="0" applyFont="1" applyBorder="1"/>
    <xf numFmtId="0" fontId="30" fillId="0" borderId="19" xfId="0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6" fillId="0" borderId="20" xfId="0" applyFont="1" applyBorder="1"/>
    <xf numFmtId="176" fontId="28" fillId="0" borderId="0" xfId="0" applyNumberFormat="1" applyFont="1"/>
    <xf numFmtId="177" fontId="28" fillId="0" borderId="10" xfId="5" applyNumberFormat="1" applyFont="1" applyFill="1" applyBorder="1" applyAlignment="1">
      <alignment horizontal="right"/>
    </xf>
    <xf numFmtId="166" fontId="30" fillId="0" borderId="10" xfId="0" applyNumberFormat="1" applyFont="1" applyBorder="1" applyAlignment="1">
      <alignment horizontal="right"/>
    </xf>
    <xf numFmtId="176" fontId="29" fillId="0" borderId="10" xfId="0" applyNumberFormat="1" applyFont="1" applyBorder="1"/>
    <xf numFmtId="172" fontId="35" fillId="0" borderId="10" xfId="0" applyNumberFormat="1" applyFont="1" applyBorder="1" applyAlignment="1">
      <alignment horizontal="right"/>
    </xf>
    <xf numFmtId="37" fontId="33" fillId="0" borderId="10" xfId="0" applyNumberFormat="1" applyFont="1" applyBorder="1" applyAlignment="1">
      <alignment vertical="center"/>
    </xf>
    <xf numFmtId="0" fontId="19" fillId="0" borderId="10" xfId="0" applyFont="1" applyBorder="1" applyAlignment="1">
      <alignment horizontal="left" indent="1"/>
    </xf>
    <xf numFmtId="177" fontId="28" fillId="0" borderId="0" xfId="5" applyNumberFormat="1" applyFont="1" applyFill="1" applyBorder="1" applyAlignment="1">
      <alignment horizontal="right"/>
    </xf>
    <xf numFmtId="166" fontId="30" fillId="0" borderId="0" xfId="0" applyNumberFormat="1" applyFont="1" applyAlignment="1">
      <alignment horizontal="right"/>
    </xf>
    <xf numFmtId="172" fontId="35" fillId="0" borderId="0" xfId="0" applyNumberFormat="1" applyFont="1" applyAlignment="1">
      <alignment horizontal="right"/>
    </xf>
    <xf numFmtId="0" fontId="19" fillId="0" borderId="0" xfId="0" applyFont="1" applyAlignment="1">
      <alignment horizontal="left" indent="1"/>
    </xf>
    <xf numFmtId="166" fontId="28" fillId="0" borderId="11" xfId="0" applyNumberFormat="1" applyFont="1" applyBorder="1" applyAlignment="1">
      <alignment horizontal="right"/>
    </xf>
    <xf numFmtId="178" fontId="36" fillId="0" borderId="0" xfId="4" applyNumberFormat="1" applyFont="1" applyFill="1" applyBorder="1" applyAlignment="1">
      <alignment horizontal="right"/>
    </xf>
    <xf numFmtId="177" fontId="28" fillId="5" borderId="0" xfId="5" applyNumberFormat="1" applyFont="1" applyFill="1" applyBorder="1" applyAlignment="1">
      <alignment horizontal="right"/>
    </xf>
    <xf numFmtId="166" fontId="37" fillId="0" borderId="0" xfId="0" applyNumberFormat="1" applyFont="1" applyAlignment="1">
      <alignment horizontal="right"/>
    </xf>
    <xf numFmtId="179" fontId="35" fillId="0" borderId="0" xfId="0" applyNumberFormat="1" applyFont="1" applyAlignment="1">
      <alignment horizontal="right"/>
    </xf>
    <xf numFmtId="0" fontId="35" fillId="0" borderId="0" xfId="0" applyFont="1" applyAlignment="1">
      <alignment horizontal="left"/>
    </xf>
    <xf numFmtId="176" fontId="29" fillId="0" borderId="0" xfId="0" applyNumberFormat="1" applyFont="1"/>
    <xf numFmtId="172" fontId="5" fillId="0" borderId="0" xfId="0" applyNumberFormat="1" applyFont="1" applyAlignment="1">
      <alignment horizontal="right"/>
    </xf>
    <xf numFmtId="37" fontId="7" fillId="0" borderId="0" xfId="0" applyNumberFormat="1" applyFont="1" applyAlignment="1">
      <alignment vertical="center"/>
    </xf>
    <xf numFmtId="37" fontId="5" fillId="0" borderId="0" xfId="0" applyNumberFormat="1" applyFont="1" applyAlignment="1">
      <alignment vertical="center"/>
    </xf>
    <xf numFmtId="37" fontId="38" fillId="0" borderId="0" xfId="0" applyNumberFormat="1" applyFont="1" applyAlignment="1">
      <alignment vertical="center"/>
    </xf>
    <xf numFmtId="180" fontId="28" fillId="5" borderId="21" xfId="0" applyNumberFormat="1" applyFont="1" applyFill="1" applyBorder="1" applyAlignment="1">
      <alignment horizontal="center"/>
    </xf>
    <xf numFmtId="180" fontId="28" fillId="5" borderId="22" xfId="0" applyNumberFormat="1" applyFont="1" applyFill="1" applyBorder="1" applyAlignment="1">
      <alignment horizontal="center"/>
    </xf>
    <xf numFmtId="180" fontId="30" fillId="5" borderId="23" xfId="0" applyNumberFormat="1" applyFont="1" applyFill="1" applyBorder="1" applyAlignment="1">
      <alignment horizontal="center"/>
    </xf>
    <xf numFmtId="166" fontId="39" fillId="0" borderId="0" xfId="0" applyNumberFormat="1" applyFont="1" applyAlignment="1">
      <alignment horizontal="left"/>
    </xf>
    <xf numFmtId="0" fontId="40" fillId="0" borderId="24" xfId="0" applyFont="1" applyBorder="1" applyAlignment="1">
      <alignment horizontal="center"/>
    </xf>
    <xf numFmtId="0" fontId="40" fillId="0" borderId="25" xfId="0" applyFont="1" applyBorder="1" applyAlignment="1">
      <alignment horizontal="center"/>
    </xf>
    <xf numFmtId="0" fontId="40" fillId="0" borderId="26" xfId="0" applyFont="1" applyBorder="1" applyAlignment="1">
      <alignment horizontal="center"/>
    </xf>
    <xf numFmtId="172" fontId="39" fillId="0" borderId="24" xfId="0" applyNumberFormat="1" applyFont="1" applyBorder="1" applyAlignment="1">
      <alignment horizontal="centerContinuous"/>
    </xf>
    <xf numFmtId="172" fontId="39" fillId="0" borderId="25" xfId="0" applyNumberFormat="1" applyFont="1" applyBorder="1" applyAlignment="1">
      <alignment horizontal="centerContinuous"/>
    </xf>
    <xf numFmtId="166" fontId="39" fillId="0" borderId="26" xfId="0" applyNumberFormat="1" applyFont="1" applyBorder="1" applyAlignment="1">
      <alignment horizontal="centerContinuous"/>
    </xf>
    <xf numFmtId="166" fontId="39" fillId="0" borderId="26" xfId="0" applyNumberFormat="1" applyFont="1" applyBorder="1" applyAlignment="1">
      <alignment horizontal="center"/>
    </xf>
    <xf numFmtId="164" fontId="41" fillId="0" borderId="0" xfId="0" applyNumberFormat="1" applyFont="1" applyAlignment="1">
      <alignment vertical="center"/>
    </xf>
    <xf numFmtId="166" fontId="37" fillId="0" borderId="0" xfId="0" applyNumberFormat="1" applyFont="1" applyAlignment="1">
      <alignment horizontal="center"/>
    </xf>
    <xf numFmtId="181" fontId="35" fillId="6" borderId="0" xfId="0" applyNumberFormat="1" applyFont="1" applyFill="1" applyAlignment="1">
      <alignment horizontal="centerContinuous"/>
    </xf>
    <xf numFmtId="181" fontId="41" fillId="6" borderId="0" xfId="0" applyNumberFormat="1" applyFont="1" applyFill="1" applyAlignment="1">
      <alignment horizontal="centerContinuous"/>
    </xf>
    <xf numFmtId="37" fontId="3" fillId="6" borderId="0" xfId="0" applyNumberFormat="1" applyFont="1" applyFill="1" applyAlignment="1">
      <alignment vertical="center"/>
    </xf>
    <xf numFmtId="37" fontId="31" fillId="6" borderId="0" xfId="0" applyNumberFormat="1" applyFont="1" applyFill="1" applyAlignment="1">
      <alignment vertical="center"/>
    </xf>
    <xf numFmtId="173" fontId="30" fillId="0" borderId="0" xfId="0" applyNumberFormat="1" applyFont="1" applyAlignment="1">
      <alignment horizontal="right"/>
    </xf>
    <xf numFmtId="0" fontId="42" fillId="0" borderId="0" xfId="0" applyFont="1" applyAlignment="1">
      <alignment horizontal="center"/>
    </xf>
    <xf numFmtId="0" fontId="27" fillId="0" borderId="0" xfId="0" applyFont="1" applyAlignment="1">
      <alignment horizontal="left" indent="1"/>
    </xf>
    <xf numFmtId="182" fontId="30" fillId="5" borderId="18" xfId="0" applyNumberFormat="1" applyFont="1" applyFill="1" applyBorder="1" applyAlignment="1">
      <alignment horizontal="center"/>
    </xf>
    <xf numFmtId="0" fontId="19" fillId="0" borderId="0" xfId="0" applyFont="1" applyAlignment="1">
      <alignment horizontal="left"/>
    </xf>
    <xf numFmtId="0" fontId="31" fillId="0" borderId="0" xfId="0" applyFont="1" applyAlignment="1">
      <alignment vertical="center"/>
    </xf>
    <xf numFmtId="184" fontId="39" fillId="5" borderId="27" xfId="0" applyNumberFormat="1" applyFont="1" applyFill="1" applyBorder="1" applyAlignment="1">
      <alignment horizontal="right"/>
    </xf>
    <xf numFmtId="184" fontId="39" fillId="5" borderId="28" xfId="0" applyNumberFormat="1" applyFont="1" applyFill="1" applyBorder="1" applyAlignment="1">
      <alignment horizontal="right"/>
    </xf>
    <xf numFmtId="184" fontId="39" fillId="5" borderId="29" xfId="0" applyNumberFormat="1" applyFont="1" applyFill="1" applyBorder="1" applyAlignment="1">
      <alignment horizontal="right"/>
    </xf>
    <xf numFmtId="0" fontId="31" fillId="6" borderId="0" xfId="0" applyFont="1" applyFill="1" applyAlignment="1">
      <alignment vertical="center"/>
    </xf>
    <xf numFmtId="183" fontId="30" fillId="0" borderId="0" xfId="0" applyNumberFormat="1" applyFont="1" applyAlignment="1">
      <alignment horizontal="right"/>
    </xf>
    <xf numFmtId="1" fontId="30" fillId="5" borderId="30" xfId="0" applyNumberFormat="1" applyFont="1" applyFill="1" applyBorder="1" applyAlignment="1">
      <alignment horizontal="center"/>
    </xf>
    <xf numFmtId="185" fontId="39" fillId="5" borderId="27" xfId="0" applyNumberFormat="1" applyFont="1" applyFill="1" applyBorder="1" applyAlignment="1">
      <alignment horizontal="right"/>
    </xf>
    <xf numFmtId="185" fontId="39" fillId="5" borderId="28" xfId="0" applyNumberFormat="1" applyFont="1" applyFill="1" applyBorder="1" applyAlignment="1">
      <alignment horizontal="right"/>
    </xf>
    <xf numFmtId="185" fontId="39" fillId="5" borderId="29" xfId="0" applyNumberFormat="1" applyFont="1" applyFill="1" applyBorder="1" applyAlignment="1">
      <alignment horizontal="right"/>
    </xf>
    <xf numFmtId="183" fontId="28" fillId="5" borderId="31" xfId="0" applyNumberFormat="1" applyFont="1" applyFill="1" applyBorder="1" applyAlignment="1">
      <alignment horizontal="center"/>
    </xf>
    <xf numFmtId="186" fontId="30" fillId="5" borderId="18" xfId="0" applyNumberFormat="1" applyFont="1" applyFill="1" applyBorder="1" applyAlignment="1">
      <alignment horizontal="center"/>
    </xf>
    <xf numFmtId="186" fontId="30" fillId="5" borderId="32" xfId="0" applyNumberFormat="1" applyFont="1" applyFill="1" applyBorder="1" applyAlignment="1">
      <alignment horizontal="center"/>
    </xf>
    <xf numFmtId="187" fontId="30" fillId="5" borderId="20" xfId="0" applyNumberFormat="1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188" fontId="39" fillId="5" borderId="27" xfId="0" applyNumberFormat="1" applyFont="1" applyFill="1" applyBorder="1" applyAlignment="1">
      <alignment horizontal="right"/>
    </xf>
    <xf numFmtId="188" fontId="39" fillId="5" borderId="28" xfId="0" applyNumberFormat="1" applyFont="1" applyFill="1" applyBorder="1" applyAlignment="1">
      <alignment horizontal="right"/>
    </xf>
    <xf numFmtId="188" fontId="39" fillId="5" borderId="29" xfId="0" applyNumberFormat="1" applyFont="1" applyFill="1" applyBorder="1" applyAlignment="1">
      <alignment horizontal="right"/>
    </xf>
    <xf numFmtId="166" fontId="18" fillId="0" borderId="0" xfId="0" applyNumberFormat="1" applyFont="1"/>
    <xf numFmtId="22" fontId="3" fillId="0" borderId="0" xfId="0" applyNumberFormat="1" applyFont="1"/>
    <xf numFmtId="183" fontId="30" fillId="5" borderId="18" xfId="0" applyNumberFormat="1" applyFont="1" applyFill="1" applyBorder="1" applyAlignment="1">
      <alignment horizontal="center"/>
    </xf>
    <xf numFmtId="183" fontId="28" fillId="5" borderId="20" xfId="0" applyNumberFormat="1" applyFont="1" applyFill="1" applyBorder="1" applyAlignment="1">
      <alignment horizontal="center"/>
    </xf>
    <xf numFmtId="49" fontId="3" fillId="5" borderId="0" xfId="0" applyNumberFormat="1" applyFont="1" applyFill="1" applyAlignment="1">
      <alignment horizontal="right"/>
    </xf>
    <xf numFmtId="189" fontId="3" fillId="5" borderId="0" xfId="0" applyNumberFormat="1" applyFont="1" applyFill="1" applyAlignment="1">
      <alignment horizontal="right"/>
    </xf>
    <xf numFmtId="9" fontId="3" fillId="0" borderId="0" xfId="0" applyNumberFormat="1" applyFont="1"/>
    <xf numFmtId="190" fontId="3" fillId="5" borderId="0" xfId="0" applyNumberFormat="1" applyFont="1" applyFill="1" applyAlignment="1">
      <alignment horizontal="right"/>
    </xf>
    <xf numFmtId="191" fontId="3" fillId="5" borderId="0" xfId="0" applyNumberFormat="1" applyFont="1" applyFill="1" applyAlignment="1">
      <alignment horizontal="right"/>
    </xf>
    <xf numFmtId="171" fontId="3" fillId="5" borderId="0" xfId="0" applyNumberFormat="1" applyFont="1" applyFill="1" applyAlignment="1">
      <alignment horizontal="right"/>
    </xf>
    <xf numFmtId="192" fontId="3" fillId="0" borderId="0" xfId="6" applyNumberFormat="1" applyFont="1"/>
    <xf numFmtId="166" fontId="28" fillId="5" borderId="0" xfId="6" applyNumberFormat="1" applyFont="1" applyFill="1" applyBorder="1"/>
    <xf numFmtId="14" fontId="28" fillId="5" borderId="0" xfId="0" applyNumberFormat="1" applyFont="1" applyFill="1" applyAlignment="1">
      <alignment horizontal="center"/>
    </xf>
    <xf numFmtId="192" fontId="3" fillId="0" borderId="0" xfId="6" applyNumberFormat="1" applyFont="1" applyAlignment="1">
      <alignment horizontal="center"/>
    </xf>
    <xf numFmtId="166" fontId="30" fillId="0" borderId="0" xfId="6" applyNumberFormat="1" applyFont="1" applyFill="1"/>
    <xf numFmtId="14" fontId="30" fillId="0" borderId="0" xfId="0" applyNumberFormat="1" applyFont="1" applyAlignment="1">
      <alignment horizontal="right"/>
    </xf>
    <xf numFmtId="0" fontId="3" fillId="0" borderId="33" xfId="0" applyFont="1" applyBorder="1"/>
    <xf numFmtId="193" fontId="3" fillId="5" borderId="34" xfId="0" applyNumberFormat="1" applyFont="1" applyFill="1" applyBorder="1" applyAlignment="1">
      <alignment horizontal="center"/>
    </xf>
    <xf numFmtId="193" fontId="3" fillId="5" borderId="35" xfId="0" applyNumberFormat="1" applyFont="1" applyFill="1" applyBorder="1" applyAlignment="1">
      <alignment horizontal="center"/>
    </xf>
    <xf numFmtId="0" fontId="6" fillId="0" borderId="0" xfId="0" applyFont="1"/>
    <xf numFmtId="193" fontId="3" fillId="5" borderId="36" xfId="0" applyNumberFormat="1" applyFont="1" applyFill="1" applyBorder="1" applyAlignment="1">
      <alignment horizontal="center"/>
    </xf>
    <xf numFmtId="193" fontId="44" fillId="5" borderId="37" xfId="0" applyNumberFormat="1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6" fontId="3" fillId="5" borderId="34" xfId="0" applyNumberFormat="1" applyFont="1" applyFill="1" applyBorder="1" applyAlignment="1">
      <alignment horizontal="center"/>
    </xf>
    <xf numFmtId="166" fontId="3" fillId="5" borderId="35" xfId="0" applyNumberFormat="1" applyFont="1" applyFill="1" applyBorder="1" applyAlignment="1">
      <alignment horizontal="center"/>
    </xf>
    <xf numFmtId="166" fontId="3" fillId="5" borderId="36" xfId="0" applyNumberFormat="1" applyFont="1" applyFill="1" applyBorder="1" applyAlignment="1">
      <alignment horizontal="center"/>
    </xf>
    <xf numFmtId="166" fontId="44" fillId="5" borderId="37" xfId="0" applyNumberFormat="1" applyFont="1" applyFill="1" applyBorder="1" applyAlignment="1">
      <alignment horizontal="center"/>
    </xf>
    <xf numFmtId="0" fontId="3" fillId="0" borderId="25" xfId="0" applyFont="1" applyBorder="1"/>
    <xf numFmtId="166" fontId="30" fillId="0" borderId="25" xfId="6" applyNumberFormat="1" applyFont="1" applyFill="1" applyBorder="1"/>
    <xf numFmtId="10" fontId="28" fillId="5" borderId="0" xfId="0" applyNumberFormat="1" applyFont="1" applyFill="1" applyAlignment="1">
      <alignment horizontal="center"/>
    </xf>
    <xf numFmtId="0" fontId="3" fillId="0" borderId="0" xfId="0" applyFont="1" applyAlignment="1">
      <alignment horizontal="left"/>
    </xf>
    <xf numFmtId="166" fontId="3" fillId="0" borderId="38" xfId="0" applyNumberFormat="1" applyFont="1" applyBorder="1" applyAlignment="1">
      <alignment horizontal="right"/>
    </xf>
    <xf numFmtId="0" fontId="3" fillId="0" borderId="38" xfId="0" applyFont="1" applyBorder="1" applyAlignment="1">
      <alignment horizontal="center"/>
    </xf>
    <xf numFmtId="166" fontId="18" fillId="0" borderId="0" xfId="0" applyNumberFormat="1" applyFont="1" applyAlignment="1">
      <alignment horizontal="center"/>
    </xf>
    <xf numFmtId="0" fontId="3" fillId="0" borderId="22" xfId="0" applyFont="1" applyBorder="1"/>
    <xf numFmtId="0" fontId="6" fillId="0" borderId="22" xfId="0" applyFont="1" applyBorder="1"/>
    <xf numFmtId="9" fontId="3" fillId="0" borderId="22" xfId="0" applyNumberFormat="1" applyFont="1" applyBorder="1"/>
    <xf numFmtId="0" fontId="45" fillId="5" borderId="0" xfId="0" applyFont="1" applyFill="1" applyAlignment="1">
      <alignment horizontal="left"/>
    </xf>
    <xf numFmtId="37" fontId="31" fillId="0" borderId="0" xfId="0" applyNumberFormat="1" applyFont="1" applyAlignment="1">
      <alignment vertical="center"/>
    </xf>
    <xf numFmtId="0" fontId="32" fillId="0" borderId="10" xfId="0" applyFont="1" applyBorder="1"/>
    <xf numFmtId="194" fontId="28" fillId="5" borderId="28" xfId="0" applyNumberFormat="1" applyFont="1" applyFill="1" applyBorder="1" applyAlignment="1">
      <alignment horizontal="right" vertical="center"/>
    </xf>
    <xf numFmtId="177" fontId="30" fillId="0" borderId="0" xfId="0" applyNumberFormat="1" applyFont="1" applyAlignment="1">
      <alignment vertical="center"/>
    </xf>
    <xf numFmtId="166" fontId="6" fillId="0" borderId="22" xfId="0" applyNumberFormat="1" applyFont="1" applyBorder="1" applyAlignment="1">
      <alignment horizontal="right" vertical="center"/>
    </xf>
    <xf numFmtId="0" fontId="2" fillId="0" borderId="10" xfId="0" applyFont="1" applyBorder="1"/>
    <xf numFmtId="0" fontId="1" fillId="0" borderId="10" xfId="0" applyFont="1" applyBorder="1"/>
    <xf numFmtId="0" fontId="29" fillId="0" borderId="0" xfId="0" applyFont="1"/>
    <xf numFmtId="0" fontId="3" fillId="0" borderId="34" xfId="0" applyFont="1" applyBorder="1"/>
    <xf numFmtId="166" fontId="28" fillId="5" borderId="11" xfId="0" applyNumberFormat="1" applyFont="1" applyFill="1" applyBorder="1" applyAlignment="1">
      <alignment horizontal="right"/>
    </xf>
    <xf numFmtId="183" fontId="30" fillId="5" borderId="20" xfId="0" applyNumberFormat="1" applyFont="1" applyFill="1" applyBorder="1" applyAlignment="1">
      <alignment horizontal="center"/>
    </xf>
    <xf numFmtId="171" fontId="28" fillId="5" borderId="0" xfId="0" applyNumberFormat="1" applyFont="1" applyFill="1" applyAlignment="1">
      <alignment horizontal="right"/>
    </xf>
    <xf numFmtId="49" fontId="28" fillId="5" borderId="0" xfId="0" applyNumberFormat="1" applyFont="1" applyFill="1" applyAlignment="1">
      <alignment horizontal="right"/>
    </xf>
    <xf numFmtId="166" fontId="28" fillId="0" borderId="0" xfId="0" applyNumberFormat="1" applyFont="1" applyAlignment="1">
      <alignment horizontal="right"/>
    </xf>
  </cellXfs>
  <cellStyles count="7">
    <cellStyle name="Comma 2" xfId="5" xr:uid="{DA4FF6DD-AC78-4A9D-91C3-8FC0F44E169B}"/>
    <cellStyle name="Currency 2" xfId="6" xr:uid="{586BFFFC-CD41-425E-9F9F-9CF3DA0657DC}"/>
    <cellStyle name="Hyperlink" xfId="3" builtinId="8"/>
    <cellStyle name="Hyperlink 2 2" xfId="2" xr:uid="{97A88B7E-92B7-468F-9617-71436EAE533E}"/>
    <cellStyle name="Normal" xfId="0" builtinId="0"/>
    <cellStyle name="Normal 2 2 2" xfId="1" xr:uid="{EBA820A6-4D30-4BC1-A6D9-6E9835D4F56D}"/>
    <cellStyle name="Percent 2" xfId="4" xr:uid="{57E9FBCA-640C-4B6F-93F4-8270F56E39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4079</xdr:colOff>
      <xdr:row>4</xdr:row>
      <xdr:rowOff>33248</xdr:rowOff>
    </xdr:from>
    <xdr:ext cx="2545064" cy="523332"/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CAB5D5-D565-4370-ADD8-75803796F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23279" y="795248"/>
          <a:ext cx="2545064" cy="523332"/>
        </a:xfrm>
        <a:prstGeom prst="rect">
          <a:avLst/>
        </a:prstGeom>
      </xdr:spPr>
    </xdr:pic>
    <xdr:clientData/>
  </xdr:oneCellAnchor>
  <xdr:oneCellAnchor>
    <xdr:from>
      <xdr:col>12</xdr:col>
      <xdr:colOff>169700</xdr:colOff>
      <xdr:row>4</xdr:row>
      <xdr:rowOff>66473</xdr:rowOff>
    </xdr:from>
    <xdr:ext cx="2325851" cy="462982"/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0C74249-4882-48B4-B978-33E650EA5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84900" y="828473"/>
          <a:ext cx="2325851" cy="46298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452192</xdr:colOff>
      <xdr:row>0</xdr:row>
      <xdr:rowOff>162683</xdr:rowOff>
    </xdr:from>
    <xdr:ext cx="1612701" cy="324000"/>
    <xdr:pic>
      <xdr:nvPicPr>
        <xdr:cNvPr id="2" name="Graphic 1">
          <a:extLst>
            <a:ext uri="{FF2B5EF4-FFF2-40B4-BE49-F238E27FC236}">
              <a16:creationId xmlns:a16="http://schemas.microsoft.com/office/drawing/2014/main" id="{1615DAA7-D121-40B9-A659-794751874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595692" y="162683"/>
          <a:ext cx="1612701" cy="324000"/>
        </a:xfrm>
        <a:prstGeom prst="rect">
          <a:avLst/>
        </a:prstGeom>
      </xdr:spPr>
    </xdr:pic>
    <xdr:clientData/>
  </xdr:oneCellAnchor>
  <xdr:oneCellAnchor>
    <xdr:from>
      <xdr:col>1</xdr:col>
      <xdr:colOff>189462</xdr:colOff>
      <xdr:row>0</xdr:row>
      <xdr:rowOff>143783</xdr:rowOff>
    </xdr:from>
    <xdr:ext cx="1799547" cy="370375"/>
    <xdr:pic>
      <xdr:nvPicPr>
        <xdr:cNvPr id="3" name="Graphic 2">
          <a:extLst>
            <a:ext uri="{FF2B5EF4-FFF2-40B4-BE49-F238E27FC236}">
              <a16:creationId xmlns:a16="http://schemas.microsoft.com/office/drawing/2014/main" id="{AB94809E-2587-4FB5-B668-C2975D115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60962" y="143783"/>
          <a:ext cx="1799547" cy="3703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900595</xdr:colOff>
      <xdr:row>0</xdr:row>
      <xdr:rowOff>162683</xdr:rowOff>
    </xdr:from>
    <xdr:ext cx="1610870" cy="324000"/>
    <xdr:pic>
      <xdr:nvPicPr>
        <xdr:cNvPr id="2" name="Graphic 1">
          <a:extLst>
            <a:ext uri="{FF2B5EF4-FFF2-40B4-BE49-F238E27FC236}">
              <a16:creationId xmlns:a16="http://schemas.microsoft.com/office/drawing/2014/main" id="{DA27777E-C7E7-488B-B79F-EFC12FF27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0720" y="162683"/>
          <a:ext cx="1610870" cy="324000"/>
        </a:xfrm>
        <a:prstGeom prst="rect">
          <a:avLst/>
        </a:prstGeom>
      </xdr:spPr>
    </xdr:pic>
    <xdr:clientData/>
  </xdr:oneCellAnchor>
  <xdr:oneCellAnchor>
    <xdr:from>
      <xdr:col>1</xdr:col>
      <xdr:colOff>189462</xdr:colOff>
      <xdr:row>0</xdr:row>
      <xdr:rowOff>143783</xdr:rowOff>
    </xdr:from>
    <xdr:ext cx="1801134" cy="370375"/>
    <xdr:pic>
      <xdr:nvPicPr>
        <xdr:cNvPr id="3" name="Graphic 2">
          <a:extLst>
            <a:ext uri="{FF2B5EF4-FFF2-40B4-BE49-F238E27FC236}">
              <a16:creationId xmlns:a16="http://schemas.microsoft.com/office/drawing/2014/main" id="{D8BB8C44-C2C6-4621-A004-94018C23C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60962" y="143783"/>
          <a:ext cx="1801134" cy="3703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358763</xdr:colOff>
      <xdr:row>0</xdr:row>
      <xdr:rowOff>162683</xdr:rowOff>
    </xdr:from>
    <xdr:ext cx="1620029" cy="324000"/>
    <xdr:pic>
      <xdr:nvPicPr>
        <xdr:cNvPr id="2" name="Graphic 1">
          <a:extLst>
            <a:ext uri="{FF2B5EF4-FFF2-40B4-BE49-F238E27FC236}">
              <a16:creationId xmlns:a16="http://schemas.microsoft.com/office/drawing/2014/main" id="{DEAE7B7C-464D-4F0C-B413-3ACB9BC52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59263" y="162683"/>
          <a:ext cx="1620029" cy="324000"/>
        </a:xfrm>
        <a:prstGeom prst="rect">
          <a:avLst/>
        </a:prstGeom>
      </xdr:spPr>
    </xdr:pic>
    <xdr:clientData/>
  </xdr:oneCellAnchor>
  <xdr:oneCellAnchor>
    <xdr:from>
      <xdr:col>1</xdr:col>
      <xdr:colOff>189462</xdr:colOff>
      <xdr:row>0</xdr:row>
      <xdr:rowOff>143783</xdr:rowOff>
    </xdr:from>
    <xdr:ext cx="1798936" cy="370375"/>
    <xdr:pic>
      <xdr:nvPicPr>
        <xdr:cNvPr id="3" name="Graphic 2">
          <a:extLst>
            <a:ext uri="{FF2B5EF4-FFF2-40B4-BE49-F238E27FC236}">
              <a16:creationId xmlns:a16="http://schemas.microsoft.com/office/drawing/2014/main" id="{217D90E7-1130-4797-B29E-7FD08C4C0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60962" y="143783"/>
          <a:ext cx="1798936" cy="3703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595104</xdr:colOff>
      <xdr:row>0</xdr:row>
      <xdr:rowOff>162683</xdr:rowOff>
    </xdr:from>
    <xdr:ext cx="1618617" cy="324000"/>
    <xdr:pic>
      <xdr:nvPicPr>
        <xdr:cNvPr id="2" name="Graphic 1">
          <a:extLst>
            <a:ext uri="{FF2B5EF4-FFF2-40B4-BE49-F238E27FC236}">
              <a16:creationId xmlns:a16="http://schemas.microsoft.com/office/drawing/2014/main" id="{7978E380-2D7E-435E-8BDB-38033F328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005554" y="162683"/>
          <a:ext cx="1618617" cy="324000"/>
        </a:xfrm>
        <a:prstGeom prst="rect">
          <a:avLst/>
        </a:prstGeom>
      </xdr:spPr>
    </xdr:pic>
    <xdr:clientData/>
  </xdr:oneCellAnchor>
  <xdr:oneCellAnchor>
    <xdr:from>
      <xdr:col>1</xdr:col>
      <xdr:colOff>189462</xdr:colOff>
      <xdr:row>0</xdr:row>
      <xdr:rowOff>143783</xdr:rowOff>
    </xdr:from>
    <xdr:ext cx="1796469" cy="370375"/>
    <xdr:pic>
      <xdr:nvPicPr>
        <xdr:cNvPr id="3" name="Graphic 2">
          <a:extLst>
            <a:ext uri="{FF2B5EF4-FFF2-40B4-BE49-F238E27FC236}">
              <a16:creationId xmlns:a16="http://schemas.microsoft.com/office/drawing/2014/main" id="{EF5835C3-9183-4372-8531-28A1A81C5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60962" y="143783"/>
          <a:ext cx="1796469" cy="3703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787809</xdr:colOff>
      <xdr:row>0</xdr:row>
      <xdr:rowOff>162683</xdr:rowOff>
    </xdr:from>
    <xdr:ext cx="1579858" cy="324000"/>
    <xdr:pic>
      <xdr:nvPicPr>
        <xdr:cNvPr id="2" name="Graphic 1">
          <a:extLst>
            <a:ext uri="{FF2B5EF4-FFF2-40B4-BE49-F238E27FC236}">
              <a16:creationId xmlns:a16="http://schemas.microsoft.com/office/drawing/2014/main" id="{A3E23F50-0091-40AE-9DE7-59FF4F881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2234" y="162683"/>
          <a:ext cx="1579858" cy="324000"/>
        </a:xfrm>
        <a:prstGeom prst="rect">
          <a:avLst/>
        </a:prstGeom>
      </xdr:spPr>
    </xdr:pic>
    <xdr:clientData/>
  </xdr:oneCellAnchor>
  <xdr:oneCellAnchor>
    <xdr:from>
      <xdr:col>1</xdr:col>
      <xdr:colOff>189462</xdr:colOff>
      <xdr:row>0</xdr:row>
      <xdr:rowOff>143783</xdr:rowOff>
    </xdr:from>
    <xdr:ext cx="1802676" cy="370375"/>
    <xdr:pic>
      <xdr:nvPicPr>
        <xdr:cNvPr id="3" name="Graphic 2">
          <a:extLst>
            <a:ext uri="{FF2B5EF4-FFF2-40B4-BE49-F238E27FC236}">
              <a16:creationId xmlns:a16="http://schemas.microsoft.com/office/drawing/2014/main" id="{175EC9B3-7AB7-42CA-ABEC-8F48C77B3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60962" y="143783"/>
          <a:ext cx="1802676" cy="3703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D46B-9E3E-4A0B-8396-9EB76D8BC316}">
  <sheetPr>
    <pageSetUpPr fitToPage="1"/>
  </sheetPr>
  <dimension ref="A1:O40"/>
  <sheetViews>
    <sheetView showGridLines="0" tabSelected="1" zoomScaleNormal="100" zoomScaleSheetLayoutView="85" workbookViewId="0"/>
  </sheetViews>
  <sheetFormatPr defaultColWidth="9.109375" defaultRowHeight="19.5" customHeight="1" x14ac:dyDescent="0.35"/>
  <cols>
    <col min="1" max="1" width="4.5546875" style="2" customWidth="1"/>
    <col min="2" max="2" width="4.88671875" style="2" customWidth="1"/>
    <col min="3" max="3" width="18.5546875" style="2" customWidth="1"/>
    <col min="4" max="7" width="10.5546875" style="2" customWidth="1"/>
    <col min="8" max="8" width="18.5546875" style="2" customWidth="1"/>
    <col min="9" max="12" width="10.5546875" style="2" customWidth="1"/>
    <col min="13" max="13" width="26.5546875" style="2" customWidth="1"/>
    <col min="14" max="14" width="10.5546875" style="2" customWidth="1"/>
    <col min="15" max="15" width="4.88671875" style="2" customWidth="1"/>
    <col min="16" max="16384" width="9.109375" style="2"/>
  </cols>
  <sheetData>
    <row r="1" spans="1:15" ht="19.5" customHeight="1" thickBot="1" x14ac:dyDescent="0.4">
      <c r="A1" s="1"/>
    </row>
    <row r="2" spans="1:15" ht="19.5" customHeight="1" thickTop="1" x14ac:dyDescent="0.35">
      <c r="B2" s="41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39"/>
    </row>
    <row r="3" spans="1:15" ht="19.5" customHeight="1" x14ac:dyDescent="0.35">
      <c r="B3" s="37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5"/>
    </row>
    <row r="4" spans="1:15" ht="19.5" customHeight="1" x14ac:dyDescent="0.35">
      <c r="B4" s="37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5"/>
    </row>
    <row r="5" spans="1:15" ht="19.5" customHeight="1" x14ac:dyDescent="0.35">
      <c r="B5" s="37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5"/>
    </row>
    <row r="6" spans="1:15" ht="19.5" customHeight="1" x14ac:dyDescent="0.35">
      <c r="B6" s="37"/>
      <c r="C6" s="36"/>
      <c r="D6" s="36"/>
      <c r="E6" s="36"/>
      <c r="F6" s="36"/>
      <c r="G6" s="36"/>
      <c r="H6" s="38"/>
      <c r="I6" s="36"/>
      <c r="J6" s="36"/>
      <c r="K6" s="36"/>
      <c r="L6" s="36"/>
      <c r="M6" s="36"/>
      <c r="N6" s="36"/>
      <c r="O6" s="35"/>
    </row>
    <row r="7" spans="1:15" ht="19.5" customHeight="1" x14ac:dyDescent="0.35">
      <c r="B7" s="37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5"/>
    </row>
    <row r="8" spans="1:15" ht="19.5" customHeight="1" x14ac:dyDescent="0.35">
      <c r="B8" s="37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5"/>
    </row>
    <row r="9" spans="1:15" ht="19.5" customHeight="1" x14ac:dyDescent="0.35">
      <c r="B9" s="37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5"/>
    </row>
    <row r="10" spans="1:15" ht="19.5" customHeight="1" x14ac:dyDescent="0.35">
      <c r="B10" s="9"/>
      <c r="O10" s="6"/>
    </row>
    <row r="11" spans="1:15" ht="28.5" customHeight="1" x14ac:dyDescent="0.65">
      <c r="B11" s="9"/>
      <c r="C11" s="34" t="s">
        <v>15</v>
      </c>
      <c r="N11" s="33" t="s">
        <v>14</v>
      </c>
      <c r="O11" s="6"/>
    </row>
    <row r="12" spans="1:15" ht="19.5" customHeight="1" x14ac:dyDescent="0.35">
      <c r="B12" s="9"/>
      <c r="C12" s="32"/>
      <c r="L12" s="31"/>
      <c r="O12" s="6"/>
    </row>
    <row r="13" spans="1:15" ht="19.5" customHeight="1" x14ac:dyDescent="0.35">
      <c r="B13" s="9"/>
      <c r="O13" s="6"/>
    </row>
    <row r="14" spans="1:15" ht="19.5" customHeight="1" x14ac:dyDescent="0.5">
      <c r="B14" s="9"/>
      <c r="C14" s="30" t="s">
        <v>13</v>
      </c>
      <c r="D14" s="29"/>
      <c r="E14" s="12"/>
      <c r="F14" s="12"/>
      <c r="G14" s="12"/>
      <c r="H14" s="12"/>
      <c r="J14" s="27"/>
      <c r="K14" s="28"/>
      <c r="L14" s="27"/>
      <c r="M14" s="26"/>
      <c r="O14" s="6"/>
    </row>
    <row r="15" spans="1:15" ht="19.5" customHeight="1" x14ac:dyDescent="0.35">
      <c r="B15" s="9"/>
      <c r="D15" s="12"/>
      <c r="E15" s="12"/>
      <c r="G15" s="12"/>
      <c r="H15" s="12"/>
      <c r="J15" s="12"/>
      <c r="K15" s="12"/>
      <c r="L15" s="12"/>
      <c r="M15" s="12"/>
      <c r="O15" s="6"/>
    </row>
    <row r="16" spans="1:15" ht="19.5" customHeight="1" x14ac:dyDescent="0.4">
      <c r="B16" s="9"/>
      <c r="C16" s="24" t="s">
        <v>12</v>
      </c>
      <c r="E16" s="12"/>
      <c r="F16" s="25"/>
      <c r="G16" s="12"/>
      <c r="H16" s="12"/>
      <c r="K16" s="22"/>
      <c r="M16" s="22"/>
      <c r="O16" s="6"/>
    </row>
    <row r="17" spans="2:15" ht="19.5" customHeight="1" x14ac:dyDescent="0.4">
      <c r="B17" s="9"/>
      <c r="C17" s="24" t="s">
        <v>11</v>
      </c>
      <c r="E17" s="12"/>
      <c r="F17" s="25"/>
      <c r="G17" s="12"/>
      <c r="H17" s="12"/>
      <c r="K17" s="22"/>
      <c r="M17" s="22"/>
      <c r="O17" s="6"/>
    </row>
    <row r="18" spans="2:15" ht="19.5" customHeight="1" x14ac:dyDescent="0.4">
      <c r="B18" s="9"/>
      <c r="C18" s="24" t="s">
        <v>10</v>
      </c>
      <c r="E18" s="12"/>
      <c r="F18" s="25"/>
      <c r="G18" s="12"/>
      <c r="H18" s="12"/>
      <c r="K18" s="22"/>
      <c r="M18" s="22"/>
      <c r="O18" s="6"/>
    </row>
    <row r="19" spans="2:15" ht="19.5" customHeight="1" x14ac:dyDescent="0.4">
      <c r="B19" s="9"/>
      <c r="C19" s="24" t="s">
        <v>9</v>
      </c>
      <c r="E19" s="12"/>
      <c r="G19" s="12"/>
      <c r="H19" s="12"/>
      <c r="O19" s="6"/>
    </row>
    <row r="20" spans="2:15" ht="19.5" customHeight="1" x14ac:dyDescent="0.4">
      <c r="B20" s="9"/>
      <c r="C20" s="24" t="s">
        <v>8</v>
      </c>
      <c r="E20" s="12"/>
      <c r="G20" s="12"/>
      <c r="H20" s="12"/>
      <c r="I20" s="22"/>
      <c r="M20" s="22"/>
      <c r="O20" s="6"/>
    </row>
    <row r="21" spans="2:15" ht="19.5" customHeight="1" x14ac:dyDescent="0.5">
      <c r="B21" s="9"/>
      <c r="E21" s="23"/>
      <c r="F21" s="23"/>
      <c r="G21" s="12"/>
      <c r="H21" s="12"/>
      <c r="I21" s="22"/>
      <c r="M21" s="22"/>
      <c r="O21" s="6"/>
    </row>
    <row r="22" spans="2:15" ht="19.5" customHeight="1" x14ac:dyDescent="0.4">
      <c r="B22" s="9"/>
      <c r="G22" s="12"/>
      <c r="H22" s="12"/>
      <c r="I22" s="22"/>
      <c r="M22" s="22"/>
      <c r="N22" s="21"/>
      <c r="O22" s="6"/>
    </row>
    <row r="23" spans="2:15" ht="19.5" customHeight="1" x14ac:dyDescent="0.35">
      <c r="B23" s="9"/>
      <c r="F23" s="20"/>
      <c r="G23" s="12"/>
      <c r="H23" s="12"/>
      <c r="O23" s="6"/>
    </row>
    <row r="24" spans="2:15" ht="19.5" customHeight="1" x14ac:dyDescent="0.35">
      <c r="B24" s="9"/>
      <c r="C24" s="19"/>
      <c r="D24" s="19"/>
      <c r="E24" s="19"/>
      <c r="F24" s="19"/>
      <c r="G24" s="12"/>
      <c r="H24" s="12"/>
      <c r="O24" s="6"/>
    </row>
    <row r="25" spans="2:15" ht="19.5" customHeight="1" x14ac:dyDescent="0.4">
      <c r="B25" s="9"/>
      <c r="C25" s="18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6"/>
    </row>
    <row r="26" spans="2:15" ht="19.5" customHeight="1" x14ac:dyDescent="0.35">
      <c r="B26" s="9"/>
      <c r="C26" s="16"/>
      <c r="D26" s="17"/>
      <c r="E26" s="17"/>
      <c r="F26" s="12"/>
      <c r="G26" s="12"/>
      <c r="H26" s="12"/>
      <c r="I26" s="12"/>
      <c r="J26" s="12"/>
      <c r="K26" s="12"/>
      <c r="L26" s="12"/>
      <c r="M26" s="12"/>
      <c r="N26" s="12"/>
      <c r="O26" s="6"/>
    </row>
    <row r="27" spans="2:15" ht="19.5" customHeight="1" x14ac:dyDescent="0.35">
      <c r="B27" s="9"/>
      <c r="C27" s="16"/>
      <c r="D27" s="15"/>
      <c r="E27" s="14"/>
      <c r="F27" s="12"/>
      <c r="G27" s="12"/>
      <c r="H27" s="12"/>
      <c r="I27" s="12"/>
      <c r="J27" s="12"/>
      <c r="K27" s="12"/>
      <c r="L27" s="12"/>
      <c r="M27" s="12"/>
      <c r="N27" s="12"/>
      <c r="O27" s="6"/>
    </row>
    <row r="28" spans="2:15" ht="19.5" customHeight="1" x14ac:dyDescent="0.35">
      <c r="B28" s="9"/>
      <c r="C28" s="16"/>
      <c r="D28" s="15"/>
      <c r="E28" s="14"/>
      <c r="F28" s="12"/>
      <c r="G28" s="12"/>
      <c r="H28" s="12"/>
      <c r="I28" s="12"/>
      <c r="J28" s="12"/>
      <c r="K28" s="12"/>
      <c r="L28" s="12"/>
      <c r="M28" s="12"/>
      <c r="N28" s="12"/>
      <c r="O28" s="6"/>
    </row>
    <row r="29" spans="2:15" ht="19.5" customHeight="1" x14ac:dyDescent="0.4">
      <c r="B29" s="9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6"/>
    </row>
    <row r="30" spans="2:15" ht="19.5" customHeight="1" x14ac:dyDescent="0.4">
      <c r="B30" s="9"/>
      <c r="C30" s="13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6"/>
    </row>
    <row r="31" spans="2:15" ht="19.5" customHeight="1" x14ac:dyDescent="0.4">
      <c r="B31" s="9"/>
      <c r="C31" s="11" t="s">
        <v>7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6"/>
    </row>
    <row r="32" spans="2:15" ht="19.5" customHeight="1" x14ac:dyDescent="0.35">
      <c r="B32" s="9"/>
      <c r="C32" s="8" t="s">
        <v>6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6"/>
    </row>
    <row r="33" spans="2:15" ht="19.5" customHeight="1" x14ac:dyDescent="0.35">
      <c r="B33" s="9"/>
      <c r="C33" s="8" t="s">
        <v>5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6"/>
    </row>
    <row r="34" spans="2:15" ht="19.5" customHeight="1" x14ac:dyDescent="0.35">
      <c r="B34" s="9"/>
      <c r="C34" s="8" t="s">
        <v>4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6"/>
    </row>
    <row r="35" spans="2:15" ht="19.5" customHeight="1" x14ac:dyDescent="0.35">
      <c r="B35" s="9"/>
      <c r="C35" s="8" t="s">
        <v>3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6"/>
    </row>
    <row r="36" spans="2:15" ht="19.5" customHeight="1" x14ac:dyDescent="0.35">
      <c r="B36" s="9"/>
      <c r="C36" s="8" t="s">
        <v>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6"/>
    </row>
    <row r="37" spans="2:15" ht="19.5" customHeight="1" x14ac:dyDescent="0.35">
      <c r="B37" s="9"/>
      <c r="C37" s="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6"/>
    </row>
    <row r="38" spans="2:15" ht="19.5" customHeight="1" x14ac:dyDescent="0.35">
      <c r="B38" s="9"/>
      <c r="C38" s="8" t="s">
        <v>1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6"/>
    </row>
    <row r="39" spans="2:15" ht="19.5" customHeight="1" thickBot="1" x14ac:dyDescent="0.4">
      <c r="B39" s="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3" t="s">
        <v>0</v>
      </c>
    </row>
    <row r="40" spans="2:15" ht="19.5" customHeight="1" thickTop="1" x14ac:dyDescent="0.35"/>
  </sheetData>
  <hyperlinks>
    <hyperlink ref="C38" r:id="rId1" xr:uid="{C6FF8AA2-917F-466C-B470-E495FD63B26C}"/>
    <hyperlink ref="C16" location="Pricing!A1" tooltip="Pricing" display="Pricing" xr:uid="{0400DFC2-C3A8-4C3A-8A97-AC87A8A0A59A}"/>
    <hyperlink ref="C18" location="Lookups!A1" tooltip="Lookups" display="Lookups" xr:uid="{F176048E-3749-4428-AFBA-F70227C5FEC9}"/>
    <hyperlink ref="C19" location="Dates!A1" tooltip="Dates" display="Dates" xr:uid="{502F4C46-D430-4799-8371-F55582991536}"/>
    <hyperlink ref="C20" location="Returns!A1" tooltip="Returns" display="Returns" xr:uid="{1FD663C4-1993-45F5-A3C5-B3B470A79014}"/>
    <hyperlink ref="C21" location="'Simple Amortization'!A1" tooltip="Simple Amortization" display="Simple Amortization" xr:uid="{A819B5ED-24B6-48A3-8E8A-7F00AA514D4C}"/>
    <hyperlink ref="C22" location="'Advanced Amortization'!A1" tooltip="Advanced Amortization" display="Advanced Amortization" xr:uid="{63E46F44-368D-4054-A314-528FD0B76177}"/>
    <hyperlink ref="C17" location="Aggregate!A1" tooltip="Aggregate" display="Aggregate" xr:uid="{EE7CE70E-DCC6-4FF3-B5A9-56BCB6DB962A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A8E4-82C5-4145-BCD0-109403EAC085}">
  <dimension ref="A1:L19"/>
  <sheetViews>
    <sheetView showGridLines="0" zoomScaleNormal="100" zoomScaleSheetLayoutView="100" workbookViewId="0"/>
  </sheetViews>
  <sheetFormatPr defaultColWidth="8.5546875" defaultRowHeight="15" customHeight="1" outlineLevelRow="1" x14ac:dyDescent="0.35"/>
  <cols>
    <col min="1" max="1" width="8.5546875" style="42"/>
    <col min="2" max="4" width="12.6640625" style="42" customWidth="1"/>
    <col min="5" max="5" width="8.6640625" style="42" customWidth="1"/>
    <col min="6" max="6" width="9.44140625" style="42" bestFit="1" customWidth="1"/>
    <col min="7" max="7" width="12.6640625" style="42" customWidth="1"/>
    <col min="8" max="8" width="14.6640625" style="42" customWidth="1"/>
    <col min="9" max="9" width="8.6640625" style="42" customWidth="1"/>
    <col min="10" max="11" width="12.5546875" style="42" customWidth="1"/>
    <col min="12" max="16384" width="8.5546875" style="42"/>
  </cols>
  <sheetData>
    <row r="1" spans="1:12" s="64" customFormat="1" ht="50.1" customHeight="1" x14ac:dyDescent="0.35"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3" spans="1:12" ht="15" customHeight="1" x14ac:dyDescent="0.35">
      <c r="A3" s="55" t="s">
        <v>0</v>
      </c>
      <c r="B3" s="63" t="s">
        <v>36</v>
      </c>
      <c r="C3" s="62"/>
      <c r="D3" s="61"/>
      <c r="F3" s="63" t="s">
        <v>35</v>
      </c>
      <c r="G3" s="62"/>
      <c r="H3" s="61"/>
      <c r="J3" s="63" t="s">
        <v>34</v>
      </c>
      <c r="K3" s="62"/>
      <c r="L3" s="61"/>
    </row>
    <row r="4" spans="1:12" ht="15" customHeight="1" outlineLevel="1" x14ac:dyDescent="0.35">
      <c r="B4" s="60"/>
      <c r="H4" s="55"/>
      <c r="L4" s="55"/>
    </row>
    <row r="5" spans="1:12" ht="15" customHeight="1" outlineLevel="1" x14ac:dyDescent="0.35">
      <c r="B5" s="59" t="s">
        <v>33</v>
      </c>
      <c r="C5" s="54" t="s">
        <v>32</v>
      </c>
      <c r="D5" s="54" t="s">
        <v>31</v>
      </c>
      <c r="F5" s="53" t="s">
        <v>30</v>
      </c>
      <c r="G5" s="44"/>
      <c r="H5" s="54" t="s">
        <v>22</v>
      </c>
      <c r="J5" s="53" t="s">
        <v>29</v>
      </c>
      <c r="K5" s="44"/>
      <c r="L5" s="54" t="s">
        <v>22</v>
      </c>
    </row>
    <row r="6" spans="1:12" s="58" customFormat="1" ht="15" customHeight="1" outlineLevel="1" x14ac:dyDescent="0.35">
      <c r="B6" s="52">
        <v>1</v>
      </c>
      <c r="C6" s="51" t="s">
        <v>20</v>
      </c>
      <c r="D6" s="47">
        <v>120</v>
      </c>
      <c r="E6" s="42"/>
      <c r="F6" s="50" t="s">
        <v>28</v>
      </c>
      <c r="G6" s="42"/>
      <c r="H6" s="56">
        <f>MIN($D$6:$D$17)</f>
        <v>90</v>
      </c>
      <c r="I6" s="42"/>
      <c r="J6" s="47">
        <v>1</v>
      </c>
      <c r="K6" s="42"/>
      <c r="L6" s="46">
        <f>LARGE($D$6:$D$17,J6)</f>
        <v>415</v>
      </c>
    </row>
    <row r="7" spans="1:12" ht="15" customHeight="1" outlineLevel="1" x14ac:dyDescent="0.35">
      <c r="B7" s="52">
        <v>2</v>
      </c>
      <c r="C7" s="51" t="s">
        <v>17</v>
      </c>
      <c r="D7" s="47">
        <v>230</v>
      </c>
      <c r="F7" s="50" t="s">
        <v>27</v>
      </c>
      <c r="H7" s="56">
        <f>MAX($D$6:$D$17)</f>
        <v>415</v>
      </c>
      <c r="J7" s="47">
        <v>2</v>
      </c>
      <c r="L7" s="46">
        <f>LARGE($D$6:$D$17,J7)</f>
        <v>410</v>
      </c>
    </row>
    <row r="8" spans="1:12" ht="15" customHeight="1" outlineLevel="1" x14ac:dyDescent="0.35">
      <c r="B8" s="52">
        <v>3</v>
      </c>
      <c r="C8" s="51" t="s">
        <v>18</v>
      </c>
      <c r="D8" s="47">
        <v>405</v>
      </c>
      <c r="F8" s="50" t="s">
        <v>16</v>
      </c>
      <c r="G8" s="57"/>
      <c r="H8" s="56">
        <f>AVERAGE($D$6:$D$17)</f>
        <v>267.08333333333331</v>
      </c>
      <c r="J8" s="47">
        <v>3</v>
      </c>
      <c r="L8" s="46">
        <f>LARGE($D$6:$D$17,J8)</f>
        <v>405</v>
      </c>
    </row>
    <row r="9" spans="1:12" ht="15" customHeight="1" outlineLevel="1" x14ac:dyDescent="0.35">
      <c r="B9" s="52">
        <v>4</v>
      </c>
      <c r="C9" s="51" t="s">
        <v>25</v>
      </c>
      <c r="D9" s="47">
        <v>350</v>
      </c>
      <c r="F9" s="50" t="s">
        <v>26</v>
      </c>
      <c r="H9" s="56">
        <f>MEDIAN($D$6:$D$17)</f>
        <v>240</v>
      </c>
      <c r="J9" s="47">
        <v>4</v>
      </c>
      <c r="L9" s="46">
        <f>LARGE($D$6:$D$17,J9)</f>
        <v>360</v>
      </c>
    </row>
    <row r="10" spans="1:12" ht="15" customHeight="1" outlineLevel="1" x14ac:dyDescent="0.35">
      <c r="B10" s="52">
        <v>5</v>
      </c>
      <c r="C10" s="51" t="s">
        <v>25</v>
      </c>
      <c r="D10" s="47">
        <v>360</v>
      </c>
      <c r="J10" s="47">
        <v>5</v>
      </c>
      <c r="L10" s="46">
        <f>LARGE($D$6:$D$17,J10)</f>
        <v>350</v>
      </c>
    </row>
    <row r="11" spans="1:12" ht="15" customHeight="1" outlineLevel="1" x14ac:dyDescent="0.35">
      <c r="B11" s="52">
        <v>6</v>
      </c>
      <c r="C11" s="51" t="s">
        <v>17</v>
      </c>
      <c r="D11" s="47">
        <v>240</v>
      </c>
      <c r="H11" s="55"/>
    </row>
    <row r="12" spans="1:12" ht="15" customHeight="1" outlineLevel="1" x14ac:dyDescent="0.35">
      <c r="B12" s="52">
        <v>7</v>
      </c>
      <c r="C12" s="51" t="s">
        <v>18</v>
      </c>
      <c r="D12" s="47">
        <v>415</v>
      </c>
      <c r="F12" s="53" t="s">
        <v>24</v>
      </c>
      <c r="G12" s="54" t="s">
        <v>23</v>
      </c>
      <c r="H12" s="54" t="s">
        <v>22</v>
      </c>
      <c r="J12" s="53" t="s">
        <v>21</v>
      </c>
      <c r="K12" s="44"/>
      <c r="L12" s="54" t="s">
        <v>22</v>
      </c>
    </row>
    <row r="13" spans="1:12" ht="15" customHeight="1" outlineLevel="1" x14ac:dyDescent="0.35">
      <c r="B13" s="52">
        <v>8</v>
      </c>
      <c r="C13" s="51" t="s">
        <v>20</v>
      </c>
      <c r="D13" s="47">
        <v>110</v>
      </c>
      <c r="F13" s="50" t="s">
        <v>16</v>
      </c>
      <c r="G13" s="49">
        <v>2</v>
      </c>
      <c r="H13" s="48">
        <f>ROUND($H$8,G13)</f>
        <v>267.08</v>
      </c>
      <c r="J13" s="47">
        <v>1</v>
      </c>
      <c r="L13" s="46">
        <f>SMALL($D$6:$D$17,J13)</f>
        <v>90</v>
      </c>
    </row>
    <row r="14" spans="1:12" ht="15" customHeight="1" outlineLevel="1" x14ac:dyDescent="0.35">
      <c r="B14" s="52">
        <v>9</v>
      </c>
      <c r="C14" s="51" t="s">
        <v>19</v>
      </c>
      <c r="D14" s="47">
        <v>90</v>
      </c>
      <c r="F14" s="50" t="s">
        <v>16</v>
      </c>
      <c r="G14" s="49">
        <v>1</v>
      </c>
      <c r="H14" s="48">
        <f>ROUND($H$8,G14)</f>
        <v>267.10000000000002</v>
      </c>
      <c r="J14" s="47">
        <v>2</v>
      </c>
      <c r="L14" s="46">
        <f>SMALL($D$6:$D$17,J14)</f>
        <v>110</v>
      </c>
    </row>
    <row r="15" spans="1:12" ht="15" customHeight="1" outlineLevel="1" x14ac:dyDescent="0.35">
      <c r="B15" s="52">
        <v>10</v>
      </c>
      <c r="C15" s="51" t="s">
        <v>18</v>
      </c>
      <c r="D15" s="47">
        <v>410</v>
      </c>
      <c r="F15" s="50" t="s">
        <v>16</v>
      </c>
      <c r="G15" s="49">
        <v>0</v>
      </c>
      <c r="H15" s="48">
        <f>ROUND($H$8,G15)</f>
        <v>267</v>
      </c>
      <c r="J15" s="47">
        <v>3</v>
      </c>
      <c r="L15" s="46">
        <f>SMALL($D$6:$D$17,J15)</f>
        <v>120</v>
      </c>
    </row>
    <row r="16" spans="1:12" ht="15" customHeight="1" outlineLevel="1" x14ac:dyDescent="0.35">
      <c r="B16" s="52">
        <v>11</v>
      </c>
      <c r="C16" s="51" t="s">
        <v>17</v>
      </c>
      <c r="D16" s="47">
        <v>235</v>
      </c>
      <c r="F16" s="50" t="s">
        <v>16</v>
      </c>
      <c r="G16" s="49">
        <v>-1</v>
      </c>
      <c r="H16" s="48">
        <f>ROUND($H$8,G16)</f>
        <v>270</v>
      </c>
      <c r="J16" s="47">
        <v>4</v>
      </c>
      <c r="L16" s="46">
        <f>SMALL($D$6:$D$17,J16)</f>
        <v>230</v>
      </c>
    </row>
    <row r="17" spans="2:12" ht="15" customHeight="1" outlineLevel="1" x14ac:dyDescent="0.35">
      <c r="B17" s="52">
        <v>12</v>
      </c>
      <c r="C17" s="51" t="s">
        <v>17</v>
      </c>
      <c r="D17" s="47">
        <v>240</v>
      </c>
      <c r="F17" s="50" t="s">
        <v>16</v>
      </c>
      <c r="G17" s="49">
        <v>-2</v>
      </c>
      <c r="H17" s="48">
        <f>ROUND($H$8,G17)</f>
        <v>300</v>
      </c>
      <c r="J17" s="47">
        <v>5</v>
      </c>
      <c r="L17" s="46">
        <f>SMALL($D$6:$D$17,J17)</f>
        <v>235</v>
      </c>
    </row>
    <row r="18" spans="2:12" ht="15" customHeight="1" outlineLevel="1" x14ac:dyDescent="0.35">
      <c r="B18" s="45"/>
      <c r="C18" s="45"/>
      <c r="D18" s="45"/>
      <c r="E18" s="45"/>
    </row>
    <row r="19" spans="2:12" ht="15" customHeight="1" outlineLevel="1" x14ac:dyDescent="0.35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209" t="s">
        <v>0</v>
      </c>
    </row>
  </sheetData>
  <printOptions horizontalCentered="1"/>
  <pageMargins left="0.3" right="0.3" top="0.3" bottom="0.3" header="0.3" footer="0.3"/>
  <pageSetup scale="95" orientation="landscape" r:id="rId1"/>
  <headerFooter>
    <oddFooter>&amp;L&amp;"Open Sans,Bold"&amp;10&amp;K002060Excel Fundamentals - Formulas for Finance&amp;C&amp;"Open Sans,Bold"&amp;10&amp;K002060Page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7B23-8FA0-48B5-B31D-E231C458E23D}">
  <dimension ref="A1:L34"/>
  <sheetViews>
    <sheetView showGridLines="0" zoomScaleNormal="100" zoomScaleSheetLayoutView="100" workbookViewId="0"/>
  </sheetViews>
  <sheetFormatPr defaultColWidth="8.5546875" defaultRowHeight="15" customHeight="1" outlineLevelRow="1" x14ac:dyDescent="0.35"/>
  <cols>
    <col min="1" max="1" width="8.5546875" style="42"/>
    <col min="2" max="7" width="12.6640625" style="42" customWidth="1"/>
    <col min="8" max="8" width="8.6640625" style="42" customWidth="1"/>
    <col min="9" max="9" width="12.6640625" style="42" customWidth="1"/>
    <col min="10" max="10" width="14.6640625" style="42" customWidth="1"/>
    <col min="11" max="12" width="12.5546875" style="42" customWidth="1"/>
    <col min="13" max="16384" width="8.5546875" style="42"/>
  </cols>
  <sheetData>
    <row r="1" spans="1:12" s="64" customFormat="1" ht="50.1" customHeight="1" x14ac:dyDescent="0.35"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ht="15" customHeight="1" x14ac:dyDescent="0.35">
      <c r="B2" s="60"/>
    </row>
    <row r="3" spans="1:12" ht="15" customHeight="1" x14ac:dyDescent="0.35">
      <c r="A3" s="55" t="s">
        <v>0</v>
      </c>
      <c r="B3" s="63" t="s">
        <v>36</v>
      </c>
      <c r="C3" s="62"/>
      <c r="D3" s="61"/>
      <c r="E3" s="61"/>
      <c r="F3" s="73"/>
      <c r="G3" s="73"/>
      <c r="H3" s="57"/>
      <c r="I3" s="63" t="s">
        <v>48</v>
      </c>
      <c r="J3" s="63"/>
      <c r="K3" s="63"/>
      <c r="L3" s="63"/>
    </row>
    <row r="4" spans="1:12" ht="15" customHeight="1" outlineLevel="1" x14ac:dyDescent="0.35">
      <c r="B4" s="60"/>
    </row>
    <row r="5" spans="1:12" ht="15" customHeight="1" outlineLevel="1" x14ac:dyDescent="0.35">
      <c r="F5" s="55"/>
      <c r="G5" s="55"/>
      <c r="J5" s="67" t="s">
        <v>47</v>
      </c>
      <c r="K5" s="67" t="s">
        <v>47</v>
      </c>
      <c r="L5" s="77"/>
    </row>
    <row r="6" spans="1:12" ht="15" customHeight="1" outlineLevel="1" x14ac:dyDescent="0.35">
      <c r="B6" s="59" t="s">
        <v>33</v>
      </c>
      <c r="C6" s="54" t="s">
        <v>32</v>
      </c>
      <c r="D6" s="54" t="s">
        <v>41</v>
      </c>
      <c r="E6" s="54" t="s">
        <v>31</v>
      </c>
      <c r="F6" s="54" t="s">
        <v>40</v>
      </c>
      <c r="G6" s="54" t="s">
        <v>47</v>
      </c>
      <c r="I6" s="59" t="s">
        <v>32</v>
      </c>
      <c r="J6" s="71" t="s">
        <v>46</v>
      </c>
      <c r="K6" s="71" t="s">
        <v>45</v>
      </c>
      <c r="L6" s="71" t="s">
        <v>40</v>
      </c>
    </row>
    <row r="7" spans="1:12" s="58" customFormat="1" ht="15" customHeight="1" outlineLevel="1" x14ac:dyDescent="0.35">
      <c r="A7" s="42"/>
      <c r="B7" s="52">
        <v>1</v>
      </c>
      <c r="C7" s="51" t="s">
        <v>20</v>
      </c>
      <c r="D7" s="47">
        <v>1</v>
      </c>
      <c r="E7" s="47">
        <v>120</v>
      </c>
      <c r="F7" s="46">
        <f t="shared" ref="F7:F18" si="0">D7*E7</f>
        <v>120</v>
      </c>
      <c r="G7" s="75" t="str">
        <f t="shared" ref="G7:G18" si="1">IF(D7=1,"Yes","No")</f>
        <v>Yes</v>
      </c>
      <c r="H7" s="42"/>
      <c r="I7" s="76" t="str">
        <f>B26</f>
        <v>Maxio</v>
      </c>
      <c r="J7" s="46">
        <f t="shared" ref="J7:K11" si="2">SUMIFS($F$7:$F$18,$C$7:$C$18,$I7,$G$7:$G$18,J$6)</f>
        <v>0</v>
      </c>
      <c r="K7" s="46">
        <f t="shared" si="2"/>
        <v>2480</v>
      </c>
      <c r="L7" s="46">
        <f>SUM(J7:K7)</f>
        <v>2480</v>
      </c>
    </row>
    <row r="8" spans="1:12" ht="15" customHeight="1" outlineLevel="1" x14ac:dyDescent="0.35">
      <c r="B8" s="52">
        <v>2</v>
      </c>
      <c r="C8" s="51" t="s">
        <v>17</v>
      </c>
      <c r="D8" s="47">
        <v>2</v>
      </c>
      <c r="E8" s="47">
        <v>230</v>
      </c>
      <c r="F8" s="46">
        <f t="shared" si="0"/>
        <v>460</v>
      </c>
      <c r="G8" s="75" t="str">
        <f t="shared" si="1"/>
        <v>No</v>
      </c>
      <c r="I8" s="76" t="str">
        <f>B27</f>
        <v>Selfie</v>
      </c>
      <c r="J8" s="46">
        <f t="shared" si="2"/>
        <v>90</v>
      </c>
      <c r="K8" s="46">
        <f t="shared" si="2"/>
        <v>0</v>
      </c>
      <c r="L8" s="46">
        <f>SUM(J8:K8)</f>
        <v>90</v>
      </c>
    </row>
    <row r="9" spans="1:12" ht="15" customHeight="1" outlineLevel="1" x14ac:dyDescent="0.35">
      <c r="B9" s="52">
        <v>3</v>
      </c>
      <c r="C9" s="51" t="s">
        <v>18</v>
      </c>
      <c r="D9" s="47">
        <v>1</v>
      </c>
      <c r="E9" s="47">
        <v>405</v>
      </c>
      <c r="F9" s="46">
        <f t="shared" si="0"/>
        <v>405</v>
      </c>
      <c r="G9" s="75" t="str">
        <f t="shared" si="1"/>
        <v>Yes</v>
      </c>
      <c r="I9" s="76" t="str">
        <f>B28</f>
        <v>Soloist</v>
      </c>
      <c r="J9" s="46">
        <f t="shared" si="2"/>
        <v>120</v>
      </c>
      <c r="K9" s="46">
        <f t="shared" si="2"/>
        <v>220</v>
      </c>
      <c r="L9" s="46">
        <f>SUM(J9:K9)</f>
        <v>340</v>
      </c>
    </row>
    <row r="10" spans="1:12" ht="15" customHeight="1" outlineLevel="1" x14ac:dyDescent="0.35">
      <c r="B10" s="52">
        <v>4</v>
      </c>
      <c r="C10" s="51" t="s">
        <v>25</v>
      </c>
      <c r="D10" s="47">
        <v>4</v>
      </c>
      <c r="E10" s="47">
        <v>350</v>
      </c>
      <c r="F10" s="46">
        <f t="shared" si="0"/>
        <v>1400</v>
      </c>
      <c r="G10" s="75" t="str">
        <f t="shared" si="1"/>
        <v>No</v>
      </c>
      <c r="I10" s="76" t="str">
        <f>B29</f>
        <v>Teamer</v>
      </c>
      <c r="J10" s="46">
        <f t="shared" si="2"/>
        <v>0</v>
      </c>
      <c r="K10" s="46">
        <f t="shared" si="2"/>
        <v>3080</v>
      </c>
      <c r="L10" s="46">
        <f>SUM(J10:K10)</f>
        <v>3080</v>
      </c>
    </row>
    <row r="11" spans="1:12" ht="15" customHeight="1" outlineLevel="1" x14ac:dyDescent="0.35">
      <c r="B11" s="52">
        <v>5</v>
      </c>
      <c r="C11" s="51" t="s">
        <v>25</v>
      </c>
      <c r="D11" s="47">
        <v>3</v>
      </c>
      <c r="E11" s="47">
        <v>360</v>
      </c>
      <c r="F11" s="46">
        <f t="shared" si="0"/>
        <v>1080</v>
      </c>
      <c r="G11" s="75" t="str">
        <f t="shared" si="1"/>
        <v>No</v>
      </c>
      <c r="I11" s="76" t="str">
        <f>B30</f>
        <v>Xtreme</v>
      </c>
      <c r="J11" s="46">
        <f t="shared" si="2"/>
        <v>815</v>
      </c>
      <c r="K11" s="46">
        <f t="shared" si="2"/>
        <v>1245</v>
      </c>
      <c r="L11" s="46">
        <f>SUM(J11:K11)</f>
        <v>2060</v>
      </c>
    </row>
    <row r="12" spans="1:12" ht="15" customHeight="1" outlineLevel="1" x14ac:dyDescent="0.35">
      <c r="B12" s="52">
        <v>6</v>
      </c>
      <c r="C12" s="51" t="s">
        <v>17</v>
      </c>
      <c r="D12" s="47">
        <v>5</v>
      </c>
      <c r="E12" s="47">
        <v>240</v>
      </c>
      <c r="F12" s="46">
        <f t="shared" si="0"/>
        <v>1200</v>
      </c>
      <c r="G12" s="75" t="str">
        <f t="shared" si="1"/>
        <v>No</v>
      </c>
      <c r="I12" s="45" t="s">
        <v>37</v>
      </c>
      <c r="J12" s="68">
        <f>SUM(J7:J11)</f>
        <v>1025</v>
      </c>
      <c r="K12" s="68">
        <f>SUM(K7:K11)</f>
        <v>7025</v>
      </c>
      <c r="L12" s="68">
        <f>SUM(L7:L11)</f>
        <v>8050</v>
      </c>
    </row>
    <row r="13" spans="1:12" ht="15" customHeight="1" outlineLevel="1" x14ac:dyDescent="0.35">
      <c r="B13" s="52">
        <v>7</v>
      </c>
      <c r="C13" s="51" t="s">
        <v>18</v>
      </c>
      <c r="D13" s="47">
        <v>3</v>
      </c>
      <c r="E13" s="47">
        <v>415</v>
      </c>
      <c r="F13" s="46">
        <f t="shared" si="0"/>
        <v>1245</v>
      </c>
      <c r="G13" s="75" t="str">
        <f t="shared" si="1"/>
        <v>No</v>
      </c>
    </row>
    <row r="14" spans="1:12" ht="15" customHeight="1" outlineLevel="1" x14ac:dyDescent="0.35">
      <c r="B14" s="52">
        <v>8</v>
      </c>
      <c r="C14" s="51" t="s">
        <v>20</v>
      </c>
      <c r="D14" s="47">
        <v>2</v>
      </c>
      <c r="E14" s="47">
        <v>110</v>
      </c>
      <c r="F14" s="46">
        <f t="shared" si="0"/>
        <v>220</v>
      </c>
      <c r="G14" s="75" t="str">
        <f t="shared" si="1"/>
        <v>No</v>
      </c>
    </row>
    <row r="15" spans="1:12" ht="15" customHeight="1" outlineLevel="1" x14ac:dyDescent="0.35">
      <c r="B15" s="52">
        <v>9</v>
      </c>
      <c r="C15" s="51" t="s">
        <v>19</v>
      </c>
      <c r="D15" s="47">
        <v>1</v>
      </c>
      <c r="E15" s="47">
        <v>90</v>
      </c>
      <c r="F15" s="46">
        <f t="shared" si="0"/>
        <v>90</v>
      </c>
      <c r="G15" s="75" t="str">
        <f t="shared" si="1"/>
        <v>Yes</v>
      </c>
    </row>
    <row r="16" spans="1:12" ht="15" customHeight="1" outlineLevel="1" x14ac:dyDescent="0.35">
      <c r="B16" s="52">
        <v>10</v>
      </c>
      <c r="C16" s="51" t="s">
        <v>18</v>
      </c>
      <c r="D16" s="47">
        <v>1</v>
      </c>
      <c r="E16" s="47">
        <v>410</v>
      </c>
      <c r="F16" s="46">
        <f t="shared" si="0"/>
        <v>410</v>
      </c>
      <c r="G16" s="75" t="str">
        <f t="shared" si="1"/>
        <v>Yes</v>
      </c>
    </row>
    <row r="17" spans="1:12" ht="15" customHeight="1" outlineLevel="1" x14ac:dyDescent="0.35">
      <c r="B17" s="52">
        <v>11</v>
      </c>
      <c r="C17" s="51" t="s">
        <v>17</v>
      </c>
      <c r="D17" s="47">
        <v>4</v>
      </c>
      <c r="E17" s="47">
        <v>235</v>
      </c>
      <c r="F17" s="46">
        <f t="shared" si="0"/>
        <v>940</v>
      </c>
      <c r="G17" s="75" t="str">
        <f t="shared" si="1"/>
        <v>No</v>
      </c>
    </row>
    <row r="18" spans="1:12" ht="15" customHeight="1" outlineLevel="1" x14ac:dyDescent="0.35">
      <c r="B18" s="52">
        <v>12</v>
      </c>
      <c r="C18" s="51" t="s">
        <v>17</v>
      </c>
      <c r="D18" s="47">
        <v>2</v>
      </c>
      <c r="E18" s="47">
        <v>240</v>
      </c>
      <c r="F18" s="46">
        <f t="shared" si="0"/>
        <v>480</v>
      </c>
      <c r="G18" s="75" t="str">
        <f t="shared" si="1"/>
        <v>No</v>
      </c>
    </row>
    <row r="19" spans="1:12" ht="15" customHeight="1" outlineLevel="1" x14ac:dyDescent="0.35">
      <c r="A19" s="47"/>
      <c r="B19" s="45" t="s">
        <v>37</v>
      </c>
      <c r="D19" s="68">
        <f>SUM(D7:D18)</f>
        <v>29</v>
      </c>
      <c r="E19" s="74">
        <f>F19/D19</f>
        <v>277.58620689655174</v>
      </c>
      <c r="F19" s="68">
        <f>SUM(F7:F18)</f>
        <v>8050</v>
      </c>
    </row>
    <row r="20" spans="1:12" ht="15" customHeight="1" outlineLevel="1" x14ac:dyDescent="0.35"/>
    <row r="21" spans="1:12" ht="15" customHeight="1" outlineLevel="1" x14ac:dyDescent="0.35"/>
    <row r="23" spans="1:12" ht="15" customHeight="1" x14ac:dyDescent="0.35">
      <c r="A23" s="55" t="s">
        <v>0</v>
      </c>
      <c r="B23" s="63" t="s">
        <v>44</v>
      </c>
      <c r="C23" s="61"/>
      <c r="D23" s="61"/>
      <c r="E23" s="73"/>
      <c r="F23" s="73"/>
      <c r="G23" s="73"/>
      <c r="H23" s="57"/>
      <c r="I23" s="63" t="s">
        <v>43</v>
      </c>
      <c r="J23" s="63"/>
      <c r="K23" s="63"/>
      <c r="L23" s="63"/>
    </row>
    <row r="24" spans="1:12" s="66" customFormat="1" ht="15" customHeight="1" outlineLevel="1" x14ac:dyDescent="0.35">
      <c r="A24" s="7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</row>
    <row r="25" spans="1:12" ht="15" customHeight="1" outlineLevel="1" x14ac:dyDescent="0.35">
      <c r="B25" s="59" t="s">
        <v>32</v>
      </c>
      <c r="C25" s="71" t="s">
        <v>42</v>
      </c>
      <c r="D25" s="71" t="s">
        <v>41</v>
      </c>
      <c r="E25" s="71" t="s">
        <v>31</v>
      </c>
      <c r="F25" s="71" t="s">
        <v>40</v>
      </c>
      <c r="G25" s="66"/>
      <c r="K25" s="59" t="s">
        <v>32</v>
      </c>
      <c r="L25" s="71" t="s">
        <v>40</v>
      </c>
    </row>
    <row r="26" spans="1:12" ht="15" customHeight="1" outlineLevel="1" x14ac:dyDescent="0.35">
      <c r="B26" s="69" t="s">
        <v>25</v>
      </c>
      <c r="C26" s="46">
        <f>COUNTIF($C$7:$C$18,$B26)</f>
        <v>2</v>
      </c>
      <c r="D26" s="46">
        <f>SUMIF($C$7:$C$18,$B26,$D$7:$D$18)</f>
        <v>7</v>
      </c>
      <c r="E26" s="46">
        <f t="shared" ref="E26:E31" si="3">F26/D26</f>
        <v>354.28571428571428</v>
      </c>
      <c r="F26" s="46">
        <f>SUMIF($C$7:$C$18,$B26,$F$7:$F$18)</f>
        <v>2480</v>
      </c>
      <c r="K26" s="69" t="s">
        <v>20</v>
      </c>
      <c r="L26" s="46">
        <f>SUMIF($I$7:$I$11,K26,$L$7:$L$11)</f>
        <v>340</v>
      </c>
    </row>
    <row r="27" spans="1:12" ht="15" customHeight="1" outlineLevel="1" x14ac:dyDescent="0.35">
      <c r="B27" s="69" t="s">
        <v>19</v>
      </c>
      <c r="C27" s="46">
        <f>COUNTIF($C$7:$C$18,$B27)</f>
        <v>1</v>
      </c>
      <c r="D27" s="46">
        <f>SUMIF($C$7:$C$18,$B27,$D$7:$D$18)</f>
        <v>1</v>
      </c>
      <c r="E27" s="46">
        <f t="shared" si="3"/>
        <v>90</v>
      </c>
      <c r="F27" s="46">
        <f>SUMIF($C$7:$C$18,$B27,$F$7:$F$18)</f>
        <v>90</v>
      </c>
      <c r="K27" s="69" t="s">
        <v>18</v>
      </c>
      <c r="L27" s="46">
        <f>SUMIF($I$7:$I$11,K27,$L$7:$L$11)</f>
        <v>2060</v>
      </c>
    </row>
    <row r="28" spans="1:12" ht="15" customHeight="1" outlineLevel="1" x14ac:dyDescent="0.35">
      <c r="B28" s="69" t="s">
        <v>20</v>
      </c>
      <c r="C28" s="46">
        <f>COUNTIF($C$7:$C$18,$B28)</f>
        <v>2</v>
      </c>
      <c r="D28" s="46">
        <f>SUMIF($C$7:$C$18,$B28,$D$7:$D$18)</f>
        <v>3</v>
      </c>
      <c r="E28" s="46">
        <f t="shared" si="3"/>
        <v>113.33333333333333</v>
      </c>
      <c r="F28" s="46">
        <f>SUMIF($C$7:$C$18,$B28,$F$7:$F$18)</f>
        <v>340</v>
      </c>
      <c r="K28" s="45" t="s">
        <v>39</v>
      </c>
      <c r="L28" s="70">
        <f>SUMIFS(L7:L11,I7:I11,K26,I7:I11,K27)</f>
        <v>0</v>
      </c>
    </row>
    <row r="29" spans="1:12" ht="15" customHeight="1" outlineLevel="1" x14ac:dyDescent="0.35">
      <c r="B29" s="69" t="s">
        <v>17</v>
      </c>
      <c r="C29" s="46">
        <f>COUNTIF($C$7:$C$18,$B29)</f>
        <v>4</v>
      </c>
      <c r="D29" s="46">
        <f>SUMIF($C$7:$C$18,$B29,$D$7:$D$18)</f>
        <v>13</v>
      </c>
      <c r="E29" s="46">
        <f t="shared" si="3"/>
        <v>236.92307692307693</v>
      </c>
      <c r="F29" s="46">
        <f>SUMIF($C$7:$C$18,$B29,$F$7:$F$18)</f>
        <v>3080</v>
      </c>
    </row>
    <row r="30" spans="1:12" ht="15" customHeight="1" outlineLevel="1" x14ac:dyDescent="0.35">
      <c r="B30" s="69" t="s">
        <v>18</v>
      </c>
      <c r="C30" s="46">
        <f>COUNTIF($C$7:$C$18,$B30)</f>
        <v>3</v>
      </c>
      <c r="D30" s="46">
        <f>SUMIF($C$7:$C$18,$B30,$D$7:$D$18)</f>
        <v>5</v>
      </c>
      <c r="E30" s="46">
        <f t="shared" si="3"/>
        <v>412</v>
      </c>
      <c r="F30" s="46">
        <f>SUMIF($C$7:$C$18,$B30,$F$7:$F$18)</f>
        <v>2060</v>
      </c>
      <c r="L30" s="214" t="s">
        <v>38</v>
      </c>
    </row>
    <row r="31" spans="1:12" ht="15" customHeight="1" outlineLevel="1" x14ac:dyDescent="0.35">
      <c r="B31" s="45" t="s">
        <v>37</v>
      </c>
      <c r="C31" s="68">
        <f>SUM(C26:C30)</f>
        <v>12</v>
      </c>
      <c r="D31" s="68">
        <f>SUM(D26:D30)</f>
        <v>29</v>
      </c>
      <c r="E31" s="68">
        <f t="shared" si="3"/>
        <v>277.58620689655174</v>
      </c>
      <c r="F31" s="68">
        <f>SUM(F26:F30)</f>
        <v>8050</v>
      </c>
      <c r="I31" s="66"/>
      <c r="L31" s="215" t="s">
        <v>106</v>
      </c>
    </row>
    <row r="32" spans="1:12" ht="15" customHeight="1" outlineLevel="1" x14ac:dyDescent="0.35"/>
    <row r="33" spans="2:12" ht="15" customHeight="1" outlineLevel="1" x14ac:dyDescent="0.35"/>
    <row r="34" spans="2:12" ht="15" customHeight="1" outlineLevel="1" x14ac:dyDescent="0.35"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209" t="s">
        <v>0</v>
      </c>
    </row>
  </sheetData>
  <printOptions horizontalCentered="1"/>
  <pageMargins left="0.3" right="0.3" top="0.3" bottom="0.3" header="0.3" footer="0.3"/>
  <pageSetup scale="95" orientation="landscape" r:id="rId1"/>
  <headerFooter>
    <oddFooter>&amp;L&amp;"Open Sans,Bold"&amp;10&amp;K002060Excel Fundamentals - Formulas for Finance&amp;C&amp;"Open Sans,Bold"&amp;10&amp;K002060Page &amp;P of &amp;N&amp;R&amp;G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5CAF9-E715-46C5-A4B8-FE53CBA1760A}">
  <dimension ref="A1:I35"/>
  <sheetViews>
    <sheetView showGridLines="0" zoomScaleNormal="100" zoomScaleSheetLayoutView="100" workbookViewId="0"/>
  </sheetViews>
  <sheetFormatPr defaultColWidth="8.5546875" defaultRowHeight="15" customHeight="1" outlineLevelRow="1" x14ac:dyDescent="0.35"/>
  <cols>
    <col min="1" max="1" width="8.5546875" style="42"/>
    <col min="2" max="2" width="15.88671875" style="42" customWidth="1"/>
    <col min="3" max="9" width="15.6640625" style="42" customWidth="1"/>
    <col min="10" max="16384" width="8.5546875" style="42"/>
  </cols>
  <sheetData>
    <row r="1" spans="1:9" s="64" customFormat="1" ht="50.1" customHeight="1" x14ac:dyDescent="0.35">
      <c r="B1" s="65"/>
      <c r="C1" s="65"/>
      <c r="D1" s="65"/>
      <c r="E1" s="65"/>
      <c r="F1" s="65"/>
      <c r="G1" s="65"/>
      <c r="H1" s="65"/>
      <c r="I1" s="65"/>
    </row>
    <row r="3" spans="1:9" s="66" customFormat="1" ht="15" customHeight="1" x14ac:dyDescent="0.35">
      <c r="A3" s="55" t="s">
        <v>0</v>
      </c>
      <c r="B3" s="63" t="s">
        <v>56</v>
      </c>
      <c r="C3" s="62"/>
      <c r="D3" s="61"/>
      <c r="E3" s="61"/>
      <c r="F3" s="73"/>
      <c r="G3" s="73"/>
      <c r="H3" s="73"/>
      <c r="I3" s="73"/>
    </row>
    <row r="4" spans="1:9" ht="15" customHeight="1" outlineLevel="1" x14ac:dyDescent="0.35"/>
    <row r="5" spans="1:9" ht="15" customHeight="1" outlineLevel="1" x14ac:dyDescent="0.35">
      <c r="B5" s="102" t="s">
        <v>32</v>
      </c>
      <c r="C5" s="101">
        <v>1</v>
      </c>
      <c r="D5" s="101">
        <v>2</v>
      </c>
      <c r="E5" s="101">
        <v>3</v>
      </c>
      <c r="F5" s="101">
        <v>4</v>
      </c>
      <c r="G5" s="100">
        <v>5</v>
      </c>
    </row>
    <row r="6" spans="1:9" ht="15" customHeight="1" outlineLevel="1" x14ac:dyDescent="0.35">
      <c r="B6" s="99" t="s">
        <v>50</v>
      </c>
      <c r="C6" s="98">
        <v>2.5000000000000001E-2</v>
      </c>
      <c r="D6" s="98">
        <v>3.5000000000000003E-2</v>
      </c>
      <c r="E6" s="98">
        <v>0.04</v>
      </c>
      <c r="F6" s="98">
        <v>0.02</v>
      </c>
      <c r="G6" s="92">
        <v>4.4999999999999998E-2</v>
      </c>
    </row>
    <row r="7" spans="1:9" ht="15" customHeight="1" outlineLevel="1" x14ac:dyDescent="0.35"/>
    <row r="8" spans="1:9" ht="15" customHeight="1" outlineLevel="1" x14ac:dyDescent="0.35"/>
    <row r="9" spans="1:9" ht="15" customHeight="1" outlineLevel="1" x14ac:dyDescent="0.35">
      <c r="B9" s="97" t="s">
        <v>32</v>
      </c>
      <c r="C9" s="96" t="s">
        <v>50</v>
      </c>
    </row>
    <row r="10" spans="1:9" ht="15" customHeight="1" outlineLevel="1" x14ac:dyDescent="0.35">
      <c r="B10" s="95">
        <v>1</v>
      </c>
      <c r="C10" s="94">
        <v>2.5000000000000001E-2</v>
      </c>
    </row>
    <row r="11" spans="1:9" ht="15" customHeight="1" outlineLevel="1" x14ac:dyDescent="0.35">
      <c r="B11" s="95">
        <v>2</v>
      </c>
      <c r="C11" s="94">
        <v>3.5000000000000003E-2</v>
      </c>
    </row>
    <row r="12" spans="1:9" ht="15" customHeight="1" outlineLevel="1" x14ac:dyDescent="0.35">
      <c r="B12" s="95">
        <v>3</v>
      </c>
      <c r="C12" s="94">
        <v>0.04</v>
      </c>
    </row>
    <row r="13" spans="1:9" ht="15" customHeight="1" outlineLevel="1" x14ac:dyDescent="0.35">
      <c r="B13" s="95">
        <v>4</v>
      </c>
      <c r="C13" s="94">
        <v>0.02</v>
      </c>
    </row>
    <row r="14" spans="1:9" ht="15" customHeight="1" outlineLevel="1" x14ac:dyDescent="0.35">
      <c r="B14" s="93">
        <v>5</v>
      </c>
      <c r="C14" s="92">
        <v>4.4999999999999998E-2</v>
      </c>
    </row>
    <row r="15" spans="1:9" ht="15" customHeight="1" outlineLevel="1" x14ac:dyDescent="0.35"/>
    <row r="17" spans="1:9" s="66" customFormat="1" ht="15" customHeight="1" x14ac:dyDescent="0.35">
      <c r="A17" s="55" t="s">
        <v>0</v>
      </c>
      <c r="B17" s="63" t="s">
        <v>55</v>
      </c>
      <c r="C17" s="62"/>
      <c r="D17" s="61"/>
      <c r="E17" s="91"/>
      <c r="F17" s="91"/>
      <c r="G17" s="91"/>
      <c r="H17" s="91"/>
      <c r="I17" s="90"/>
    </row>
    <row r="18" spans="1:9" ht="15" customHeight="1" outlineLevel="1" x14ac:dyDescent="0.35"/>
    <row r="19" spans="1:9" ht="15" customHeight="1" outlineLevel="1" x14ac:dyDescent="0.35">
      <c r="B19" s="67"/>
      <c r="C19" s="67"/>
      <c r="D19" s="89"/>
      <c r="E19" s="88" t="s">
        <v>50</v>
      </c>
      <c r="F19" s="87"/>
      <c r="G19" s="87"/>
      <c r="H19" s="87"/>
    </row>
    <row r="20" spans="1:9" s="58" customFormat="1" ht="15" customHeight="1" outlineLevel="1" x14ac:dyDescent="0.35">
      <c r="B20" s="54" t="s">
        <v>33</v>
      </c>
      <c r="C20" s="54" t="s">
        <v>32</v>
      </c>
      <c r="D20" s="86" t="s">
        <v>40</v>
      </c>
      <c r="E20" s="54" t="s">
        <v>54</v>
      </c>
      <c r="F20" s="54" t="s">
        <v>53</v>
      </c>
      <c r="G20" s="54" t="s">
        <v>52</v>
      </c>
      <c r="H20" s="54" t="s">
        <v>51</v>
      </c>
      <c r="I20" s="85" t="s">
        <v>50</v>
      </c>
    </row>
    <row r="21" spans="1:9" ht="15" customHeight="1" outlineLevel="1" x14ac:dyDescent="0.35">
      <c r="B21" s="84">
        <v>1</v>
      </c>
      <c r="C21" s="51">
        <v>4</v>
      </c>
      <c r="D21" s="81">
        <v>2282204</v>
      </c>
      <c r="E21" s="80">
        <f t="shared" ref="E21:E32" si="0">IFERROR(HLOOKUP(C21,$B$5:$G$6,ROWS($I$5:$I$6),FALSE),"Not Found")</f>
        <v>0.02</v>
      </c>
      <c r="F21" s="80">
        <f t="shared" ref="F21:F32" si="1">IFERROR(VLOOKUP(C21,$B$9:$C$14,COLUMNS($B$7:$C$7),FALSE),"Not Found")</f>
        <v>0.02</v>
      </c>
      <c r="G21" s="80">
        <f t="shared" ref="G21:G32" si="2">_xlfn.XLOOKUP(C21,$C$5:$G$5,$C$6:$G$6,"Not Found")</f>
        <v>0.02</v>
      </c>
      <c r="H21" s="80">
        <f t="shared" ref="H21:H32" si="3">_xlfn.XLOOKUP(C21,$B$9:$B$14,$C$9:$C$14,"Not Found")</f>
        <v>0.02</v>
      </c>
      <c r="I21" s="79">
        <f t="shared" ref="I21:I32" si="4">H21*D21</f>
        <v>45644.08</v>
      </c>
    </row>
    <row r="22" spans="1:9" ht="15" customHeight="1" outlineLevel="1" x14ac:dyDescent="0.35">
      <c r="B22" s="82">
        <f t="shared" ref="B22:B32" si="5">B21+1</f>
        <v>2</v>
      </c>
      <c r="C22" s="51">
        <v>5</v>
      </c>
      <c r="D22" s="81">
        <v>6401594</v>
      </c>
      <c r="E22" s="80">
        <f t="shared" si="0"/>
        <v>4.4999999999999998E-2</v>
      </c>
      <c r="F22" s="80">
        <f t="shared" si="1"/>
        <v>4.4999999999999998E-2</v>
      </c>
      <c r="G22" s="80">
        <f t="shared" si="2"/>
        <v>4.4999999999999998E-2</v>
      </c>
      <c r="H22" s="80">
        <f t="shared" si="3"/>
        <v>4.4999999999999998E-2</v>
      </c>
      <c r="I22" s="79">
        <f t="shared" si="4"/>
        <v>288071.73</v>
      </c>
    </row>
    <row r="23" spans="1:9" ht="15" customHeight="1" outlineLevel="1" x14ac:dyDescent="0.35">
      <c r="B23" s="82">
        <f t="shared" si="5"/>
        <v>3</v>
      </c>
      <c r="C23" s="51">
        <v>3</v>
      </c>
      <c r="D23" s="81">
        <v>7894289</v>
      </c>
      <c r="E23" s="80">
        <f t="shared" si="0"/>
        <v>0.04</v>
      </c>
      <c r="F23" s="80">
        <f t="shared" si="1"/>
        <v>0.04</v>
      </c>
      <c r="G23" s="80">
        <f t="shared" si="2"/>
        <v>0.04</v>
      </c>
      <c r="H23" s="80">
        <f t="shared" si="3"/>
        <v>0.04</v>
      </c>
      <c r="I23" s="79">
        <f t="shared" si="4"/>
        <v>315771.56</v>
      </c>
    </row>
    <row r="24" spans="1:9" ht="15" customHeight="1" outlineLevel="1" x14ac:dyDescent="0.35">
      <c r="B24" s="82">
        <f t="shared" si="5"/>
        <v>4</v>
      </c>
      <c r="C24" s="51">
        <v>1</v>
      </c>
      <c r="D24" s="81">
        <v>3005743</v>
      </c>
      <c r="E24" s="80">
        <f t="shared" si="0"/>
        <v>2.5000000000000001E-2</v>
      </c>
      <c r="F24" s="80">
        <f t="shared" si="1"/>
        <v>2.5000000000000001E-2</v>
      </c>
      <c r="G24" s="80">
        <f t="shared" si="2"/>
        <v>2.5000000000000001E-2</v>
      </c>
      <c r="H24" s="80">
        <f t="shared" si="3"/>
        <v>2.5000000000000001E-2</v>
      </c>
      <c r="I24" s="79">
        <f t="shared" si="4"/>
        <v>75143.574999999997</v>
      </c>
    </row>
    <row r="25" spans="1:9" ht="15" customHeight="1" outlineLevel="1" x14ac:dyDescent="0.35">
      <c r="B25" s="82">
        <f t="shared" si="5"/>
        <v>5</v>
      </c>
      <c r="C25" s="51">
        <v>1</v>
      </c>
      <c r="D25" s="81">
        <v>4577483</v>
      </c>
      <c r="E25" s="80">
        <f t="shared" si="0"/>
        <v>2.5000000000000001E-2</v>
      </c>
      <c r="F25" s="80">
        <f t="shared" si="1"/>
        <v>2.5000000000000001E-2</v>
      </c>
      <c r="G25" s="80">
        <f t="shared" si="2"/>
        <v>2.5000000000000001E-2</v>
      </c>
      <c r="H25" s="80">
        <f t="shared" si="3"/>
        <v>2.5000000000000001E-2</v>
      </c>
      <c r="I25" s="79">
        <f t="shared" si="4"/>
        <v>114437.07500000001</v>
      </c>
    </row>
    <row r="26" spans="1:9" ht="15" customHeight="1" outlineLevel="1" x14ac:dyDescent="0.35">
      <c r="B26" s="82">
        <f t="shared" si="5"/>
        <v>6</v>
      </c>
      <c r="C26" s="51">
        <v>5</v>
      </c>
      <c r="D26" s="81">
        <v>104240</v>
      </c>
      <c r="E26" s="80">
        <f t="shared" si="0"/>
        <v>4.4999999999999998E-2</v>
      </c>
      <c r="F26" s="80">
        <f t="shared" si="1"/>
        <v>4.4999999999999998E-2</v>
      </c>
      <c r="G26" s="80">
        <f t="shared" si="2"/>
        <v>4.4999999999999998E-2</v>
      </c>
      <c r="H26" s="80">
        <f t="shared" si="3"/>
        <v>4.4999999999999998E-2</v>
      </c>
      <c r="I26" s="79">
        <f t="shared" si="4"/>
        <v>4690.8</v>
      </c>
    </row>
    <row r="27" spans="1:9" ht="15" customHeight="1" outlineLevel="1" x14ac:dyDescent="0.35">
      <c r="B27" s="82">
        <f t="shared" si="5"/>
        <v>7</v>
      </c>
      <c r="C27" s="51">
        <v>3</v>
      </c>
      <c r="D27" s="81">
        <v>2039131</v>
      </c>
      <c r="E27" s="80">
        <f t="shared" si="0"/>
        <v>0.04</v>
      </c>
      <c r="F27" s="80">
        <f t="shared" si="1"/>
        <v>0.04</v>
      </c>
      <c r="G27" s="80">
        <f t="shared" si="2"/>
        <v>0.04</v>
      </c>
      <c r="H27" s="80">
        <f t="shared" si="3"/>
        <v>0.04</v>
      </c>
      <c r="I27" s="83">
        <f t="shared" si="4"/>
        <v>81565.240000000005</v>
      </c>
    </row>
    <row r="28" spans="1:9" ht="15" customHeight="1" outlineLevel="1" x14ac:dyDescent="0.35">
      <c r="B28" s="82">
        <f t="shared" si="5"/>
        <v>8</v>
      </c>
      <c r="C28" s="51">
        <v>4</v>
      </c>
      <c r="D28" s="81">
        <v>5012584</v>
      </c>
      <c r="E28" s="80">
        <f t="shared" si="0"/>
        <v>0.02</v>
      </c>
      <c r="F28" s="80">
        <f t="shared" si="1"/>
        <v>0.02</v>
      </c>
      <c r="G28" s="80">
        <f t="shared" si="2"/>
        <v>0.02</v>
      </c>
      <c r="H28" s="80">
        <f t="shared" si="3"/>
        <v>0.02</v>
      </c>
      <c r="I28" s="79">
        <f t="shared" si="4"/>
        <v>100251.68000000001</v>
      </c>
    </row>
    <row r="29" spans="1:9" ht="15" customHeight="1" outlineLevel="1" x14ac:dyDescent="0.35">
      <c r="B29" s="82">
        <f t="shared" si="5"/>
        <v>9</v>
      </c>
      <c r="C29" s="51">
        <v>2</v>
      </c>
      <c r="D29" s="81">
        <v>5259105</v>
      </c>
      <c r="E29" s="80">
        <f t="shared" si="0"/>
        <v>3.5000000000000003E-2</v>
      </c>
      <c r="F29" s="80">
        <f t="shared" si="1"/>
        <v>3.5000000000000003E-2</v>
      </c>
      <c r="G29" s="80">
        <f t="shared" si="2"/>
        <v>3.5000000000000003E-2</v>
      </c>
      <c r="H29" s="80">
        <f t="shared" si="3"/>
        <v>3.5000000000000003E-2</v>
      </c>
      <c r="I29" s="79">
        <f t="shared" si="4"/>
        <v>184068.67500000002</v>
      </c>
    </row>
    <row r="30" spans="1:9" ht="15" customHeight="1" outlineLevel="1" x14ac:dyDescent="0.35">
      <c r="B30" s="82">
        <f t="shared" si="5"/>
        <v>10</v>
      </c>
      <c r="C30" s="51">
        <v>5</v>
      </c>
      <c r="D30" s="81">
        <v>6425351</v>
      </c>
      <c r="E30" s="80">
        <f t="shared" si="0"/>
        <v>4.4999999999999998E-2</v>
      </c>
      <c r="F30" s="80">
        <f t="shared" si="1"/>
        <v>4.4999999999999998E-2</v>
      </c>
      <c r="G30" s="80">
        <f t="shared" si="2"/>
        <v>4.4999999999999998E-2</v>
      </c>
      <c r="H30" s="80">
        <f t="shared" si="3"/>
        <v>4.4999999999999998E-2</v>
      </c>
      <c r="I30" s="79">
        <f t="shared" si="4"/>
        <v>289140.79499999998</v>
      </c>
    </row>
    <row r="31" spans="1:9" ht="15" customHeight="1" outlineLevel="1" x14ac:dyDescent="0.35">
      <c r="B31" s="82">
        <f t="shared" si="5"/>
        <v>11</v>
      </c>
      <c r="C31" s="51">
        <v>3</v>
      </c>
      <c r="D31" s="81">
        <v>8849817</v>
      </c>
      <c r="E31" s="80">
        <f t="shared" si="0"/>
        <v>0.04</v>
      </c>
      <c r="F31" s="80">
        <f t="shared" si="1"/>
        <v>0.04</v>
      </c>
      <c r="G31" s="80">
        <f t="shared" si="2"/>
        <v>0.04</v>
      </c>
      <c r="H31" s="80">
        <f t="shared" si="3"/>
        <v>0.04</v>
      </c>
      <c r="I31" s="79">
        <f t="shared" si="4"/>
        <v>353992.68</v>
      </c>
    </row>
    <row r="32" spans="1:9" ht="15" customHeight="1" outlineLevel="1" x14ac:dyDescent="0.35">
      <c r="B32" s="82">
        <f t="shared" si="5"/>
        <v>12</v>
      </c>
      <c r="C32" s="51">
        <v>5</v>
      </c>
      <c r="D32" s="81">
        <v>6519142</v>
      </c>
      <c r="E32" s="80">
        <f t="shared" si="0"/>
        <v>4.4999999999999998E-2</v>
      </c>
      <c r="F32" s="80">
        <f t="shared" si="1"/>
        <v>4.4999999999999998E-2</v>
      </c>
      <c r="G32" s="80">
        <f t="shared" si="2"/>
        <v>4.4999999999999998E-2</v>
      </c>
      <c r="H32" s="80">
        <f t="shared" si="3"/>
        <v>4.4999999999999998E-2</v>
      </c>
      <c r="I32" s="79">
        <f t="shared" si="4"/>
        <v>293361.39</v>
      </c>
    </row>
    <row r="33" spans="2:9" ht="15" customHeight="1" outlineLevel="1" x14ac:dyDescent="0.35">
      <c r="H33" s="67" t="s">
        <v>49</v>
      </c>
      <c r="I33" s="78">
        <f>SUM(I21:I32)</f>
        <v>2146139.2799999998</v>
      </c>
    </row>
    <row r="34" spans="2:9" ht="15" customHeight="1" outlineLevel="1" x14ac:dyDescent="0.35"/>
    <row r="35" spans="2:9" ht="15" customHeight="1" outlineLevel="1" x14ac:dyDescent="0.35">
      <c r="B35" s="44"/>
      <c r="C35" s="44"/>
      <c r="D35" s="44"/>
      <c r="E35" s="44"/>
      <c r="F35" s="44"/>
      <c r="G35" s="44"/>
      <c r="H35" s="44"/>
      <c r="I35" s="209" t="s">
        <v>0</v>
      </c>
    </row>
  </sheetData>
  <printOptions horizontalCentered="1"/>
  <pageMargins left="0.3" right="0.3" top="0.3" bottom="0.3" header="0.3" footer="0.3"/>
  <pageSetup scale="95" orientation="landscape" r:id="rId1"/>
  <headerFooter>
    <oddFooter>&amp;L&amp;"Open Sans,Bold"&amp;10&amp;K002060Excel Fundamentals - Formulas for Finance&amp;C&amp;"Open Sans,Bold"&amp;10&amp;K002060Page &amp;P of &amp;N&amp;R&amp;G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CC1AD-28B3-43BC-A743-6A2071D85A54}">
  <dimension ref="A1:P71"/>
  <sheetViews>
    <sheetView showGridLines="0" zoomScaleNormal="100" zoomScaleSheetLayoutView="100" workbookViewId="0"/>
  </sheetViews>
  <sheetFormatPr defaultColWidth="8.5546875" defaultRowHeight="15" customHeight="1" outlineLevelRow="1" x14ac:dyDescent="0.35"/>
  <cols>
    <col min="1" max="1" width="8.5546875" style="42"/>
    <col min="2" max="2" width="14.6640625" style="42" customWidth="1"/>
    <col min="3" max="3" width="12.6640625" style="42" customWidth="1"/>
    <col min="4" max="4" width="10.33203125" style="42" bestFit="1" customWidth="1"/>
    <col min="5" max="16" width="11.6640625" style="42" customWidth="1"/>
    <col min="17" max="16384" width="8.5546875" style="42"/>
  </cols>
  <sheetData>
    <row r="1" spans="1:16" s="64" customFormat="1" ht="50.1" customHeight="1" x14ac:dyDescent="0.35"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ht="15" customHeight="1" x14ac:dyDescent="0.35">
      <c r="B2" s="60"/>
    </row>
    <row r="3" spans="1:16" ht="15" customHeight="1" x14ac:dyDescent="0.35">
      <c r="A3" s="55" t="s">
        <v>0</v>
      </c>
      <c r="B3" s="151" t="s">
        <v>82</v>
      </c>
      <c r="C3" s="61"/>
      <c r="D3" s="61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ht="15" customHeight="1" outlineLevel="1" x14ac:dyDescent="0.35">
      <c r="C4" s="122"/>
      <c r="D4" s="122"/>
      <c r="E4" s="165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</row>
    <row r="5" spans="1:16" ht="15" customHeight="1" outlineLevel="1" thickBot="1" x14ac:dyDescent="0.4">
      <c r="B5" s="136" t="s">
        <v>64</v>
      </c>
      <c r="C5" s="122"/>
      <c r="D5" s="122"/>
      <c r="E5" s="164">
        <f>EOMONTH(C8,0)</f>
        <v>45322</v>
      </c>
      <c r="F5" s="163">
        <f t="shared" ref="F5:P5" si="0">EOMONTH(E5,1)</f>
        <v>45351</v>
      </c>
      <c r="G5" s="163">
        <f t="shared" si="0"/>
        <v>45382</v>
      </c>
      <c r="H5" s="164">
        <f t="shared" si="0"/>
        <v>45412</v>
      </c>
      <c r="I5" s="163">
        <f t="shared" si="0"/>
        <v>45443</v>
      </c>
      <c r="J5" s="163">
        <f t="shared" si="0"/>
        <v>45473</v>
      </c>
      <c r="K5" s="164">
        <f t="shared" si="0"/>
        <v>45504</v>
      </c>
      <c r="L5" s="163">
        <f t="shared" si="0"/>
        <v>45535</v>
      </c>
      <c r="M5" s="163">
        <f t="shared" si="0"/>
        <v>45565</v>
      </c>
      <c r="N5" s="164">
        <f t="shared" si="0"/>
        <v>45596</v>
      </c>
      <c r="O5" s="163">
        <f t="shared" si="0"/>
        <v>45626</v>
      </c>
      <c r="P5" s="162">
        <f t="shared" si="0"/>
        <v>45657</v>
      </c>
    </row>
    <row r="6" spans="1:16" ht="15" customHeight="1" outlineLevel="1" x14ac:dyDescent="0.35">
      <c r="B6" s="147"/>
      <c r="C6" s="122"/>
      <c r="D6" s="122"/>
      <c r="E6" s="144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</row>
    <row r="7" spans="1:16" ht="15" customHeight="1" outlineLevel="1" x14ac:dyDescent="0.35">
      <c r="B7" s="146" t="s">
        <v>81</v>
      </c>
      <c r="C7" s="168">
        <f ca="1">TODAY()</f>
        <v>45238</v>
      </c>
      <c r="D7" s="55"/>
      <c r="E7" s="216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</row>
    <row r="8" spans="1:16" ht="15" customHeight="1" outlineLevel="1" x14ac:dyDescent="0.35">
      <c r="B8" s="146" t="s">
        <v>79</v>
      </c>
      <c r="C8" s="167">
        <v>45292</v>
      </c>
      <c r="D8" s="55"/>
    </row>
    <row r="9" spans="1:16" ht="15" customHeight="1" outlineLevel="1" x14ac:dyDescent="0.35"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</row>
    <row r="10" spans="1:16" ht="15" customHeight="1" outlineLevel="1" x14ac:dyDescent="0.35">
      <c r="B10" s="113" t="s">
        <v>69</v>
      </c>
      <c r="C10" s="72"/>
      <c r="D10" s="143" t="s">
        <v>68</v>
      </c>
      <c r="E10" s="111">
        <v>510000</v>
      </c>
      <c r="F10" s="111">
        <v>515000</v>
      </c>
      <c r="G10" s="111">
        <v>520000</v>
      </c>
      <c r="H10" s="111">
        <v>525000</v>
      </c>
      <c r="I10" s="111">
        <v>530000</v>
      </c>
      <c r="J10" s="111">
        <v>535000</v>
      </c>
      <c r="K10" s="111">
        <v>540000</v>
      </c>
      <c r="L10" s="111">
        <v>545000</v>
      </c>
      <c r="M10" s="111">
        <v>550000</v>
      </c>
      <c r="N10" s="111">
        <v>555000</v>
      </c>
      <c r="O10" s="111">
        <v>560000</v>
      </c>
      <c r="P10" s="111">
        <v>565000</v>
      </c>
    </row>
    <row r="11" spans="1:16" ht="15" customHeight="1" outlineLevel="1" x14ac:dyDescent="0.35">
      <c r="B11" s="113" t="s">
        <v>67</v>
      </c>
      <c r="C11" s="72"/>
      <c r="D11" s="143" t="s">
        <v>66</v>
      </c>
      <c r="E11" s="142">
        <v>105</v>
      </c>
      <c r="F11" s="142">
        <v>105</v>
      </c>
      <c r="G11" s="142">
        <v>105</v>
      </c>
      <c r="H11" s="142">
        <v>105</v>
      </c>
      <c r="I11" s="142">
        <v>105</v>
      </c>
      <c r="J11" s="142">
        <v>105</v>
      </c>
      <c r="K11" s="142">
        <v>110</v>
      </c>
      <c r="L11" s="142">
        <v>110</v>
      </c>
      <c r="M11" s="142">
        <v>110</v>
      </c>
      <c r="N11" s="142">
        <v>110</v>
      </c>
      <c r="O11" s="142">
        <v>110</v>
      </c>
      <c r="P11" s="142">
        <v>110</v>
      </c>
    </row>
    <row r="12" spans="1:16" ht="15" customHeight="1" outlineLevel="1" x14ac:dyDescent="0.35">
      <c r="B12" s="113" t="s">
        <v>40</v>
      </c>
      <c r="C12" s="72"/>
      <c r="D12" s="72"/>
      <c r="E12" s="114">
        <f t="shared" ref="E12:P12" si="1">E10*E11/1000</f>
        <v>53550</v>
      </c>
      <c r="F12" s="114">
        <f t="shared" si="1"/>
        <v>54075</v>
      </c>
      <c r="G12" s="114">
        <f t="shared" si="1"/>
        <v>54600</v>
      </c>
      <c r="H12" s="114">
        <f t="shared" si="1"/>
        <v>55125</v>
      </c>
      <c r="I12" s="114">
        <f t="shared" si="1"/>
        <v>55650</v>
      </c>
      <c r="J12" s="114">
        <f t="shared" si="1"/>
        <v>56175</v>
      </c>
      <c r="K12" s="114">
        <f t="shared" si="1"/>
        <v>59400</v>
      </c>
      <c r="L12" s="114">
        <f t="shared" si="1"/>
        <v>59950</v>
      </c>
      <c r="M12" s="114">
        <f t="shared" si="1"/>
        <v>60500</v>
      </c>
      <c r="N12" s="114">
        <f t="shared" si="1"/>
        <v>61050</v>
      </c>
      <c r="O12" s="114">
        <f t="shared" si="1"/>
        <v>61600</v>
      </c>
      <c r="P12" s="114">
        <f t="shared" si="1"/>
        <v>62150</v>
      </c>
    </row>
    <row r="13" spans="1:16" ht="15" customHeight="1" outlineLevel="1" x14ac:dyDescent="0.35">
      <c r="B13" s="166"/>
    </row>
    <row r="14" spans="1:16" ht="15" customHeight="1" outlineLevel="1" x14ac:dyDescent="0.35"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6" spans="1:16" ht="15" customHeight="1" x14ac:dyDescent="0.35">
      <c r="A16" s="55" t="s">
        <v>0</v>
      </c>
      <c r="B16" s="151" t="s">
        <v>80</v>
      </c>
      <c r="C16" s="61"/>
      <c r="D16" s="61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</row>
    <row r="17" spans="1:16" ht="15" customHeight="1" outlineLevel="1" x14ac:dyDescent="0.35">
      <c r="C17" s="122"/>
      <c r="D17" s="122"/>
      <c r="E17" s="165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</row>
    <row r="18" spans="1:16" ht="15" customHeight="1" outlineLevel="1" thickBot="1" x14ac:dyDescent="0.4">
      <c r="B18" s="136" t="s">
        <v>64</v>
      </c>
      <c r="C18" s="122"/>
      <c r="D18" s="122"/>
      <c r="E18" s="164">
        <f>EOMONTH(C24,2)</f>
        <v>45382</v>
      </c>
      <c r="F18" s="163">
        <f t="shared" ref="F18:P18" si="2">EOMONTH(E18,3)</f>
        <v>45473</v>
      </c>
      <c r="G18" s="163">
        <f t="shared" si="2"/>
        <v>45565</v>
      </c>
      <c r="H18" s="163">
        <f t="shared" si="2"/>
        <v>45657</v>
      </c>
      <c r="I18" s="164">
        <f t="shared" si="2"/>
        <v>45747</v>
      </c>
      <c r="J18" s="163">
        <f t="shared" si="2"/>
        <v>45838</v>
      </c>
      <c r="K18" s="163">
        <f t="shared" si="2"/>
        <v>45930</v>
      </c>
      <c r="L18" s="163">
        <f t="shared" si="2"/>
        <v>46022</v>
      </c>
      <c r="M18" s="164">
        <f t="shared" si="2"/>
        <v>46112</v>
      </c>
      <c r="N18" s="163">
        <f t="shared" si="2"/>
        <v>46203</v>
      </c>
      <c r="O18" s="163">
        <f t="shared" si="2"/>
        <v>46295</v>
      </c>
      <c r="P18" s="162">
        <f t="shared" si="2"/>
        <v>46387</v>
      </c>
    </row>
    <row r="19" spans="1:16" ht="15" customHeight="1" outlineLevel="1" x14ac:dyDescent="0.35">
      <c r="B19" s="147"/>
      <c r="C19" s="122"/>
      <c r="D19" s="122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</row>
    <row r="20" spans="1:16" ht="15" customHeight="1" outlineLevel="1" x14ac:dyDescent="0.35">
      <c r="B20" s="147"/>
      <c r="C20" s="161" t="s">
        <v>79</v>
      </c>
      <c r="D20" s="122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</row>
    <row r="21" spans="1:16" ht="15" customHeight="1" outlineLevel="1" x14ac:dyDescent="0.35">
      <c r="B21" s="146" t="s">
        <v>78</v>
      </c>
      <c r="C21" s="160">
        <v>2024</v>
      </c>
      <c r="D21" s="55"/>
      <c r="E21" s="144"/>
    </row>
    <row r="22" spans="1:16" ht="15" customHeight="1" outlineLevel="1" x14ac:dyDescent="0.35">
      <c r="B22" s="146" t="s">
        <v>77</v>
      </c>
      <c r="C22" s="159">
        <v>1</v>
      </c>
      <c r="D22" s="72"/>
    </row>
    <row r="23" spans="1:16" ht="15" customHeight="1" outlineLevel="1" x14ac:dyDescent="0.35">
      <c r="B23" s="146" t="s">
        <v>76</v>
      </c>
      <c r="C23" s="158">
        <v>1</v>
      </c>
      <c r="D23" s="72"/>
    </row>
    <row r="24" spans="1:16" ht="15" customHeight="1" outlineLevel="1" x14ac:dyDescent="0.35">
      <c r="B24" s="146" t="s">
        <v>75</v>
      </c>
      <c r="C24" s="157">
        <f>DATE(C21,C22,C23)</f>
        <v>45292</v>
      </c>
      <c r="D24" s="72"/>
    </row>
    <row r="25" spans="1:16" ht="15" customHeight="1" outlineLevel="1" x14ac:dyDescent="0.35"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</row>
    <row r="26" spans="1:16" ht="15" customHeight="1" outlineLevel="1" x14ac:dyDescent="0.35">
      <c r="B26" s="113" t="s">
        <v>69</v>
      </c>
      <c r="C26" s="72"/>
      <c r="D26" s="143" t="s">
        <v>68</v>
      </c>
      <c r="E26" s="111">
        <v>510000</v>
      </c>
      <c r="F26" s="111">
        <v>515000</v>
      </c>
      <c r="G26" s="111">
        <v>520000</v>
      </c>
      <c r="H26" s="111">
        <v>525000</v>
      </c>
      <c r="I26" s="111">
        <v>530000</v>
      </c>
      <c r="J26" s="111">
        <v>535000</v>
      </c>
      <c r="K26" s="111">
        <v>540000</v>
      </c>
      <c r="L26" s="111">
        <v>545000</v>
      </c>
      <c r="M26" s="111">
        <v>550000</v>
      </c>
      <c r="N26" s="111">
        <v>555000</v>
      </c>
      <c r="O26" s="111">
        <v>560000</v>
      </c>
      <c r="P26" s="111">
        <v>565000</v>
      </c>
    </row>
    <row r="27" spans="1:16" ht="15" customHeight="1" outlineLevel="1" x14ac:dyDescent="0.35">
      <c r="B27" s="113" t="s">
        <v>67</v>
      </c>
      <c r="C27" s="72"/>
      <c r="D27" s="143" t="s">
        <v>66</v>
      </c>
      <c r="E27" s="142">
        <v>105</v>
      </c>
      <c r="F27" s="142">
        <v>105</v>
      </c>
      <c r="G27" s="142">
        <v>105</v>
      </c>
      <c r="H27" s="142">
        <v>105</v>
      </c>
      <c r="I27" s="142">
        <v>105</v>
      </c>
      <c r="J27" s="142">
        <v>105</v>
      </c>
      <c r="K27" s="142">
        <v>110</v>
      </c>
      <c r="L27" s="142">
        <v>110</v>
      </c>
      <c r="M27" s="142">
        <v>110</v>
      </c>
      <c r="N27" s="142">
        <v>110</v>
      </c>
      <c r="O27" s="142">
        <v>110</v>
      </c>
      <c r="P27" s="142">
        <v>110</v>
      </c>
    </row>
    <row r="28" spans="1:16" ht="15" customHeight="1" outlineLevel="1" x14ac:dyDescent="0.35">
      <c r="B28" s="113" t="s">
        <v>40</v>
      </c>
      <c r="C28" s="72"/>
      <c r="D28" s="72"/>
      <c r="E28" s="114">
        <f t="shared" ref="E28:P28" si="3">E26*E27/1000</f>
        <v>53550</v>
      </c>
      <c r="F28" s="114">
        <f t="shared" si="3"/>
        <v>54075</v>
      </c>
      <c r="G28" s="114">
        <f t="shared" si="3"/>
        <v>54600</v>
      </c>
      <c r="H28" s="114">
        <f t="shared" si="3"/>
        <v>55125</v>
      </c>
      <c r="I28" s="114">
        <f t="shared" si="3"/>
        <v>55650</v>
      </c>
      <c r="J28" s="114">
        <f t="shared" si="3"/>
        <v>56175</v>
      </c>
      <c r="K28" s="114">
        <f t="shared" si="3"/>
        <v>59400</v>
      </c>
      <c r="L28" s="114">
        <f t="shared" si="3"/>
        <v>59950</v>
      </c>
      <c r="M28" s="114">
        <f t="shared" si="3"/>
        <v>60500</v>
      </c>
      <c r="N28" s="114">
        <f t="shared" si="3"/>
        <v>61050</v>
      </c>
      <c r="O28" s="114">
        <f t="shared" si="3"/>
        <v>61600</v>
      </c>
      <c r="P28" s="114">
        <f t="shared" si="3"/>
        <v>62150</v>
      </c>
    </row>
    <row r="29" spans="1:16" ht="15" customHeight="1" outlineLevel="1" x14ac:dyDescent="0.35"/>
    <row r="30" spans="1:16" ht="15" customHeight="1" outlineLevel="1" x14ac:dyDescent="0.35"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</row>
    <row r="32" spans="1:16" ht="15" customHeight="1" x14ac:dyDescent="0.35">
      <c r="A32" s="55" t="s">
        <v>0</v>
      </c>
      <c r="B32" s="151" t="s">
        <v>74</v>
      </c>
      <c r="C32" s="61"/>
      <c r="D32" s="61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</row>
    <row r="33" spans="1:16" ht="15" customHeight="1" outlineLevel="1" x14ac:dyDescent="0.35">
      <c r="C33" s="122"/>
      <c r="D33" s="122"/>
      <c r="E33" s="117"/>
      <c r="F33" s="117"/>
      <c r="G33" s="121"/>
      <c r="H33" s="121"/>
      <c r="I33" s="121"/>
      <c r="J33" s="121"/>
      <c r="K33" s="121"/>
      <c r="L33" s="121"/>
      <c r="M33" s="121"/>
      <c r="N33" s="121"/>
      <c r="O33" s="121"/>
      <c r="P33" s="121"/>
    </row>
    <row r="34" spans="1:16" ht="15" customHeight="1" outlineLevel="1" thickBot="1" x14ac:dyDescent="0.4">
      <c r="B34" s="136" t="s">
        <v>64</v>
      </c>
      <c r="C34" s="122"/>
      <c r="D34" s="122"/>
      <c r="E34" s="156">
        <f>C36</f>
        <v>2024</v>
      </c>
      <c r="F34" s="155">
        <f t="shared" ref="F34:P34" si="4">E34+1</f>
        <v>2025</v>
      </c>
      <c r="G34" s="155">
        <f t="shared" si="4"/>
        <v>2026</v>
      </c>
      <c r="H34" s="155">
        <f t="shared" si="4"/>
        <v>2027</v>
      </c>
      <c r="I34" s="155">
        <f t="shared" si="4"/>
        <v>2028</v>
      </c>
      <c r="J34" s="155">
        <f t="shared" si="4"/>
        <v>2029</v>
      </c>
      <c r="K34" s="155">
        <f t="shared" si="4"/>
        <v>2030</v>
      </c>
      <c r="L34" s="155">
        <f t="shared" si="4"/>
        <v>2031</v>
      </c>
      <c r="M34" s="155">
        <f t="shared" si="4"/>
        <v>2032</v>
      </c>
      <c r="N34" s="155">
        <f t="shared" si="4"/>
        <v>2033</v>
      </c>
      <c r="O34" s="155">
        <f t="shared" si="4"/>
        <v>2034</v>
      </c>
      <c r="P34" s="154">
        <f t="shared" si="4"/>
        <v>2035</v>
      </c>
    </row>
    <row r="35" spans="1:16" ht="15" customHeight="1" outlineLevel="1" x14ac:dyDescent="0.35">
      <c r="B35" s="147"/>
      <c r="C35" s="55"/>
      <c r="D35" s="122"/>
      <c r="E35" s="144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</row>
    <row r="36" spans="1:16" ht="15" customHeight="1" outlineLevel="1" x14ac:dyDescent="0.35">
      <c r="B36" s="146" t="s">
        <v>73</v>
      </c>
      <c r="C36" s="153">
        <v>2024</v>
      </c>
      <c r="D36" s="72"/>
    </row>
    <row r="37" spans="1:16" ht="15" customHeight="1" outlineLevel="1" x14ac:dyDescent="0.35">
      <c r="B37" s="146"/>
      <c r="C37" s="152"/>
      <c r="D37" s="72"/>
    </row>
    <row r="38" spans="1:16" ht="15" customHeight="1" outlineLevel="1" x14ac:dyDescent="0.35">
      <c r="B38" s="113" t="s">
        <v>69</v>
      </c>
      <c r="C38" s="72"/>
      <c r="D38" s="143" t="s">
        <v>68</v>
      </c>
      <c r="E38" s="111">
        <v>510000</v>
      </c>
      <c r="F38" s="111">
        <v>515000</v>
      </c>
      <c r="G38" s="111">
        <v>520000</v>
      </c>
      <c r="H38" s="111">
        <v>525000</v>
      </c>
      <c r="I38" s="111">
        <v>530000</v>
      </c>
      <c r="J38" s="111">
        <v>535000</v>
      </c>
      <c r="K38" s="111">
        <v>540000</v>
      </c>
      <c r="L38" s="111">
        <v>545000</v>
      </c>
      <c r="M38" s="111">
        <v>550000</v>
      </c>
      <c r="N38" s="111">
        <v>555000</v>
      </c>
      <c r="O38" s="111">
        <v>560000</v>
      </c>
      <c r="P38" s="111">
        <v>565000</v>
      </c>
    </row>
    <row r="39" spans="1:16" ht="15" customHeight="1" outlineLevel="1" x14ac:dyDescent="0.35">
      <c r="B39" s="113" t="s">
        <v>67</v>
      </c>
      <c r="C39" s="72"/>
      <c r="D39" s="143" t="s">
        <v>66</v>
      </c>
      <c r="E39" s="142">
        <v>105</v>
      </c>
      <c r="F39" s="142">
        <v>105</v>
      </c>
      <c r="G39" s="142">
        <v>105</v>
      </c>
      <c r="H39" s="142">
        <v>105</v>
      </c>
      <c r="I39" s="142">
        <v>105</v>
      </c>
      <c r="J39" s="142">
        <v>105</v>
      </c>
      <c r="K39" s="142">
        <v>110</v>
      </c>
      <c r="L39" s="142">
        <v>110</v>
      </c>
      <c r="M39" s="142">
        <v>110</v>
      </c>
      <c r="N39" s="142">
        <v>110</v>
      </c>
      <c r="O39" s="142">
        <v>110</v>
      </c>
      <c r="P39" s="142">
        <v>110</v>
      </c>
    </row>
    <row r="40" spans="1:16" ht="15" customHeight="1" outlineLevel="1" x14ac:dyDescent="0.35">
      <c r="B40" s="113" t="s">
        <v>40</v>
      </c>
      <c r="C40" s="72"/>
      <c r="D40" s="72"/>
      <c r="E40" s="114">
        <f t="shared" ref="E40:P40" si="5">E38*E39/1000</f>
        <v>53550</v>
      </c>
      <c r="F40" s="114">
        <f t="shared" si="5"/>
        <v>54075</v>
      </c>
      <c r="G40" s="114">
        <f t="shared" si="5"/>
        <v>54600</v>
      </c>
      <c r="H40" s="114">
        <f t="shared" si="5"/>
        <v>55125</v>
      </c>
      <c r="I40" s="114">
        <f t="shared" si="5"/>
        <v>55650</v>
      </c>
      <c r="J40" s="114">
        <f t="shared" si="5"/>
        <v>56175</v>
      </c>
      <c r="K40" s="114">
        <f t="shared" si="5"/>
        <v>59400</v>
      </c>
      <c r="L40" s="114">
        <f t="shared" si="5"/>
        <v>59950</v>
      </c>
      <c r="M40" s="114">
        <f t="shared" si="5"/>
        <v>60500</v>
      </c>
      <c r="N40" s="114">
        <f t="shared" si="5"/>
        <v>61050</v>
      </c>
      <c r="O40" s="114">
        <f t="shared" si="5"/>
        <v>61600</v>
      </c>
      <c r="P40" s="114">
        <f t="shared" si="5"/>
        <v>62150</v>
      </c>
    </row>
    <row r="41" spans="1:16" ht="15" customHeight="1" outlineLevel="1" x14ac:dyDescent="0.35"/>
    <row r="42" spans="1:16" ht="15" customHeight="1" outlineLevel="1" x14ac:dyDescent="0.35"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</row>
    <row r="44" spans="1:16" ht="15" customHeight="1" x14ac:dyDescent="0.35">
      <c r="A44" s="55" t="s">
        <v>0</v>
      </c>
      <c r="B44" s="151" t="s">
        <v>72</v>
      </c>
      <c r="C44" s="61"/>
      <c r="D44" s="61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</row>
    <row r="45" spans="1:16" ht="15" customHeight="1" outlineLevel="1" x14ac:dyDescent="0.35">
      <c r="C45" s="122"/>
      <c r="D45" s="122"/>
      <c r="E45" s="117"/>
      <c r="F45" s="117"/>
      <c r="G45" s="121"/>
      <c r="H45" s="121"/>
      <c r="I45" s="121"/>
      <c r="J45" s="121"/>
      <c r="K45" s="121"/>
      <c r="L45" s="121"/>
      <c r="M45" s="121"/>
      <c r="N45" s="121"/>
      <c r="O45" s="121"/>
      <c r="P45" s="121"/>
    </row>
    <row r="46" spans="1:16" ht="15" customHeight="1" outlineLevel="1" thickBot="1" x14ac:dyDescent="0.4">
      <c r="B46" s="136" t="s">
        <v>64</v>
      </c>
      <c r="C46" s="122"/>
      <c r="D46" s="122"/>
      <c r="E46" s="150">
        <f>C48</f>
        <v>45292</v>
      </c>
      <c r="F46" s="149">
        <f t="shared" ref="F46:P46" si="6">EDATE(E46,$C$49)</f>
        <v>45323</v>
      </c>
      <c r="G46" s="149">
        <f t="shared" si="6"/>
        <v>45352</v>
      </c>
      <c r="H46" s="150">
        <f t="shared" si="6"/>
        <v>45383</v>
      </c>
      <c r="I46" s="149">
        <f t="shared" si="6"/>
        <v>45413</v>
      </c>
      <c r="J46" s="149">
        <f t="shared" si="6"/>
        <v>45444</v>
      </c>
      <c r="K46" s="150">
        <f t="shared" si="6"/>
        <v>45474</v>
      </c>
      <c r="L46" s="149">
        <f t="shared" si="6"/>
        <v>45505</v>
      </c>
      <c r="M46" s="149">
        <f t="shared" si="6"/>
        <v>45536</v>
      </c>
      <c r="N46" s="150">
        <f t="shared" si="6"/>
        <v>45566</v>
      </c>
      <c r="O46" s="149">
        <f t="shared" si="6"/>
        <v>45597</v>
      </c>
      <c r="P46" s="148">
        <f t="shared" si="6"/>
        <v>45627</v>
      </c>
    </row>
    <row r="47" spans="1:16" ht="15" customHeight="1" outlineLevel="1" x14ac:dyDescent="0.35">
      <c r="B47" s="147"/>
      <c r="C47" s="122"/>
      <c r="D47" s="122"/>
      <c r="E47" s="144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</row>
    <row r="48" spans="1:16" ht="15" customHeight="1" outlineLevel="1" x14ac:dyDescent="0.35">
      <c r="B48" s="146" t="s">
        <v>71</v>
      </c>
      <c r="C48" s="213">
        <v>45292</v>
      </c>
      <c r="D48" s="72"/>
    </row>
    <row r="49" spans="1:16" ht="15" customHeight="1" outlineLevel="1" x14ac:dyDescent="0.35">
      <c r="B49" s="146" t="s">
        <v>70</v>
      </c>
      <c r="C49" s="145">
        <v>1</v>
      </c>
      <c r="D49" s="55"/>
      <c r="E49" s="144"/>
    </row>
    <row r="50" spans="1:16" ht="15" customHeight="1" outlineLevel="1" x14ac:dyDescent="0.35"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</row>
    <row r="51" spans="1:16" ht="15" customHeight="1" outlineLevel="1" x14ac:dyDescent="0.35">
      <c r="B51" s="113" t="s">
        <v>69</v>
      </c>
      <c r="C51" s="72"/>
      <c r="D51" s="143" t="s">
        <v>68</v>
      </c>
      <c r="E51" s="111">
        <v>510000</v>
      </c>
      <c r="F51" s="111">
        <v>515000</v>
      </c>
      <c r="G51" s="111">
        <v>520000</v>
      </c>
      <c r="H51" s="111">
        <v>525000</v>
      </c>
      <c r="I51" s="111">
        <v>530000</v>
      </c>
      <c r="J51" s="111">
        <v>535000</v>
      </c>
      <c r="K51" s="111">
        <v>540000</v>
      </c>
      <c r="L51" s="111">
        <v>545000</v>
      </c>
      <c r="M51" s="111">
        <v>550000</v>
      </c>
      <c r="N51" s="111">
        <v>555000</v>
      </c>
      <c r="O51" s="111">
        <v>560000</v>
      </c>
      <c r="P51" s="111">
        <v>565000</v>
      </c>
    </row>
    <row r="52" spans="1:16" ht="15" customHeight="1" outlineLevel="1" x14ac:dyDescent="0.35">
      <c r="B52" s="113" t="s">
        <v>67</v>
      </c>
      <c r="C52" s="72"/>
      <c r="D52" s="143" t="s">
        <v>66</v>
      </c>
      <c r="E52" s="142">
        <v>105</v>
      </c>
      <c r="F52" s="142">
        <v>105</v>
      </c>
      <c r="G52" s="142">
        <v>105</v>
      </c>
      <c r="H52" s="142">
        <v>105</v>
      </c>
      <c r="I52" s="142">
        <v>105</v>
      </c>
      <c r="J52" s="142">
        <v>105</v>
      </c>
      <c r="K52" s="142">
        <v>110</v>
      </c>
      <c r="L52" s="142">
        <v>110</v>
      </c>
      <c r="M52" s="142">
        <v>110</v>
      </c>
      <c r="N52" s="142">
        <v>110</v>
      </c>
      <c r="O52" s="142">
        <v>110</v>
      </c>
      <c r="P52" s="142">
        <v>110</v>
      </c>
    </row>
    <row r="53" spans="1:16" ht="15" customHeight="1" outlineLevel="1" x14ac:dyDescent="0.35">
      <c r="B53" s="113" t="s">
        <v>40</v>
      </c>
      <c r="C53" s="72"/>
      <c r="D53" s="72"/>
      <c r="E53" s="114">
        <f t="shared" ref="E53:P53" si="7">E51*E52/1000</f>
        <v>53550</v>
      </c>
      <c r="F53" s="114">
        <f t="shared" si="7"/>
        <v>54075</v>
      </c>
      <c r="G53" s="114">
        <f t="shared" si="7"/>
        <v>54600</v>
      </c>
      <c r="H53" s="114">
        <f t="shared" si="7"/>
        <v>55125</v>
      </c>
      <c r="I53" s="114">
        <f t="shared" si="7"/>
        <v>55650</v>
      </c>
      <c r="J53" s="114">
        <f t="shared" si="7"/>
        <v>56175</v>
      </c>
      <c r="K53" s="114">
        <f t="shared" si="7"/>
        <v>59400</v>
      </c>
      <c r="L53" s="114">
        <f t="shared" si="7"/>
        <v>59950</v>
      </c>
      <c r="M53" s="114">
        <f t="shared" si="7"/>
        <v>60500</v>
      </c>
      <c r="N53" s="114">
        <f t="shared" si="7"/>
        <v>61050</v>
      </c>
      <c r="O53" s="114">
        <f t="shared" si="7"/>
        <v>61600</v>
      </c>
      <c r="P53" s="114">
        <f t="shared" si="7"/>
        <v>62150</v>
      </c>
    </row>
    <row r="54" spans="1:16" ht="15" customHeight="1" outlineLevel="1" x14ac:dyDescent="0.35"/>
    <row r="55" spans="1:16" ht="15" customHeight="1" outlineLevel="1" x14ac:dyDescent="0.35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</row>
    <row r="57" spans="1:16" ht="15" customHeight="1" x14ac:dyDescent="0.35">
      <c r="A57" s="55" t="s">
        <v>0</v>
      </c>
      <c r="B57" s="141" t="s">
        <v>65</v>
      </c>
      <c r="C57" s="62"/>
      <c r="D57" s="140"/>
      <c r="E57" s="140"/>
      <c r="F57" s="73"/>
      <c r="G57" s="73"/>
      <c r="H57" s="73"/>
      <c r="I57" s="139"/>
      <c r="J57" s="138"/>
      <c r="K57" s="138"/>
      <c r="L57" s="138"/>
      <c r="M57" s="138"/>
      <c r="N57" s="138"/>
      <c r="O57" s="138"/>
      <c r="P57" s="138"/>
    </row>
    <row r="58" spans="1:16" ht="15" customHeight="1" outlineLevel="1" x14ac:dyDescent="0.35">
      <c r="A58" s="66"/>
      <c r="B58" s="124"/>
      <c r="C58" s="123"/>
      <c r="D58" s="122"/>
      <c r="E58" s="122"/>
      <c r="F58" s="121"/>
      <c r="G58" s="121"/>
      <c r="H58" s="121"/>
      <c r="I58" s="121"/>
      <c r="J58" s="121"/>
      <c r="K58" s="121"/>
      <c r="L58" s="43"/>
      <c r="O58" s="58"/>
      <c r="P58" s="66"/>
    </row>
    <row r="59" spans="1:16" ht="15" customHeight="1" outlineLevel="1" x14ac:dyDescent="0.35">
      <c r="A59" s="66"/>
      <c r="B59" s="136" t="s">
        <v>64</v>
      </c>
      <c r="C59" s="123"/>
      <c r="D59" s="122"/>
      <c r="E59" s="137"/>
      <c r="F59" s="137"/>
      <c r="G59" s="66"/>
      <c r="H59" s="66"/>
      <c r="I59" s="66"/>
      <c r="J59" s="66"/>
      <c r="K59" s="66"/>
      <c r="L59" s="43"/>
      <c r="O59" s="58"/>
      <c r="P59" s="66"/>
    </row>
    <row r="60" spans="1:16" ht="15" customHeight="1" outlineLevel="1" x14ac:dyDescent="0.35">
      <c r="A60" s="66"/>
      <c r="B60" s="136"/>
      <c r="C60" s="66"/>
      <c r="D60" s="66"/>
      <c r="E60" s="135" t="s">
        <v>63</v>
      </c>
      <c r="F60" s="134" t="s">
        <v>62</v>
      </c>
      <c r="G60" s="133"/>
      <c r="H60" s="133"/>
      <c r="I60" s="133"/>
      <c r="J60" s="133"/>
      <c r="K60" s="133"/>
      <c r="L60" s="133"/>
      <c r="M60" s="133"/>
      <c r="N60" s="133"/>
      <c r="O60" s="133"/>
      <c r="P60" s="132"/>
    </row>
    <row r="61" spans="1:16" ht="15" customHeight="1" outlineLevel="1" x14ac:dyDescent="0.35">
      <c r="A61" s="66"/>
      <c r="B61" s="66"/>
      <c r="C61" s="66"/>
      <c r="D61" s="66"/>
      <c r="E61" s="131" t="s">
        <v>61</v>
      </c>
      <c r="F61" s="131" t="s">
        <v>61</v>
      </c>
      <c r="G61" s="130" t="s">
        <v>61</v>
      </c>
      <c r="H61" s="130" t="s">
        <v>61</v>
      </c>
      <c r="I61" s="130" t="s">
        <v>61</v>
      </c>
      <c r="J61" s="130" t="s">
        <v>61</v>
      </c>
      <c r="K61" s="130" t="s">
        <v>61</v>
      </c>
      <c r="L61" s="130" t="s">
        <v>61</v>
      </c>
      <c r="M61" s="130" t="s">
        <v>61</v>
      </c>
      <c r="N61" s="130" t="s">
        <v>61</v>
      </c>
      <c r="O61" s="130" t="s">
        <v>61</v>
      </c>
      <c r="P61" s="129" t="s">
        <v>61</v>
      </c>
    </row>
    <row r="62" spans="1:16" ht="15" customHeight="1" outlineLevel="1" thickBot="1" x14ac:dyDescent="0.4">
      <c r="A62" s="66"/>
      <c r="B62" s="128"/>
      <c r="C62" s="66"/>
      <c r="D62" s="66"/>
      <c r="E62" s="127">
        <v>45382</v>
      </c>
      <c r="F62" s="127">
        <v>45657</v>
      </c>
      <c r="G62" s="126">
        <f t="shared" ref="G62:P62" si="8">EDATE(F62,12)</f>
        <v>46022</v>
      </c>
      <c r="H62" s="126">
        <f t="shared" si="8"/>
        <v>46387</v>
      </c>
      <c r="I62" s="126">
        <f t="shared" si="8"/>
        <v>46752</v>
      </c>
      <c r="J62" s="126">
        <f t="shared" si="8"/>
        <v>47118</v>
      </c>
      <c r="K62" s="126">
        <f t="shared" si="8"/>
        <v>47483</v>
      </c>
      <c r="L62" s="126">
        <f t="shared" si="8"/>
        <v>47848</v>
      </c>
      <c r="M62" s="126">
        <f t="shared" si="8"/>
        <v>48213</v>
      </c>
      <c r="N62" s="126">
        <f t="shared" si="8"/>
        <v>48579</v>
      </c>
      <c r="O62" s="126">
        <f t="shared" si="8"/>
        <v>48944</v>
      </c>
      <c r="P62" s="125">
        <f t="shared" si="8"/>
        <v>49309</v>
      </c>
    </row>
    <row r="63" spans="1:16" ht="15" customHeight="1" outlineLevel="1" x14ac:dyDescent="0.35">
      <c r="A63" s="66"/>
      <c r="B63" s="124"/>
      <c r="C63" s="123"/>
      <c r="D63" s="122"/>
      <c r="E63" s="121"/>
      <c r="F63" s="121"/>
      <c r="G63" s="121"/>
      <c r="H63" s="121"/>
      <c r="I63" s="121"/>
      <c r="J63" s="121"/>
      <c r="K63" s="66"/>
      <c r="L63" s="43"/>
    </row>
    <row r="64" spans="1:16" ht="15" customHeight="1" outlineLevel="1" x14ac:dyDescent="0.35">
      <c r="A64" s="66"/>
      <c r="B64" s="119" t="s">
        <v>60</v>
      </c>
      <c r="C64" s="66"/>
      <c r="D64" s="64"/>
      <c r="E64" s="112"/>
      <c r="F64" s="118"/>
      <c r="G64" s="118"/>
      <c r="H64" s="118"/>
      <c r="I64" s="118"/>
      <c r="J64" s="118"/>
      <c r="K64" s="66"/>
      <c r="L64" s="43"/>
    </row>
    <row r="65" spans="1:16" ht="15" customHeight="1" outlineLevel="1" x14ac:dyDescent="0.35">
      <c r="A65" s="66"/>
      <c r="B65" s="50" t="s">
        <v>57</v>
      </c>
      <c r="C65" s="66"/>
      <c r="D65" s="115"/>
      <c r="E65" s="111">
        <v>0</v>
      </c>
      <c r="F65" s="111">
        <v>16000</v>
      </c>
      <c r="G65" s="111">
        <v>18000</v>
      </c>
      <c r="H65" s="111">
        <v>20000</v>
      </c>
      <c r="I65" s="111">
        <v>22000</v>
      </c>
      <c r="J65" s="111">
        <v>25000</v>
      </c>
      <c r="K65" s="111">
        <v>28000</v>
      </c>
      <c r="L65" s="111">
        <v>31000</v>
      </c>
      <c r="M65" s="111">
        <v>34000</v>
      </c>
      <c r="N65" s="111">
        <v>37000</v>
      </c>
      <c r="O65" s="111">
        <v>40000</v>
      </c>
      <c r="P65" s="111">
        <v>43000</v>
      </c>
    </row>
    <row r="66" spans="1:16" ht="15" customHeight="1" outlineLevel="1" x14ac:dyDescent="0.35">
      <c r="A66" s="66"/>
      <c r="B66" s="119"/>
      <c r="C66" s="66"/>
      <c r="D66" s="112"/>
      <c r="E66" s="120"/>
      <c r="F66" s="120"/>
      <c r="G66" s="120"/>
      <c r="H66" s="120"/>
      <c r="I66" s="120"/>
      <c r="J66" s="64"/>
      <c r="K66" s="64"/>
      <c r="L66" s="43"/>
    </row>
    <row r="67" spans="1:16" ht="15" customHeight="1" outlineLevel="1" x14ac:dyDescent="0.35">
      <c r="A67" s="66"/>
      <c r="B67" s="119" t="s">
        <v>59</v>
      </c>
      <c r="C67" s="66"/>
      <c r="D67" s="112"/>
      <c r="E67" s="112"/>
      <c r="F67" s="117"/>
      <c r="G67" s="118"/>
      <c r="H67" s="118"/>
      <c r="I67" s="118"/>
      <c r="J67" s="118"/>
      <c r="K67" s="118"/>
      <c r="L67" s="118"/>
      <c r="M67" s="118"/>
      <c r="N67" s="118"/>
      <c r="O67" s="118"/>
      <c r="P67" s="117">
        <v>13</v>
      </c>
    </row>
    <row r="68" spans="1:16" ht="15" customHeight="1" outlineLevel="1" x14ac:dyDescent="0.35">
      <c r="A68" s="66"/>
      <c r="B68" s="113" t="s">
        <v>58</v>
      </c>
      <c r="C68" s="66"/>
      <c r="D68" s="112"/>
      <c r="E68" s="111">
        <v>0</v>
      </c>
      <c r="F68" s="116">
        <f t="shared" ref="F68:P68" si="9">YEARFRAC(E62,F62)</f>
        <v>0.75</v>
      </c>
      <c r="G68" s="116">
        <f t="shared" si="9"/>
        <v>1</v>
      </c>
      <c r="H68" s="116">
        <f t="shared" si="9"/>
        <v>1</v>
      </c>
      <c r="I68" s="116">
        <f t="shared" si="9"/>
        <v>1</v>
      </c>
      <c r="J68" s="116">
        <f t="shared" si="9"/>
        <v>1</v>
      </c>
      <c r="K68" s="116">
        <f t="shared" si="9"/>
        <v>1</v>
      </c>
      <c r="L68" s="116">
        <f t="shared" si="9"/>
        <v>1</v>
      </c>
      <c r="M68" s="116">
        <f t="shared" si="9"/>
        <v>1</v>
      </c>
      <c r="N68" s="116">
        <f t="shared" si="9"/>
        <v>1</v>
      </c>
      <c r="O68" s="116">
        <f t="shared" si="9"/>
        <v>1</v>
      </c>
      <c r="P68" s="116">
        <f t="shared" si="9"/>
        <v>1</v>
      </c>
    </row>
    <row r="69" spans="1:16" ht="15" customHeight="1" outlineLevel="1" x14ac:dyDescent="0.35">
      <c r="A69" s="66"/>
      <c r="B69" s="50" t="s">
        <v>57</v>
      </c>
      <c r="C69" s="66"/>
      <c r="D69" s="115"/>
      <c r="E69" s="212">
        <f t="shared" ref="E69:P69" si="10">E68*E65</f>
        <v>0</v>
      </c>
      <c r="F69" s="212">
        <f t="shared" si="10"/>
        <v>12000</v>
      </c>
      <c r="G69" s="212">
        <f t="shared" si="10"/>
        <v>18000</v>
      </c>
      <c r="H69" s="212">
        <f t="shared" si="10"/>
        <v>20000</v>
      </c>
      <c r="I69" s="212">
        <f t="shared" si="10"/>
        <v>22000</v>
      </c>
      <c r="J69" s="212">
        <f t="shared" si="10"/>
        <v>25000</v>
      </c>
      <c r="K69" s="212">
        <f t="shared" si="10"/>
        <v>28000</v>
      </c>
      <c r="L69" s="212">
        <f t="shared" si="10"/>
        <v>31000</v>
      </c>
      <c r="M69" s="212">
        <f t="shared" si="10"/>
        <v>34000</v>
      </c>
      <c r="N69" s="212">
        <f t="shared" si="10"/>
        <v>37000</v>
      </c>
      <c r="O69" s="212">
        <f t="shared" si="10"/>
        <v>40000</v>
      </c>
      <c r="P69" s="212">
        <f t="shared" si="10"/>
        <v>43000</v>
      </c>
    </row>
    <row r="70" spans="1:16" ht="15" customHeight="1" outlineLevel="1" x14ac:dyDescent="0.35">
      <c r="A70" s="66"/>
      <c r="B70" s="113"/>
      <c r="C70" s="66"/>
      <c r="D70" s="112"/>
      <c r="E70" s="111"/>
      <c r="F70" s="110"/>
      <c r="G70" s="110"/>
      <c r="H70" s="110"/>
      <c r="I70" s="110"/>
      <c r="J70" s="110"/>
      <c r="K70" s="103"/>
      <c r="P70" s="58"/>
    </row>
    <row r="71" spans="1:16" ht="15" customHeight="1" outlineLevel="1" x14ac:dyDescent="0.35">
      <c r="A71" s="66"/>
      <c r="B71" s="109"/>
      <c r="C71" s="108"/>
      <c r="D71" s="107"/>
      <c r="E71" s="107"/>
      <c r="F71" s="106"/>
      <c r="G71" s="106"/>
      <c r="H71" s="105"/>
      <c r="I71" s="104"/>
      <c r="J71" s="104"/>
      <c r="K71" s="104"/>
      <c r="L71" s="104"/>
      <c r="M71" s="104"/>
      <c r="N71" s="104"/>
      <c r="O71" s="104"/>
      <c r="P71" s="104" t="s">
        <v>0</v>
      </c>
    </row>
  </sheetData>
  <printOptions horizontalCentered="1"/>
  <pageMargins left="0.3" right="0.3" top="0.3" bottom="0.3" header="0.3" footer="0.3"/>
  <pageSetup paperSize="5" scale="95" orientation="landscape" r:id="rId1"/>
  <headerFooter>
    <oddFooter>&amp;L&amp;"Open Sans,Bold"&amp;10&amp;K002060Excel Fundamentals - Formulas for Finance&amp;C&amp;"Open Sans,Bold"&amp;10&amp;K002060Page &amp;P of &amp;N&amp;R&amp;G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9AE8E-9292-4CFF-ADAC-75C71539DE64}">
  <dimension ref="A1:M41"/>
  <sheetViews>
    <sheetView showGridLines="0" zoomScaleNormal="100" zoomScaleSheetLayoutView="100" workbookViewId="0"/>
  </sheetViews>
  <sheetFormatPr defaultColWidth="8.5546875" defaultRowHeight="15" customHeight="1" outlineLevelRow="1" x14ac:dyDescent="0.35"/>
  <cols>
    <col min="1" max="1" width="8.5546875" style="42"/>
    <col min="2" max="3" width="13.88671875" style="42" customWidth="1"/>
    <col min="4" max="4" width="12.6640625" style="42" customWidth="1"/>
    <col min="5" max="5" width="11.44140625" style="42" customWidth="1"/>
    <col min="6" max="6" width="13.88671875" style="42" customWidth="1"/>
    <col min="7" max="7" width="6.6640625" style="42" customWidth="1"/>
    <col min="8" max="9" width="13.88671875" style="42" customWidth="1"/>
    <col min="10" max="10" width="12.6640625" style="42" customWidth="1"/>
    <col min="11" max="11" width="11.44140625" style="42" customWidth="1"/>
    <col min="12" max="12" width="13.88671875" style="42" customWidth="1"/>
    <col min="13" max="16384" width="8.5546875" style="42"/>
  </cols>
  <sheetData>
    <row r="1" spans="1:13" s="64" customFormat="1" ht="50.1" customHeight="1" x14ac:dyDescent="0.35"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3" spans="1:13" s="66" customFormat="1" ht="15" customHeight="1" x14ac:dyDescent="0.35">
      <c r="A3" s="55" t="s">
        <v>0</v>
      </c>
      <c r="B3" s="141" t="s">
        <v>101</v>
      </c>
      <c r="C3" s="62"/>
      <c r="D3" s="62"/>
      <c r="E3" s="61"/>
      <c r="F3" s="61"/>
      <c r="G3" s="61"/>
      <c r="H3" s="61"/>
      <c r="I3" s="61"/>
      <c r="J3" s="61"/>
      <c r="K3" s="61"/>
      <c r="L3" s="61"/>
      <c r="M3" s="42"/>
    </row>
    <row r="4" spans="1:13" s="66" customFormat="1" ht="15" customHeight="1" outlineLevel="1" x14ac:dyDescent="0.35">
      <c r="A4" s="72"/>
      <c r="B4" s="203"/>
      <c r="C4" s="123"/>
      <c r="D4" s="123"/>
      <c r="E4" s="122"/>
      <c r="F4" s="122"/>
      <c r="G4" s="121"/>
      <c r="H4" s="121"/>
      <c r="I4" s="121"/>
      <c r="J4" s="121"/>
      <c r="K4" s="25"/>
      <c r="M4" s="58"/>
    </row>
    <row r="5" spans="1:13" s="66" customFormat="1" ht="15" customHeight="1" outlineLevel="1" thickBot="1" x14ac:dyDescent="0.4">
      <c r="A5" s="72"/>
      <c r="B5" s="72"/>
      <c r="C5" s="72"/>
      <c r="D5" s="72"/>
      <c r="E5" s="207" t="s">
        <v>105</v>
      </c>
      <c r="F5" s="207" t="s">
        <v>104</v>
      </c>
      <c r="G5" s="42"/>
      <c r="H5" s="121"/>
      <c r="I5" s="121"/>
      <c r="J5" s="121"/>
      <c r="K5" s="25"/>
      <c r="M5" s="58"/>
    </row>
    <row r="6" spans="1:13" s="66" customFormat="1" ht="15" customHeight="1" outlineLevel="1" x14ac:dyDescent="0.35">
      <c r="A6" s="72"/>
      <c r="B6" s="50" t="s">
        <v>103</v>
      </c>
      <c r="C6" s="64"/>
      <c r="D6" s="72"/>
      <c r="E6" s="206">
        <v>0.15</v>
      </c>
      <c r="F6" s="206">
        <v>7.4999999999999997E-2</v>
      </c>
      <c r="G6" s="42"/>
      <c r="H6" s="121"/>
      <c r="I6" s="121"/>
      <c r="J6" s="121"/>
      <c r="K6" s="25"/>
      <c r="M6" s="58"/>
    </row>
    <row r="7" spans="1:13" s="66" customFormat="1" ht="15" customHeight="1" outlineLevel="1" x14ac:dyDescent="0.35">
      <c r="A7" s="72"/>
      <c r="B7" s="50" t="s">
        <v>102</v>
      </c>
      <c r="C7" s="64"/>
      <c r="D7" s="64"/>
      <c r="E7" s="206">
        <v>0.85</v>
      </c>
      <c r="F7" s="206">
        <v>0.115</v>
      </c>
      <c r="G7" s="42"/>
      <c r="H7" s="121"/>
      <c r="I7" s="121"/>
      <c r="J7" s="121"/>
      <c r="K7" s="25"/>
      <c r="M7" s="58"/>
    </row>
    <row r="8" spans="1:13" s="66" customFormat="1" ht="15" customHeight="1" outlineLevel="1" x14ac:dyDescent="0.35">
      <c r="A8" s="72"/>
      <c r="B8" s="64"/>
      <c r="C8" s="64"/>
      <c r="D8" s="64"/>
      <c r="E8" s="64"/>
      <c r="F8" s="64"/>
      <c r="G8" s="42"/>
      <c r="H8" s="121"/>
      <c r="I8" s="121"/>
      <c r="J8" s="121"/>
      <c r="K8" s="25"/>
      <c r="M8" s="58"/>
    </row>
    <row r="9" spans="1:13" s="66" customFormat="1" ht="15" customHeight="1" outlineLevel="1" thickBot="1" x14ac:dyDescent="0.4">
      <c r="A9" s="72"/>
      <c r="B9" s="50" t="s">
        <v>101</v>
      </c>
      <c r="C9" s="64"/>
      <c r="D9" s="64"/>
      <c r="E9" s="72"/>
      <c r="F9" s="205">
        <f>SUMPRODUCT(E6:E7,F6:F7)</f>
        <v>0.109</v>
      </c>
      <c r="G9" s="42"/>
      <c r="H9" s="121"/>
      <c r="I9" s="121"/>
      <c r="J9" s="121"/>
      <c r="K9" s="25"/>
      <c r="M9" s="58"/>
    </row>
    <row r="10" spans="1:13" s="66" customFormat="1" ht="15" customHeight="1" outlineLevel="1" x14ac:dyDescent="0.35">
      <c r="A10" s="72"/>
      <c r="B10" s="72"/>
      <c r="C10" s="72"/>
      <c r="D10" s="72"/>
      <c r="E10" s="72"/>
      <c r="F10" s="72"/>
      <c r="G10" s="42"/>
      <c r="H10" s="121"/>
      <c r="I10" s="121"/>
      <c r="J10" s="121"/>
      <c r="K10" s="25"/>
      <c r="M10" s="58"/>
    </row>
    <row r="11" spans="1:13" s="66" customFormat="1" ht="15" customHeight="1" outlineLevel="1" x14ac:dyDescent="0.35">
      <c r="A11" s="72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58"/>
    </row>
    <row r="12" spans="1:13" s="66" customFormat="1" ht="15" customHeight="1" x14ac:dyDescent="0.35">
      <c r="A12" s="72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58"/>
    </row>
    <row r="13" spans="1:13" s="66" customFormat="1" ht="15" customHeight="1" x14ac:dyDescent="0.35">
      <c r="A13" s="55" t="s">
        <v>0</v>
      </c>
      <c r="B13" s="141" t="s">
        <v>100</v>
      </c>
      <c r="C13" s="62"/>
      <c r="D13" s="62"/>
      <c r="E13" s="61"/>
      <c r="F13" s="61"/>
      <c r="G13" s="73"/>
      <c r="H13" s="73"/>
      <c r="I13" s="73"/>
      <c r="J13" s="73"/>
      <c r="K13" s="73"/>
      <c r="L13" s="73"/>
      <c r="M13" s="42"/>
    </row>
    <row r="14" spans="1:13" s="66" customFormat="1" ht="15" customHeight="1" outlineLevel="1" x14ac:dyDescent="0.35">
      <c r="A14" s="72"/>
      <c r="B14" s="203"/>
      <c r="C14" s="123"/>
      <c r="D14" s="123"/>
      <c r="E14" s="122"/>
      <c r="F14" s="122"/>
      <c r="G14" s="121"/>
      <c r="H14" s="121"/>
      <c r="I14" s="121"/>
      <c r="J14" s="121"/>
      <c r="K14" s="25"/>
      <c r="M14" s="58"/>
    </row>
    <row r="15" spans="1:13" s="66" customFormat="1" ht="15" customHeight="1" outlineLevel="1" x14ac:dyDescent="0.35">
      <c r="A15" s="72"/>
      <c r="B15" s="202" t="str">
        <f>CONCATENATE("We have assumed a valuation date of ",TEXT($B$21,"mmmm d, yyy")," for both examples below.")</f>
        <v>We have assumed a valuation date of December 31, 2023 for both examples below.</v>
      </c>
      <c r="C15" s="42"/>
      <c r="D15" s="42"/>
      <c r="E15" s="42"/>
      <c r="F15" s="42"/>
      <c r="G15" s="42"/>
      <c r="H15" s="121"/>
      <c r="I15" s="121"/>
      <c r="J15" s="121"/>
      <c r="K15" s="25"/>
    </row>
    <row r="16" spans="1:13" s="66" customFormat="1" ht="15" customHeight="1" outlineLevel="1" x14ac:dyDescent="0.35">
      <c r="A16" s="7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</row>
    <row r="17" spans="1:13" s="66" customFormat="1" ht="15" customHeight="1" outlineLevel="1" x14ac:dyDescent="0.35">
      <c r="A17" s="7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</row>
    <row r="18" spans="1:13" ht="15" customHeight="1" outlineLevel="1" thickBot="1" x14ac:dyDescent="0.4">
      <c r="B18" s="200" t="s">
        <v>99</v>
      </c>
      <c r="C18" s="201"/>
      <c r="D18" s="201"/>
      <c r="E18" s="199"/>
      <c r="F18" s="199"/>
      <c r="H18" s="200" t="s">
        <v>98</v>
      </c>
      <c r="I18" s="199"/>
      <c r="J18" s="199"/>
      <c r="K18" s="199"/>
      <c r="L18" s="199"/>
    </row>
    <row r="19" spans="1:13" ht="15" customHeight="1" outlineLevel="1" x14ac:dyDescent="0.35">
      <c r="B19" s="184"/>
      <c r="C19" s="171"/>
      <c r="D19" s="171"/>
      <c r="H19" s="198"/>
      <c r="I19" s="57"/>
      <c r="L19" s="198"/>
    </row>
    <row r="20" spans="1:13" ht="15" customHeight="1" outlineLevel="1" x14ac:dyDescent="0.35">
      <c r="B20" s="197" t="s">
        <v>9</v>
      </c>
      <c r="C20" s="196" t="s">
        <v>97</v>
      </c>
      <c r="D20" s="58"/>
      <c r="E20" s="195" t="s">
        <v>96</v>
      </c>
      <c r="F20" s="194">
        <f>$F$9</f>
        <v>0.109</v>
      </c>
      <c r="H20" s="197" t="s">
        <v>9</v>
      </c>
      <c r="I20" s="196" t="s">
        <v>97</v>
      </c>
      <c r="J20" s="58"/>
      <c r="K20" s="195" t="s">
        <v>96</v>
      </c>
      <c r="L20" s="194">
        <f>$F$9</f>
        <v>0.109</v>
      </c>
    </row>
    <row r="21" spans="1:13" ht="15" customHeight="1" outlineLevel="1" x14ac:dyDescent="0.35">
      <c r="B21" s="180">
        <v>45291</v>
      </c>
      <c r="C21" s="193">
        <v>-300000</v>
      </c>
      <c r="D21" s="178"/>
      <c r="E21" s="192"/>
      <c r="F21" s="192"/>
      <c r="H21" s="177">
        <f>B21</f>
        <v>45291</v>
      </c>
      <c r="I21" s="176">
        <f>C21</f>
        <v>-300000</v>
      </c>
      <c r="J21" s="175"/>
      <c r="K21" s="192"/>
      <c r="L21" s="192"/>
      <c r="M21" s="58"/>
    </row>
    <row r="22" spans="1:13" ht="15" customHeight="1" outlineLevel="1" x14ac:dyDescent="0.35">
      <c r="B22" s="180">
        <v>45629</v>
      </c>
      <c r="C22" s="179">
        <v>68601</v>
      </c>
      <c r="D22" s="55"/>
      <c r="E22" s="184" t="s">
        <v>95</v>
      </c>
      <c r="F22" s="191">
        <f>C21+NPV(F20,C22:C32)</f>
        <v>65953.682316872815</v>
      </c>
      <c r="H22" s="177">
        <f t="shared" ref="H22:H32" si="0">EDATE(H21,12)</f>
        <v>45657</v>
      </c>
      <c r="I22" s="176">
        <f t="shared" ref="I22:I32" si="1">C22</f>
        <v>68601</v>
      </c>
      <c r="J22" s="55"/>
      <c r="K22" s="184" t="s">
        <v>95</v>
      </c>
      <c r="L22" s="190">
        <f>I21+NPV(L20,I22:I32)</f>
        <v>65953.682316872815</v>
      </c>
      <c r="M22" s="211"/>
    </row>
    <row r="23" spans="1:13" ht="15" customHeight="1" outlineLevel="1" x14ac:dyDescent="0.35">
      <c r="B23" s="180">
        <v>46003</v>
      </c>
      <c r="C23" s="179">
        <v>42060</v>
      </c>
      <c r="D23" s="55"/>
      <c r="E23" s="184" t="s">
        <v>94</v>
      </c>
      <c r="F23" s="189">
        <f>XNPV(F20,C21:C32,B21:B32)</f>
        <v>68151.113569151246</v>
      </c>
      <c r="H23" s="177">
        <f t="shared" si="0"/>
        <v>46022</v>
      </c>
      <c r="I23" s="176">
        <f t="shared" si="1"/>
        <v>42060</v>
      </c>
      <c r="J23" s="55"/>
      <c r="K23" s="184" t="s">
        <v>93</v>
      </c>
      <c r="L23" s="188">
        <f>XNPV(L20,I21:I32,H21:H32)</f>
        <v>65783.867270137198</v>
      </c>
      <c r="M23" s="211"/>
    </row>
    <row r="24" spans="1:13" ht="15" customHeight="1" outlineLevel="1" x14ac:dyDescent="0.35">
      <c r="B24" s="180">
        <v>46357</v>
      </c>
      <c r="C24" s="179">
        <v>78129</v>
      </c>
      <c r="D24" s="175"/>
      <c r="F24" s="187"/>
      <c r="H24" s="177">
        <f t="shared" si="0"/>
        <v>46387</v>
      </c>
      <c r="I24" s="176">
        <f t="shared" si="1"/>
        <v>78129</v>
      </c>
      <c r="J24" s="175"/>
      <c r="L24" s="187"/>
    </row>
    <row r="25" spans="1:13" ht="15" customHeight="1" outlineLevel="1" x14ac:dyDescent="0.35">
      <c r="A25" s="55"/>
      <c r="B25" s="180">
        <v>46728</v>
      </c>
      <c r="C25" s="179">
        <v>81831</v>
      </c>
      <c r="D25" s="55"/>
      <c r="E25" s="184" t="s">
        <v>92</v>
      </c>
      <c r="F25" s="186">
        <f>IRR(C21:C32)</f>
        <v>0.15620608332452668</v>
      </c>
      <c r="H25" s="177">
        <f t="shared" si="0"/>
        <v>46752</v>
      </c>
      <c r="I25" s="176">
        <f t="shared" si="1"/>
        <v>81831</v>
      </c>
      <c r="J25" s="55"/>
      <c r="K25" s="184" t="s">
        <v>92</v>
      </c>
      <c r="L25" s="185">
        <f>IRR(I21:I32)</f>
        <v>0.15620608332452668</v>
      </c>
      <c r="M25" s="211"/>
    </row>
    <row r="26" spans="1:13" ht="15" customHeight="1" outlineLevel="1" x14ac:dyDescent="0.35">
      <c r="B26" s="180">
        <v>47095</v>
      </c>
      <c r="C26" s="179">
        <v>28250</v>
      </c>
      <c r="D26" s="55"/>
      <c r="E26" s="184" t="s">
        <v>91</v>
      </c>
      <c r="F26" s="183">
        <f>XIRR(C21:C32,B21:B32)</f>
        <v>0.15843539834022527</v>
      </c>
      <c r="H26" s="177">
        <f t="shared" si="0"/>
        <v>47118</v>
      </c>
      <c r="I26" s="176">
        <f t="shared" si="1"/>
        <v>28250</v>
      </c>
      <c r="J26" s="55"/>
      <c r="K26" s="210" t="s">
        <v>90</v>
      </c>
      <c r="L26" s="182">
        <f>XIRR(I21:I32,H21:H32)</f>
        <v>0.1560508668422699</v>
      </c>
      <c r="M26" s="211"/>
    </row>
    <row r="27" spans="1:13" ht="15" customHeight="1" outlineLevel="1" x14ac:dyDescent="0.35">
      <c r="B27" s="180">
        <v>47461</v>
      </c>
      <c r="C27" s="179">
        <v>64676</v>
      </c>
      <c r="D27" s="178"/>
      <c r="E27" s="58"/>
      <c r="F27" s="181"/>
      <c r="H27" s="177">
        <f t="shared" si="0"/>
        <v>47483</v>
      </c>
      <c r="I27" s="176">
        <f t="shared" si="1"/>
        <v>64676</v>
      </c>
      <c r="J27" s="175"/>
      <c r="L27" s="181"/>
    </row>
    <row r="28" spans="1:13" ht="15" customHeight="1" outlineLevel="1" x14ac:dyDescent="0.35">
      <c r="B28" s="180">
        <v>47819</v>
      </c>
      <c r="C28" s="179">
        <v>21839</v>
      </c>
      <c r="D28" s="178"/>
      <c r="E28" s="58"/>
      <c r="H28" s="177">
        <f t="shared" si="0"/>
        <v>47848</v>
      </c>
      <c r="I28" s="176">
        <f t="shared" si="1"/>
        <v>21839</v>
      </c>
      <c r="J28" s="175"/>
    </row>
    <row r="29" spans="1:13" ht="15" customHeight="1" outlineLevel="1" x14ac:dyDescent="0.35">
      <c r="B29" s="180">
        <v>48206</v>
      </c>
      <c r="C29" s="179">
        <v>49230</v>
      </c>
      <c r="D29" s="178"/>
      <c r="E29" s="58"/>
      <c r="H29" s="177">
        <f t="shared" si="0"/>
        <v>48213</v>
      </c>
      <c r="I29" s="176">
        <f t="shared" si="1"/>
        <v>49230</v>
      </c>
      <c r="J29" s="175"/>
    </row>
    <row r="30" spans="1:13" ht="15" customHeight="1" outlineLevel="1" x14ac:dyDescent="0.35">
      <c r="B30" s="180">
        <v>48573</v>
      </c>
      <c r="C30" s="179">
        <v>28472</v>
      </c>
      <c r="D30" s="178"/>
      <c r="E30" s="58"/>
      <c r="H30" s="177">
        <f t="shared" si="0"/>
        <v>48579</v>
      </c>
      <c r="I30" s="176">
        <f t="shared" si="1"/>
        <v>28472</v>
      </c>
      <c r="J30" s="175"/>
    </row>
    <row r="31" spans="1:13" ht="15" customHeight="1" outlineLevel="1" x14ac:dyDescent="0.35">
      <c r="B31" s="180">
        <v>48933</v>
      </c>
      <c r="C31" s="179">
        <v>92910</v>
      </c>
      <c r="D31" s="178"/>
      <c r="E31" s="58"/>
      <c r="H31" s="177">
        <f t="shared" si="0"/>
        <v>48944</v>
      </c>
      <c r="I31" s="176">
        <f t="shared" si="1"/>
        <v>92910</v>
      </c>
      <c r="J31" s="175"/>
    </row>
    <row r="32" spans="1:13" ht="15" customHeight="1" outlineLevel="1" x14ac:dyDescent="0.35">
      <c r="B32" s="180">
        <v>49280</v>
      </c>
      <c r="C32" s="179">
        <v>95392</v>
      </c>
      <c r="D32" s="178"/>
      <c r="E32" s="58"/>
      <c r="H32" s="177">
        <f t="shared" si="0"/>
        <v>49309</v>
      </c>
      <c r="I32" s="176">
        <f t="shared" si="1"/>
        <v>95392</v>
      </c>
      <c r="J32" s="175"/>
    </row>
    <row r="33" spans="2:13" ht="15" customHeight="1" outlineLevel="1" x14ac:dyDescent="0.35">
      <c r="I33" s="171"/>
      <c r="J33" s="171"/>
    </row>
    <row r="34" spans="2:13" ht="15" customHeight="1" outlineLevel="1" x14ac:dyDescent="0.35">
      <c r="F34" s="57"/>
      <c r="I34" s="171"/>
      <c r="J34" s="171"/>
      <c r="L34" s="57"/>
    </row>
    <row r="35" spans="2:13" ht="15" customHeight="1" outlineLevel="1" x14ac:dyDescent="0.35">
      <c r="F35" s="174" t="s">
        <v>89</v>
      </c>
      <c r="I35" s="171"/>
      <c r="J35" s="171"/>
      <c r="L35" s="173" t="s">
        <v>88</v>
      </c>
    </row>
    <row r="36" spans="2:13" ht="15" customHeight="1" outlineLevel="1" x14ac:dyDescent="0.35">
      <c r="F36" s="169" t="s">
        <v>87</v>
      </c>
      <c r="I36" s="171"/>
      <c r="J36" s="171"/>
      <c r="L36" s="169" t="s">
        <v>83</v>
      </c>
    </row>
    <row r="37" spans="2:13" ht="15" customHeight="1" outlineLevel="1" x14ac:dyDescent="0.35">
      <c r="I37" s="171"/>
      <c r="J37" s="171"/>
    </row>
    <row r="38" spans="2:13" ht="15" customHeight="1" outlineLevel="1" x14ac:dyDescent="0.35">
      <c r="F38" s="172" t="s">
        <v>86</v>
      </c>
      <c r="I38" s="171"/>
      <c r="J38" s="171"/>
      <c r="L38" s="170" t="s">
        <v>85</v>
      </c>
      <c r="M38" s="58"/>
    </row>
    <row r="39" spans="2:13" ht="15" customHeight="1" outlineLevel="1" x14ac:dyDescent="0.35">
      <c r="F39" s="169" t="s">
        <v>84</v>
      </c>
      <c r="L39" s="169" t="s">
        <v>83</v>
      </c>
      <c r="M39" s="58"/>
    </row>
    <row r="40" spans="2:13" ht="15" customHeight="1" outlineLevel="1" x14ac:dyDescent="0.35"/>
    <row r="41" spans="2:13" ht="15" customHeight="1" outlineLevel="1" x14ac:dyDescent="0.35"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208" t="s">
        <v>0</v>
      </c>
    </row>
  </sheetData>
  <printOptions horizontalCentered="1"/>
  <pageMargins left="0.3" right="0.3" top="0.3" bottom="0.3" header="0.3" footer="0.3"/>
  <pageSetup scale="95" orientation="landscape" r:id="rId1"/>
  <headerFooter>
    <oddFooter>&amp;L&amp;"Open Sans,Bold"&amp;10&amp;K002060Excel Fundamentals - Formulas for Finance&amp;C&amp;"Open Sans,Bold"&amp;10&amp;K002060Page &amp;P of &amp;N&amp;R&amp;G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Cover</vt:lpstr>
      <vt:lpstr>Pricing</vt:lpstr>
      <vt:lpstr>Aggregate</vt:lpstr>
      <vt:lpstr>Lookups</vt:lpstr>
      <vt:lpstr>Dates</vt:lpstr>
      <vt:lpstr>Returns</vt:lpstr>
      <vt:lpstr>Aggregate!Print_Area</vt:lpstr>
      <vt:lpstr>Cover!Print_Area</vt:lpstr>
      <vt:lpstr>Dates!Print_Area</vt:lpstr>
      <vt:lpstr>Lookups!Print_Area</vt:lpstr>
      <vt:lpstr>Pricing!Print_Area</vt:lpstr>
      <vt:lpstr>Returns!Print_Area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Corporate Finance Institute</cp:lastModifiedBy>
  <cp:revision/>
  <cp:lastPrinted>1899-12-30T05:00:00Z</cp:lastPrinted>
  <dcterms:created xsi:type="dcterms:W3CDTF">1899-12-30T05:00:00Z</dcterms:created>
  <dcterms:modified xsi:type="dcterms:W3CDTF">2023-11-08T18:51:14Z</dcterms:modified>
  <cp:category/>
  <cp:contentStatus/>
  <dc:language/>
  <cp:version/>
</cp:coreProperties>
</file>