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in2/Desktop/GitHub/Notes/RemNB/Purdue/"/>
    </mc:Choice>
  </mc:AlternateContent>
  <xr:revisionPtr revIDLastSave="0" documentId="13_ncr:1_{719534B6-1B06-D542-AF6B-87878BE4669A}" xr6:coauthVersionLast="47" xr6:coauthVersionMax="47" xr10:uidLastSave="{00000000-0000-0000-0000-000000000000}"/>
  <bookViews>
    <workbookView xWindow="0" yWindow="760" windowWidth="17080" windowHeight="21580" activeTab="5" xr2:uid="{AFEB53E5-A291-E14A-921A-D77FACADB536}"/>
  </bookViews>
  <sheets>
    <sheet name="MT422U3" sheetId="1" r:id="rId1"/>
    <sheet name="MT422U4" sheetId="2" r:id="rId2"/>
    <sheet name="MT422U5" sheetId="3" r:id="rId3"/>
    <sheet name="MT422U6" sheetId="4" r:id="rId4"/>
    <sheet name="MT422U7" sheetId="5" r:id="rId5"/>
    <sheet name="MT422U8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6" l="1"/>
  <c r="N23" i="6"/>
  <c r="I27" i="6"/>
  <c r="I38" i="6"/>
  <c r="I24" i="6"/>
  <c r="B25" i="6"/>
  <c r="B26" i="6"/>
  <c r="D26" i="6"/>
  <c r="B29" i="6"/>
  <c r="D25" i="6"/>
  <c r="F25" i="6"/>
  <c r="D27" i="6"/>
  <c r="C20" i="6"/>
  <c r="E20" i="6"/>
  <c r="G20" i="6"/>
  <c r="C22" i="6"/>
  <c r="E22" i="6"/>
  <c r="G22" i="6"/>
  <c r="C24" i="6"/>
  <c r="E24" i="6"/>
  <c r="G24" i="6"/>
  <c r="E21" i="6"/>
  <c r="C21" i="6"/>
  <c r="G21" i="6"/>
  <c r="E23" i="6"/>
  <c r="C23" i="6"/>
  <c r="G23" i="6"/>
  <c r="G26" i="6"/>
  <c r="D28" i="6"/>
  <c r="I37" i="6"/>
  <c r="K37" i="6"/>
  <c r="I39" i="6"/>
  <c r="I36" i="6"/>
  <c r="K36" i="6"/>
  <c r="M36" i="6"/>
  <c r="I42" i="6"/>
  <c r="J31" i="6"/>
  <c r="L31" i="6"/>
  <c r="N31" i="6"/>
  <c r="J32" i="6"/>
  <c r="L32" i="6"/>
  <c r="N32" i="6"/>
  <c r="J33" i="6"/>
  <c r="L33" i="6"/>
  <c r="N33" i="6"/>
  <c r="J34" i="6"/>
  <c r="L34" i="6"/>
  <c r="N34" i="6"/>
  <c r="J35" i="6"/>
  <c r="L35" i="6"/>
  <c r="N35" i="6"/>
  <c r="N37" i="6"/>
  <c r="I43" i="6"/>
  <c r="L17" i="6"/>
  <c r="L18" i="6"/>
  <c r="L19" i="6"/>
  <c r="L20" i="6"/>
  <c r="L21" i="6"/>
  <c r="N17" i="6"/>
  <c r="N18" i="6"/>
  <c r="N19" i="6"/>
  <c r="N20" i="6"/>
  <c r="N21" i="6"/>
  <c r="K40" i="6"/>
  <c r="K26" i="6"/>
  <c r="I28" i="6"/>
  <c r="I25" i="6"/>
  <c r="I29" i="6"/>
  <c r="E34" i="6"/>
  <c r="F34" i="6"/>
  <c r="I40" i="6"/>
  <c r="B36" i="6"/>
  <c r="A34" i="6"/>
  <c r="B34" i="6"/>
  <c r="H10" i="6"/>
  <c r="I10" i="6"/>
  <c r="J10" i="6"/>
  <c r="K10" i="6"/>
  <c r="L10" i="6"/>
  <c r="M10" i="6"/>
  <c r="M11" i="6"/>
  <c r="J12" i="6"/>
  <c r="K12" i="6"/>
  <c r="L12" i="6"/>
  <c r="M12" i="6"/>
  <c r="J13" i="6"/>
  <c r="L14" i="6"/>
  <c r="L13" i="6"/>
  <c r="I41" i="6"/>
  <c r="B30" i="6"/>
  <c r="M37" i="6"/>
  <c r="I23" i="6"/>
  <c r="K23" i="6"/>
  <c r="I22" i="6"/>
  <c r="M22" i="6"/>
  <c r="K22" i="6"/>
  <c r="I26" i="6"/>
  <c r="J17" i="6"/>
  <c r="J18" i="6"/>
  <c r="J19" i="6"/>
  <c r="J20" i="6"/>
  <c r="J21" i="6"/>
  <c r="B27" i="6"/>
  <c r="B16" i="6"/>
  <c r="B13" i="6"/>
  <c r="B10" i="6"/>
  <c r="C5" i="6"/>
  <c r="I7" i="6"/>
  <c r="K7" i="6"/>
  <c r="C2" i="6"/>
  <c r="P16" i="5"/>
  <c r="N16" i="5"/>
  <c r="K16" i="5"/>
  <c r="N14" i="5"/>
  <c r="D11" i="5"/>
  <c r="O14" i="5"/>
  <c r="P14" i="5"/>
  <c r="L14" i="5"/>
  <c r="E15" i="5"/>
  <c r="G15" i="5"/>
  <c r="D16" i="5"/>
  <c r="B16" i="5"/>
  <c r="O11" i="5"/>
  <c r="K11" i="5"/>
  <c r="M11" i="5"/>
  <c r="L8" i="5"/>
  <c r="N8" i="5"/>
  <c r="C9" i="5"/>
  <c r="E9" i="5"/>
  <c r="K4" i="5"/>
  <c r="L4" i="5"/>
  <c r="K3" i="5"/>
  <c r="L3" i="5"/>
  <c r="D4" i="5"/>
  <c r="D5" i="5"/>
  <c r="D3" i="5"/>
  <c r="B9" i="4"/>
  <c r="B7" i="4"/>
  <c r="H24" i="4"/>
  <c r="Q2" i="4"/>
  <c r="Q13" i="4"/>
  <c r="R13" i="4"/>
  <c r="Q11" i="4"/>
  <c r="R11" i="4"/>
  <c r="N21" i="4"/>
  <c r="F2" i="4"/>
  <c r="G2" i="4"/>
  <c r="I5" i="4"/>
  <c r="J5" i="4"/>
  <c r="H5" i="4"/>
  <c r="G5" i="4"/>
  <c r="F5" i="4"/>
  <c r="G25" i="4"/>
  <c r="E3" i="4"/>
  <c r="R8" i="4"/>
  <c r="J22" i="4"/>
  <c r="O3" i="4"/>
  <c r="O2" i="4"/>
  <c r="N2" i="4"/>
  <c r="J9" i="4"/>
  <c r="K9" i="4"/>
  <c r="J11" i="4"/>
  <c r="K11" i="4"/>
  <c r="C11" i="4"/>
  <c r="F11" i="4"/>
  <c r="J7" i="4"/>
  <c r="K7" i="4"/>
  <c r="F7" i="4"/>
  <c r="C13" i="4"/>
  <c r="C12" i="4"/>
  <c r="F8" i="4"/>
  <c r="J13" i="4"/>
  <c r="K13" i="4"/>
  <c r="F13" i="4"/>
  <c r="E2" i="4"/>
  <c r="J2" i="4"/>
  <c r="K2" i="4"/>
  <c r="V4" i="3"/>
  <c r="O11" i="3"/>
  <c r="F18" i="3"/>
  <c r="G18" i="3"/>
  <c r="D4" i="3"/>
  <c r="D5" i="3"/>
  <c r="D6" i="3"/>
  <c r="D7" i="3"/>
  <c r="D8" i="3"/>
  <c r="D9" i="3"/>
  <c r="D10" i="3"/>
  <c r="D11" i="3"/>
  <c r="E11" i="3"/>
  <c r="C9" i="3"/>
  <c r="F9" i="3"/>
  <c r="C10" i="3"/>
  <c r="E10" i="3"/>
  <c r="C11" i="3"/>
  <c r="F11" i="3"/>
  <c r="C8" i="3"/>
  <c r="F8" i="3"/>
  <c r="C7" i="3"/>
  <c r="F7" i="3"/>
  <c r="C6" i="3"/>
  <c r="E6" i="3"/>
  <c r="C5" i="3"/>
  <c r="F5" i="3"/>
  <c r="C4" i="3"/>
  <c r="F4" i="3"/>
  <c r="D3" i="3"/>
  <c r="C3" i="3"/>
  <c r="F3" i="3"/>
  <c r="U5" i="3"/>
  <c r="W5" i="3"/>
  <c r="U6" i="3"/>
  <c r="V7" i="3"/>
  <c r="V8" i="3"/>
  <c r="U8" i="3"/>
  <c r="W8" i="3"/>
  <c r="U7" i="3"/>
  <c r="X7" i="3"/>
  <c r="V6" i="3"/>
  <c r="V5" i="3"/>
  <c r="U4" i="3"/>
  <c r="W4" i="3"/>
  <c r="V3" i="3"/>
  <c r="U3" i="3"/>
  <c r="X3" i="3"/>
  <c r="P5" i="3"/>
  <c r="P6" i="3"/>
  <c r="P7" i="3"/>
  <c r="P8" i="3"/>
  <c r="P9" i="3"/>
  <c r="P10" i="3"/>
  <c r="P11" i="3"/>
  <c r="P12" i="3"/>
  <c r="P13" i="3"/>
  <c r="P4" i="3"/>
  <c r="O5" i="3"/>
  <c r="O6" i="3"/>
  <c r="O7" i="3"/>
  <c r="O8" i="3"/>
  <c r="O9" i="3"/>
  <c r="O10" i="3"/>
  <c r="O12" i="3"/>
  <c r="O13" i="3"/>
  <c r="O4" i="3"/>
  <c r="H19" i="3"/>
  <c r="H20" i="3"/>
  <c r="H21" i="3"/>
  <c r="H22" i="3"/>
  <c r="H18" i="3"/>
  <c r="F19" i="3"/>
  <c r="F20" i="3"/>
  <c r="F21" i="3"/>
  <c r="F22" i="3"/>
  <c r="I14" i="2"/>
  <c r="J45" i="2"/>
  <c r="I45" i="2"/>
  <c r="F45" i="2"/>
  <c r="J42" i="2"/>
  <c r="F42" i="2"/>
  <c r="J39" i="2"/>
  <c r="F39" i="2"/>
  <c r="I12" i="2"/>
  <c r="D33" i="2"/>
  <c r="D34" i="2"/>
  <c r="B29" i="2"/>
  <c r="B28" i="2"/>
  <c r="L31" i="2"/>
  <c r="M31" i="2"/>
  <c r="I31" i="2"/>
  <c r="J31" i="2"/>
  <c r="K31" i="2"/>
  <c r="H31" i="2"/>
  <c r="H25" i="2"/>
  <c r="H30" i="2"/>
  <c r="I30" i="2"/>
  <c r="J30" i="2"/>
  <c r="K30" i="2"/>
  <c r="L30" i="2"/>
  <c r="G30" i="2"/>
  <c r="I28" i="2"/>
  <c r="J28" i="2"/>
  <c r="K28" i="2"/>
  <c r="L28" i="2"/>
  <c r="H28" i="2"/>
  <c r="H27" i="2"/>
  <c r="I27" i="2"/>
  <c r="J27" i="2"/>
  <c r="K27" i="2"/>
  <c r="L27" i="2"/>
  <c r="G27" i="2"/>
  <c r="M27" i="2"/>
  <c r="N29" i="2"/>
  <c r="I25" i="2"/>
  <c r="J25" i="2"/>
  <c r="K25" i="2"/>
  <c r="L25" i="2"/>
  <c r="H24" i="2"/>
  <c r="I24" i="2"/>
  <c r="J24" i="2"/>
  <c r="K24" i="2"/>
  <c r="L24" i="2"/>
  <c r="G24" i="2"/>
  <c r="B21" i="2"/>
  <c r="B18" i="2"/>
  <c r="B19" i="2"/>
  <c r="B20" i="2"/>
  <c r="B17" i="2"/>
  <c r="C16" i="2"/>
  <c r="A10" i="2"/>
  <c r="A11" i="2"/>
  <c r="J16" i="2"/>
  <c r="K16" i="2"/>
  <c r="I13" i="2"/>
  <c r="I9" i="2"/>
  <c r="J9" i="2"/>
  <c r="H6" i="2"/>
  <c r="I3" i="2"/>
  <c r="J3" i="2"/>
  <c r="C7" i="2"/>
  <c r="C1" i="2"/>
  <c r="B5" i="2"/>
  <c r="B6" i="2"/>
  <c r="B7" i="2"/>
  <c r="B4" i="2"/>
  <c r="A4" i="2"/>
  <c r="A5" i="2"/>
  <c r="A6" i="2"/>
  <c r="A7" i="2"/>
  <c r="A8" i="2"/>
  <c r="A9" i="2"/>
  <c r="L5" i="1"/>
  <c r="D8" i="1"/>
  <c r="M5" i="1"/>
  <c r="D18" i="1"/>
  <c r="E18" i="1"/>
  <c r="C18" i="1"/>
  <c r="C11" i="1"/>
  <c r="E11" i="1"/>
  <c r="L8" i="1"/>
  <c r="L9" i="1"/>
  <c r="K9" i="1"/>
  <c r="K8" i="1"/>
  <c r="K10" i="1"/>
  <c r="H10" i="1"/>
  <c r="G10" i="1"/>
  <c r="K2" i="1"/>
  <c r="E5" i="1"/>
  <c r="C5" i="1"/>
  <c r="A2" i="1"/>
  <c r="E2" i="1"/>
  <c r="F9" i="5"/>
  <c r="F10" i="5"/>
  <c r="P11" i="5"/>
  <c r="Q11" i="5"/>
  <c r="E16" i="5"/>
  <c r="G16" i="5"/>
  <c r="L5" i="5"/>
  <c r="D2" i="5"/>
  <c r="E8" i="5"/>
  <c r="K5" i="4"/>
  <c r="F9" i="4"/>
  <c r="G9" i="4"/>
  <c r="J3" i="4"/>
  <c r="K3" i="4"/>
  <c r="N3" i="4"/>
  <c r="E11" i="4"/>
  <c r="G11" i="4"/>
  <c r="E7" i="4"/>
  <c r="G7" i="4"/>
  <c r="F3" i="4"/>
  <c r="G3" i="4"/>
  <c r="H3" i="4"/>
  <c r="L3" i="4"/>
  <c r="P3" i="4"/>
  <c r="G8" i="4"/>
  <c r="F12" i="4"/>
  <c r="G12" i="4"/>
  <c r="J12" i="4"/>
  <c r="K12" i="4"/>
  <c r="E13" i="4"/>
  <c r="G13" i="4"/>
  <c r="E12" i="4"/>
  <c r="J8" i="4"/>
  <c r="K8" i="4"/>
  <c r="E9" i="4"/>
  <c r="E8" i="4"/>
  <c r="H2" i="4"/>
  <c r="L2" i="4"/>
  <c r="P2" i="4"/>
  <c r="E9" i="3"/>
  <c r="F6" i="3"/>
  <c r="F10" i="3"/>
  <c r="E4" i="3"/>
  <c r="X4" i="3"/>
  <c r="Z4" i="3"/>
  <c r="Z5" i="3"/>
  <c r="Z6" i="3"/>
  <c r="X5" i="3"/>
  <c r="E8" i="3"/>
  <c r="E5" i="3"/>
  <c r="G5" i="3"/>
  <c r="E7" i="3"/>
  <c r="W7" i="3"/>
  <c r="X6" i="3"/>
  <c r="W3" i="3"/>
  <c r="G19" i="3"/>
  <c r="G20" i="3"/>
  <c r="G21" i="3"/>
  <c r="G22" i="3"/>
  <c r="X8" i="3"/>
  <c r="Y5" i="3"/>
  <c r="W6" i="3"/>
  <c r="H3" i="3"/>
  <c r="H6" i="3"/>
  <c r="H10" i="3"/>
  <c r="E3" i="3"/>
  <c r="F12" i="3"/>
  <c r="M30" i="2"/>
  <c r="N32" i="2"/>
  <c r="M25" i="2"/>
  <c r="M24" i="2"/>
  <c r="N26" i="2"/>
  <c r="B30" i="2"/>
  <c r="C18" i="2"/>
  <c r="C22" i="2"/>
  <c r="L16" i="2"/>
  <c r="A12" i="2"/>
  <c r="L9" i="2"/>
  <c r="E19" i="1"/>
  <c r="D19" i="1"/>
  <c r="L10" i="1"/>
  <c r="M10" i="1"/>
  <c r="N5" i="1"/>
  <c r="I10" i="1"/>
  <c r="H8" i="4"/>
  <c r="H11" i="4"/>
  <c r="H7" i="4"/>
  <c r="H12" i="4"/>
  <c r="H13" i="4"/>
  <c r="H9" i="4"/>
  <c r="X12" i="3"/>
  <c r="G7" i="3"/>
  <c r="G8" i="3"/>
  <c r="G9" i="3"/>
  <c r="G11" i="3"/>
  <c r="G12" i="3"/>
  <c r="Z8" i="3"/>
  <c r="Y7" i="3"/>
  <c r="Y12" i="3"/>
  <c r="Y6" i="3"/>
  <c r="G4" i="3"/>
  <c r="E12" i="3"/>
  <c r="W12" i="3"/>
  <c r="C20" i="2"/>
  <c r="D18" i="2"/>
  <c r="B1" i="2"/>
  <c r="D1" i="2"/>
  <c r="L9" i="4"/>
  <c r="M9" i="4"/>
  <c r="L13" i="4"/>
  <c r="M13" i="4"/>
  <c r="L12" i="4"/>
  <c r="M12" i="4"/>
  <c r="L7" i="4"/>
  <c r="M7" i="4"/>
  <c r="L8" i="4"/>
  <c r="M8" i="4"/>
  <c r="L11" i="4"/>
  <c r="M11" i="4"/>
  <c r="L16" i="5"/>
</calcChain>
</file>

<file path=xl/sharedStrings.xml><?xml version="1.0" encoding="utf-8"?>
<sst xmlns="http://schemas.openxmlformats.org/spreadsheetml/2006/main" count="403" uniqueCount="306">
  <si>
    <t>Nav ?</t>
  </si>
  <si>
    <t>market value</t>
  </si>
  <si>
    <t>share outstanding</t>
  </si>
  <si>
    <t>Market Price</t>
  </si>
  <si>
    <t>Frontend load ?</t>
  </si>
  <si>
    <t>Atm Invested</t>
  </si>
  <si>
    <t>NAV</t>
  </si>
  <si>
    <t>Purchased Share</t>
  </si>
  <si>
    <t>Appreciated</t>
  </si>
  <si>
    <t>Final share ?</t>
  </si>
  <si>
    <t>Sold at</t>
  </si>
  <si>
    <t>purchased</t>
  </si>
  <si>
    <t>average daily asset</t>
  </si>
  <si>
    <t>Fund turnover ?</t>
  </si>
  <si>
    <t>Initial Nav</t>
  </si>
  <si>
    <t>final nav</t>
  </si>
  <si>
    <t>short-term paid</t>
  </si>
  <si>
    <t>long-term piad</t>
  </si>
  <si>
    <t>ROR ?</t>
  </si>
  <si>
    <t>StockA Price</t>
  </si>
  <si>
    <t>StockB price</t>
  </si>
  <si>
    <t>StockC price</t>
  </si>
  <si>
    <t>Divisor Num</t>
  </si>
  <si>
    <t>Divisor den</t>
  </si>
  <si>
    <t>split num</t>
  </si>
  <si>
    <t>split den</t>
  </si>
  <si>
    <t>Divisor ?</t>
  </si>
  <si>
    <t>Price B</t>
  </si>
  <si>
    <t>Beginning</t>
  </si>
  <si>
    <t>Ending</t>
  </si>
  <si>
    <t>Price A</t>
  </si>
  <si>
    <t>ROR? (price-weighted)</t>
  </si>
  <si>
    <t>Share outstanding</t>
  </si>
  <si>
    <t>ROR? Value-weighted</t>
  </si>
  <si>
    <t>divisor</t>
  </si>
  <si>
    <t>points</t>
  </si>
  <si>
    <t>sigmaP</t>
  </si>
  <si>
    <t>increase by dollar</t>
  </si>
  <si>
    <t>New Index level ?</t>
  </si>
  <si>
    <t>shares</t>
  </si>
  <si>
    <t>date1 price</t>
  </si>
  <si>
    <t>date3 price</t>
  </si>
  <si>
    <t>date2 price</t>
  </si>
  <si>
    <t>stockA</t>
  </si>
  <si>
    <t>StockB</t>
  </si>
  <si>
    <t>StockC</t>
  </si>
  <si>
    <t>Price-Weight Index ?</t>
  </si>
  <si>
    <t>4-1 is divide by 4</t>
  </si>
  <si>
    <t>1-2 divided by (1/2)</t>
  </si>
  <si>
    <t>regular div</t>
  </si>
  <si>
    <t>liquidating div</t>
  </si>
  <si>
    <t>Yrs</t>
  </si>
  <si>
    <t>discount rate</t>
  </si>
  <si>
    <t>current value???</t>
  </si>
  <si>
    <t>Stock beta</t>
  </si>
  <si>
    <t>debt-to-equity</t>
  </si>
  <si>
    <t>tax-rate</t>
  </si>
  <si>
    <t>Asset Beta???</t>
  </si>
  <si>
    <t>EV</t>
  </si>
  <si>
    <t>EBITDA</t>
  </si>
  <si>
    <t>EV ratio???</t>
  </si>
  <si>
    <t>Paid Div</t>
  </si>
  <si>
    <t>sell price</t>
  </si>
  <si>
    <t>num</t>
  </si>
  <si>
    <t>den</t>
  </si>
  <si>
    <t>Div growth???</t>
  </si>
  <si>
    <t>goal seek target</t>
  </si>
  <si>
    <t>risk-free rate</t>
  </si>
  <si>
    <t>Market Risk Prem</t>
  </si>
  <si>
    <t>expected Return???</t>
  </si>
  <si>
    <t>Expected EPS</t>
  </si>
  <si>
    <t>book value/share</t>
  </si>
  <si>
    <t>Earning growth</t>
  </si>
  <si>
    <t>Stock Price???</t>
  </si>
  <si>
    <t>Num</t>
  </si>
  <si>
    <t>Den</t>
  </si>
  <si>
    <t>Treasury Yield</t>
  </si>
  <si>
    <t>Expect Share price???</t>
  </si>
  <si>
    <t>K</t>
  </si>
  <si>
    <t>average</t>
  </si>
  <si>
    <t>Year</t>
  </si>
  <si>
    <t>Price</t>
  </si>
  <si>
    <t>EPS</t>
  </si>
  <si>
    <t>CFPS</t>
  </si>
  <si>
    <t>SPS</t>
  </si>
  <si>
    <t>P/E</t>
  </si>
  <si>
    <t>eps growth</t>
  </si>
  <si>
    <t>Expected  P/E???</t>
  </si>
  <si>
    <t>Expected P/CFPS???</t>
  </si>
  <si>
    <t>P/CFPS</t>
  </si>
  <si>
    <t>CFPS growth</t>
  </si>
  <si>
    <t>P/S</t>
  </si>
  <si>
    <t>SPS growth</t>
  </si>
  <si>
    <t>Expected P/S???</t>
  </si>
  <si>
    <t>stock price</t>
  </si>
  <si>
    <t>earning  growth</t>
  </si>
  <si>
    <t>expected return</t>
  </si>
  <si>
    <t>EPS (Current)</t>
  </si>
  <si>
    <t>EPS (Future)???</t>
  </si>
  <si>
    <t>Price (Future)</t>
  </si>
  <si>
    <t>P/E (Future)??? After a year</t>
  </si>
  <si>
    <t>Cur Sell price</t>
  </si>
  <si>
    <t>Discount rate</t>
  </si>
  <si>
    <t>growth rate</t>
  </si>
  <si>
    <t xml:space="preserve">Div </t>
  </si>
  <si>
    <t>yrs</t>
  </si>
  <si>
    <t>Expect values of Div???</t>
  </si>
  <si>
    <t>Projected Beta</t>
  </si>
  <si>
    <t>PreviousEPS*AverageP/E*(1+AverageEPSGrowth)</t>
  </si>
  <si>
    <t>Expect P/E</t>
  </si>
  <si>
    <t>Cur EPS</t>
  </si>
  <si>
    <t>EPS growth</t>
  </si>
  <si>
    <t>Forecast EPS=CurEPS*(1+EPSGrowth)</t>
  </si>
  <si>
    <t>P/E  Multiple</t>
  </si>
  <si>
    <t>SharePrice from P/E= P/E*ForecasteEPS ???</t>
  </si>
  <si>
    <t>Forecast CFPS= CurCFPS*(1+CFPSGrowth)</t>
  </si>
  <si>
    <t>Cur CFPS</t>
  </si>
  <si>
    <t>CFPS Growth</t>
  </si>
  <si>
    <t>P/CF ratio</t>
  </si>
  <si>
    <t>SharePrice from P/CF=P/CF*Forecast CFPS</t>
  </si>
  <si>
    <t>Forecast SPS=CurSPS*(1+SPSGrowth)</t>
  </si>
  <si>
    <t>Cur SPS</t>
  </si>
  <si>
    <t>SPS Growth</t>
  </si>
  <si>
    <t>P/S ratio</t>
  </si>
  <si>
    <t>SharePrice from P/S =P/Sratio*Forecast SPS</t>
  </si>
  <si>
    <t>yrs div</t>
  </si>
  <si>
    <t>Volume</t>
  </si>
  <si>
    <t>Up/Down</t>
  </si>
  <si>
    <t>+</t>
  </si>
  <si>
    <t>-</t>
  </si>
  <si>
    <t>PricexVols</t>
  </si>
  <si>
    <t>Positive inflow</t>
  </si>
  <si>
    <t>Negative Outflow</t>
  </si>
  <si>
    <t>sum</t>
  </si>
  <si>
    <t>Net Money Flow</t>
  </si>
  <si>
    <t>Stocks</t>
  </si>
  <si>
    <t>Advancing</t>
  </si>
  <si>
    <t>Declining</t>
  </si>
  <si>
    <t>Monday</t>
  </si>
  <si>
    <t>Tuesday</t>
  </si>
  <si>
    <t>Wednesday</t>
  </si>
  <si>
    <t>Thursday</t>
  </si>
  <si>
    <t>Friday</t>
  </si>
  <si>
    <t>Accumulative</t>
  </si>
  <si>
    <t>Arm Ratio</t>
  </si>
  <si>
    <t>January</t>
  </si>
  <si>
    <t>$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</si>
  <si>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</si>
  <si>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</si>
  <si>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</si>
  <si>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</si>
  <si>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</si>
  <si>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</si>
  <si>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</si>
  <si>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</si>
  <si>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</si>
  <si>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</si>
  <si>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</si>
  <si>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IBM</t>
  </si>
  <si>
    <t>AMZN</t>
  </si>
  <si>
    <t>IBM 3Months average</t>
  </si>
  <si>
    <t>Par_value</t>
  </si>
  <si>
    <t>PV(Principle)</t>
  </si>
  <si>
    <t>PV(Coupon)</t>
  </si>
  <si>
    <t>New Bond price</t>
  </si>
  <si>
    <t>Tax rate</t>
  </si>
  <si>
    <t>After Tax Yield</t>
  </si>
  <si>
    <t>Current Yield</t>
  </si>
  <si>
    <t>N_years (2)</t>
  </si>
  <si>
    <t>YTM(2)</t>
  </si>
  <si>
    <t>coupon(2)</t>
  </si>
  <si>
    <r>
      <t>Δ</t>
    </r>
    <r>
      <rPr>
        <i/>
        <sz val="14"/>
        <color rgb="FF252525"/>
        <rFont val="Courier New"/>
        <family val="1"/>
      </rPr>
      <t>P</t>
    </r>
    <r>
      <rPr>
        <vertAlign val="subscript"/>
        <sz val="12"/>
        <color rgb="FF252525"/>
        <rFont val="Courier New"/>
        <family val="1"/>
      </rPr>
      <t>A%</t>
    </r>
  </si>
  <si>
    <t>New YTM</t>
  </si>
  <si>
    <t>Nyears</t>
  </si>
  <si>
    <t>New Current Yield/2</t>
  </si>
  <si>
    <t>FaceValue</t>
  </si>
  <si>
    <t>DiscountYield</t>
  </si>
  <si>
    <t>Day till maturity</t>
  </si>
  <si>
    <t>price</t>
  </si>
  <si>
    <t>current yield</t>
  </si>
  <si>
    <t>Coupon pmt</t>
  </si>
  <si>
    <t>BondPrice</t>
  </si>
  <si>
    <t>pv(principal)</t>
  </si>
  <si>
    <t>EAR</t>
  </si>
  <si>
    <t>Days</t>
  </si>
  <si>
    <t>Bond EquivalentYield APR</t>
  </si>
  <si>
    <t>Discounted Yield</t>
  </si>
  <si>
    <t>Nominal Rate</t>
  </si>
  <si>
    <t>first term</t>
  </si>
  <si>
    <t>terms in a year</t>
  </si>
  <si>
    <t>New Coupon</t>
  </si>
  <si>
    <t>State of Economy</t>
  </si>
  <si>
    <t>Probability of</t>
  </si>
  <si>
    <t>State of Economy</t>
  </si>
  <si>
    <t>Security Return</t>
  </si>
  <si>
    <t>if State Occurs</t>
  </si>
  <si>
    <t>Recession</t>
  </si>
  <si>
    <t>Normal</t>
  </si>
  <si>
    <t>Boom</t>
  </si>
  <si>
    <t>Security Returns if State Occurs</t>
  </si>
  <si>
    <t>Probability of State of Economy</t>
  </si>
  <si>
    <t>Roll</t>
  </si>
  <si>
    <t>Ross</t>
  </si>
  <si>
    <t>Bust</t>
  </si>
  <si>
    <t>portfolio weight</t>
  </si>
  <si>
    <t>product</t>
  </si>
  <si>
    <t>E(Rp)</t>
  </si>
  <si>
    <t>3 Doors, Inc.</t>
  </si>
  <si>
    <t>Down Co.</t>
  </si>
  <si>
    <r>
      <t>Expected return, E(</t>
    </r>
    <r>
      <rPr>
        <i/>
        <sz val="12"/>
        <color rgb="FF252525"/>
        <rFont val="Inherit"/>
      </rPr>
      <t>R</t>
    </r>
    <r>
      <rPr>
        <sz val="12"/>
        <color rgb="FF252525"/>
        <rFont val="Courier New"/>
        <family val="1"/>
      </rPr>
      <t>)</t>
    </r>
  </si>
  <si>
    <t>Standard deviation, σ</t>
  </si>
  <si>
    <t>Correlation</t>
  </si>
  <si>
    <t>std dv</t>
  </si>
  <si>
    <t>Expected return</t>
  </si>
  <si>
    <t>Risk Free</t>
  </si>
  <si>
    <t>Risk Premium</t>
  </si>
  <si>
    <t>Beta</t>
  </si>
  <si>
    <t>Cal_Erp</t>
  </si>
  <si>
    <t>Market return</t>
  </si>
  <si>
    <t>calc_risk_free_rate</t>
  </si>
  <si>
    <t>Stock Sell</t>
  </si>
  <si>
    <t>RiskFree</t>
  </si>
  <si>
    <t>MrktReturn</t>
  </si>
  <si>
    <t>RiskPremium</t>
  </si>
  <si>
    <t>DivYield</t>
  </si>
  <si>
    <t>Div</t>
  </si>
  <si>
    <t>CapGainYield</t>
  </si>
  <si>
    <t>NextYearPrice</t>
  </si>
  <si>
    <t>stock A</t>
  </si>
  <si>
    <t>stock B</t>
  </si>
  <si>
    <t>Security beta</t>
  </si>
  <si>
    <t>Market Return</t>
  </si>
  <si>
    <t>Forecast</t>
  </si>
  <si>
    <t>comparison</t>
  </si>
  <si>
    <t>RisFree</t>
  </si>
  <si>
    <t>2 Equal weight return</t>
  </si>
  <si>
    <t>Portfolio Beta</t>
  </si>
  <si>
    <t>Cal_weight</t>
  </si>
  <si>
    <t>remaining weight</t>
  </si>
  <si>
    <t xml:space="preserve"> new beta</t>
  </si>
  <si>
    <t>Target Portfolio return</t>
  </si>
  <si>
    <t>Remaining beta</t>
  </si>
  <si>
    <t>Beta?</t>
  </si>
  <si>
    <t>New Portfolio beta</t>
  </si>
  <si>
    <t>given portfolio beta find stock betas</t>
  </si>
  <si>
    <t>weight1</t>
  </si>
  <si>
    <t>weight2</t>
  </si>
  <si>
    <t>annual sigma</t>
  </si>
  <si>
    <t xml:space="preserve">n months </t>
  </si>
  <si>
    <t>N_month sigma</t>
  </si>
  <si>
    <t>Portfolio</t>
  </si>
  <si>
    <r>
      <t>R</t>
    </r>
    <r>
      <rPr>
        <i/>
        <vertAlign val="subscript"/>
        <sz val="12"/>
        <color rgb="FF252525"/>
        <rFont val="Inherit"/>
      </rPr>
      <t>P</t>
    </r>
  </si>
  <si>
    <r>
      <t>σ</t>
    </r>
    <r>
      <rPr>
        <i/>
        <vertAlign val="subscript"/>
        <sz val="12"/>
        <color rgb="FF252525"/>
        <rFont val="Inherit"/>
      </rPr>
      <t>P</t>
    </r>
  </si>
  <si>
    <r>
      <t>β</t>
    </r>
    <r>
      <rPr>
        <i/>
        <vertAlign val="subscript"/>
        <sz val="12"/>
        <color rgb="FF252525"/>
        <rFont val="Inherit"/>
      </rPr>
      <t>P</t>
    </r>
  </si>
  <si>
    <t>X</t>
  </si>
  <si>
    <t>Y</t>
  </si>
  <si>
    <t>Z</t>
  </si>
  <si>
    <t>Market</t>
  </si>
  <si>
    <t>Risk-free</t>
  </si>
  <si>
    <t>tracking error</t>
  </si>
  <si>
    <t>X_Jensen</t>
  </si>
  <si>
    <t>IR</t>
  </si>
  <si>
    <t>Fund alpha</t>
  </si>
  <si>
    <t>Tracking Error</t>
  </si>
  <si>
    <t>Return Mean</t>
  </si>
  <si>
    <t>std</t>
  </si>
  <si>
    <t>probability</t>
  </si>
  <si>
    <t>P(Z&lt;z)=16</t>
  </si>
  <si>
    <t>Expected loss</t>
  </si>
  <si>
    <t>P(Z&lt;z)=5</t>
  </si>
  <si>
    <t>make sense</t>
  </si>
  <si>
    <t>all loss &lt;100 is possible</t>
  </si>
  <si>
    <t>P(Z&lt;z)=1</t>
  </si>
  <si>
    <t>make  sense</t>
  </si>
  <si>
    <t>possible to have return &gt;100</t>
  </si>
  <si>
    <t>Asset</t>
  </si>
  <si>
    <t>A</t>
  </si>
  <si>
    <t>B</t>
  </si>
  <si>
    <t>Probability</t>
  </si>
  <si>
    <t>term2N</t>
  </si>
  <si>
    <t>term2D0</t>
  </si>
  <si>
    <t>Term2D1</t>
  </si>
  <si>
    <t>Term2D2</t>
  </si>
  <si>
    <t>Fund</t>
  </si>
  <si>
    <t>Risk-Free</t>
  </si>
  <si>
    <t>averag</t>
  </si>
  <si>
    <t>Sharpe ratio</t>
  </si>
  <si>
    <t>correlation</t>
  </si>
  <si>
    <t>Jensen</t>
  </si>
  <si>
    <t>ExcessFund</t>
  </si>
  <si>
    <t>MarketExcess</t>
  </si>
  <si>
    <t>ExcessDifference</t>
  </si>
  <si>
    <t>beta</t>
  </si>
  <si>
    <t>Treynor</t>
  </si>
  <si>
    <t>Sharpe</t>
  </si>
  <si>
    <t>term1N</t>
  </si>
  <si>
    <t>Portfolio E(Rp)</t>
  </si>
  <si>
    <t>Portfolio Std</t>
  </si>
  <si>
    <t>Smallest Expected loss</t>
  </si>
  <si>
    <t>P(Z&lt;z)=2.5</t>
  </si>
  <si>
    <t>&lt;--Monthly</t>
  </si>
  <si>
    <t>Weight</t>
  </si>
  <si>
    <t>sharpe</t>
  </si>
  <si>
    <t>R_square</t>
  </si>
  <si>
    <t>Alpha</t>
  </si>
  <si>
    <t>IR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</si>
</sst>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164" formatCode="0.00_);[Red]\(0.00\)"/>
    <numFmt numFmtId="165" formatCode="0.00000"/>
    <numFmt numFmtId="166" formatCode="0.00000%"/>
    <numFmt numFmtId="167" formatCode="0.000"/>
    <numFmt numFmtId="168" formatCode="0.000%"/>
    <numFmt numFmtId="169" formatCode="0.0000"/>
    <numFmt numFmtId="170" formatCode="0.00000000%"/>
    <numFmt numFmtId="171" formatCode="0.0000%"/>
  </numFmts>
  <fonts count="1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theme="1"/>
      <name val="Courier New"/>
      <family val="1"/>
    </font>
    <font>
      <sz val="12"/>
      <color rgb="FF252525"/>
      <name val="Courier New"/>
      <family val="1"/>
    </font>
    <font>
      <sz val="14"/>
      <color rgb="FF252525"/>
      <name val="Courier New"/>
      <family val="1"/>
    </font>
    <font>
      <i/>
      <sz val="14"/>
      <color rgb="FF252525"/>
      <name val="Courier New"/>
      <family val="1"/>
    </font>
    <font>
      <vertAlign val="subscript"/>
      <sz val="12"/>
      <color rgb="FF252525"/>
      <name val="Courier New"/>
      <family val="1"/>
    </font>
    <font>
      <i/>
      <sz val="12"/>
      <color rgb="FF252525"/>
      <name val="Inherit"/>
    </font>
    <font>
      <sz val="12"/>
      <color theme="9"/>
      <name val="Courier New"/>
      <family val="1"/>
    </font>
    <font>
      <i/>
      <vertAlign val="subscript"/>
      <sz val="12"/>
      <color rgb="FF252525"/>
      <name val="Inherit"/>
    </font>
    <font>
      <sz val="12"/>
      <color rgb="FF000000"/>
      <name val="Aptos Narrow"/>
      <family val="2"/>
      <scheme val="minor"/>
    </font>
    <font>
      <sz val="14"/>
      <color rgb="FF252525"/>
      <name val="Arial"/>
      <family val="2"/>
    </font>
    <font>
      <b/>
      <sz val="12"/>
      <color rgb="FF252525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F9ED5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D7DCE6"/>
      </bottom>
      <diagonal/>
    </border>
    <border>
      <left/>
      <right/>
      <top/>
      <bottom style="thick">
        <color rgb="FFCDD4E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0" fontId="2" fillId="0" borderId="0" xfId="1" applyNumberFormat="1" applyFont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0" fontId="0" fillId="2" borderId="0" xfId="1" applyNumberFormat="1" applyFont="1" applyFill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2" fillId="0" borderId="0" xfId="0" applyNumberFormat="1" applyFont="1"/>
    <xf numFmtId="166" fontId="0" fillId="0" borderId="0" xfId="0" applyNumberFormat="1"/>
    <xf numFmtId="0" fontId="3" fillId="0" borderId="0" xfId="0" applyFont="1"/>
    <xf numFmtId="2" fontId="0" fillId="0" borderId="0" xfId="1" applyNumberFormat="1" applyFont="1"/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5" fillId="0" borderId="0" xfId="0" applyFont="1"/>
    <xf numFmtId="2" fontId="0" fillId="2" borderId="0" xfId="0" applyNumberForma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8" fontId="2" fillId="0" borderId="0" xfId="1" applyNumberFormat="1" applyFont="1"/>
    <xf numFmtId="8" fontId="2" fillId="0" borderId="0" xfId="0" applyNumberFormat="1" applyFont="1"/>
    <xf numFmtId="0" fontId="9" fillId="0" borderId="0" xfId="0" applyFont="1"/>
    <xf numFmtId="6" fontId="0" fillId="2" borderId="0" xfId="0" applyNumberFormat="1" applyFill="1"/>
    <xf numFmtId="9" fontId="0" fillId="2" borderId="0" xfId="1" applyFont="1" applyFill="1"/>
    <xf numFmtId="0" fontId="4" fillId="2" borderId="0" xfId="0" applyFont="1" applyFill="1"/>
    <xf numFmtId="10" fontId="0" fillId="2" borderId="0" xfId="0" applyNumberFormat="1" applyFill="1"/>
    <xf numFmtId="2" fontId="1" fillId="2" borderId="0" xfId="1" applyNumberFormat="1" applyFont="1" applyFill="1"/>
    <xf numFmtId="169" fontId="0" fillId="0" borderId="0" xfId="0" applyNumberFormat="1"/>
    <xf numFmtId="0" fontId="8" fillId="0" borderId="0" xfId="0" applyFont="1"/>
    <xf numFmtId="170" fontId="0" fillId="0" borderId="0" xfId="0" applyNumberFormat="1"/>
    <xf numFmtId="169" fontId="2" fillId="0" borderId="0" xfId="0" applyNumberFormat="1" applyFont="1"/>
    <xf numFmtId="10" fontId="11" fillId="3" borderId="0" xfId="0" applyNumberFormat="1" applyFont="1" applyFill="1"/>
    <xf numFmtId="171" fontId="2" fillId="0" borderId="0" xfId="1" applyNumberFormat="1" applyFont="1"/>
    <xf numFmtId="0" fontId="0" fillId="0" borderId="1" xfId="0" applyBorder="1"/>
    <xf numFmtId="0" fontId="0" fillId="0" borderId="0" xfId="0"/>
    <xf numFmtId="0" fontId="4" fillId="0" borderId="0" xfId="0" applyFont="1"/>
    <xf numFmtId="0" fontId="0" fillId="0" borderId="2" xfId="0" applyBorder="1"/>
    <xf numFmtId="0" fontId="12" fillId="0" borderId="0" xfId="0" applyFont="1"/>
    <xf numFmtId="0" fontId="13" fillId="0" borderId="0" xfId="0" applyFont="1"/>
    <xf numFmtId="0" fontId="4" fillId="0" borderId="3" xfId="0" applyFont="1" applyBorder="1"/>
    <xf numFmtId="0" fontId="4" fillId="0" borderId="4" xfId="0" applyFont="1" applyBorder="1"/>
    <xf numFmtId="0" fontId="0" fillId="0" borderId="4" xfId="0" applyBorder="1"/>
    <xf numFmtId="0" fontId="4" fillId="0" borderId="5" xfId="0" applyFont="1" applyBorder="1"/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9" fontId="2" fillId="0" borderId="0" xfId="1" applyNumberFormat="1" applyFont="1"/>
    <xf numFmtId="169" fontId="0" fillId="0" borderId="0" xfId="0" applyNumberFormat="1" applyFill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292C-B9AC-614C-A681-60E7FFB586D9}">
  <dimension ref="A1:P19"/>
  <sheetViews>
    <sheetView topLeftCell="D1" workbookViewId="0">
      <selection activeCell="L6" sqref="L6"/>
    </sheetView>
  </sheetViews>
  <sheetFormatPr baseColWidth="10" defaultRowHeight="16"/>
  <cols>
    <col min="1" max="1" width="16.5" bestFit="1" customWidth="1"/>
    <col min="3" max="3" width="15.5" bestFit="1" customWidth="1"/>
    <col min="4" max="5" width="13.5" bestFit="1" customWidth="1"/>
    <col min="9" max="9" width="19.6640625" bestFit="1" customWidth="1"/>
    <col min="14" max="14" width="11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6">
      <c r="A2" s="7">
        <f>B2/C2</f>
        <v>17.66990291262136</v>
      </c>
      <c r="B2" s="2">
        <v>9100000000</v>
      </c>
      <c r="C2" s="2">
        <v>515000000</v>
      </c>
      <c r="D2">
        <v>19</v>
      </c>
      <c r="E2" s="4">
        <f>(D2-A2)/D2</f>
        <v>7.0005109862033676E-2</v>
      </c>
      <c r="G2">
        <v>80.19</v>
      </c>
      <c r="H2">
        <v>77.48</v>
      </c>
      <c r="I2">
        <v>0.35</v>
      </c>
      <c r="J2">
        <v>0.52</v>
      </c>
      <c r="K2" s="4">
        <f>(H2-G2+I2+J2)/G2</f>
        <v>-2.2945504426985831E-2</v>
      </c>
    </row>
    <row r="4" spans="1:16">
      <c r="A4" t="s">
        <v>5</v>
      </c>
      <c r="B4" t="s">
        <v>6</v>
      </c>
      <c r="C4" t="s">
        <v>7</v>
      </c>
      <c r="D4" t="s">
        <v>8</v>
      </c>
      <c r="E4" t="s">
        <v>9</v>
      </c>
      <c r="G4" t="s">
        <v>19</v>
      </c>
      <c r="H4" s="3" t="s">
        <v>20</v>
      </c>
      <c r="I4" t="s">
        <v>21</v>
      </c>
      <c r="J4" t="s">
        <v>24</v>
      </c>
      <c r="K4" t="s">
        <v>25</v>
      </c>
      <c r="L4" t="s">
        <v>22</v>
      </c>
      <c r="M4" t="s">
        <v>23</v>
      </c>
      <c r="N4" t="s">
        <v>26</v>
      </c>
    </row>
    <row r="5" spans="1:16">
      <c r="A5" s="3">
        <v>30000</v>
      </c>
      <c r="B5">
        <v>1</v>
      </c>
      <c r="C5">
        <f>A5/B5</f>
        <v>30000</v>
      </c>
      <c r="D5" s="8">
        <v>1.0999999999999999E-2</v>
      </c>
      <c r="E5" s="5">
        <f>A5*(1+D5)</f>
        <v>30329.999999999996</v>
      </c>
      <c r="G5" s="3">
        <v>97</v>
      </c>
      <c r="H5" s="3">
        <v>61</v>
      </c>
      <c r="I5" s="3">
        <v>84</v>
      </c>
      <c r="J5" s="3">
        <v>1</v>
      </c>
      <c r="K5" s="3">
        <v>2</v>
      </c>
      <c r="L5">
        <f>G5/2+H5+I5</f>
        <v>193.5</v>
      </c>
      <c r="M5">
        <f>AVERAGE(G5:I5)</f>
        <v>80.666666666666671</v>
      </c>
      <c r="N5" s="6">
        <f>L5/M5</f>
        <v>2.3987603305785123</v>
      </c>
      <c r="P5" t="s">
        <v>47</v>
      </c>
    </row>
    <row r="6" spans="1:16">
      <c r="P6" t="s">
        <v>48</v>
      </c>
    </row>
    <row r="7" spans="1:16">
      <c r="A7" t="s">
        <v>10</v>
      </c>
      <c r="B7" t="s">
        <v>11</v>
      </c>
      <c r="C7" t="s">
        <v>12</v>
      </c>
      <c r="D7" t="s">
        <v>13</v>
      </c>
      <c r="G7" t="s">
        <v>28</v>
      </c>
      <c r="H7" t="s">
        <v>29</v>
      </c>
      <c r="I7" t="s">
        <v>31</v>
      </c>
      <c r="J7" t="s">
        <v>32</v>
      </c>
      <c r="K7" t="s">
        <v>28</v>
      </c>
      <c r="L7" t="s">
        <v>29</v>
      </c>
      <c r="M7" t="s">
        <v>33</v>
      </c>
    </row>
    <row r="8" spans="1:16">
      <c r="A8" s="2">
        <v>44000000</v>
      </c>
      <c r="B8" s="1">
        <v>71000000</v>
      </c>
      <c r="C8" s="2">
        <v>236000000</v>
      </c>
      <c r="D8" s="4">
        <f>B8/C8</f>
        <v>0.30084745762711862</v>
      </c>
      <c r="F8" t="s">
        <v>30</v>
      </c>
      <c r="G8" s="3">
        <v>39</v>
      </c>
      <c r="H8" s="3">
        <v>43</v>
      </c>
      <c r="J8" s="3">
        <v>32000</v>
      </c>
      <c r="K8">
        <f>G8*$J8</f>
        <v>1248000</v>
      </c>
      <c r="L8">
        <f>H8*$J8</f>
        <v>1376000</v>
      </c>
    </row>
    <row r="9" spans="1:16">
      <c r="F9" t="s">
        <v>27</v>
      </c>
      <c r="G9" s="3">
        <v>74</v>
      </c>
      <c r="H9" s="3">
        <v>79</v>
      </c>
      <c r="J9" s="3">
        <v>31000</v>
      </c>
      <c r="K9">
        <f>G9*$J9</f>
        <v>2294000</v>
      </c>
      <c r="L9">
        <f>H9*$J9</f>
        <v>2449000</v>
      </c>
    </row>
    <row r="10" spans="1:16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G10">
        <f>AVERAGE(G8:G9)</f>
        <v>56.5</v>
      </c>
      <c r="H10">
        <f>AVERAGE(H8:H9)</f>
        <v>61</v>
      </c>
      <c r="I10" s="4">
        <f>(H10-G10)/G10</f>
        <v>7.9646017699115043E-2</v>
      </c>
      <c r="K10">
        <f>AVERAGE(K8:K9)</f>
        <v>1771000</v>
      </c>
      <c r="L10">
        <f>AVERAGE(L8:L9)</f>
        <v>1912500</v>
      </c>
      <c r="M10" s="4">
        <f>(L10-K10)/K10</f>
        <v>7.989836250705816E-2</v>
      </c>
    </row>
    <row r="11" spans="1:16">
      <c r="A11">
        <v>0.13229337899999999</v>
      </c>
      <c r="B11">
        <v>8900.81</v>
      </c>
      <c r="C11">
        <f>B11*A11</f>
        <v>1177.5182307369898</v>
      </c>
      <c r="D11">
        <v>3</v>
      </c>
      <c r="E11" s="9">
        <f>(C11+D11)/A11</f>
        <v>8923.4868718334728</v>
      </c>
    </row>
    <row r="14" spans="1:16">
      <c r="B14" t="s">
        <v>39</v>
      </c>
      <c r="C14" t="s">
        <v>40</v>
      </c>
      <c r="D14" t="s">
        <v>42</v>
      </c>
      <c r="E14" t="s">
        <v>41</v>
      </c>
    </row>
    <row r="15" spans="1:16">
      <c r="A15" t="s">
        <v>43</v>
      </c>
      <c r="B15" s="1">
        <v>345000000</v>
      </c>
      <c r="C15">
        <v>94</v>
      </c>
      <c r="D15">
        <v>97</v>
      </c>
      <c r="E15">
        <v>34.5</v>
      </c>
    </row>
    <row r="16" spans="1:16">
      <c r="A16" t="s">
        <v>44</v>
      </c>
      <c r="B16" s="1">
        <v>450000000</v>
      </c>
      <c r="C16">
        <v>66</v>
      </c>
      <c r="D16">
        <v>61</v>
      </c>
      <c r="E16">
        <v>75</v>
      </c>
    </row>
    <row r="17" spans="1:5">
      <c r="A17" t="s">
        <v>45</v>
      </c>
      <c r="B17" s="1">
        <v>310000000</v>
      </c>
      <c r="C17">
        <v>95</v>
      </c>
      <c r="D17">
        <v>84</v>
      </c>
      <c r="E17">
        <v>101</v>
      </c>
    </row>
    <row r="18" spans="1:5">
      <c r="A18" t="s">
        <v>46</v>
      </c>
      <c r="C18" s="5">
        <f>AVERAGE(C15:C17)</f>
        <v>85</v>
      </c>
      <c r="D18" s="5">
        <f t="shared" ref="D18:E18" si="0">AVERAGE(D15:D17)</f>
        <v>80.666666666666671</v>
      </c>
      <c r="E18" s="5">
        <f t="shared" si="0"/>
        <v>70.166666666666671</v>
      </c>
    </row>
    <row r="19" spans="1:5">
      <c r="A19" t="s">
        <v>18</v>
      </c>
      <c r="C19" s="5"/>
      <c r="D19" s="4">
        <f>(D18-C18)/C18</f>
        <v>-5.0980392156862689E-2</v>
      </c>
      <c r="E19" s="4">
        <f>(E18-D18)/D18</f>
        <v>-0.13016528925619833</v>
      </c>
    </row>
  </sheetData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5FFA-CBC8-4947-85D7-09EF6BE4F053}">
  <dimension ref="A1:R45"/>
  <sheetViews>
    <sheetView workbookViewId="0">
      <selection activeCell="D18" sqref="D18"/>
    </sheetView>
  </sheetViews>
  <sheetFormatPr baseColWidth="10" defaultRowHeight="16"/>
  <cols>
    <col min="1" max="1" width="14.33203125" bestFit="1" customWidth="1"/>
    <col min="3" max="3" width="19.6640625" bestFit="1" customWidth="1"/>
    <col min="4" max="4" width="13.6640625" bestFit="1" customWidth="1"/>
    <col min="6" max="6" width="31.5" bestFit="1" customWidth="1"/>
    <col min="7" max="7" width="14.83203125" bestFit="1" customWidth="1"/>
    <col min="8" max="8" width="15" bestFit="1" customWidth="1"/>
    <col min="12" max="12" width="13.6640625" bestFit="1" customWidth="1"/>
  </cols>
  <sheetData>
    <row r="1" spans="1:12">
      <c r="A1" t="s">
        <v>53</v>
      </c>
      <c r="B1">
        <f>SUM(B4:B12)</f>
        <v>8.7472436680441028</v>
      </c>
      <c r="C1">
        <f>SUM(C4:C12)</f>
        <v>44.630788297107379</v>
      </c>
      <c r="D1" s="9">
        <f>SUM(B1:C1)</f>
        <v>53.378031965151479</v>
      </c>
    </row>
    <row r="2" spans="1:12">
      <c r="A2" t="s">
        <v>51</v>
      </c>
      <c r="B2" t="s">
        <v>49</v>
      </c>
      <c r="C2" t="s">
        <v>50</v>
      </c>
      <c r="D2" t="s">
        <v>52</v>
      </c>
      <c r="F2" t="s">
        <v>54</v>
      </c>
      <c r="G2" t="s">
        <v>55</v>
      </c>
      <c r="H2" t="s">
        <v>56</v>
      </c>
      <c r="J2" t="s">
        <v>57</v>
      </c>
    </row>
    <row r="3" spans="1:12">
      <c r="A3">
        <v>0</v>
      </c>
      <c r="B3">
        <v>2.7</v>
      </c>
      <c r="C3">
        <v>63</v>
      </c>
      <c r="D3" s="10">
        <v>0.09</v>
      </c>
      <c r="F3">
        <v>1.7</v>
      </c>
      <c r="G3">
        <v>0.7</v>
      </c>
      <c r="H3" s="10">
        <v>0.4</v>
      </c>
      <c r="I3" s="11">
        <f>1+(G3*(1-H3))</f>
        <v>1.42</v>
      </c>
      <c r="J3" s="9">
        <f>F3/I3</f>
        <v>1.1971830985915493</v>
      </c>
    </row>
    <row r="4" spans="1:12">
      <c r="A4">
        <f>A3+1</f>
        <v>1</v>
      </c>
      <c r="B4">
        <f>$B$3/(1+$D$3)^A4</f>
        <v>2.477064220183486</v>
      </c>
    </row>
    <row r="5" spans="1:12">
      <c r="A5">
        <f t="shared" ref="A5:A12" si="0">A4+1</f>
        <v>2</v>
      </c>
      <c r="B5">
        <f t="shared" ref="B5:B7" si="1">$B$3/(1+$D$3)^A5</f>
        <v>2.2725359818197122</v>
      </c>
      <c r="F5" t="s">
        <v>58</v>
      </c>
      <c r="G5" t="s">
        <v>59</v>
      </c>
      <c r="H5" t="s">
        <v>60</v>
      </c>
    </row>
    <row r="6" spans="1:12">
      <c r="A6">
        <f t="shared" si="0"/>
        <v>3</v>
      </c>
      <c r="B6">
        <f t="shared" si="1"/>
        <v>2.0848953961648733</v>
      </c>
      <c r="F6">
        <v>910</v>
      </c>
      <c r="G6">
        <v>221</v>
      </c>
      <c r="H6" s="9">
        <f>F6/G6</f>
        <v>4.117647058823529</v>
      </c>
    </row>
    <row r="7" spans="1:12">
      <c r="A7">
        <f t="shared" si="0"/>
        <v>4</v>
      </c>
      <c r="B7">
        <f t="shared" si="1"/>
        <v>1.9127480698760306</v>
      </c>
      <c r="C7">
        <f>$C$3/(1+$D$3)^A7</f>
        <v>44.630788297107379</v>
      </c>
    </row>
    <row r="8" spans="1:12">
      <c r="A8">
        <f t="shared" si="0"/>
        <v>5</v>
      </c>
      <c r="F8" t="s">
        <v>61</v>
      </c>
      <c r="G8" t="s">
        <v>62</v>
      </c>
      <c r="H8" t="s">
        <v>52</v>
      </c>
      <c r="I8" t="s">
        <v>63</v>
      </c>
      <c r="J8" t="s">
        <v>64</v>
      </c>
      <c r="K8" t="s">
        <v>65</v>
      </c>
      <c r="L8" t="s">
        <v>66</v>
      </c>
    </row>
    <row r="9" spans="1:12">
      <c r="A9">
        <f t="shared" si="0"/>
        <v>6</v>
      </c>
      <c r="F9">
        <v>1.67</v>
      </c>
      <c r="G9">
        <v>36</v>
      </c>
      <c r="H9" s="10">
        <v>0.1</v>
      </c>
      <c r="I9">
        <f>F9*(1+K9)</f>
        <v>1.755561460919749</v>
      </c>
      <c r="J9" s="11">
        <f>(H9-K9)</f>
        <v>4.876559226362337E-2</v>
      </c>
      <c r="K9" s="4">
        <v>5.1234407736376636E-2</v>
      </c>
      <c r="L9">
        <f>I9/J9</f>
        <v>36.000002859173883</v>
      </c>
    </row>
    <row r="10" spans="1:12">
      <c r="A10">
        <f t="shared" si="0"/>
        <v>7</v>
      </c>
    </row>
    <row r="11" spans="1:12">
      <c r="A11">
        <f t="shared" si="0"/>
        <v>8</v>
      </c>
      <c r="F11" t="s">
        <v>54</v>
      </c>
      <c r="G11" t="s">
        <v>67</v>
      </c>
      <c r="H11" t="s">
        <v>68</v>
      </c>
      <c r="I11" t="s">
        <v>69</v>
      </c>
    </row>
    <row r="12" spans="1:12">
      <c r="A12">
        <f t="shared" si="0"/>
        <v>9</v>
      </c>
      <c r="F12">
        <v>1.65</v>
      </c>
      <c r="G12" s="13">
        <v>5.3999999999999999E-2</v>
      </c>
      <c r="H12" s="13">
        <v>8.8999999999999996E-2</v>
      </c>
      <c r="I12" s="15">
        <f>G12+F12*H12</f>
        <v>0.20084999999999997</v>
      </c>
    </row>
    <row r="13" spans="1:12">
      <c r="F13">
        <v>1.74</v>
      </c>
      <c r="G13" s="13">
        <v>5.3999999999999999E-2</v>
      </c>
      <c r="H13" s="13">
        <v>8.8999999999999996E-2</v>
      </c>
      <c r="I13" s="15">
        <f>G13+F13*H13</f>
        <v>0.20885999999999999</v>
      </c>
    </row>
    <row r="14" spans="1:12">
      <c r="A14" t="s">
        <v>125</v>
      </c>
      <c r="B14" t="s">
        <v>68</v>
      </c>
      <c r="C14" t="s">
        <v>76</v>
      </c>
      <c r="D14" t="s">
        <v>107</v>
      </c>
      <c r="F14">
        <v>1.1599999999999999</v>
      </c>
      <c r="G14" s="13">
        <v>0.04</v>
      </c>
      <c r="H14" s="13">
        <v>7.0000000000000007E-2</v>
      </c>
      <c r="I14" s="15">
        <f>G14+F14*H14</f>
        <v>0.1212</v>
      </c>
    </row>
    <row r="15" spans="1:12">
      <c r="A15">
        <v>1.06</v>
      </c>
      <c r="B15" s="13">
        <v>0.129</v>
      </c>
      <c r="C15" s="13">
        <v>6.2E-2</v>
      </c>
      <c r="D15">
        <v>0.79</v>
      </c>
      <c r="F15" t="s">
        <v>70</v>
      </c>
      <c r="G15" t="s">
        <v>71</v>
      </c>
      <c r="H15" t="s">
        <v>52</v>
      </c>
      <c r="I15" t="s">
        <v>72</v>
      </c>
      <c r="J15" t="s">
        <v>74</v>
      </c>
      <c r="K15" t="s">
        <v>75</v>
      </c>
      <c r="L15" t="s">
        <v>73</v>
      </c>
    </row>
    <row r="16" spans="1:12">
      <c r="A16">
        <v>1.1399999999999999</v>
      </c>
      <c r="B16" t="s">
        <v>78</v>
      </c>
      <c r="C16" s="16">
        <f>C15+D15*B15</f>
        <v>0.16391</v>
      </c>
      <c r="F16">
        <v>2.5</v>
      </c>
      <c r="G16">
        <v>4.3</v>
      </c>
      <c r="H16" s="13">
        <v>0.17</v>
      </c>
      <c r="I16" s="13">
        <v>3.4000000000000002E-2</v>
      </c>
      <c r="J16">
        <f>F16-(G16*H16)</f>
        <v>1.7690000000000001</v>
      </c>
      <c r="K16" s="14">
        <f>H16-I16</f>
        <v>0.13600000000000001</v>
      </c>
      <c r="L16" s="9">
        <f>G16+J16/K16</f>
        <v>17.307352941176472</v>
      </c>
    </row>
    <row r="17" spans="1:18">
      <c r="A17">
        <v>1.23</v>
      </c>
      <c r="B17" s="13">
        <f>(A16-A15)/A15</f>
        <v>7.5471698113207406E-2</v>
      </c>
      <c r="C17" s="14" t="s">
        <v>79</v>
      </c>
      <c r="D17" t="s">
        <v>77</v>
      </c>
    </row>
    <row r="18" spans="1:18">
      <c r="A18">
        <v>1.31</v>
      </c>
      <c r="B18" s="13">
        <f t="shared" ref="B18:B21" si="2">(A17-A16)/A16</f>
        <v>7.894736842105271E-2</v>
      </c>
      <c r="C18" s="14">
        <f>AVERAGE(B17:B21)</f>
        <v>6.6251317542232208E-2</v>
      </c>
      <c r="D18" s="9">
        <f>C20/C22</f>
        <v>15.940486646283199</v>
      </c>
      <c r="M18" t="s">
        <v>79</v>
      </c>
    </row>
    <row r="19" spans="1:18" ht="17">
      <c r="A19">
        <v>1.41</v>
      </c>
      <c r="B19" s="13">
        <f t="shared" si="2"/>
        <v>6.5040650406504127E-2</v>
      </c>
      <c r="C19" t="s">
        <v>74</v>
      </c>
      <c r="F19" s="17" t="s">
        <v>80</v>
      </c>
      <c r="G19" s="17">
        <v>2011</v>
      </c>
      <c r="H19" s="17">
        <v>2012</v>
      </c>
      <c r="I19" s="17">
        <v>2013</v>
      </c>
      <c r="J19" s="17">
        <v>2014</v>
      </c>
      <c r="K19" s="17">
        <v>2015</v>
      </c>
      <c r="L19" s="17">
        <v>2016</v>
      </c>
    </row>
    <row r="20" spans="1:18" ht="17">
      <c r="A20">
        <v>1.46</v>
      </c>
      <c r="B20" s="13">
        <f t="shared" si="2"/>
        <v>7.6335877862595311E-2</v>
      </c>
      <c r="C20">
        <f>A20*(1+C18)</f>
        <v>1.5567269236116588</v>
      </c>
      <c r="F20" s="17" t="s">
        <v>81</v>
      </c>
      <c r="G20" s="17">
        <v>56.9</v>
      </c>
      <c r="H20" s="17">
        <v>62.8</v>
      </c>
      <c r="I20" s="17">
        <v>61.5</v>
      </c>
      <c r="J20" s="17">
        <v>59</v>
      </c>
      <c r="K20" s="17">
        <v>80.5</v>
      </c>
      <c r="L20" s="17">
        <v>95.9</v>
      </c>
      <c r="M20" s="17"/>
      <c r="N20" s="17"/>
      <c r="O20" s="17"/>
      <c r="P20" s="17"/>
      <c r="Q20" s="17"/>
      <c r="R20" s="17"/>
    </row>
    <row r="21" spans="1:18" ht="17">
      <c r="B21" s="13">
        <f t="shared" si="2"/>
        <v>3.5460992907801449E-2</v>
      </c>
      <c r="C21" t="s">
        <v>75</v>
      </c>
      <c r="F21" s="17" t="s">
        <v>82</v>
      </c>
      <c r="G21" s="17">
        <v>2.5</v>
      </c>
      <c r="H21" s="17">
        <v>3.21</v>
      </c>
      <c r="I21" s="17">
        <v>4.01</v>
      </c>
      <c r="J21">
        <v>4.71</v>
      </c>
      <c r="K21" s="17">
        <v>7.05</v>
      </c>
      <c r="L21" s="17">
        <v>8.0500000000000007</v>
      </c>
      <c r="M21" s="17"/>
      <c r="N21" s="17"/>
      <c r="O21" s="17"/>
      <c r="P21" s="17"/>
      <c r="Q21" s="17"/>
      <c r="R21" s="17"/>
    </row>
    <row r="22" spans="1:18" ht="17">
      <c r="C22" s="16">
        <f>C16-C18</f>
        <v>9.7658682457767793E-2</v>
      </c>
      <c r="F22" s="17" t="s">
        <v>83</v>
      </c>
      <c r="G22" s="17">
        <v>7.32</v>
      </c>
      <c r="H22" s="17">
        <v>8.2799999999999994</v>
      </c>
      <c r="I22" s="17">
        <v>8.74</v>
      </c>
      <c r="J22" s="17">
        <v>10.17</v>
      </c>
      <c r="K22" s="17">
        <v>11.83</v>
      </c>
      <c r="L22" s="17">
        <v>13.12</v>
      </c>
      <c r="M22" s="17"/>
      <c r="N22" s="17"/>
      <c r="O22" s="17"/>
      <c r="P22" s="17"/>
      <c r="Q22" s="17"/>
      <c r="R22" s="17"/>
    </row>
    <row r="23" spans="1:18" ht="17">
      <c r="F23" s="17" t="s">
        <v>84</v>
      </c>
      <c r="G23" s="17">
        <v>34.799999999999997</v>
      </c>
      <c r="H23" s="17">
        <v>39.799999999999997</v>
      </c>
      <c r="I23" s="17">
        <v>39.200000000000003</v>
      </c>
      <c r="J23" s="17">
        <v>42.7</v>
      </c>
      <c r="K23" s="17">
        <v>53.9</v>
      </c>
      <c r="L23" s="17">
        <v>61.9</v>
      </c>
      <c r="M23" s="17"/>
      <c r="N23" s="17"/>
      <c r="O23" s="17"/>
      <c r="P23" s="17"/>
      <c r="Q23" s="17"/>
      <c r="R23" s="17"/>
    </row>
    <row r="24" spans="1:18" ht="17">
      <c r="A24" t="s">
        <v>94</v>
      </c>
      <c r="B24">
        <v>58</v>
      </c>
      <c r="F24" s="17" t="s">
        <v>85</v>
      </c>
      <c r="G24">
        <f>IF(G21&gt;0,G20/G21,"")</f>
        <v>22.759999999999998</v>
      </c>
      <c r="H24">
        <f t="shared" ref="H24:L24" si="3">IF(H21&gt;0,H20/H21,"")</f>
        <v>19.563862928348907</v>
      </c>
      <c r="I24">
        <f t="shared" si="3"/>
        <v>15.336658354114714</v>
      </c>
      <c r="J24">
        <f t="shared" si="3"/>
        <v>12.526539278131635</v>
      </c>
      <c r="K24">
        <f t="shared" si="3"/>
        <v>11.418439716312058</v>
      </c>
      <c r="L24">
        <f t="shared" si="3"/>
        <v>11.913043478260869</v>
      </c>
      <c r="M24">
        <f>AVERAGE(G24:L24)</f>
        <v>15.586423959194699</v>
      </c>
    </row>
    <row r="25" spans="1:18" ht="17">
      <c r="A25" t="s">
        <v>97</v>
      </c>
      <c r="B25">
        <v>4.9000000000000004</v>
      </c>
      <c r="F25" s="17" t="s">
        <v>86</v>
      </c>
      <c r="H25" s="13">
        <f>ABS(H21-G21)/ABS(G21)</f>
        <v>0.28399999999999997</v>
      </c>
      <c r="I25" s="13">
        <f t="shared" ref="I25:L25" si="4">ABS(I21-H21)/ABS(H21)</f>
        <v>0.249221183800623</v>
      </c>
      <c r="J25" s="13">
        <f t="shared" si="4"/>
        <v>0.17456359102244395</v>
      </c>
      <c r="K25" s="13">
        <f t="shared" si="4"/>
        <v>0.49681528662420382</v>
      </c>
      <c r="L25" s="13">
        <f t="shared" si="4"/>
        <v>0.1418439716312058</v>
      </c>
      <c r="M25" s="13">
        <f>AVERAGE(G25:L25)</f>
        <v>0.26928880661569538</v>
      </c>
    </row>
    <row r="26" spans="1:18" ht="17">
      <c r="A26" t="s">
        <v>95</v>
      </c>
      <c r="B26" s="10">
        <v>5.5E-2</v>
      </c>
      <c r="F26" s="17" t="s">
        <v>87</v>
      </c>
      <c r="M26" s="9"/>
      <c r="N26" s="9">
        <f>M24*L21*(1+M25)</f>
        <v>159.25857140590881</v>
      </c>
    </row>
    <row r="27" spans="1:18" ht="17">
      <c r="A27" t="s">
        <v>96</v>
      </c>
      <c r="B27" s="10">
        <v>0.16</v>
      </c>
      <c r="F27" s="17" t="s">
        <v>89</v>
      </c>
      <c r="G27">
        <f>IF(G22&gt;0,G20/G22,"")</f>
        <v>7.7732240437158469</v>
      </c>
      <c r="H27">
        <f t="shared" ref="H27:L27" si="5">IF(H22&gt;0,H20/H22,"")</f>
        <v>7.5845410628019323</v>
      </c>
      <c r="I27">
        <f t="shared" si="5"/>
        <v>7.0366132723112127</v>
      </c>
      <c r="J27">
        <f t="shared" si="5"/>
        <v>5.8013765978367751</v>
      </c>
      <c r="K27">
        <f t="shared" si="5"/>
        <v>6.8047337278106506</v>
      </c>
      <c r="L27">
        <f t="shared" si="5"/>
        <v>7.3094512195121961</v>
      </c>
      <c r="M27">
        <f>AVERAGE(G27:L27)</f>
        <v>7.0516566539981023</v>
      </c>
    </row>
    <row r="28" spans="1:18" ht="17">
      <c r="A28" t="s">
        <v>99</v>
      </c>
      <c r="B28">
        <f>B24*(1+B27)</f>
        <v>67.28</v>
      </c>
      <c r="F28" s="17" t="s">
        <v>90</v>
      </c>
      <c r="H28" s="13">
        <f>ABS(H22-G22)/ABS(G22)</f>
        <v>0.13114754098360643</v>
      </c>
      <c r="I28" s="13">
        <f t="shared" ref="I28:L28" si="6">ABS(I22-H22)/ABS(H22)</f>
        <v>5.5555555555555663E-2</v>
      </c>
      <c r="J28" s="13">
        <f t="shared" si="6"/>
        <v>0.16361556064073224</v>
      </c>
      <c r="K28" s="13">
        <f t="shared" si="6"/>
        <v>0.16322517207472961</v>
      </c>
      <c r="L28" s="13">
        <f t="shared" si="6"/>
        <v>0.10904480135249359</v>
      </c>
      <c r="M28" s="13"/>
    </row>
    <row r="29" spans="1:18" ht="17">
      <c r="A29" t="s">
        <v>98</v>
      </c>
      <c r="B29" s="5">
        <f>B25*(1+B26)</f>
        <v>5.1695000000000002</v>
      </c>
      <c r="F29" s="17" t="s">
        <v>88</v>
      </c>
      <c r="N29" s="9">
        <f>M27*L22*(1+L28)</f>
        <v>102.60631336787581</v>
      </c>
    </row>
    <row r="30" spans="1:18" ht="17">
      <c r="A30" t="s">
        <v>100</v>
      </c>
      <c r="B30" s="9">
        <f>B28/B29</f>
        <v>13.01479833639617</v>
      </c>
      <c r="F30" s="17" t="s">
        <v>91</v>
      </c>
      <c r="G30">
        <f>IF(G23&gt;0,G20/G23,"")</f>
        <v>1.635057471264368</v>
      </c>
      <c r="H30">
        <f t="shared" ref="H30:L30" si="7">IF(H23&gt;0,H20/H23,"")</f>
        <v>1.5778894472361809</v>
      </c>
      <c r="I30">
        <f t="shared" si="7"/>
        <v>1.568877551020408</v>
      </c>
      <c r="J30">
        <f t="shared" si="7"/>
        <v>1.3817330210772834</v>
      </c>
      <c r="K30">
        <f t="shared" si="7"/>
        <v>1.4935064935064934</v>
      </c>
      <c r="L30">
        <f t="shared" si="7"/>
        <v>1.5492730210016157</v>
      </c>
      <c r="M30" s="18">
        <f>AVERAGE(G30:L30)</f>
        <v>1.5343895008510584</v>
      </c>
    </row>
    <row r="31" spans="1:18" ht="17">
      <c r="F31" s="17" t="s">
        <v>92</v>
      </c>
      <c r="H31" s="13">
        <f>ABS(H23-G23)/ABS(G23)</f>
        <v>0.14367816091954025</v>
      </c>
      <c r="I31" s="13">
        <f t="shared" ref="I31:K31" si="8">ABS(I23-H23)/ABS(H23)</f>
        <v>1.5075376884421969E-2</v>
      </c>
      <c r="J31" s="13">
        <f t="shared" si="8"/>
        <v>8.9285714285714274E-2</v>
      </c>
      <c r="K31" s="13">
        <f t="shared" si="8"/>
        <v>0.26229508196721302</v>
      </c>
      <c r="L31" s="13">
        <f>(L23-K23)/K23</f>
        <v>0.14842300556586271</v>
      </c>
      <c r="M31" s="13">
        <f>AVERAGE(G31:L31)</f>
        <v>0.13175146792455045</v>
      </c>
    </row>
    <row r="32" spans="1:18" ht="17">
      <c r="A32" t="s">
        <v>101</v>
      </c>
      <c r="B32" t="s">
        <v>102</v>
      </c>
      <c r="C32" t="s">
        <v>103</v>
      </c>
      <c r="D32" t="s">
        <v>104</v>
      </c>
      <c r="F32" s="17" t="s">
        <v>93</v>
      </c>
      <c r="N32" s="9">
        <f>M30*L23*(1+M31)</f>
        <v>107.49229458028898</v>
      </c>
    </row>
    <row r="33" spans="1:10">
      <c r="A33">
        <v>38</v>
      </c>
      <c r="B33" s="10">
        <v>0.09</v>
      </c>
      <c r="C33" s="13">
        <v>3.7999999999999999E-2</v>
      </c>
      <c r="D33">
        <f>A33*(B33-C33)</f>
        <v>1.976</v>
      </c>
    </row>
    <row r="34" spans="1:10">
      <c r="A34" t="s">
        <v>105</v>
      </c>
      <c r="B34">
        <v>3</v>
      </c>
      <c r="C34" t="s">
        <v>106</v>
      </c>
      <c r="D34" s="9">
        <f>D33*(1+C33)^(B34-1)</f>
        <v>2.1290293440000001</v>
      </c>
    </row>
    <row r="35" spans="1:10" ht="17">
      <c r="F35" s="17" t="s">
        <v>109</v>
      </c>
      <c r="G35" t="s">
        <v>108</v>
      </c>
    </row>
    <row r="38" spans="1:10">
      <c r="F38" t="s">
        <v>112</v>
      </c>
      <c r="G38" t="s">
        <v>110</v>
      </c>
      <c r="H38" t="s">
        <v>111</v>
      </c>
      <c r="I38" s="12" t="s">
        <v>113</v>
      </c>
      <c r="J38" t="s">
        <v>114</v>
      </c>
    </row>
    <row r="39" spans="1:10">
      <c r="F39">
        <f>G39*(1+H39)</f>
        <v>5.6740000000000004</v>
      </c>
      <c r="G39">
        <v>5</v>
      </c>
      <c r="H39" s="13">
        <v>0.1348</v>
      </c>
      <c r="I39">
        <v>13.1</v>
      </c>
      <c r="J39" s="9">
        <f>F39*I39</f>
        <v>74.329400000000007</v>
      </c>
    </row>
    <row r="40" spans="1:10">
      <c r="G40" s="12"/>
    </row>
    <row r="41" spans="1:10">
      <c r="F41" t="s">
        <v>115</v>
      </c>
      <c r="G41" t="s">
        <v>116</v>
      </c>
      <c r="H41" t="s">
        <v>117</v>
      </c>
      <c r="I41" t="s">
        <v>118</v>
      </c>
      <c r="J41" t="s">
        <v>119</v>
      </c>
    </row>
    <row r="42" spans="1:10">
      <c r="F42">
        <f>G42*(1+H42)</f>
        <v>7.3530600000000002</v>
      </c>
      <c r="G42">
        <v>6.6</v>
      </c>
      <c r="H42" s="13">
        <v>0.11409999999999999</v>
      </c>
      <c r="I42">
        <v>9.42</v>
      </c>
      <c r="J42" s="9">
        <f>F42*I42</f>
        <v>69.265825199999995</v>
      </c>
    </row>
    <row r="44" spans="1:10">
      <c r="F44" t="s">
        <v>120</v>
      </c>
      <c r="G44" t="s">
        <v>121</v>
      </c>
      <c r="H44" t="s">
        <v>122</v>
      </c>
      <c r="I44" t="s">
        <v>123</v>
      </c>
      <c r="J44" t="s">
        <v>124</v>
      </c>
    </row>
    <row r="45" spans="1:10">
      <c r="F45">
        <f>G45*(1+H45)</f>
        <v>27.532709999999994</v>
      </c>
      <c r="G45">
        <v>25.65</v>
      </c>
      <c r="H45" s="13">
        <v>7.3400000000000007E-2</v>
      </c>
      <c r="I45">
        <f>2.36</f>
        <v>2.36</v>
      </c>
      <c r="J45" s="9">
        <f>F45*I45</f>
        <v>64.977195599999988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E4C4-7F7A-1345-B923-2EF177C4BD4E}">
  <dimension ref="A1:AB47"/>
  <sheetViews>
    <sheetView workbookViewId="0">
      <selection activeCell="G12" sqref="G12"/>
    </sheetView>
  </sheetViews>
  <sheetFormatPr baseColWidth="10" defaultRowHeight="16"/>
  <cols>
    <col min="3" max="4" width="11.6640625" bestFit="1" customWidth="1"/>
    <col min="7" max="7" width="12.6640625" bestFit="1" customWidth="1"/>
    <col min="9" max="11" width="11.6640625" bestFit="1" customWidth="1"/>
  </cols>
  <sheetData>
    <row r="1" spans="1:28">
      <c r="A1" t="s">
        <v>81</v>
      </c>
      <c r="B1" t="s">
        <v>126</v>
      </c>
      <c r="C1" t="s">
        <v>127</v>
      </c>
      <c r="D1" t="s">
        <v>130</v>
      </c>
      <c r="E1" t="s">
        <v>131</v>
      </c>
      <c r="F1" t="s">
        <v>132</v>
      </c>
      <c r="G1" t="s">
        <v>134</v>
      </c>
      <c r="L1" t="s">
        <v>158</v>
      </c>
      <c r="N1" t="s">
        <v>159</v>
      </c>
      <c r="O1" t="s">
        <v>160</v>
      </c>
      <c r="S1" t="s">
        <v>81</v>
      </c>
      <c r="T1" t="s">
        <v>126</v>
      </c>
      <c r="U1" t="s">
        <v>127</v>
      </c>
      <c r="V1" t="s">
        <v>130</v>
      </c>
      <c r="W1" t="s">
        <v>131</v>
      </c>
      <c r="X1" t="s">
        <v>132</v>
      </c>
      <c r="Y1" t="s">
        <v>134</v>
      </c>
    </row>
    <row r="2" spans="1:28" ht="17">
      <c r="A2" s="19">
        <v>83.78</v>
      </c>
      <c r="G2" t="s">
        <v>128</v>
      </c>
      <c r="H2" t="s">
        <v>129</v>
      </c>
      <c r="J2" s="19" t="s">
        <v>145</v>
      </c>
      <c r="K2" s="19" t="s">
        <v>146</v>
      </c>
      <c r="L2" s="19">
        <v>172.04</v>
      </c>
      <c r="M2" s="19" t="s">
        <v>146</v>
      </c>
      <c r="N2" s="19">
        <v>606.16</v>
      </c>
      <c r="S2" s="19">
        <v>59.98</v>
      </c>
      <c r="Y2" t="s">
        <v>128</v>
      </c>
      <c r="Z2" t="s">
        <v>129</v>
      </c>
    </row>
    <row r="3" spans="1:28" ht="17">
      <c r="A3" s="19">
        <v>83.74</v>
      </c>
      <c r="B3" s="21">
        <v>2500</v>
      </c>
      <c r="C3" t="str">
        <f>IF(A3&gt;A2,"+","-")</f>
        <v>-</v>
      </c>
      <c r="D3">
        <f>A3*B3</f>
        <v>209350</v>
      </c>
      <c r="E3" t="str">
        <f>IF(C3="+",D3,"0")</f>
        <v>0</v>
      </c>
      <c r="F3">
        <f>IF(C3="-",D3,"0")</f>
        <v>209350</v>
      </c>
      <c r="G3">
        <v>0</v>
      </c>
      <c r="H3">
        <f>F3+F4</f>
        <v>209350</v>
      </c>
      <c r="J3" s="19" t="s">
        <v>147</v>
      </c>
      <c r="K3" s="19"/>
      <c r="L3" s="19">
        <v>174.89</v>
      </c>
      <c r="M3" s="19"/>
      <c r="N3" s="19">
        <v>617.72</v>
      </c>
      <c r="S3" s="19">
        <v>60.01</v>
      </c>
      <c r="T3" s="21">
        <v>3300</v>
      </c>
      <c r="U3" t="str">
        <f>IF(S3&gt;S2,"+","-")</f>
        <v>+</v>
      </c>
      <c r="V3">
        <f>S3*T3</f>
        <v>198033</v>
      </c>
      <c r="W3">
        <f>IF(U3="+",V3,"0")</f>
        <v>198033</v>
      </c>
      <c r="X3" t="str">
        <f>IF(U3="-",V3,"0")</f>
        <v>0</v>
      </c>
      <c r="Y3">
        <v>0</v>
      </c>
    </row>
    <row r="4" spans="1:28" ht="17">
      <c r="A4" s="19">
        <v>83.75</v>
      </c>
      <c r="B4" s="21">
        <v>2900</v>
      </c>
      <c r="C4" t="str">
        <f t="shared" ref="C4:C11" si="0">IF(A4&gt;A3,"+","-")</f>
        <v>+</v>
      </c>
      <c r="D4">
        <f t="shared" ref="D4:D11" si="1">A4*B4</f>
        <v>242875</v>
      </c>
      <c r="E4">
        <f t="shared" ref="E4:E11" si="2">IF(C4="+",D4,"0")</f>
        <v>242875</v>
      </c>
      <c r="F4" t="str">
        <f t="shared" ref="F4:F11" si="3">IF(C4="-",D4,"0")</f>
        <v>0</v>
      </c>
      <c r="G4">
        <f>E3+E4</f>
        <v>242875</v>
      </c>
      <c r="H4">
        <v>0</v>
      </c>
      <c r="J4" s="19" t="s">
        <v>148</v>
      </c>
      <c r="K4" s="19"/>
      <c r="L4" s="19">
        <v>185.17</v>
      </c>
      <c r="M4" s="19"/>
      <c r="N4" s="19">
        <v>581.12</v>
      </c>
      <c r="O4" s="12">
        <f>AVERAGE(L2:L4)</f>
        <v>177.36666666666665</v>
      </c>
      <c r="P4" s="12">
        <f>AVERAGE(N2:N4)</f>
        <v>601.66666666666663</v>
      </c>
      <c r="S4" s="19">
        <v>59.99</v>
      </c>
      <c r="T4" s="21">
        <v>2800</v>
      </c>
      <c r="U4" t="str">
        <f t="shared" ref="U4:U8" si="4">IF(S4&gt;S3,"+","-")</f>
        <v>-</v>
      </c>
      <c r="V4">
        <f t="shared" ref="V4:V8" si="5">S4*T4</f>
        <v>167972</v>
      </c>
      <c r="W4" t="str">
        <f t="shared" ref="W4:W8" si="6">IF(U4="+",V4,"0")</f>
        <v>0</v>
      </c>
      <c r="X4">
        <f t="shared" ref="X4:X8" si="7">IF(U4="-",V4,"0")</f>
        <v>167972</v>
      </c>
      <c r="Y4">
        <v>0</v>
      </c>
      <c r="Z4">
        <f>X3+X4</f>
        <v>167972</v>
      </c>
    </row>
    <row r="5" spans="1:28" ht="17">
      <c r="A5" s="19">
        <v>83.78</v>
      </c>
      <c r="B5" s="21">
        <v>2800</v>
      </c>
      <c r="C5" t="str">
        <f t="shared" si="0"/>
        <v>+</v>
      </c>
      <c r="D5" s="23">
        <f t="shared" si="1"/>
        <v>234584</v>
      </c>
      <c r="E5">
        <f t="shared" si="2"/>
        <v>234584</v>
      </c>
      <c r="F5" t="str">
        <f t="shared" si="3"/>
        <v>0</v>
      </c>
      <c r="G5">
        <f t="shared" ref="G5" si="8">E4+E5</f>
        <v>477459</v>
      </c>
      <c r="H5">
        <v>0</v>
      </c>
      <c r="J5" s="19" t="s">
        <v>149</v>
      </c>
      <c r="K5" s="19"/>
      <c r="L5" s="19">
        <v>201.13</v>
      </c>
      <c r="M5" s="19"/>
      <c r="N5" s="19">
        <v>545.70000000000005</v>
      </c>
      <c r="O5" s="12">
        <f t="shared" ref="O5:O13" si="9">AVERAGE(L3:L5)</f>
        <v>187.0633333333333</v>
      </c>
      <c r="P5" s="12">
        <f t="shared" ref="P5:P13" si="10">AVERAGE(N3:N5)</f>
        <v>581.51333333333343</v>
      </c>
      <c r="S5" s="19">
        <v>59.98</v>
      </c>
      <c r="T5" s="21">
        <v>3200</v>
      </c>
      <c r="U5" t="str">
        <f t="shared" si="4"/>
        <v>-</v>
      </c>
      <c r="V5">
        <f t="shared" si="5"/>
        <v>191936</v>
      </c>
      <c r="W5" t="str">
        <f t="shared" si="6"/>
        <v>0</v>
      </c>
      <c r="X5">
        <f t="shared" si="7"/>
        <v>191936</v>
      </c>
      <c r="Y5">
        <f>W5+Y4</f>
        <v>0</v>
      </c>
      <c r="Z5">
        <f>X5+Z4</f>
        <v>359908</v>
      </c>
      <c r="AB5">
        <v>112144</v>
      </c>
    </row>
    <row r="6" spans="1:28" ht="17">
      <c r="A6" s="19">
        <v>83.77</v>
      </c>
      <c r="B6" s="21">
        <v>2950</v>
      </c>
      <c r="C6" t="str">
        <f t="shared" si="0"/>
        <v>-</v>
      </c>
      <c r="D6" s="23">
        <f t="shared" si="1"/>
        <v>247121.5</v>
      </c>
      <c r="E6" t="str">
        <f t="shared" si="2"/>
        <v>0</v>
      </c>
      <c r="F6">
        <f t="shared" si="3"/>
        <v>247121.5</v>
      </c>
      <c r="G6">
        <v>0</v>
      </c>
      <c r="H6" s="23">
        <f>H3+F6</f>
        <v>456471.5</v>
      </c>
      <c r="J6" s="19" t="s">
        <v>150</v>
      </c>
      <c r="K6" s="19"/>
      <c r="L6" s="19">
        <v>194.77</v>
      </c>
      <c r="M6" s="19"/>
      <c r="N6" s="19">
        <v>520.70000000000005</v>
      </c>
      <c r="O6" s="12">
        <f t="shared" si="9"/>
        <v>193.68999999999997</v>
      </c>
      <c r="P6" s="12">
        <f t="shared" si="10"/>
        <v>549.1733333333334</v>
      </c>
      <c r="S6" s="19">
        <v>58.99</v>
      </c>
      <c r="T6" s="21">
        <v>3350</v>
      </c>
      <c r="U6" t="str">
        <f t="shared" si="4"/>
        <v>-</v>
      </c>
      <c r="V6" s="23">
        <f t="shared" si="5"/>
        <v>197616.5</v>
      </c>
      <c r="W6" t="str">
        <f t="shared" si="6"/>
        <v>0</v>
      </c>
      <c r="X6">
        <f t="shared" si="7"/>
        <v>197616.5</v>
      </c>
      <c r="Y6">
        <f t="shared" ref="Y6" si="11">W6+Y5</f>
        <v>0</v>
      </c>
      <c r="Z6" s="23">
        <f t="shared" ref="Z6" si="12">X6+Z5</f>
        <v>557524.5</v>
      </c>
    </row>
    <row r="7" spans="1:28" ht="17">
      <c r="A7" s="19">
        <v>83.8</v>
      </c>
      <c r="B7" s="21">
        <v>1100</v>
      </c>
      <c r="C7" t="str">
        <f t="shared" si="0"/>
        <v>+</v>
      </c>
      <c r="D7">
        <f t="shared" si="1"/>
        <v>92180</v>
      </c>
      <c r="E7">
        <f t="shared" si="2"/>
        <v>92180</v>
      </c>
      <c r="F7" t="str">
        <f t="shared" si="3"/>
        <v>0</v>
      </c>
      <c r="G7">
        <f>G5+E7</f>
        <v>569639</v>
      </c>
      <c r="H7">
        <v>0</v>
      </c>
      <c r="J7" s="19" t="s">
        <v>151</v>
      </c>
      <c r="K7" s="19"/>
      <c r="L7" s="19">
        <v>206.33</v>
      </c>
      <c r="M7" s="19"/>
      <c r="N7" s="19">
        <v>501.58</v>
      </c>
      <c r="O7" s="12">
        <f t="shared" si="9"/>
        <v>200.74333333333334</v>
      </c>
      <c r="P7" s="12">
        <f t="shared" si="10"/>
        <v>522.66</v>
      </c>
      <c r="S7" s="19">
        <v>60.17</v>
      </c>
      <c r="T7" s="21">
        <v>4100</v>
      </c>
      <c r="U7" t="str">
        <f t="shared" si="4"/>
        <v>+</v>
      </c>
      <c r="V7">
        <f>S7*T7</f>
        <v>246697</v>
      </c>
      <c r="W7">
        <f t="shared" si="6"/>
        <v>246697</v>
      </c>
      <c r="X7" t="str">
        <f t="shared" si="7"/>
        <v>0</v>
      </c>
      <c r="Y7">
        <f>W7+W3</f>
        <v>444730</v>
      </c>
      <c r="Z7">
        <v>0</v>
      </c>
    </row>
    <row r="8" spans="1:28" ht="17">
      <c r="A8" s="19">
        <v>83.81</v>
      </c>
      <c r="B8" s="21">
        <v>1400</v>
      </c>
      <c r="C8" t="str">
        <f t="shared" si="0"/>
        <v>+</v>
      </c>
      <c r="D8">
        <f t="shared" si="1"/>
        <v>117334</v>
      </c>
      <c r="E8">
        <f t="shared" si="2"/>
        <v>117334</v>
      </c>
      <c r="F8" t="str">
        <f t="shared" si="3"/>
        <v>0</v>
      </c>
      <c r="G8">
        <f>G7+E8</f>
        <v>686973</v>
      </c>
      <c r="H8">
        <v>0</v>
      </c>
      <c r="J8" s="19" t="s">
        <v>152</v>
      </c>
      <c r="K8" s="19"/>
      <c r="L8" s="19">
        <v>227.84</v>
      </c>
      <c r="M8" s="19"/>
      <c r="N8" s="19">
        <v>604.89</v>
      </c>
      <c r="O8" s="12">
        <f t="shared" si="9"/>
        <v>209.64666666666668</v>
      </c>
      <c r="P8" s="12">
        <f t="shared" si="10"/>
        <v>542.39</v>
      </c>
      <c r="S8" s="19">
        <v>60.08</v>
      </c>
      <c r="T8" s="21">
        <v>4400</v>
      </c>
      <c r="U8" t="str">
        <f t="shared" si="4"/>
        <v>-</v>
      </c>
      <c r="V8">
        <f t="shared" si="5"/>
        <v>264352</v>
      </c>
      <c r="W8" t="str">
        <f t="shared" si="6"/>
        <v>0</v>
      </c>
      <c r="X8">
        <f t="shared" si="7"/>
        <v>264352</v>
      </c>
      <c r="Y8">
        <v>0</v>
      </c>
      <c r="Z8" s="23">
        <f>X8+Z6</f>
        <v>821876.5</v>
      </c>
    </row>
    <row r="9" spans="1:28" ht="17">
      <c r="A9" s="19">
        <v>83.85</v>
      </c>
      <c r="B9" s="19">
        <v>600</v>
      </c>
      <c r="C9" t="str">
        <f t="shared" si="0"/>
        <v>+</v>
      </c>
      <c r="D9">
        <f t="shared" si="1"/>
        <v>50310</v>
      </c>
      <c r="E9">
        <f t="shared" si="2"/>
        <v>50310</v>
      </c>
      <c r="F9" t="str">
        <f t="shared" si="3"/>
        <v>0</v>
      </c>
      <c r="G9">
        <f>E9+G8</f>
        <v>737283</v>
      </c>
      <c r="H9">
        <v>0</v>
      </c>
      <c r="J9" s="19" t="s">
        <v>153</v>
      </c>
      <c r="K9" s="19"/>
      <c r="L9" s="19">
        <v>210.31</v>
      </c>
      <c r="M9" s="19"/>
      <c r="N9" s="19">
        <v>539.16</v>
      </c>
      <c r="O9" s="12">
        <f t="shared" si="9"/>
        <v>214.82666666666668</v>
      </c>
      <c r="P9" s="12">
        <f t="shared" si="10"/>
        <v>548.54333333333341</v>
      </c>
      <c r="S9" s="19"/>
      <c r="T9" s="19"/>
    </row>
    <row r="10" spans="1:28" ht="17">
      <c r="A10" s="19">
        <v>83.84</v>
      </c>
      <c r="B10" s="21">
        <v>1300</v>
      </c>
      <c r="C10" t="str">
        <f t="shared" si="0"/>
        <v>-</v>
      </c>
      <c r="D10">
        <f t="shared" si="1"/>
        <v>108992</v>
      </c>
      <c r="E10" t="str">
        <f t="shared" si="2"/>
        <v>0</v>
      </c>
      <c r="F10">
        <f t="shared" si="3"/>
        <v>108992</v>
      </c>
      <c r="G10">
        <v>0</v>
      </c>
      <c r="H10" s="23">
        <f>H6+F10</f>
        <v>565463.5</v>
      </c>
      <c r="J10" s="19" t="s">
        <v>154</v>
      </c>
      <c r="K10" s="19"/>
      <c r="L10" s="19">
        <v>218.15</v>
      </c>
      <c r="M10" s="19"/>
      <c r="N10" s="19">
        <v>514</v>
      </c>
      <c r="O10" s="12">
        <f t="shared" si="9"/>
        <v>218.76666666666665</v>
      </c>
      <c r="P10" s="12">
        <f t="shared" si="10"/>
        <v>552.68333333333328</v>
      </c>
      <c r="S10" s="19"/>
      <c r="T10" s="21"/>
    </row>
    <row r="11" spans="1:28" ht="17">
      <c r="A11" s="19">
        <v>83.86</v>
      </c>
      <c r="B11" s="21">
        <v>3100</v>
      </c>
      <c r="C11" t="str">
        <f t="shared" si="0"/>
        <v>+</v>
      </c>
      <c r="D11">
        <f t="shared" si="1"/>
        <v>259966</v>
      </c>
      <c r="E11">
        <f t="shared" si="2"/>
        <v>259966</v>
      </c>
      <c r="F11" t="str">
        <f t="shared" si="3"/>
        <v>0</v>
      </c>
      <c r="G11">
        <f>G9+E11</f>
        <v>997249</v>
      </c>
      <c r="H11">
        <v>0</v>
      </c>
      <c r="J11" s="19" t="s">
        <v>155</v>
      </c>
      <c r="K11" s="19"/>
      <c r="L11" s="19">
        <v>213.99</v>
      </c>
      <c r="M11" s="19"/>
      <c r="N11" s="19">
        <v>596.67999999999995</v>
      </c>
      <c r="O11" s="12">
        <f>AVERAGE(L9:L11)</f>
        <v>214.15</v>
      </c>
      <c r="P11" s="12">
        <f t="shared" si="10"/>
        <v>549.9466666666666</v>
      </c>
      <c r="S11" s="19"/>
      <c r="T11" s="21"/>
    </row>
    <row r="12" spans="1:28" ht="17">
      <c r="C12" t="s">
        <v>133</v>
      </c>
      <c r="E12">
        <f>SUM(E3:E11)</f>
        <v>997249</v>
      </c>
      <c r="F12">
        <f>SUM(F3:F11)</f>
        <v>565463.5</v>
      </c>
      <c r="G12" s="23">
        <f>G11-H10</f>
        <v>431785.5</v>
      </c>
      <c r="J12" s="19" t="s">
        <v>156</v>
      </c>
      <c r="K12" s="19"/>
      <c r="L12" s="19">
        <v>194.09</v>
      </c>
      <c r="M12" s="19"/>
      <c r="N12" s="19">
        <v>595.91</v>
      </c>
      <c r="O12" s="12">
        <f t="shared" si="9"/>
        <v>208.74333333333334</v>
      </c>
      <c r="P12" s="12">
        <f t="shared" si="10"/>
        <v>568.86333333333323</v>
      </c>
      <c r="U12" t="s">
        <v>133</v>
      </c>
      <c r="W12">
        <f>SUM(W3:W11)</f>
        <v>444730</v>
      </c>
      <c r="X12">
        <f>SUM(X3:X11)</f>
        <v>821876.5</v>
      </c>
      <c r="Y12" s="23">
        <f>Y7-Z8</f>
        <v>-377146.5</v>
      </c>
    </row>
    <row r="13" spans="1:28" ht="17">
      <c r="J13" s="19" t="s">
        <v>157</v>
      </c>
      <c r="K13" s="19"/>
      <c r="L13" s="19">
        <v>174.22</v>
      </c>
      <c r="M13" s="19"/>
      <c r="N13" s="19">
        <v>650.29999999999995</v>
      </c>
      <c r="O13" s="12">
        <f t="shared" si="9"/>
        <v>194.10000000000002</v>
      </c>
      <c r="P13" s="12">
        <f t="shared" si="10"/>
        <v>614.29666666666662</v>
      </c>
    </row>
    <row r="15" spans="1:28" ht="17">
      <c r="B15" s="19" t="s">
        <v>136</v>
      </c>
      <c r="C15" s="19" t="s">
        <v>135</v>
      </c>
      <c r="D15" s="19" t="s">
        <v>137</v>
      </c>
    </row>
    <row r="16" spans="1:28" ht="17">
      <c r="A16" s="19" t="s">
        <v>135</v>
      </c>
      <c r="B16" s="19" t="s">
        <v>126</v>
      </c>
      <c r="C16" s="19" t="s">
        <v>137</v>
      </c>
      <c r="D16" s="19" t="s">
        <v>126</v>
      </c>
      <c r="G16" s="19" t="s">
        <v>143</v>
      </c>
      <c r="H16" s="19" t="s">
        <v>144</v>
      </c>
    </row>
    <row r="17" spans="1:25" ht="17">
      <c r="A17" s="19" t="s">
        <v>136</v>
      </c>
      <c r="B17" s="19"/>
      <c r="C17" s="19"/>
      <c r="D17" s="19"/>
    </row>
    <row r="18" spans="1:25" ht="17">
      <c r="A18" s="19" t="s">
        <v>138</v>
      </c>
      <c r="B18" s="21">
        <v>1819</v>
      </c>
      <c r="C18" s="21">
        <v>691343</v>
      </c>
      <c r="D18" s="21">
        <v>1524</v>
      </c>
      <c r="E18" s="21">
        <v>598193</v>
      </c>
      <c r="F18" s="20">
        <f>B18-D18</f>
        <v>295</v>
      </c>
      <c r="G18" s="20">
        <f>F18</f>
        <v>295</v>
      </c>
      <c r="H18" s="22">
        <f>(E18/D18)/(C18/B18)</f>
        <v>1.0327506781723943</v>
      </c>
    </row>
    <row r="19" spans="1:25" ht="17">
      <c r="A19" s="19" t="s">
        <v>139</v>
      </c>
      <c r="B19" s="21">
        <v>2372</v>
      </c>
      <c r="C19" s="21">
        <v>453360</v>
      </c>
      <c r="D19" s="21">
        <v>1957</v>
      </c>
      <c r="E19" s="21">
        <v>452973</v>
      </c>
      <c r="F19" s="20">
        <f>B19-D19</f>
        <v>415</v>
      </c>
      <c r="G19" s="20">
        <f>F19+G18</f>
        <v>710</v>
      </c>
      <c r="H19" s="22">
        <f>(E19/D19)/(C19/B19)</f>
        <v>1.2110246287775852</v>
      </c>
    </row>
    <row r="20" spans="1:25" ht="17">
      <c r="A20" s="19" t="s">
        <v>140</v>
      </c>
      <c r="B20" s="21">
        <v>1825</v>
      </c>
      <c r="C20" s="21">
        <v>625744</v>
      </c>
      <c r="D20" s="21">
        <v>1532</v>
      </c>
      <c r="E20" s="21">
        <v>721549</v>
      </c>
      <c r="F20" s="20">
        <f>B20-D20</f>
        <v>293</v>
      </c>
      <c r="G20" s="20">
        <f t="shared" ref="G20:G22" si="13">F20+G19</f>
        <v>1003</v>
      </c>
      <c r="H20" s="22">
        <f>(E20/D20)/(C20/B20)</f>
        <v>1.3736409796577111</v>
      </c>
      <c r="Y20">
        <v>-377146.5</v>
      </c>
    </row>
    <row r="21" spans="1:25" ht="17">
      <c r="A21" s="19" t="s">
        <v>141</v>
      </c>
      <c r="B21" s="21">
        <v>2458</v>
      </c>
      <c r="C21" s="21">
        <v>1120446</v>
      </c>
      <c r="D21" s="19">
        <v>556</v>
      </c>
      <c r="E21" s="21">
        <v>174960</v>
      </c>
      <c r="F21" s="20">
        <f>B21-D21</f>
        <v>1902</v>
      </c>
      <c r="G21" s="20">
        <f t="shared" si="13"/>
        <v>2905</v>
      </c>
      <c r="H21" s="22">
        <f>(E21/D21)/(C21/B21)</f>
        <v>0.69032710599557368</v>
      </c>
    </row>
    <row r="22" spans="1:25" ht="17">
      <c r="A22" s="19" t="s">
        <v>142</v>
      </c>
      <c r="B22" s="21">
        <v>1760</v>
      </c>
      <c r="C22" s="21">
        <v>513426</v>
      </c>
      <c r="D22" s="21">
        <v>1478</v>
      </c>
      <c r="E22" s="21">
        <v>496210</v>
      </c>
      <c r="F22" s="20">
        <f>B22-D22</f>
        <v>282</v>
      </c>
      <c r="G22" s="20">
        <f t="shared" si="13"/>
        <v>3187</v>
      </c>
      <c r="H22" s="22">
        <f>(E22/D22)/(C22/B22)</f>
        <v>1.1508689903633214</v>
      </c>
    </row>
    <row r="25" spans="1:25" ht="17">
      <c r="G25" s="19"/>
      <c r="I25" s="19"/>
      <c r="J25" s="19"/>
      <c r="K25" s="19"/>
      <c r="L25" s="19"/>
    </row>
    <row r="26" spans="1:25" ht="17">
      <c r="G26" s="19"/>
      <c r="H26" s="19"/>
      <c r="I26" s="19"/>
      <c r="K26" s="19"/>
      <c r="L26" s="19"/>
      <c r="M26" s="19">
        <v>83.78</v>
      </c>
      <c r="N26" s="19"/>
    </row>
    <row r="27" spans="1:25" ht="17">
      <c r="H27" s="21"/>
      <c r="I27" s="21"/>
      <c r="J27" s="19"/>
      <c r="K27" s="19" t="s">
        <v>139</v>
      </c>
      <c r="L27" s="19"/>
      <c r="M27" s="19">
        <v>83.74</v>
      </c>
      <c r="N27" s="19"/>
      <c r="O27" s="19"/>
      <c r="P27" s="21">
        <v>2500</v>
      </c>
      <c r="Q27" s="19"/>
    </row>
    <row r="28" spans="1:25" ht="17">
      <c r="G28" s="19"/>
      <c r="H28" s="21"/>
      <c r="I28" s="21"/>
      <c r="J28" s="19"/>
      <c r="K28" s="19" t="s">
        <v>140</v>
      </c>
      <c r="L28" s="19"/>
      <c r="M28" s="19">
        <v>83.75</v>
      </c>
      <c r="N28" s="19"/>
      <c r="O28" s="19"/>
      <c r="P28" s="21">
        <v>2900</v>
      </c>
      <c r="Q28" s="19"/>
    </row>
    <row r="29" spans="1:25" ht="17">
      <c r="C29" s="19"/>
      <c r="D29" s="19"/>
      <c r="E29" s="19"/>
      <c r="G29" s="19"/>
      <c r="H29" s="21"/>
      <c r="I29" s="21"/>
      <c r="J29" s="19"/>
      <c r="K29" s="19" t="s">
        <v>141</v>
      </c>
      <c r="L29" s="19"/>
      <c r="M29" s="19">
        <v>83.78</v>
      </c>
      <c r="N29" s="19"/>
      <c r="O29" s="19"/>
      <c r="P29" s="21">
        <v>2800</v>
      </c>
      <c r="Q29" s="19"/>
    </row>
    <row r="30" spans="1:25" ht="17">
      <c r="B30" s="19"/>
      <c r="C30" s="19"/>
      <c r="E30" s="19"/>
      <c r="F30" s="19"/>
      <c r="G30" s="19"/>
      <c r="H30" s="21"/>
      <c r="I30" s="21"/>
      <c r="J30" s="19"/>
      <c r="K30" s="19" t="s">
        <v>142</v>
      </c>
      <c r="L30" s="19"/>
      <c r="M30" s="19">
        <v>83.77</v>
      </c>
      <c r="N30" s="19"/>
      <c r="O30" s="19"/>
      <c r="P30" s="21">
        <v>2950</v>
      </c>
      <c r="Q30" s="19"/>
    </row>
    <row r="31" spans="1:25" ht="17">
      <c r="A31" s="19"/>
      <c r="B31" s="19"/>
      <c r="C31" s="19"/>
      <c r="D31" s="21"/>
      <c r="E31" s="19"/>
      <c r="F31" s="19"/>
      <c r="G31" s="19"/>
      <c r="H31" s="21"/>
      <c r="I31" s="21"/>
      <c r="J31" s="19">
        <v>2</v>
      </c>
      <c r="K31" s="19" t="s">
        <v>138</v>
      </c>
      <c r="L31" s="19"/>
      <c r="M31" s="19">
        <v>83.8</v>
      </c>
      <c r="N31" s="19"/>
      <c r="O31" s="19"/>
      <c r="P31" s="21">
        <v>1100</v>
      </c>
      <c r="Q31" s="19"/>
    </row>
    <row r="32" spans="1:25" ht="17">
      <c r="A32" s="19"/>
      <c r="B32" s="19"/>
      <c r="C32" s="19"/>
      <c r="D32" s="21"/>
      <c r="F32" s="19"/>
      <c r="G32" s="19"/>
      <c r="J32" s="19"/>
      <c r="K32" s="19" t="s">
        <v>139</v>
      </c>
      <c r="L32" s="19"/>
      <c r="M32" s="19">
        <v>83.81</v>
      </c>
      <c r="N32" s="19"/>
      <c r="O32" s="19"/>
      <c r="P32" s="21">
        <v>1400</v>
      </c>
      <c r="Q32" s="19"/>
    </row>
    <row r="33" spans="1:17" ht="17">
      <c r="A33" s="19"/>
      <c r="B33" s="19"/>
      <c r="C33" s="19"/>
      <c r="D33" s="21"/>
      <c r="E33" s="19"/>
      <c r="F33" s="19"/>
      <c r="G33" s="19"/>
      <c r="H33" s="19"/>
      <c r="I33" s="19"/>
      <c r="J33" s="19"/>
      <c r="K33" s="19" t="s">
        <v>140</v>
      </c>
      <c r="L33" s="19"/>
      <c r="M33" s="19">
        <v>83.85</v>
      </c>
      <c r="N33" s="19"/>
      <c r="O33" s="19"/>
      <c r="P33" s="19">
        <v>600</v>
      </c>
      <c r="Q33" s="19"/>
    </row>
    <row r="34" spans="1:17" ht="17">
      <c r="A34" s="19"/>
      <c r="B34" s="19"/>
      <c r="C34" s="19"/>
      <c r="D34" s="21"/>
      <c r="E34" s="19"/>
      <c r="F34" s="19"/>
      <c r="G34" s="19"/>
      <c r="H34" s="19"/>
      <c r="I34" s="19"/>
      <c r="J34" s="19"/>
      <c r="K34" s="19" t="s">
        <v>141</v>
      </c>
      <c r="L34" s="19"/>
      <c r="M34" s="19">
        <v>83.84</v>
      </c>
      <c r="N34" s="19"/>
      <c r="O34" s="19"/>
      <c r="P34" s="21">
        <v>1300</v>
      </c>
      <c r="Q34" s="19"/>
    </row>
    <row r="35" spans="1:17" ht="17">
      <c r="A35" s="19"/>
      <c r="B35" s="19"/>
      <c r="C35" s="19"/>
      <c r="D35" s="21"/>
      <c r="E35" s="19"/>
      <c r="F35" s="19"/>
      <c r="G35" s="19"/>
      <c r="H35" s="19"/>
      <c r="I35" s="19"/>
      <c r="J35" s="19"/>
      <c r="K35" s="19" t="s">
        <v>142</v>
      </c>
      <c r="L35" s="19"/>
      <c r="M35" s="19">
        <v>83.86</v>
      </c>
      <c r="N35" s="19"/>
      <c r="O35" s="19"/>
      <c r="P35" s="21">
        <v>3100</v>
      </c>
      <c r="Q35" s="19"/>
    </row>
    <row r="36" spans="1:17" ht="17">
      <c r="A36" s="19"/>
      <c r="B36" s="19"/>
      <c r="C36" s="19"/>
      <c r="D36" s="21"/>
      <c r="E36" s="19"/>
      <c r="F36" s="19"/>
      <c r="G36" s="19"/>
      <c r="H36" s="19"/>
      <c r="I36" s="19"/>
      <c r="J36" s="43"/>
    </row>
    <row r="37" spans="1:17" ht="17">
      <c r="B37" s="19"/>
      <c r="C37" s="19"/>
      <c r="D37" s="19"/>
      <c r="E37" s="19"/>
      <c r="F37" s="19"/>
      <c r="G37" s="19"/>
      <c r="J37" s="44"/>
    </row>
    <row r="38" spans="1:17" ht="17">
      <c r="B38" s="19"/>
      <c r="C38" s="19"/>
      <c r="D38" s="19"/>
      <c r="E38" s="19"/>
      <c r="F38" s="19"/>
      <c r="G38" s="19"/>
      <c r="H38" s="19"/>
      <c r="I38" s="19"/>
      <c r="J38" s="43"/>
    </row>
    <row r="39" spans="1:17" ht="17">
      <c r="B39" s="19"/>
      <c r="C39" s="19"/>
      <c r="D39" s="19"/>
      <c r="E39" s="19"/>
      <c r="F39" s="19"/>
      <c r="G39" s="19"/>
      <c r="H39" s="19"/>
      <c r="I39" s="19"/>
      <c r="J39" s="44"/>
    </row>
    <row r="40" spans="1:17" ht="17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7" ht="17">
      <c r="B41" s="19"/>
      <c r="C41" s="19"/>
      <c r="D41" s="19"/>
      <c r="E41" s="19"/>
      <c r="F41" s="19"/>
      <c r="G41" s="19"/>
      <c r="H41" s="19"/>
    </row>
    <row r="42" spans="1:17" ht="17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7" ht="17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7" ht="17">
      <c r="B44" s="19"/>
      <c r="G44" s="19"/>
      <c r="H44" s="19"/>
      <c r="I44" s="19"/>
      <c r="J44" s="19"/>
      <c r="K44" s="19"/>
      <c r="L44" s="19"/>
      <c r="M44" s="19"/>
    </row>
    <row r="45" spans="1:17" ht="17">
      <c r="G45" s="19"/>
      <c r="H45" s="19"/>
      <c r="I45" s="19"/>
      <c r="J45" s="19"/>
      <c r="K45" s="19"/>
      <c r="L45" s="19"/>
      <c r="M45" s="19"/>
    </row>
    <row r="46" spans="1:17">
      <c r="G46" s="43"/>
    </row>
    <row r="47" spans="1:17">
      <c r="G47" s="44"/>
    </row>
  </sheetData>
  <mergeCells count="3">
    <mergeCell ref="J38:J39"/>
    <mergeCell ref="J36:J37"/>
    <mergeCell ref="G46:G47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1FD8-D1D6-734F-B85B-13BCC95B1DAC}">
  <dimension ref="A1:R25"/>
  <sheetViews>
    <sheetView workbookViewId="0">
      <selection activeCell="B14" sqref="B14"/>
    </sheetView>
  </sheetViews>
  <sheetFormatPr baseColWidth="10" defaultRowHeight="16"/>
  <cols>
    <col min="4" max="4" width="10.83203125" customWidth="1"/>
    <col min="6" max="6" width="7" customWidth="1"/>
    <col min="7" max="7" width="10.1640625" customWidth="1"/>
    <col min="9" max="9" width="5.83203125" customWidth="1"/>
    <col min="11" max="11" width="8.1640625" customWidth="1"/>
    <col min="12" max="12" width="9" customWidth="1"/>
    <col min="13" max="13" width="7.83203125" bestFit="1" customWidth="1"/>
  </cols>
  <sheetData>
    <row r="1" spans="1:18">
      <c r="A1" t="s">
        <v>170</v>
      </c>
      <c r="B1" t="s">
        <v>169</v>
      </c>
      <c r="C1" t="s">
        <v>168</v>
      </c>
      <c r="D1" t="s">
        <v>161</v>
      </c>
      <c r="E1" t="s">
        <v>162</v>
      </c>
      <c r="F1" t="s">
        <v>74</v>
      </c>
      <c r="G1" t="s">
        <v>163</v>
      </c>
      <c r="H1" t="s">
        <v>164</v>
      </c>
      <c r="I1" t="s">
        <v>165</v>
      </c>
      <c r="J1" t="s">
        <v>166</v>
      </c>
      <c r="L1" t="s">
        <v>167</v>
      </c>
      <c r="N1" t="s">
        <v>172</v>
      </c>
      <c r="O1" t="s">
        <v>173</v>
      </c>
      <c r="P1" t="s">
        <v>174</v>
      </c>
      <c r="Q1" t="s">
        <v>190</v>
      </c>
    </row>
    <row r="2" spans="1:18">
      <c r="A2" s="8">
        <v>3.6588024151113979E-2</v>
      </c>
      <c r="B2" s="8">
        <v>0.04</v>
      </c>
      <c r="C2" s="3">
        <v>30</v>
      </c>
      <c r="D2" s="3">
        <v>1000</v>
      </c>
      <c r="E2" s="9">
        <f>(D2)/(1+B2)^C2</f>
        <v>308.3186679734203</v>
      </c>
      <c r="F2" s="14">
        <f>1-(1+B2)^-C2</f>
        <v>0.69168133202657966</v>
      </c>
      <c r="G2" s="12">
        <f>(A2*D2)*(F2/B2)</f>
        <v>632.68133202657964</v>
      </c>
      <c r="H2" s="9">
        <f>E2+G2</f>
        <v>941</v>
      </c>
      <c r="I2" s="13">
        <v>0.3</v>
      </c>
      <c r="J2" s="13">
        <f>B2*(1-I2)</f>
        <v>2.7999999999999997E-2</v>
      </c>
      <c r="K2" s="13">
        <f>J2*2</f>
        <v>5.5999999999999994E-2</v>
      </c>
      <c r="L2" s="4">
        <f>2*(A2*D2)/H2</f>
        <v>7.7764132095885175E-2</v>
      </c>
      <c r="N2" s="4">
        <f>B2*2</f>
        <v>0.08</v>
      </c>
      <c r="O2" s="5">
        <f>C2/2</f>
        <v>15</v>
      </c>
      <c r="P2" s="13">
        <f>L2/2</f>
        <v>3.8882066047942587E-2</v>
      </c>
      <c r="Q2" s="13">
        <f>2*A2</f>
        <v>7.3176048302227958E-2</v>
      </c>
    </row>
    <row r="3" spans="1:18">
      <c r="A3" s="8">
        <v>3.4000000000000002E-2</v>
      </c>
      <c r="B3" s="8">
        <v>3.3540086083013634E-2</v>
      </c>
      <c r="C3" s="3">
        <v>24</v>
      </c>
      <c r="D3" s="3">
        <v>1000</v>
      </c>
      <c r="E3" s="12">
        <f>(D3)/(1+B3)^C3</f>
        <v>453.04796923092005</v>
      </c>
      <c r="F3" s="14">
        <f>1-(1+B3)^-C3</f>
        <v>0.54695203076907994</v>
      </c>
      <c r="G3" s="12">
        <f>(A3*D3)*(F3/B3)</f>
        <v>554.45203688868412</v>
      </c>
      <c r="H3" s="9">
        <f>E3+G3</f>
        <v>1007.5000061196042</v>
      </c>
      <c r="I3" s="13">
        <v>0.3</v>
      </c>
      <c r="J3" s="13">
        <f>B3*(1-I3)</f>
        <v>2.3478060258109543E-2</v>
      </c>
      <c r="K3" s="13">
        <f>J3*2</f>
        <v>4.6956120516219085E-2</v>
      </c>
      <c r="L3" s="4">
        <f>2*(A3*D3)/H3</f>
        <v>6.7493796116093976E-2</v>
      </c>
      <c r="N3" s="4">
        <f>B3*2</f>
        <v>6.7080172166027269E-2</v>
      </c>
      <c r="O3" s="5">
        <f>C3/2</f>
        <v>12</v>
      </c>
      <c r="P3" s="13">
        <f>L3/2</f>
        <v>3.3746898058046988E-2</v>
      </c>
    </row>
    <row r="4" spans="1:18" ht="19">
      <c r="E4" t="s">
        <v>179</v>
      </c>
      <c r="F4" t="s">
        <v>180</v>
      </c>
      <c r="G4" t="s">
        <v>181</v>
      </c>
      <c r="H4" t="s">
        <v>182</v>
      </c>
      <c r="M4" s="25"/>
    </row>
    <row r="5" spans="1:18">
      <c r="A5" s="8">
        <v>0.08</v>
      </c>
      <c r="B5" s="8">
        <v>6.8000000000000005E-2</v>
      </c>
      <c r="C5" s="26">
        <v>9.1996160672314868</v>
      </c>
      <c r="D5" s="3">
        <v>1000</v>
      </c>
      <c r="E5" s="8">
        <v>7.3999999999999996E-2</v>
      </c>
      <c r="F5" s="12">
        <f>A5*D5</f>
        <v>80</v>
      </c>
      <c r="G5" s="12">
        <f>F5/E5</f>
        <v>1081.081081081081</v>
      </c>
      <c r="H5" s="9">
        <f>D5/(1+B5/2)^(C5*2)</f>
        <v>540.54672031411417</v>
      </c>
      <c r="I5" s="12">
        <f>(1/(1+(B5/2)))^(C5*2)</f>
        <v>0.54054672031411377</v>
      </c>
      <c r="J5" s="12">
        <f>((1-I5)/(B5/2))*(A5*D5)/2</f>
        <v>540.53327021868972</v>
      </c>
      <c r="K5" s="12">
        <f>H5+J5</f>
        <v>1081.079990532804</v>
      </c>
      <c r="L5" s="4"/>
      <c r="N5" s="4"/>
      <c r="O5" s="5"/>
      <c r="P5" s="13"/>
    </row>
    <row r="6" spans="1:18" ht="19">
      <c r="M6" s="25" t="s">
        <v>171</v>
      </c>
    </row>
    <row r="7" spans="1:18">
      <c r="A7" s="8">
        <v>3.2000000000000001E-2</v>
      </c>
      <c r="B7" s="8">
        <f>7.4%/2</f>
        <v>3.7000000000000005E-2</v>
      </c>
      <c r="C7" s="3">
        <v>14</v>
      </c>
      <c r="D7" s="3">
        <v>1000</v>
      </c>
      <c r="E7" s="12">
        <f>(D7)/(1+B7)^C7</f>
        <v>601.30859352421282</v>
      </c>
      <c r="F7" s="14">
        <f>1-(1+B7)^-C7</f>
        <v>0.39869140647578716</v>
      </c>
      <c r="G7" s="12">
        <f>(A7*D7)*(F7/B7)</f>
        <v>344.8141893844645</v>
      </c>
      <c r="H7" s="9">
        <f>E7+G7</f>
        <v>946.12278290867732</v>
      </c>
      <c r="I7" s="13">
        <v>0.3</v>
      </c>
      <c r="J7" s="13">
        <f>B7*(1-I7)</f>
        <v>2.5900000000000003E-2</v>
      </c>
      <c r="K7" s="13">
        <f>J7*2</f>
        <v>5.1800000000000006E-2</v>
      </c>
      <c r="L7" s="13">
        <f>(2*A7*D7)/H7</f>
        <v>6.7644497264133074E-2</v>
      </c>
      <c r="M7" s="13">
        <f>(H7-H$8)/H$8</f>
        <v>-5.3877217091322573E-2</v>
      </c>
      <c r="O7" t="s">
        <v>175</v>
      </c>
      <c r="P7" t="s">
        <v>176</v>
      </c>
      <c r="Q7" t="s">
        <v>177</v>
      </c>
      <c r="R7" t="s">
        <v>178</v>
      </c>
    </row>
    <row r="8" spans="1:18">
      <c r="A8" s="8">
        <v>3.2000000000000001E-2</v>
      </c>
      <c r="B8" s="8">
        <v>3.2000000000000001E-2</v>
      </c>
      <c r="C8" s="3">
        <v>14</v>
      </c>
      <c r="D8" s="3">
        <v>1000</v>
      </c>
      <c r="E8" s="12">
        <f>(D8)/(1+B8)^C8</f>
        <v>643.40471314489025</v>
      </c>
      <c r="F8" s="14">
        <f>1-(1+B8)^-C8</f>
        <v>0.35659528685510966</v>
      </c>
      <c r="G8" s="12">
        <f>(A8*D8)*(F8/B8)</f>
        <v>356.59528685510963</v>
      </c>
      <c r="H8" s="9">
        <f>E8+G8</f>
        <v>999.99999999999989</v>
      </c>
      <c r="I8" s="13">
        <v>0.3</v>
      </c>
      <c r="J8" s="13">
        <f>B8*(1-I8)</f>
        <v>2.24E-2</v>
      </c>
      <c r="K8" s="13">
        <f>J8*2</f>
        <v>4.48E-2</v>
      </c>
      <c r="L8" s="13">
        <f>(2*A8*D8)/H8</f>
        <v>6.4000000000000001E-2</v>
      </c>
      <c r="M8" s="13">
        <f>(H8-H$8)/H$8</f>
        <v>0</v>
      </c>
      <c r="O8">
        <v>1000000</v>
      </c>
      <c r="P8" s="13">
        <v>1.7999999999999999E-2</v>
      </c>
      <c r="Q8">
        <v>64</v>
      </c>
      <c r="R8" s="12">
        <f>(1-P8*(Q8/360))*O8</f>
        <v>996800</v>
      </c>
    </row>
    <row r="9" spans="1:18">
      <c r="A9" s="8">
        <v>3.2000000000000001E-2</v>
      </c>
      <c r="B9" s="8">
        <f>5.4%/2</f>
        <v>2.7000000000000003E-2</v>
      </c>
      <c r="C9" s="3">
        <v>14</v>
      </c>
      <c r="D9" s="3">
        <v>1000</v>
      </c>
      <c r="E9" s="12">
        <f>(D9)/(1+B9)^C9</f>
        <v>688.67416265183113</v>
      </c>
      <c r="F9" s="14">
        <f>1-(1+B9)^-C9</f>
        <v>0.31132583734816888</v>
      </c>
      <c r="G9" s="12">
        <f>(A9*D9)*(F9/B9)</f>
        <v>368.97877019042232</v>
      </c>
      <c r="H9" s="9">
        <f>E9+G9</f>
        <v>1057.6529328422534</v>
      </c>
      <c r="I9" s="13">
        <v>1.3</v>
      </c>
      <c r="J9" s="13">
        <f>B9*(1-I9)</f>
        <v>-8.1000000000000013E-3</v>
      </c>
      <c r="K9" s="13">
        <f>J9*2</f>
        <v>-1.6200000000000003E-2</v>
      </c>
      <c r="L9" s="13">
        <f>(2*A9*D9)/H9</f>
        <v>6.0511343572802682E-2</v>
      </c>
      <c r="M9" s="13">
        <f>(H9-H$8)/H$8</f>
        <v>5.7652932842253569E-2</v>
      </c>
    </row>
    <row r="10" spans="1:18" ht="51">
      <c r="M10" s="25" t="s">
        <v>171</v>
      </c>
      <c r="O10" s="27" t="s">
        <v>183</v>
      </c>
      <c r="P10" s="27" t="s">
        <v>184</v>
      </c>
      <c r="Q10" s="28" t="s">
        <v>185</v>
      </c>
      <c r="R10" s="28" t="s">
        <v>186</v>
      </c>
    </row>
    <row r="11" spans="1:18">
      <c r="A11" s="8">
        <v>3.2000000000000001E-2</v>
      </c>
      <c r="B11" s="8">
        <v>3.6999999999999998E-2</v>
      </c>
      <c r="C11" s="3">
        <f>15*2</f>
        <v>30</v>
      </c>
      <c r="D11" s="3">
        <v>1000</v>
      </c>
      <c r="E11" s="12">
        <f>(D11)/(1+B11)^C11</f>
        <v>336.23065631059387</v>
      </c>
      <c r="F11" s="14">
        <f>1-(1+B11)^-C11</f>
        <v>0.6637693436894061</v>
      </c>
      <c r="G11" s="12">
        <f>(A11*D11)*(F11/B11)</f>
        <v>574.07078373137824</v>
      </c>
      <c r="H11" s="9">
        <f>E11+G11</f>
        <v>910.30144004197211</v>
      </c>
      <c r="I11" s="13">
        <v>0.3</v>
      </c>
      <c r="J11" s="13">
        <f>B11*(1-I11)</f>
        <v>2.5899999999999996E-2</v>
      </c>
      <c r="K11" s="13">
        <f>J11*2</f>
        <v>5.1799999999999992E-2</v>
      </c>
      <c r="L11" s="13">
        <f>(2*A11*D11)/H11</f>
        <v>7.0306381144524047E-2</v>
      </c>
      <c r="M11" s="13">
        <f>(H11-H$12)/H$12</f>
        <v>-8.969855995802789E-2</v>
      </c>
      <c r="O11" s="13">
        <v>4.2999999999999997E-2</v>
      </c>
      <c r="P11">
        <v>107</v>
      </c>
      <c r="Q11" s="29">
        <f>((1+O11)^(1/(365/P11))-1)/(P11/365)</f>
        <v>4.2362054283022026E-2</v>
      </c>
      <c r="R11" s="29">
        <f>(360*Q11)/(365+P11*Q11)</f>
        <v>4.1269251405978077E-2</v>
      </c>
    </row>
    <row r="12" spans="1:18">
      <c r="A12" s="8">
        <v>3.2000000000000001E-2</v>
      </c>
      <c r="B12" s="8">
        <v>3.2000000000000001E-2</v>
      </c>
      <c r="C12" s="3">
        <f>15*2</f>
        <v>30</v>
      </c>
      <c r="D12" s="3">
        <v>1000</v>
      </c>
      <c r="E12" s="12">
        <f>(D12)/(1+B12)^C12</f>
        <v>388.69511381626944</v>
      </c>
      <c r="F12" s="14">
        <f>1-(1+B12)^-C12</f>
        <v>0.61130488618373058</v>
      </c>
      <c r="G12" s="12">
        <f>(A12*D12)*(F12/B12)</f>
        <v>611.30488618373056</v>
      </c>
      <c r="H12" s="9">
        <f>E12+G12</f>
        <v>1000</v>
      </c>
      <c r="I12" s="13">
        <v>0.3</v>
      </c>
      <c r="J12" s="13">
        <f>B12*(1-I12)</f>
        <v>2.24E-2</v>
      </c>
      <c r="K12" s="13">
        <f>J12*2</f>
        <v>4.48E-2</v>
      </c>
      <c r="L12" s="13">
        <f>(2*A12*D12)/H12</f>
        <v>6.4000000000000001E-2</v>
      </c>
      <c r="M12" s="13">
        <f>(H12-H$12)/H$12</f>
        <v>0</v>
      </c>
      <c r="O12" t="s">
        <v>187</v>
      </c>
      <c r="P12" t="s">
        <v>189</v>
      </c>
      <c r="Q12" t="s">
        <v>188</v>
      </c>
      <c r="R12" t="s">
        <v>183</v>
      </c>
    </row>
    <row r="13" spans="1:18">
      <c r="A13" s="8">
        <v>3.2000000000000001E-2</v>
      </c>
      <c r="B13" s="8">
        <v>2.7E-2</v>
      </c>
      <c r="C13" s="3">
        <f>15*2</f>
        <v>30</v>
      </c>
      <c r="D13" s="3">
        <v>1000</v>
      </c>
      <c r="E13" s="12">
        <f>(D13)/(1+B13)^C13</f>
        <v>449.66252213051968</v>
      </c>
      <c r="F13" s="14">
        <f>1-(1+B13)^-C13</f>
        <v>0.55033747786948028</v>
      </c>
      <c r="G13" s="12">
        <f>(A13*D13)*(F13/B13)</f>
        <v>652.25182562308771</v>
      </c>
      <c r="H13" s="9">
        <f>E13+G13</f>
        <v>1101.9143477536074</v>
      </c>
      <c r="I13" s="13">
        <v>1.3</v>
      </c>
      <c r="J13" s="13">
        <f>B13*(1-I13)</f>
        <v>-8.1000000000000013E-3</v>
      </c>
      <c r="K13" s="13">
        <f>J13*2</f>
        <v>-1.6200000000000003E-2</v>
      </c>
      <c r="L13" s="13">
        <f>(2*A13*D13)/H13</f>
        <v>5.8080739333753247E-2</v>
      </c>
      <c r="M13" s="13">
        <f>(H13-H$12)/H$12</f>
        <v>0.10191434775360744</v>
      </c>
      <c r="O13" s="13">
        <v>4.9500000000000002E-2</v>
      </c>
      <c r="P13">
        <v>12</v>
      </c>
      <c r="Q13">
        <f>(1+O13/P13)^12</f>
        <v>1.0506386171982436</v>
      </c>
      <c r="R13" s="4">
        <f>Q13-1</f>
        <v>5.0638617198243585E-2</v>
      </c>
    </row>
    <row r="21" spans="5:14">
      <c r="N21">
        <f>3.56/2</f>
        <v>1.78</v>
      </c>
    </row>
    <row r="22" spans="5:14">
      <c r="J22">
        <f>1.08*D3</f>
        <v>1080</v>
      </c>
    </row>
    <row r="24" spans="5:14">
      <c r="G24">
        <v>1.0075000000000001</v>
      </c>
      <c r="H24">
        <f>G24*D3</f>
        <v>1007.5000000000001</v>
      </c>
    </row>
    <row r="25" spans="5:14">
      <c r="E25">
        <v>15</v>
      </c>
      <c r="F25">
        <v>1.8</v>
      </c>
      <c r="G25">
        <f>E25-F25</f>
        <v>13.2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EFE2-A12B-8745-B6CF-E9BCD0A23359}">
  <dimension ref="A1:Q32"/>
  <sheetViews>
    <sheetView workbookViewId="0">
      <selection activeCell="F17" sqref="F17"/>
    </sheetView>
  </sheetViews>
  <sheetFormatPr baseColWidth="10" defaultRowHeight="16"/>
  <cols>
    <col min="1" max="1" width="26.83203125" bestFit="1" customWidth="1"/>
    <col min="2" max="2" width="20" bestFit="1" customWidth="1"/>
    <col min="3" max="3" width="18.83203125" bestFit="1" customWidth="1"/>
    <col min="5" max="5" width="12.1640625" bestFit="1" customWidth="1"/>
    <col min="8" max="8" width="9.83203125" customWidth="1"/>
    <col min="9" max="9" width="39.33203125" bestFit="1" customWidth="1"/>
    <col min="10" max="10" width="12" bestFit="1" customWidth="1"/>
    <col min="12" max="12" width="18.1640625" bestFit="1" customWidth="1"/>
    <col min="16" max="16" width="11.6640625" bestFit="1" customWidth="1"/>
  </cols>
  <sheetData>
    <row r="1" spans="1:17" ht="17">
      <c r="A1" s="45" t="s">
        <v>191</v>
      </c>
      <c r="B1" s="19" t="s">
        <v>192</v>
      </c>
      <c r="C1" s="19" t="s">
        <v>194</v>
      </c>
      <c r="G1" s="19"/>
      <c r="H1" s="19"/>
      <c r="I1" s="19" t="s">
        <v>199</v>
      </c>
    </row>
    <row r="2" spans="1:17" ht="17">
      <c r="A2" s="45"/>
      <c r="B2" s="19" t="s">
        <v>193</v>
      </c>
      <c r="C2" s="19" t="s">
        <v>195</v>
      </c>
      <c r="D2" s="5">
        <f>SUM(D3:D5)</f>
        <v>7.2</v>
      </c>
      <c r="G2" s="19" t="s">
        <v>193</v>
      </c>
      <c r="H2" s="19" t="s">
        <v>200</v>
      </c>
      <c r="I2" s="19" t="s">
        <v>201</v>
      </c>
      <c r="J2" s="19" t="s">
        <v>202</v>
      </c>
      <c r="L2" s="19" t="s">
        <v>205</v>
      </c>
    </row>
    <row r="3" spans="1:17" ht="17">
      <c r="A3" s="19" t="s">
        <v>196</v>
      </c>
      <c r="B3" s="19">
        <v>0.4</v>
      </c>
      <c r="C3" s="19">
        <v>-4.5</v>
      </c>
      <c r="D3">
        <f>B3*C3</f>
        <v>-1.8</v>
      </c>
      <c r="G3" s="19" t="s">
        <v>203</v>
      </c>
      <c r="H3" s="19">
        <v>0.6</v>
      </c>
      <c r="I3" s="19">
        <v>-15</v>
      </c>
      <c r="J3" s="19">
        <v>19</v>
      </c>
      <c r="K3">
        <f>I$5*I3+J$5*J3</f>
        <v>-4.8</v>
      </c>
      <c r="L3" s="19">
        <f>H3*K3</f>
        <v>-2.88</v>
      </c>
    </row>
    <row r="4" spans="1:17" ht="17">
      <c r="A4" s="19" t="s">
        <v>197</v>
      </c>
      <c r="B4" s="19">
        <v>0.5</v>
      </c>
      <c r="C4" s="19">
        <v>13</v>
      </c>
      <c r="D4">
        <f t="shared" ref="D4:D5" si="0">B4*C4</f>
        <v>6.5</v>
      </c>
      <c r="G4" s="19" t="s">
        <v>198</v>
      </c>
      <c r="H4" s="19">
        <v>0.4</v>
      </c>
      <c r="I4" s="19">
        <v>26</v>
      </c>
      <c r="J4" s="19">
        <v>6</v>
      </c>
      <c r="K4">
        <f>I$5*I4+J$5*J4</f>
        <v>20</v>
      </c>
      <c r="L4" s="19">
        <f>H4*K4</f>
        <v>8</v>
      </c>
    </row>
    <row r="5" spans="1:17" ht="17">
      <c r="A5" s="19" t="s">
        <v>198</v>
      </c>
      <c r="B5" s="19">
        <v>0.1</v>
      </c>
      <c r="C5" s="19">
        <v>25</v>
      </c>
      <c r="D5">
        <f t="shared" si="0"/>
        <v>2.5</v>
      </c>
      <c r="G5" s="19" t="s">
        <v>204</v>
      </c>
      <c r="I5" s="10">
        <v>0.7</v>
      </c>
      <c r="J5" s="10">
        <v>0.3</v>
      </c>
      <c r="K5" s="5" t="s">
        <v>206</v>
      </c>
      <c r="L5" s="5">
        <f>SUM(L3:L4)</f>
        <v>5.12</v>
      </c>
    </row>
    <row r="7" spans="1:17" ht="17">
      <c r="B7" s="19" t="s">
        <v>207</v>
      </c>
      <c r="D7" s="19" t="s">
        <v>208</v>
      </c>
      <c r="E7" s="5" t="s">
        <v>206</v>
      </c>
      <c r="H7" t="s">
        <v>213</v>
      </c>
      <c r="I7" t="s">
        <v>214</v>
      </c>
      <c r="J7" t="s">
        <v>215</v>
      </c>
      <c r="K7" t="s">
        <v>242</v>
      </c>
      <c r="L7" t="s">
        <v>217</v>
      </c>
      <c r="M7" t="s">
        <v>218</v>
      </c>
      <c r="N7" t="s">
        <v>219</v>
      </c>
    </row>
    <row r="8" spans="1:17" ht="17">
      <c r="A8" s="19" t="s">
        <v>209</v>
      </c>
      <c r="B8" s="33">
        <v>0.17</v>
      </c>
      <c r="D8" s="33">
        <v>0.14000000000000001</v>
      </c>
      <c r="E8" s="9">
        <f>B$11*B8+D$11*D8</f>
        <v>0.14600000000000002</v>
      </c>
      <c r="H8" s="8">
        <v>0.13200000000000001</v>
      </c>
      <c r="I8" s="8">
        <v>4.8000000000000001E-2</v>
      </c>
      <c r="J8" s="8">
        <v>9.3333333333333338E-2</v>
      </c>
      <c r="K8" s="36">
        <v>0.55000000000000004</v>
      </c>
      <c r="L8" s="14">
        <f>I8+J8*K8</f>
        <v>9.9333333333333343E-2</v>
      </c>
      <c r="M8" s="35">
        <v>0.13</v>
      </c>
      <c r="N8" s="4">
        <f>(H8-M8*K8)/(1-K8)</f>
        <v>0.13444444444444445</v>
      </c>
    </row>
    <row r="9" spans="1:17" ht="17">
      <c r="A9" s="19" t="s">
        <v>210</v>
      </c>
      <c r="B9" s="33">
        <v>0.47</v>
      </c>
      <c r="C9">
        <f>B9^2*(B11^2)</f>
        <v>8.8360000000000018E-3</v>
      </c>
      <c r="D9" s="33">
        <v>0.49</v>
      </c>
      <c r="E9">
        <f>D9^2*(D11^2)</f>
        <v>0.15366400000000002</v>
      </c>
      <c r="F9">
        <f>2*B11*D11*B9*D9*C10+C9+E9</f>
        <v>0.18608272000000003</v>
      </c>
    </row>
    <row r="10" spans="1:17" ht="17">
      <c r="A10" s="19" t="s">
        <v>211</v>
      </c>
      <c r="C10" s="34">
        <v>0.32</v>
      </c>
      <c r="E10" s="5" t="s">
        <v>212</v>
      </c>
      <c r="F10" s="4">
        <f>SQRT(F9)</f>
        <v>0.43137306360040611</v>
      </c>
      <c r="H10" t="s">
        <v>220</v>
      </c>
      <c r="I10" t="s">
        <v>221</v>
      </c>
      <c r="J10" t="s">
        <v>222</v>
      </c>
      <c r="K10" t="s">
        <v>223</v>
      </c>
      <c r="L10" t="s">
        <v>216</v>
      </c>
      <c r="M10" t="s">
        <v>206</v>
      </c>
      <c r="N10" t="s">
        <v>225</v>
      </c>
      <c r="O10" t="s">
        <v>224</v>
      </c>
      <c r="P10" t="s">
        <v>226</v>
      </c>
      <c r="Q10" t="s">
        <v>227</v>
      </c>
    </row>
    <row r="11" spans="1:17" ht="17">
      <c r="A11" s="19" t="s">
        <v>204</v>
      </c>
      <c r="B11" s="33">
        <v>0.2</v>
      </c>
      <c r="C11" s="11"/>
      <c r="D11" s="11">
        <f>1-B11</f>
        <v>0.8</v>
      </c>
      <c r="H11" s="32">
        <v>35</v>
      </c>
      <c r="I11" s="8">
        <v>5.5E-2</v>
      </c>
      <c r="J11" s="8">
        <v>9.9000000000000005E-2</v>
      </c>
      <c r="K11" s="14">
        <f>J11-I11</f>
        <v>4.4000000000000004E-2</v>
      </c>
      <c r="L11" s="31">
        <v>1.2</v>
      </c>
      <c r="M11" s="24">
        <f>I11+K11*L11</f>
        <v>0.10780000000000001</v>
      </c>
      <c r="N11" s="19">
        <v>0.8</v>
      </c>
      <c r="O11" s="13">
        <f>N11/H11</f>
        <v>2.2857142857142857E-2</v>
      </c>
      <c r="P11" s="24">
        <f>M11-O11</f>
        <v>8.4942857142857153E-2</v>
      </c>
      <c r="Q11" s="30">
        <f>H11*(1+P11)</f>
        <v>37.972999999999999</v>
      </c>
    </row>
    <row r="13" spans="1:17">
      <c r="I13" t="s">
        <v>206</v>
      </c>
      <c r="J13" t="s">
        <v>234</v>
      </c>
      <c r="K13" t="s">
        <v>216</v>
      </c>
      <c r="L13" t="s">
        <v>235</v>
      </c>
      <c r="M13" t="s">
        <v>239</v>
      </c>
      <c r="N13" t="s">
        <v>240</v>
      </c>
      <c r="O13" t="s">
        <v>241</v>
      </c>
      <c r="P13" t="s">
        <v>243</v>
      </c>
    </row>
    <row r="14" spans="1:17">
      <c r="B14" t="s">
        <v>214</v>
      </c>
      <c r="C14" t="s">
        <v>230</v>
      </c>
      <c r="D14" t="s">
        <v>231</v>
      </c>
      <c r="E14" t="s">
        <v>206</v>
      </c>
      <c r="F14" t="s">
        <v>232</v>
      </c>
      <c r="G14" t="s">
        <v>233</v>
      </c>
      <c r="I14" s="13">
        <v>0.13</v>
      </c>
      <c r="J14" s="13">
        <v>3.6999999999999998E-2</v>
      </c>
      <c r="K14">
        <v>1.1000000000000001</v>
      </c>
      <c r="L14" s="15">
        <f>AVERAGE(I14:J14)</f>
        <v>8.3500000000000005E-2</v>
      </c>
      <c r="M14" s="9">
        <v>0.91935483870967749</v>
      </c>
      <c r="N14" s="16">
        <f>M14*I14+J14*(1-M14)</f>
        <v>0.12250000000000001</v>
      </c>
      <c r="O14" s="9">
        <f>1-M14</f>
        <v>8.0645161290322509E-2</v>
      </c>
      <c r="P14" s="37">
        <f>M14*K14+O14*0</f>
        <v>1.0112903225806453</v>
      </c>
    </row>
    <row r="15" spans="1:17">
      <c r="A15" t="s">
        <v>228</v>
      </c>
      <c r="B15" s="13">
        <v>4.1000000000000002E-2</v>
      </c>
      <c r="C15">
        <v>1.1000000000000001</v>
      </c>
      <c r="D15" s="13">
        <v>0.1</v>
      </c>
      <c r="E15" s="14">
        <f>B15+C15*(D15-B15)</f>
        <v>0.10590000000000002</v>
      </c>
      <c r="F15" s="13">
        <v>0.1</v>
      </c>
      <c r="G15" t="str">
        <f>IF(F15-E15&lt;0,"Overvalue","Undervalue")</f>
        <v>Overvalue</v>
      </c>
      <c r="I15" t="s">
        <v>236</v>
      </c>
      <c r="J15" t="s">
        <v>237</v>
      </c>
      <c r="L15" t="s">
        <v>238</v>
      </c>
      <c r="M15" t="s">
        <v>244</v>
      </c>
      <c r="O15" t="s">
        <v>245</v>
      </c>
      <c r="P15" t="s">
        <v>246</v>
      </c>
    </row>
    <row r="16" spans="1:17">
      <c r="A16" t="s">
        <v>229</v>
      </c>
      <c r="B16" s="13">
        <f>B15</f>
        <v>4.1000000000000002E-2</v>
      </c>
      <c r="C16">
        <v>0.7</v>
      </c>
      <c r="D16" s="13">
        <f>D15</f>
        <v>0.1</v>
      </c>
      <c r="E16" s="14">
        <f>B16+C16*(D16-B16)</f>
        <v>8.2300000000000012E-2</v>
      </c>
      <c r="F16" s="13">
        <v>0.105</v>
      </c>
      <c r="G16" t="str">
        <f>IF(F16-E16&lt;0,"Overvalue","Undervalue")</f>
        <v>Undervalue</v>
      </c>
      <c r="I16">
        <v>1.32</v>
      </c>
      <c r="J16" s="4">
        <v>1.2000000000000002</v>
      </c>
      <c r="K16">
        <f>J16*K14+(1-J16)*0</f>
        <v>1.3200000000000003</v>
      </c>
      <c r="L16" s="15">
        <f>1-J16</f>
        <v>-0.20000000000000018</v>
      </c>
      <c r="M16" s="3">
        <v>1.32</v>
      </c>
      <c r="N16">
        <f>O16*K14+(1-O16)*0</f>
        <v>1.32</v>
      </c>
      <c r="O16">
        <v>1.2</v>
      </c>
      <c r="P16">
        <f>1-O16</f>
        <v>-0.19999999999999996</v>
      </c>
    </row>
    <row r="20" spans="4:11" ht="17">
      <c r="D20" s="19"/>
      <c r="E20" s="19"/>
      <c r="F20" s="19"/>
    </row>
    <row r="21" spans="4:11" ht="17">
      <c r="D21" s="19"/>
      <c r="E21" s="19"/>
      <c r="F21" s="19"/>
      <c r="G21" s="19"/>
      <c r="H21" s="19"/>
      <c r="I21" s="19"/>
    </row>
    <row r="22" spans="4:11" ht="17">
      <c r="D22" s="19"/>
      <c r="E22" s="19"/>
      <c r="F22" s="19"/>
      <c r="G22" s="19"/>
      <c r="H22" s="19"/>
      <c r="I22" s="19"/>
    </row>
    <row r="23" spans="4:11" ht="17">
      <c r="D23" s="19"/>
      <c r="E23" s="19"/>
      <c r="F23" s="19"/>
      <c r="G23" s="19"/>
      <c r="H23" s="19"/>
      <c r="I23" s="19"/>
    </row>
    <row r="24" spans="4:11" ht="17">
      <c r="D24" s="19"/>
    </row>
    <row r="25" spans="4:11" ht="17">
      <c r="F25" s="19"/>
      <c r="G25" s="19"/>
      <c r="H25" s="19"/>
      <c r="I25" s="19"/>
      <c r="J25" s="19"/>
      <c r="K25" s="19"/>
    </row>
    <row r="26" spans="4:11" ht="17">
      <c r="F26" s="19"/>
      <c r="G26" s="19"/>
      <c r="H26" s="19"/>
      <c r="I26" s="19"/>
      <c r="J26" s="19"/>
      <c r="K26" s="19"/>
    </row>
    <row r="27" spans="4:11" ht="17">
      <c r="F27" s="19"/>
    </row>
    <row r="28" spans="4:11" ht="17">
      <c r="G28" s="45"/>
      <c r="H28" s="19"/>
      <c r="I28" s="19"/>
    </row>
    <row r="29" spans="4:11" ht="17">
      <c r="G29" s="45"/>
      <c r="H29" s="19"/>
      <c r="I29" s="19"/>
    </row>
    <row r="30" spans="4:11" ht="17">
      <c r="G30" s="19"/>
      <c r="H30" s="19"/>
      <c r="I30" s="19"/>
      <c r="J30" s="19"/>
      <c r="K30" s="19"/>
    </row>
    <row r="31" spans="4:11" ht="17">
      <c r="G31" s="19"/>
      <c r="H31" s="19"/>
      <c r="I31" s="19"/>
      <c r="J31" s="19"/>
      <c r="K31" s="19"/>
    </row>
    <row r="32" spans="4:11" ht="17">
      <c r="G32" s="19"/>
      <c r="H32" s="19"/>
      <c r="I32" s="19"/>
      <c r="J32" s="19"/>
      <c r="K32" s="19"/>
    </row>
  </sheetData>
  <mergeCells count="2">
    <mergeCell ref="G28:G29"/>
    <mergeCell ref="A1:A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B871-8728-E040-856B-E074665CC46D}">
  <dimension ref="A1:N53"/>
  <sheetViews>
    <sheetView tabSelected="1" topLeftCell="C1" workbookViewId="0">
      <selection activeCell="E36" sqref="E36"/>
    </sheetView>
  </sheetViews>
  <sheetFormatPr baseColWidth="10" defaultRowHeight="16"/>
  <cols>
    <col min="1" max="1" width="12.1640625" bestFit="1" customWidth="1"/>
    <col min="2" max="2" width="14.6640625" bestFit="1" customWidth="1"/>
    <col min="3" max="3" width="13.5" bestFit="1" customWidth="1"/>
    <col min="9" max="9" width="14.6640625" bestFit="1" customWidth="1"/>
    <col min="10" max="10" width="13.6640625" bestFit="1" customWidth="1"/>
    <col min="11" max="11" width="19.6640625" bestFit="1" customWidth="1"/>
    <col min="12" max="12" width="12.1640625" bestFit="1" customWidth="1"/>
    <col min="13" max="14" width="11.6640625" bestFit="1" customWidth="1"/>
  </cols>
  <sheetData>
    <row r="1" spans="1:14" ht="18">
      <c r="A1" t="s">
        <v>247</v>
      </c>
      <c r="B1" t="s">
        <v>248</v>
      </c>
      <c r="C1" t="s">
        <v>249</v>
      </c>
      <c r="E1" s="19" t="s">
        <v>250</v>
      </c>
      <c r="F1" s="38" t="s">
        <v>251</v>
      </c>
      <c r="H1" s="38" t="s">
        <v>252</v>
      </c>
      <c r="J1" s="38" t="s">
        <v>253</v>
      </c>
    </row>
    <row r="2" spans="1:14" ht="17">
      <c r="A2" s="33">
        <v>0.42</v>
      </c>
      <c r="B2" s="3">
        <v>4</v>
      </c>
      <c r="C2" s="4">
        <f>A2*SQRT(B2/12)</f>
        <v>0.24248711305964279</v>
      </c>
      <c r="E2" s="38" t="s">
        <v>254</v>
      </c>
      <c r="F2" s="34">
        <v>14.5</v>
      </c>
      <c r="G2" s="19"/>
      <c r="H2" s="34">
        <v>36</v>
      </c>
      <c r="I2" s="19"/>
      <c r="J2" s="34">
        <v>1.6</v>
      </c>
    </row>
    <row r="3" spans="1:14" ht="17">
      <c r="E3" s="38" t="s">
        <v>255</v>
      </c>
      <c r="F3" s="34">
        <v>13.5</v>
      </c>
      <c r="G3" s="19"/>
      <c r="H3" s="34">
        <v>31</v>
      </c>
      <c r="I3" s="19"/>
      <c r="J3" s="34">
        <v>1.3</v>
      </c>
    </row>
    <row r="4" spans="1:14" ht="17">
      <c r="A4" t="s">
        <v>261</v>
      </c>
      <c r="B4" t="s">
        <v>262</v>
      </c>
      <c r="C4" s="10" t="s">
        <v>263</v>
      </c>
      <c r="E4" s="38" t="s">
        <v>256</v>
      </c>
      <c r="F4" s="34">
        <v>9.1</v>
      </c>
      <c r="G4" s="19"/>
      <c r="H4" s="34">
        <v>21</v>
      </c>
      <c r="I4" s="19"/>
      <c r="J4" s="34">
        <v>0.8</v>
      </c>
    </row>
    <row r="5" spans="1:14" ht="17">
      <c r="A5" s="3">
        <v>0.4</v>
      </c>
      <c r="B5" s="8">
        <v>1.4E-2</v>
      </c>
      <c r="C5" s="4">
        <f>B5/A5</f>
        <v>3.4999999999999996E-2</v>
      </c>
      <c r="E5" s="19" t="s">
        <v>257</v>
      </c>
      <c r="F5" s="34">
        <v>10.7</v>
      </c>
      <c r="G5" s="19"/>
      <c r="H5" s="34">
        <v>26</v>
      </c>
      <c r="I5" s="19"/>
      <c r="J5" s="34">
        <v>1</v>
      </c>
    </row>
    <row r="6" spans="1:14" ht="17">
      <c r="E6" s="19" t="s">
        <v>258</v>
      </c>
      <c r="F6" s="34">
        <v>5.4</v>
      </c>
      <c r="G6" s="19"/>
      <c r="H6" s="34">
        <v>0</v>
      </c>
      <c r="I6" s="19"/>
      <c r="J6" s="34">
        <v>0</v>
      </c>
    </row>
    <row r="7" spans="1:14">
      <c r="A7" t="s">
        <v>264</v>
      </c>
      <c r="B7" t="s">
        <v>265</v>
      </c>
      <c r="C7" t="s">
        <v>266</v>
      </c>
      <c r="E7" s="38" t="s">
        <v>259</v>
      </c>
      <c r="G7" s="8">
        <v>0.13300000000000001</v>
      </c>
      <c r="H7" t="s">
        <v>260</v>
      </c>
      <c r="I7" s="13">
        <f>F2/100-(F6/100+(F5/100-F6/100)*J2)</f>
        <v>6.2000000000000111E-3</v>
      </c>
      <c r="J7" t="s">
        <v>261</v>
      </c>
      <c r="K7" s="40">
        <f>I7/G7</f>
        <v>4.6616541353383542E-2</v>
      </c>
    </row>
    <row r="8" spans="1:14">
      <c r="A8" s="8">
        <v>0.18</v>
      </c>
      <c r="B8" s="8">
        <v>0.44</v>
      </c>
      <c r="C8" s="8">
        <v>0.16</v>
      </c>
    </row>
    <row r="9" spans="1:14">
      <c r="A9" t="s">
        <v>267</v>
      </c>
      <c r="B9">
        <v>-0.99399999999999999</v>
      </c>
      <c r="E9" t="s">
        <v>275</v>
      </c>
      <c r="F9" t="s">
        <v>213</v>
      </c>
      <c r="G9" t="s">
        <v>265</v>
      </c>
      <c r="H9" t="s">
        <v>295</v>
      </c>
      <c r="I9" t="s">
        <v>279</v>
      </c>
      <c r="J9" t="s">
        <v>280</v>
      </c>
      <c r="K9" t="s">
        <v>281</v>
      </c>
      <c r="L9" t="s">
        <v>282</v>
      </c>
      <c r="M9" t="s">
        <v>301</v>
      </c>
    </row>
    <row r="10" spans="1:14">
      <c r="A10" t="s">
        <v>268</v>
      </c>
      <c r="B10" s="15">
        <f>A8+B9*B8</f>
        <v>-0.25736000000000003</v>
      </c>
      <c r="E10" t="s">
        <v>276</v>
      </c>
      <c r="F10" s="8">
        <v>0.1</v>
      </c>
      <c r="G10" s="41">
        <v>0.34</v>
      </c>
      <c r="H10">
        <f>(F10-H$12)*(G$11^2)</f>
        <v>9.1728000000000001E-3</v>
      </c>
      <c r="I10">
        <f>(F11-H$12)*G$10*G$11*F$12</f>
        <v>6.7001760000000013E-3</v>
      </c>
      <c r="J10">
        <f>H10</f>
        <v>9.1728000000000001E-3</v>
      </c>
      <c r="K10">
        <f>(F11-H$12)*(G$10)^2</f>
        <v>1.0635200000000003E-2</v>
      </c>
      <c r="L10">
        <f>(F10-H$12+F$11-H$12)*(G$10*G$11*F12)</f>
        <v>1.0487232000000003E-2</v>
      </c>
      <c r="M10" s="13">
        <f>(H10-I10)/(J10+K10-L10)</f>
        <v>0.26528114421472554</v>
      </c>
      <c r="N10" s="37"/>
    </row>
    <row r="11" spans="1:14">
      <c r="A11" s="8">
        <v>0.114</v>
      </c>
      <c r="B11" s="8">
        <v>0.46</v>
      </c>
      <c r="C11" s="8">
        <v>0.05</v>
      </c>
      <c r="E11" t="s">
        <v>277</v>
      </c>
      <c r="F11" s="8">
        <v>0.14000000000000001</v>
      </c>
      <c r="G11" s="41">
        <v>0.42</v>
      </c>
      <c r="L11" s="39"/>
      <c r="M11" s="13">
        <f>1-M10</f>
        <v>0.73471885578527441</v>
      </c>
    </row>
    <row r="12" spans="1:14">
      <c r="A12" t="s">
        <v>269</v>
      </c>
      <c r="B12">
        <v>-1.645</v>
      </c>
      <c r="C12" t="s">
        <v>270</v>
      </c>
      <c r="E12" t="s">
        <v>211</v>
      </c>
      <c r="F12" s="26">
        <v>0.51</v>
      </c>
      <c r="G12" t="s">
        <v>221</v>
      </c>
      <c r="H12" s="41">
        <v>4.8000000000000001E-2</v>
      </c>
      <c r="I12" s="12" t="s">
        <v>296</v>
      </c>
      <c r="J12" s="37">
        <f>M$10*F10+M$11*F11</f>
        <v>0.129388754231411</v>
      </c>
      <c r="K12">
        <f>(M$10^2)*(G$10^2)</f>
        <v>8.1352442810110372E-3</v>
      </c>
      <c r="L12">
        <f>(M$11^2)*(G$11^2)</f>
        <v>9.5222800998988985E-2</v>
      </c>
      <c r="M12">
        <f>2*M10*M11*G10*G11*F12</f>
        <v>2.8389382547666157E-2</v>
      </c>
    </row>
    <row r="13" spans="1:14">
      <c r="A13" t="s">
        <v>268</v>
      </c>
      <c r="B13" s="15">
        <f>A11+B12*B11</f>
        <v>-0.64270000000000005</v>
      </c>
      <c r="C13" t="s">
        <v>271</v>
      </c>
      <c r="E13" t="s">
        <v>278</v>
      </c>
      <c r="F13" s="8">
        <v>0.05</v>
      </c>
      <c r="G13" t="s">
        <v>269</v>
      </c>
      <c r="H13" s="26">
        <v>-1.645</v>
      </c>
      <c r="I13" t="s">
        <v>297</v>
      </c>
      <c r="J13">
        <f>SQRT(K12+L12+M12)</f>
        <v>0.36297028504777934</v>
      </c>
      <c r="K13" t="s">
        <v>294</v>
      </c>
      <c r="L13" s="40">
        <f>(J12-H$12)/J$13</f>
        <v>0.22422979947434937</v>
      </c>
      <c r="M13" s="13"/>
    </row>
    <row r="14" spans="1:14">
      <c r="A14" s="8">
        <v>0.14000000000000001</v>
      </c>
      <c r="B14" s="8">
        <v>0.62</v>
      </c>
      <c r="C14" s="8">
        <v>0.01</v>
      </c>
      <c r="K14" t="s">
        <v>298</v>
      </c>
      <c r="L14" s="4">
        <f>J12+J13*H13</f>
        <v>-0.46769736467218598</v>
      </c>
    </row>
    <row r="15" spans="1:14">
      <c r="A15" t="s">
        <v>272</v>
      </c>
      <c r="B15">
        <v>2.3260000000000001</v>
      </c>
      <c r="C15" t="s">
        <v>273</v>
      </c>
    </row>
    <row r="16" spans="1:14" ht="17">
      <c r="A16" t="s">
        <v>268</v>
      </c>
      <c r="B16" s="15">
        <f>A14+B15*B14</f>
        <v>1.5821200000000002</v>
      </c>
      <c r="C16" t="s">
        <v>274</v>
      </c>
      <c r="H16" s="19" t="s">
        <v>80</v>
      </c>
      <c r="I16" s="19" t="s">
        <v>283</v>
      </c>
      <c r="J16" t="s">
        <v>289</v>
      </c>
      <c r="K16" s="19" t="s">
        <v>257</v>
      </c>
      <c r="L16" s="19" t="s">
        <v>290</v>
      </c>
      <c r="M16" s="19" t="s">
        <v>284</v>
      </c>
      <c r="N16" s="19" t="s">
        <v>291</v>
      </c>
    </row>
    <row r="17" spans="1:14" ht="17">
      <c r="H17" s="19">
        <v>2011</v>
      </c>
      <c r="I17" s="34">
        <v>-12.6</v>
      </c>
      <c r="J17" s="19">
        <f>I17-M17</f>
        <v>-13.6</v>
      </c>
      <c r="K17" s="34">
        <v>-24.5</v>
      </c>
      <c r="L17" s="19">
        <f>K17-M17</f>
        <v>-25.5</v>
      </c>
      <c r="M17" s="34">
        <v>1</v>
      </c>
      <c r="N17" s="19">
        <f>J17-L17</f>
        <v>11.9</v>
      </c>
    </row>
    <row r="18" spans="1:14" ht="18" thickBot="1">
      <c r="H18" s="19">
        <v>2012</v>
      </c>
      <c r="I18" s="34">
        <v>25.4</v>
      </c>
      <c r="J18" s="19">
        <f t="shared" ref="J18:J21" si="0">I18-M18</f>
        <v>22.4</v>
      </c>
      <c r="K18" s="34">
        <v>19.5</v>
      </c>
      <c r="L18" s="19">
        <f t="shared" ref="L18:L21" si="1">K18-M18</f>
        <v>16.5</v>
      </c>
      <c r="M18" s="34">
        <v>3</v>
      </c>
      <c r="N18" s="19">
        <f t="shared" ref="N18:N21" si="2">J18-L18</f>
        <v>5.8999999999999986</v>
      </c>
    </row>
    <row r="19" spans="1:14" ht="17">
      <c r="A19" s="49" t="s">
        <v>80</v>
      </c>
      <c r="B19" s="50" t="s">
        <v>283</v>
      </c>
      <c r="C19" s="51" t="s">
        <v>289</v>
      </c>
      <c r="D19" s="50" t="s">
        <v>257</v>
      </c>
      <c r="E19" s="50" t="s">
        <v>290</v>
      </c>
      <c r="F19" s="50" t="s">
        <v>284</v>
      </c>
      <c r="G19" s="52" t="s">
        <v>291</v>
      </c>
      <c r="H19" s="19">
        <v>2013</v>
      </c>
      <c r="I19" s="34">
        <v>8.5</v>
      </c>
      <c r="J19" s="19">
        <f t="shared" si="0"/>
        <v>6.5</v>
      </c>
      <c r="K19" s="34">
        <v>9.4</v>
      </c>
      <c r="L19" s="19">
        <f t="shared" si="1"/>
        <v>7.4</v>
      </c>
      <c r="M19" s="34">
        <v>2</v>
      </c>
      <c r="N19" s="19">
        <f t="shared" si="2"/>
        <v>-0.90000000000000036</v>
      </c>
    </row>
    <row r="20" spans="1:14" ht="17">
      <c r="A20" s="53">
        <v>2011</v>
      </c>
      <c r="B20" s="34">
        <v>-15.2</v>
      </c>
      <c r="C20" s="54">
        <f>B20-F20</f>
        <v>-18.2</v>
      </c>
      <c r="D20" s="34">
        <v>-30.5</v>
      </c>
      <c r="E20" s="54">
        <f>D20-F20</f>
        <v>-33.5</v>
      </c>
      <c r="F20" s="34">
        <v>3</v>
      </c>
      <c r="G20" s="55">
        <f>C20-E20</f>
        <v>15.3</v>
      </c>
      <c r="H20" s="19">
        <v>2014</v>
      </c>
      <c r="I20" s="34">
        <v>15.5</v>
      </c>
      <c r="J20" s="19">
        <f t="shared" si="0"/>
        <v>11.5</v>
      </c>
      <c r="K20" s="34">
        <v>7.6</v>
      </c>
      <c r="L20" s="19">
        <f t="shared" si="1"/>
        <v>3.5999999999999996</v>
      </c>
      <c r="M20" s="34">
        <v>4</v>
      </c>
      <c r="N20" s="19">
        <f t="shared" si="2"/>
        <v>7.9</v>
      </c>
    </row>
    <row r="21" spans="1:14" ht="17">
      <c r="A21" s="53">
        <v>2012</v>
      </c>
      <c r="B21" s="34">
        <v>25.1</v>
      </c>
      <c r="C21" s="54">
        <f t="shared" ref="C21:C24" si="3">B21-F21</f>
        <v>21.1</v>
      </c>
      <c r="D21" s="34">
        <v>20.100000000000001</v>
      </c>
      <c r="E21" s="54">
        <f t="shared" ref="E21:E24" si="4">D21-F21</f>
        <v>16.100000000000001</v>
      </c>
      <c r="F21" s="34">
        <v>4</v>
      </c>
      <c r="G21" s="55">
        <f t="shared" ref="G21:G24" si="5">C21-E21</f>
        <v>5</v>
      </c>
      <c r="H21" s="19">
        <v>2015</v>
      </c>
      <c r="I21" s="34">
        <v>2.6</v>
      </c>
      <c r="J21" s="19">
        <f t="shared" si="0"/>
        <v>0.60000000000000009</v>
      </c>
      <c r="K21" s="34">
        <v>-2.2000000000000002</v>
      </c>
      <c r="L21" s="19">
        <f t="shared" si="1"/>
        <v>-4.2</v>
      </c>
      <c r="M21" s="34">
        <v>2</v>
      </c>
      <c r="N21" s="19">
        <f t="shared" si="2"/>
        <v>4.8000000000000007</v>
      </c>
    </row>
    <row r="22" spans="1:14" ht="17">
      <c r="A22" s="53">
        <v>2013</v>
      </c>
      <c r="B22" s="34">
        <v>13</v>
      </c>
      <c r="C22" s="54">
        <f t="shared" si="3"/>
        <v>11</v>
      </c>
      <c r="D22" s="34">
        <v>11.2</v>
      </c>
      <c r="E22" s="54">
        <f t="shared" si="4"/>
        <v>9.1999999999999993</v>
      </c>
      <c r="F22" s="34">
        <v>2</v>
      </c>
      <c r="G22" s="55">
        <f t="shared" si="5"/>
        <v>1.8000000000000007</v>
      </c>
      <c r="H22" s="19" t="s">
        <v>79</v>
      </c>
      <c r="I22">
        <f>AVERAGE(I17:I21)</f>
        <v>7.88</v>
      </c>
      <c r="K22">
        <f>AVERAGE(K17:K21)</f>
        <v>1.9600000000000002</v>
      </c>
      <c r="M22">
        <f>AVERAGE(M17:M21)</f>
        <v>2.4</v>
      </c>
    </row>
    <row r="23" spans="1:14" ht="17">
      <c r="A23" s="53">
        <v>2014</v>
      </c>
      <c r="B23" s="34">
        <v>7.4</v>
      </c>
      <c r="C23" s="54">
        <f t="shared" si="3"/>
        <v>2.4000000000000004</v>
      </c>
      <c r="D23" s="34">
        <v>8</v>
      </c>
      <c r="E23" s="54">
        <f t="shared" si="4"/>
        <v>3</v>
      </c>
      <c r="F23" s="34">
        <v>5</v>
      </c>
      <c r="G23" s="55">
        <f t="shared" si="5"/>
        <v>-0.59999999999999964</v>
      </c>
      <c r="H23" t="s">
        <v>265</v>
      </c>
      <c r="I23">
        <f>STDEV(I17:I21)</f>
        <v>14.254016977680363</v>
      </c>
      <c r="K23">
        <f>STDEV(K17:K21)</f>
        <v>16.675221137963959</v>
      </c>
      <c r="N23" s="12">
        <f>STDEV(N17:N21)</f>
        <v>4.6756817684697074</v>
      </c>
    </row>
    <row r="24" spans="1:14" ht="18" thickBot="1">
      <c r="A24" s="56">
        <v>2015</v>
      </c>
      <c r="B24" s="34">
        <v>-1.56</v>
      </c>
      <c r="C24" s="57">
        <f t="shared" si="3"/>
        <v>-4.5600000000000005</v>
      </c>
      <c r="D24" s="34">
        <v>-3.2</v>
      </c>
      <c r="E24" s="57">
        <f t="shared" si="4"/>
        <v>-6.2</v>
      </c>
      <c r="F24" s="34">
        <v>3</v>
      </c>
      <c r="G24" s="58">
        <f t="shared" si="5"/>
        <v>1.6399999999999997</v>
      </c>
      <c r="H24" t="s">
        <v>287</v>
      </c>
      <c r="I24" s="60">
        <f>_xlfn.COVARIANCE.S(I17:I21,K17:K21)/(_xlfn.STDEV.S(I17:I21)*_xlfn.STDEV.S(K17:K21))</f>
        <v>0.9663430403986204</v>
      </c>
    </row>
    <row r="25" spans="1:14" ht="17">
      <c r="A25" t="s">
        <v>285</v>
      </c>
      <c r="B25">
        <f>AVERAGE(B20:B24)</f>
        <v>5.7480000000000011</v>
      </c>
      <c r="D25">
        <f>AVERAGE(D20:D24)</f>
        <v>1.1200000000000001</v>
      </c>
      <c r="F25">
        <f>AVERAGE(F20:F24)</f>
        <v>3.4</v>
      </c>
      <c r="H25" s="19" t="s">
        <v>216</v>
      </c>
      <c r="I25">
        <f>I24*(I23/K23)</f>
        <v>0.82603223010612681</v>
      </c>
      <c r="K25" t="s">
        <v>303</v>
      </c>
    </row>
    <row r="26" spans="1:14" ht="17">
      <c r="A26" t="s">
        <v>265</v>
      </c>
      <c r="B26" s="12">
        <f>STDEV(B20:B24)</f>
        <v>15.182605836943804</v>
      </c>
      <c r="D26">
        <f>STDEV(D20:D24)</f>
        <v>19.542696845624967</v>
      </c>
      <c r="G26" s="12">
        <f>STDEV(G20:G24)</f>
        <v>6.2906215909081675</v>
      </c>
      <c r="H26" s="19" t="s">
        <v>288</v>
      </c>
      <c r="I26" s="59">
        <f>I22/100-(M22/100+(K22/100-M22/100)*I25)</f>
        <v>5.8434541812466947E-2</v>
      </c>
      <c r="K26" s="37">
        <f>I24*I24</f>
        <v>0.93381887172684974</v>
      </c>
    </row>
    <row r="27" spans="1:14" ht="17">
      <c r="A27" t="s">
        <v>286</v>
      </c>
      <c r="B27" s="40">
        <f>(B25/100-F25/100)/(B26/100)</f>
        <v>0.15465065913037254</v>
      </c>
      <c r="C27" t="s">
        <v>304</v>
      </c>
      <c r="D27" s="4">
        <f>B25/100-(F25/100+(D25/100-M22/100)*B29)</f>
        <v>3.3125917119862382E-2</v>
      </c>
      <c r="H27" s="19" t="s">
        <v>261</v>
      </c>
      <c r="I27" s="42">
        <f>I26/N23</f>
        <v>1.2497544680332649E-2</v>
      </c>
    </row>
    <row r="28" spans="1:14" ht="17">
      <c r="A28" t="s">
        <v>287</v>
      </c>
      <c r="B28" s="3">
        <v>0.97</v>
      </c>
      <c r="C28" t="s">
        <v>305</v>
      </c>
      <c r="D28" s="40">
        <f>D27/(G26)*100</f>
        <v>0.52659211241921233</v>
      </c>
      <c r="H28" s="19" t="s">
        <v>302</v>
      </c>
      <c r="I28" s="40">
        <f>(I22/100-M22/100)/(I23/100)</f>
        <v>0.38445302882554799</v>
      </c>
    </row>
    <row r="29" spans="1:14" ht="17">
      <c r="A29" t="s">
        <v>292</v>
      </c>
      <c r="B29" s="12">
        <f>(B26/D26)*B28</f>
        <v>0.75358727498924782</v>
      </c>
      <c r="H29" s="19" t="s">
        <v>293</v>
      </c>
      <c r="I29" s="40">
        <f>(I22/100-M22/100)/I25</f>
        <v>6.634123706403007E-2</v>
      </c>
    </row>
    <row r="30" spans="1:14" ht="17">
      <c r="A30" t="s">
        <v>293</v>
      </c>
      <c r="B30" s="40">
        <f>(B25/100-F25/100)/B29</f>
        <v>3.1157638642896432E-2</v>
      </c>
      <c r="H30" s="19" t="s">
        <v>80</v>
      </c>
      <c r="I30" s="19" t="s">
        <v>283</v>
      </c>
      <c r="J30" t="s">
        <v>289</v>
      </c>
      <c r="K30" s="19" t="s">
        <v>257</v>
      </c>
      <c r="L30" s="19" t="s">
        <v>290</v>
      </c>
      <c r="M30" s="19" t="s">
        <v>284</v>
      </c>
      <c r="N30" s="19" t="s">
        <v>291</v>
      </c>
    </row>
    <row r="31" spans="1:14" ht="17">
      <c r="H31" s="19">
        <v>2011</v>
      </c>
      <c r="I31" s="34">
        <v>-19.399999999999999</v>
      </c>
      <c r="J31" s="19">
        <f>I31-M31</f>
        <v>-20.399999999999999</v>
      </c>
      <c r="K31" s="34">
        <v>-37.5</v>
      </c>
      <c r="L31" s="19">
        <f>K31-M31</f>
        <v>-38.5</v>
      </c>
      <c r="M31" s="34">
        <v>1</v>
      </c>
      <c r="N31" s="19">
        <f>J31-L31</f>
        <v>18.100000000000001</v>
      </c>
    </row>
    <row r="32" spans="1:14" ht="17">
      <c r="A32" t="s">
        <v>264</v>
      </c>
      <c r="B32" t="s">
        <v>265</v>
      </c>
      <c r="C32" t="s">
        <v>266</v>
      </c>
      <c r="E32" t="s">
        <v>264</v>
      </c>
      <c r="F32" t="s">
        <v>265</v>
      </c>
      <c r="G32" t="s">
        <v>266</v>
      </c>
      <c r="H32" s="19">
        <v>2012</v>
      </c>
      <c r="I32" s="34">
        <v>25.1</v>
      </c>
      <c r="J32" s="19">
        <f t="shared" ref="J32:J35" si="6">I32-M32</f>
        <v>21.1</v>
      </c>
      <c r="K32" s="34">
        <v>20.8</v>
      </c>
      <c r="L32" s="19">
        <f t="shared" ref="L32:L35" si="7">K32-M32</f>
        <v>16.8</v>
      </c>
      <c r="M32" s="34">
        <v>4</v>
      </c>
      <c r="N32" s="19">
        <f t="shared" ref="N32:N35" si="8">J32-L32</f>
        <v>4.3000000000000007</v>
      </c>
    </row>
    <row r="33" spans="1:14" ht="17">
      <c r="A33" s="8">
        <v>0.18</v>
      </c>
      <c r="B33" s="8">
        <v>0.44</v>
      </c>
      <c r="C33" s="8">
        <v>2.5000000000000001E-2</v>
      </c>
      <c r="E33" s="8">
        <v>0.112</v>
      </c>
      <c r="F33" s="8">
        <v>0.48</v>
      </c>
      <c r="G33" s="8">
        <v>2.5000000000000001E-2</v>
      </c>
      <c r="H33" s="19">
        <v>2013</v>
      </c>
      <c r="I33" s="34">
        <v>13.7</v>
      </c>
      <c r="J33" s="19">
        <f t="shared" si="6"/>
        <v>11.7</v>
      </c>
      <c r="K33" s="34">
        <v>13.3</v>
      </c>
      <c r="L33" s="19">
        <f t="shared" si="7"/>
        <v>11.3</v>
      </c>
      <c r="M33" s="34">
        <v>2</v>
      </c>
      <c r="N33" s="19">
        <f t="shared" si="8"/>
        <v>0.39999999999999858</v>
      </c>
    </row>
    <row r="34" spans="1:14" ht="17">
      <c r="A34" s="13">
        <f>A33/12</f>
        <v>1.4999999999999999E-2</v>
      </c>
      <c r="B34" s="13">
        <f>B33/SQRT(12)</f>
        <v>0.12701705922171769</v>
      </c>
      <c r="C34" t="s">
        <v>300</v>
      </c>
      <c r="E34" s="13">
        <f>E33/12</f>
        <v>9.3333333333333341E-3</v>
      </c>
      <c r="F34" s="13">
        <f>F33/SQRT(12)</f>
        <v>0.13856406460551018</v>
      </c>
      <c r="H34" s="19">
        <v>2014</v>
      </c>
      <c r="I34" s="34">
        <v>7.2</v>
      </c>
      <c r="J34" s="19">
        <f t="shared" si="6"/>
        <v>1.2000000000000002</v>
      </c>
      <c r="K34" s="34">
        <v>8.4</v>
      </c>
      <c r="L34" s="19">
        <f t="shared" si="7"/>
        <v>2.4000000000000004</v>
      </c>
      <c r="M34" s="34">
        <v>6</v>
      </c>
      <c r="N34" s="19">
        <f t="shared" si="8"/>
        <v>-1.2000000000000002</v>
      </c>
    </row>
    <row r="35" spans="1:14" ht="17">
      <c r="A35" t="s">
        <v>299</v>
      </c>
      <c r="B35">
        <v>-1.96</v>
      </c>
      <c r="E35" t="s">
        <v>299</v>
      </c>
      <c r="F35" s="22">
        <v>-1.96</v>
      </c>
      <c r="H35" s="19">
        <v>2015</v>
      </c>
      <c r="I35" s="34">
        <v>-1.98</v>
      </c>
      <c r="J35" s="19">
        <f t="shared" si="6"/>
        <v>-3.98</v>
      </c>
      <c r="K35" s="34">
        <v>-4.2</v>
      </c>
      <c r="L35" s="19">
        <f t="shared" si="7"/>
        <v>-6.2</v>
      </c>
      <c r="M35" s="34">
        <v>2</v>
      </c>
      <c r="N35" s="19">
        <f t="shared" si="8"/>
        <v>2.2200000000000002</v>
      </c>
    </row>
    <row r="36" spans="1:14" ht="17">
      <c r="A36" t="s">
        <v>268</v>
      </c>
      <c r="B36" s="15">
        <f>A34+(B35*B34)</f>
        <v>-0.23395343607456665</v>
      </c>
      <c r="E36" t="s">
        <v>268</v>
      </c>
      <c r="F36" s="15">
        <f>E33+(F35*F33)</f>
        <v>-0.82879999999999998</v>
      </c>
      <c r="H36" t="s">
        <v>79</v>
      </c>
      <c r="I36">
        <f>AVERAGE(I31:I35)</f>
        <v>4.9240000000000004</v>
      </c>
      <c r="K36">
        <f>AVERAGE(K31:K35)</f>
        <v>0.16000000000000031</v>
      </c>
      <c r="M36">
        <f>AVERAGE(M31:M35)</f>
        <v>3</v>
      </c>
      <c r="N36" s="19"/>
    </row>
    <row r="37" spans="1:14">
      <c r="H37" t="s">
        <v>265</v>
      </c>
      <c r="I37">
        <f>STDEV(I31:I35)</f>
        <v>16.797258109584433</v>
      </c>
      <c r="K37">
        <f>STDEV(K31:K35)</f>
        <v>22.933883229841385</v>
      </c>
      <c r="M37">
        <f>STDEV(M31:M35)</f>
        <v>2</v>
      </c>
      <c r="N37">
        <f>STDEV(N31:N35)</f>
        <v>7.7322364164580497</v>
      </c>
    </row>
    <row r="38" spans="1:14">
      <c r="H38" t="s">
        <v>211</v>
      </c>
      <c r="I38" s="60">
        <f>_xlfn.COVARIANCE.S(I31:I35,K31:K35)/(_xlfn.STDEV.S(I31:I35)*_xlfn.STDEV.S(K31:K35))</f>
        <v>0.9712775206253037</v>
      </c>
    </row>
    <row r="39" spans="1:14">
      <c r="H39" t="s">
        <v>216</v>
      </c>
      <c r="I39" s="12">
        <f>I38*(I37/K37)</f>
        <v>0.71138407074261889</v>
      </c>
      <c r="K39" t="s">
        <v>303</v>
      </c>
    </row>
    <row r="40" spans="1:14">
      <c r="H40" t="s">
        <v>294</v>
      </c>
      <c r="I40" s="40">
        <f>(I36/100-M36/100)/(I37/100)</f>
        <v>0.11454250374959564</v>
      </c>
      <c r="K40" s="37">
        <f>I38*I38</f>
        <v>0.94338002207203731</v>
      </c>
    </row>
    <row r="41" spans="1:14">
      <c r="H41" t="s">
        <v>293</v>
      </c>
      <c r="I41" s="40">
        <f>(I36/100-M36/100)/I39</f>
        <v>2.7045868457407592E-2</v>
      </c>
    </row>
    <row r="42" spans="1:14" ht="17">
      <c r="H42" s="19" t="s">
        <v>288</v>
      </c>
      <c r="I42" s="59">
        <f>I36/100-(M36/100+(K36/100-M36/100)*I39)</f>
        <v>3.9443307609090379E-2</v>
      </c>
    </row>
    <row r="43" spans="1:14" ht="17">
      <c r="H43" s="19" t="s">
        <v>261</v>
      </c>
      <c r="I43" s="61">
        <f>I42/N37</f>
        <v>5.1011512691380434E-3</v>
      </c>
    </row>
    <row r="45" spans="1:14" ht="17">
      <c r="A45" s="48"/>
      <c r="B45" s="19"/>
      <c r="C45" s="19"/>
      <c r="D45" s="19"/>
    </row>
    <row r="46" spans="1:14" ht="17">
      <c r="A46" s="19"/>
      <c r="B46" s="19"/>
      <c r="C46" s="19"/>
      <c r="D46" s="19"/>
      <c r="E46" s="19"/>
      <c r="F46" s="19"/>
      <c r="G46" s="19"/>
    </row>
    <row r="47" spans="1:14" ht="17">
      <c r="A47" s="19"/>
      <c r="B47" s="19"/>
      <c r="C47" s="19"/>
      <c r="D47" s="19"/>
      <c r="E47" s="19"/>
      <c r="F47" s="19"/>
      <c r="G47" s="19"/>
    </row>
    <row r="48" spans="1:14" ht="17">
      <c r="A48" s="19"/>
      <c r="B48" s="19"/>
      <c r="C48" s="19"/>
      <c r="D48" s="19"/>
      <c r="E48" s="19"/>
      <c r="F48" s="19"/>
      <c r="G48" s="19"/>
    </row>
    <row r="49" spans="1:7" ht="17">
      <c r="A49" s="19"/>
      <c r="B49" s="19"/>
      <c r="C49" s="19"/>
      <c r="D49" s="19"/>
      <c r="E49" s="19"/>
      <c r="F49" s="19"/>
      <c r="G49" s="19"/>
    </row>
    <row r="50" spans="1:7" ht="17">
      <c r="A50" s="19"/>
      <c r="B50" s="19"/>
      <c r="C50" s="19"/>
      <c r="D50" s="19"/>
      <c r="E50" s="19"/>
      <c r="F50" s="19"/>
      <c r="G50" s="19"/>
    </row>
    <row r="51" spans="1:7" ht="17" thickBot="1">
      <c r="A51" s="46"/>
    </row>
    <row r="52" spans="1:7" ht="17" thickTop="1">
      <c r="A52" s="44"/>
    </row>
    <row r="53" spans="1:7" ht="18">
      <c r="A53" s="47"/>
    </row>
  </sheetData>
  <mergeCells count="1">
    <mergeCell ref="A51:A5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MT422U3</vt:lpstr>
      <vt:lpstr>MT422U4</vt:lpstr>
      <vt:lpstr>MT422U5</vt:lpstr>
      <vt:lpstr>MT422U6</vt:lpstr>
      <vt:lpstr>MT422U7</vt:lpstr>
      <vt:lpstr>MT422U8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Nguyen (hain2)</dc:creator>
  <cp:lastModifiedBy>Hai Nguyen (hain2)</cp:lastModifiedBy>
  <dcterms:created xsi:type="dcterms:W3CDTF">2025-03-18T06:08:52Z</dcterms:created>
  <dcterms:modified xsi:type="dcterms:W3CDTF">2025-04-20T15:48:58Z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2025-03-18T07:02:17Z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8e710059-5a54-433c-8aaf-dd4a063bdf37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50, 3, 0, 1</vt:lpwstr>
  </property>
</Properties>
</file>