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668" firstSheet="1" activeTab="19"/>
  </bookViews>
  <sheets>
    <sheet name="1-A" sheetId="1" r:id="rId1"/>
    <sheet name="1-B" sheetId="2" r:id="rId2"/>
    <sheet name="2-A" sheetId="3" r:id="rId3"/>
    <sheet name="2-B" sheetId="4" r:id="rId4"/>
    <sheet name="2-C" sheetId="5" r:id="rId5"/>
    <sheet name="2-D" sheetId="6" r:id="rId6"/>
    <sheet name="2-E" sheetId="7" r:id="rId7"/>
    <sheet name="3-A" sheetId="8" r:id="rId8"/>
    <sheet name="3-B" sheetId="9" r:id="rId9"/>
    <sheet name="4-A" sheetId="10" r:id="rId10"/>
    <sheet name="4-B" sheetId="11" r:id="rId11"/>
    <sheet name="5-A" sheetId="12" r:id="rId12"/>
    <sheet name="5-B" sheetId="14" r:id="rId13"/>
    <sheet name="5-C" sheetId="15" r:id="rId14"/>
    <sheet name="5-D" sheetId="16" r:id="rId15"/>
    <sheet name="TH1" sheetId="18" r:id="rId16"/>
    <sheet name="TH2" sheetId="19" r:id="rId17"/>
    <sheet name="TH3" sheetId="20" r:id="rId18"/>
    <sheet name="TH4" sheetId="21" r:id="rId19"/>
    <sheet name="TH5" sheetId="22" r:id="rId20"/>
  </sheets>
  <definedNames>
    <definedName name="_xlnm._FilterDatabase" localSheetId="9" hidden="1">'4-A'!$A$1:$A$21</definedName>
  </definedNames>
  <calcPr calcId="144525"/>
  <pivotCaches>
    <pivotCache cacheId="0" r:id="rId21"/>
  </pivotCaches>
</workbook>
</file>

<file path=xl/calcChain.xml><?xml version="1.0" encoding="utf-8"?>
<calcChain xmlns="http://schemas.openxmlformats.org/spreadsheetml/2006/main">
  <c r="J5" i="22" l="1"/>
  <c r="J6" i="22"/>
  <c r="J7" i="22"/>
  <c r="J8" i="22"/>
  <c r="J9" i="22"/>
  <c r="J10" i="22"/>
  <c r="J11" i="22"/>
  <c r="J12" i="22"/>
  <c r="J4" i="22"/>
  <c r="I5" i="22" l="1"/>
  <c r="I6" i="22"/>
  <c r="I7" i="22"/>
  <c r="I8" i="22"/>
  <c r="I9" i="22"/>
  <c r="I10" i="22"/>
  <c r="I11" i="22"/>
  <c r="I12" i="22"/>
  <c r="I4" i="22"/>
  <c r="H4" i="22"/>
  <c r="H6" i="22"/>
  <c r="H5" i="22"/>
  <c r="H7" i="22"/>
  <c r="H8" i="22"/>
  <c r="H9" i="22"/>
  <c r="H10" i="22"/>
  <c r="H11" i="22"/>
  <c r="H12" i="22"/>
  <c r="G5" i="22"/>
  <c r="G6" i="22"/>
  <c r="G7" i="22"/>
  <c r="G8" i="22"/>
  <c r="G9" i="22"/>
  <c r="G10" i="22"/>
  <c r="G11" i="22"/>
  <c r="G12" i="22"/>
  <c r="G4" i="22"/>
  <c r="F5" i="22"/>
  <c r="F6" i="22"/>
  <c r="F7" i="22"/>
  <c r="F8" i="22"/>
  <c r="F9" i="22"/>
  <c r="F10" i="22"/>
  <c r="F11" i="22"/>
  <c r="F12" i="22"/>
  <c r="F4" i="22"/>
  <c r="E5" i="22"/>
  <c r="E6" i="22"/>
  <c r="E7" i="22"/>
  <c r="E8" i="22"/>
  <c r="E9" i="22"/>
  <c r="E10" i="22"/>
  <c r="E11" i="22"/>
  <c r="E12" i="22"/>
  <c r="E4" i="22"/>
  <c r="J6" i="21"/>
  <c r="J7" i="21"/>
  <c r="J8" i="21"/>
  <c r="J9" i="21"/>
  <c r="J10" i="21"/>
  <c r="J11" i="21"/>
  <c r="J12" i="21"/>
  <c r="J13" i="21"/>
  <c r="J14" i="21"/>
  <c r="J5" i="21"/>
  <c r="I6" i="21"/>
  <c r="I7" i="21"/>
  <c r="I8" i="21"/>
  <c r="I9" i="21"/>
  <c r="I10" i="21"/>
  <c r="I11" i="21"/>
  <c r="I12" i="21"/>
  <c r="I13" i="21"/>
  <c r="I14" i="21"/>
  <c r="I5" i="21"/>
  <c r="H6" i="21"/>
  <c r="H7" i="21"/>
  <c r="H8" i="21"/>
  <c r="H9" i="21"/>
  <c r="H10" i="21"/>
  <c r="H11" i="21"/>
  <c r="H12" i="21"/>
  <c r="H13" i="21"/>
  <c r="H14" i="21"/>
  <c r="H5" i="21"/>
  <c r="G6" i="21"/>
  <c r="G7" i="21"/>
  <c r="G8" i="21"/>
  <c r="G9" i="21"/>
  <c r="G10" i="21"/>
  <c r="G11" i="21"/>
  <c r="G12" i="21"/>
  <c r="G13" i="21"/>
  <c r="G14" i="21"/>
  <c r="G5" i="21"/>
  <c r="D6" i="21"/>
  <c r="D7" i="21"/>
  <c r="D8" i="21"/>
  <c r="D9" i="21"/>
  <c r="D10" i="21"/>
  <c r="D11" i="21"/>
  <c r="D12" i="21"/>
  <c r="D13" i="21"/>
  <c r="D14" i="21"/>
  <c r="D5" i="21"/>
  <c r="C6" i="21"/>
  <c r="C7" i="21"/>
  <c r="C8" i="21"/>
  <c r="C9" i="21"/>
  <c r="C10" i="21"/>
  <c r="C11" i="21"/>
  <c r="C12" i="21"/>
  <c r="C13" i="21"/>
  <c r="C14" i="21"/>
  <c r="C5" i="21"/>
  <c r="L5" i="20" l="1"/>
  <c r="L6" i="20"/>
  <c r="L7" i="20"/>
  <c r="L8" i="20"/>
  <c r="L9" i="20"/>
  <c r="L10" i="20"/>
  <c r="L11" i="20"/>
  <c r="L12" i="20"/>
  <c r="L13" i="20"/>
  <c r="L4" i="20"/>
  <c r="K5" i="20"/>
  <c r="K6" i="20"/>
  <c r="K7" i="20"/>
  <c r="K8" i="20"/>
  <c r="K9" i="20"/>
  <c r="K10" i="20"/>
  <c r="K11" i="20"/>
  <c r="K12" i="20"/>
  <c r="K13" i="20"/>
  <c r="K4" i="20"/>
  <c r="J5" i="20"/>
  <c r="J6" i="20"/>
  <c r="J7" i="20"/>
  <c r="J8" i="20"/>
  <c r="J9" i="20"/>
  <c r="J10" i="20"/>
  <c r="J11" i="20"/>
  <c r="J12" i="20"/>
  <c r="J13" i="20"/>
  <c r="J4" i="20"/>
  <c r="H5" i="20"/>
  <c r="H6" i="20"/>
  <c r="H7" i="20"/>
  <c r="H8" i="20"/>
  <c r="H9" i="20"/>
  <c r="H10" i="20"/>
  <c r="H11" i="20"/>
  <c r="H12" i="20"/>
  <c r="H13" i="20"/>
  <c r="H4" i="20"/>
  <c r="I4" i="20" s="1"/>
  <c r="I5" i="20"/>
  <c r="I6" i="20"/>
  <c r="I7" i="20"/>
  <c r="I8" i="20"/>
  <c r="I9" i="20"/>
  <c r="I10" i="20"/>
  <c r="I11" i="20"/>
  <c r="I12" i="20"/>
  <c r="I13" i="20"/>
  <c r="G5" i="20"/>
  <c r="G6" i="20"/>
  <c r="G7" i="20"/>
  <c r="G8" i="20"/>
  <c r="G9" i="20"/>
  <c r="G10" i="20"/>
  <c r="G11" i="20"/>
  <c r="G12" i="20"/>
  <c r="G13" i="20"/>
  <c r="G4" i="20"/>
  <c r="I6" i="19"/>
  <c r="I7" i="19"/>
  <c r="I8" i="19"/>
  <c r="I9" i="19"/>
  <c r="I10" i="19"/>
  <c r="I11" i="19"/>
  <c r="I12" i="19"/>
  <c r="I5" i="19"/>
  <c r="H6" i="19"/>
  <c r="H7" i="19"/>
  <c r="H8" i="19"/>
  <c r="H9" i="19"/>
  <c r="H10" i="19"/>
  <c r="H11" i="19"/>
  <c r="H12" i="19"/>
  <c r="H5" i="19"/>
  <c r="E6" i="19"/>
  <c r="E7" i="19"/>
  <c r="E8" i="19"/>
  <c r="E9" i="19"/>
  <c r="E10" i="19"/>
  <c r="E11" i="19"/>
  <c r="E12" i="19"/>
  <c r="E5" i="19"/>
  <c r="D6" i="19"/>
  <c r="D7" i="19"/>
  <c r="D8" i="19"/>
  <c r="D9" i="19"/>
  <c r="D10" i="19"/>
  <c r="D11" i="19"/>
  <c r="D12" i="19"/>
  <c r="D5" i="19"/>
  <c r="J4" i="18" l="1"/>
  <c r="J5" i="18"/>
  <c r="J6" i="18"/>
  <c r="J7" i="18"/>
  <c r="J8" i="18"/>
  <c r="J9" i="18"/>
  <c r="J10" i="18"/>
  <c r="I5" i="18"/>
  <c r="I6" i="18"/>
  <c r="I7" i="18"/>
  <c r="I8" i="18"/>
  <c r="I9" i="18"/>
  <c r="I10" i="18"/>
  <c r="I4" i="18"/>
  <c r="H5" i="18"/>
  <c r="H6" i="18"/>
  <c r="H7" i="18"/>
  <c r="H8" i="18"/>
  <c r="H9" i="18"/>
  <c r="H10" i="18"/>
  <c r="H4" i="18"/>
  <c r="G5" i="18"/>
  <c r="G6" i="18"/>
  <c r="G7" i="18"/>
  <c r="G8" i="18"/>
  <c r="G9" i="18"/>
  <c r="G10" i="18"/>
  <c r="G4" i="18"/>
  <c r="F5" i="18"/>
  <c r="F6" i="18"/>
  <c r="F7" i="18"/>
  <c r="F8" i="18"/>
  <c r="F9" i="18"/>
  <c r="F10" i="18"/>
  <c r="F4" i="18"/>
  <c r="G18" i="15"/>
  <c r="G17" i="15"/>
  <c r="G16" i="15"/>
  <c r="K4" i="15"/>
  <c r="K5" i="15"/>
  <c r="K6" i="15"/>
  <c r="K7" i="15"/>
  <c r="K8" i="15"/>
  <c r="K9" i="15"/>
  <c r="K10" i="15"/>
  <c r="K11" i="15"/>
  <c r="K12" i="15"/>
  <c r="K13" i="15"/>
  <c r="K14" i="15"/>
  <c r="K3" i="15"/>
  <c r="J4" i="15"/>
  <c r="J5" i="15"/>
  <c r="J6" i="15"/>
  <c r="J7" i="15"/>
  <c r="J8" i="15"/>
  <c r="J9" i="15"/>
  <c r="J10" i="15"/>
  <c r="J11" i="15"/>
  <c r="J12" i="15"/>
  <c r="J13" i="15"/>
  <c r="J14" i="15"/>
  <c r="J3" i="15"/>
  <c r="H4" i="15"/>
  <c r="I4" i="15" s="1"/>
  <c r="H5" i="15"/>
  <c r="I5" i="15" s="1"/>
  <c r="H6" i="15"/>
  <c r="I6" i="15" s="1"/>
  <c r="H7" i="15"/>
  <c r="I7" i="15" s="1"/>
  <c r="H8" i="15"/>
  <c r="I8" i="15" s="1"/>
  <c r="H9" i="15"/>
  <c r="I9" i="15" s="1"/>
  <c r="H10" i="15"/>
  <c r="I10" i="15" s="1"/>
  <c r="H11" i="15"/>
  <c r="I11" i="15" s="1"/>
  <c r="H12" i="15"/>
  <c r="I12" i="15" s="1"/>
  <c r="H13" i="15"/>
  <c r="I13" i="15" s="1"/>
  <c r="H14" i="15"/>
  <c r="I14" i="15" s="1"/>
  <c r="H3" i="15"/>
  <c r="I3" i="15" s="1"/>
  <c r="G4" i="15"/>
  <c r="G5" i="15"/>
  <c r="G6" i="15"/>
  <c r="G7" i="15"/>
  <c r="G8" i="15"/>
  <c r="G9" i="15"/>
  <c r="G10" i="15"/>
  <c r="G11" i="15"/>
  <c r="G12" i="15"/>
  <c r="G13" i="15"/>
  <c r="G14" i="15"/>
  <c r="G3" i="15"/>
  <c r="F4" i="15"/>
  <c r="F5" i="15"/>
  <c r="F6" i="15"/>
  <c r="F7" i="15"/>
  <c r="F8" i="15"/>
  <c r="F9" i="15"/>
  <c r="F10" i="15"/>
  <c r="F11" i="15"/>
  <c r="F12" i="15"/>
  <c r="F13" i="15"/>
  <c r="F14" i="15"/>
  <c r="F3" i="15"/>
  <c r="E4" i="15"/>
  <c r="E5" i="15"/>
  <c r="E6" i="15"/>
  <c r="E7" i="15"/>
  <c r="E8" i="15"/>
  <c r="E9" i="15"/>
  <c r="E10" i="15"/>
  <c r="E11" i="15"/>
  <c r="E12" i="15"/>
  <c r="E13" i="15"/>
  <c r="E14" i="15"/>
  <c r="E3" i="15"/>
  <c r="F22" i="11" l="1"/>
  <c r="F21" i="11"/>
  <c r="F20" i="11"/>
  <c r="F19" i="11"/>
  <c r="E6" i="11"/>
  <c r="F18" i="11"/>
  <c r="C6" i="11"/>
  <c r="E7" i="11"/>
  <c r="E8" i="11"/>
  <c r="E9" i="11"/>
  <c r="E10" i="11"/>
  <c r="E11" i="11"/>
  <c r="E12" i="11"/>
  <c r="E13" i="11"/>
  <c r="E14" i="11"/>
  <c r="E15" i="11"/>
  <c r="E16" i="11"/>
  <c r="E5" i="11"/>
  <c r="D6" i="11"/>
  <c r="F6" i="11" s="1"/>
  <c r="D7" i="11"/>
  <c r="F7" i="11" s="1"/>
  <c r="D8" i="11"/>
  <c r="F8" i="11" s="1"/>
  <c r="D9" i="11"/>
  <c r="F9" i="11" s="1"/>
  <c r="D10" i="11"/>
  <c r="F10" i="11" s="1"/>
  <c r="D11" i="11"/>
  <c r="F11" i="11" s="1"/>
  <c r="D12" i="11"/>
  <c r="F12" i="11" s="1"/>
  <c r="D13" i="11"/>
  <c r="F13" i="11" s="1"/>
  <c r="D14" i="11"/>
  <c r="F14" i="11" s="1"/>
  <c r="D15" i="11"/>
  <c r="F15" i="11" s="1"/>
  <c r="D16" i="11"/>
  <c r="F16" i="11" s="1"/>
  <c r="D5" i="11"/>
  <c r="F5" i="11" s="1"/>
  <c r="C7" i="11"/>
  <c r="C8" i="11"/>
  <c r="C9" i="11"/>
  <c r="C10" i="11"/>
  <c r="C11" i="11"/>
  <c r="C12" i="11"/>
  <c r="C13" i="11"/>
  <c r="C14" i="11"/>
  <c r="C15" i="11"/>
  <c r="C16" i="11"/>
  <c r="C5" i="11"/>
  <c r="J5" i="9"/>
  <c r="J6" i="9"/>
  <c r="J7" i="9"/>
  <c r="J8" i="9"/>
  <c r="J9" i="9"/>
  <c r="J10" i="9"/>
  <c r="J11" i="9"/>
  <c r="J12" i="9"/>
  <c r="J13" i="9"/>
  <c r="J14" i="9"/>
  <c r="J4" i="9"/>
  <c r="I5" i="9"/>
  <c r="I6" i="9"/>
  <c r="I7" i="9"/>
  <c r="I8" i="9"/>
  <c r="I9" i="9"/>
  <c r="I10" i="9"/>
  <c r="I11" i="9"/>
  <c r="I12" i="9"/>
  <c r="I13" i="9"/>
  <c r="I14" i="9"/>
  <c r="I4" i="9"/>
  <c r="H5" i="9"/>
  <c r="H6" i="9"/>
  <c r="H7" i="9"/>
  <c r="H8" i="9"/>
  <c r="H9" i="9"/>
  <c r="H10" i="9"/>
  <c r="H11" i="9"/>
  <c r="H12" i="9"/>
  <c r="H13" i="9"/>
  <c r="H14" i="9"/>
  <c r="H4" i="9"/>
  <c r="G5" i="9"/>
  <c r="G6" i="9"/>
  <c r="G7" i="9"/>
  <c r="G8" i="9"/>
  <c r="G9" i="9"/>
  <c r="G10" i="9"/>
  <c r="G11" i="9"/>
  <c r="G12" i="9"/>
  <c r="G13" i="9"/>
  <c r="G14" i="9"/>
  <c r="G4" i="9"/>
  <c r="F5" i="9"/>
  <c r="F6" i="9"/>
  <c r="F7" i="9"/>
  <c r="F8" i="9"/>
  <c r="F9" i="9"/>
  <c r="F10" i="9"/>
  <c r="F11" i="9"/>
  <c r="F12" i="9"/>
  <c r="F13" i="9"/>
  <c r="F14" i="9"/>
  <c r="F4" i="9"/>
  <c r="D5" i="9"/>
  <c r="D6" i="9"/>
  <c r="D7" i="9"/>
  <c r="D8" i="9"/>
  <c r="D9" i="9"/>
  <c r="D10" i="9"/>
  <c r="D11" i="9"/>
  <c r="D12" i="9"/>
  <c r="D13" i="9"/>
  <c r="D14" i="9"/>
  <c r="D4" i="9"/>
  <c r="C5" i="9"/>
  <c r="C6" i="9"/>
  <c r="C7" i="9"/>
  <c r="C8" i="9"/>
  <c r="C9" i="9"/>
  <c r="C10" i="9"/>
  <c r="C11" i="9"/>
  <c r="C12" i="9"/>
  <c r="C13" i="9"/>
  <c r="C14" i="9"/>
  <c r="C4" i="9"/>
  <c r="G5" i="11" l="1"/>
  <c r="H5" i="11" s="1"/>
  <c r="G15" i="11"/>
  <c r="H15" i="11" s="1"/>
  <c r="G13" i="11"/>
  <c r="H13" i="11" s="1"/>
  <c r="G11" i="11"/>
  <c r="H11" i="11" s="1"/>
  <c r="H9" i="11"/>
  <c r="G9" i="11"/>
  <c r="H7" i="11"/>
  <c r="G7" i="11"/>
  <c r="H16" i="11"/>
  <c r="G16" i="11"/>
  <c r="H14" i="11"/>
  <c r="G14" i="11"/>
  <c r="H12" i="11"/>
  <c r="G12" i="11"/>
  <c r="H10" i="11"/>
  <c r="G10" i="11"/>
  <c r="H8" i="11"/>
  <c r="G8" i="11"/>
  <c r="H6" i="11"/>
  <c r="G6" i="11"/>
  <c r="J7" i="8"/>
  <c r="J8" i="8"/>
  <c r="J9" i="8"/>
  <c r="J10" i="8"/>
  <c r="J11" i="8"/>
  <c r="J12" i="8"/>
  <c r="J13" i="8"/>
  <c r="J14" i="8"/>
  <c r="J15" i="8"/>
  <c r="J16" i="8"/>
  <c r="J17" i="8"/>
  <c r="J6" i="8"/>
  <c r="H7" i="8"/>
  <c r="H8" i="8"/>
  <c r="H9" i="8"/>
  <c r="H10" i="8"/>
  <c r="H11" i="8"/>
  <c r="H12" i="8"/>
  <c r="H13" i="8"/>
  <c r="H14" i="8"/>
  <c r="H15" i="8"/>
  <c r="H16" i="8"/>
  <c r="H17" i="8"/>
  <c r="H6" i="8"/>
  <c r="E7" i="8"/>
  <c r="E8" i="8"/>
  <c r="E9" i="8"/>
  <c r="E10" i="8"/>
  <c r="E11" i="8"/>
  <c r="E12" i="8"/>
  <c r="E13" i="8"/>
  <c r="E14" i="8"/>
  <c r="E15" i="8"/>
  <c r="E16" i="8"/>
  <c r="E17" i="8"/>
  <c r="E6" i="8"/>
  <c r="D7" i="8"/>
  <c r="D8" i="8"/>
  <c r="D9" i="8"/>
  <c r="D10" i="8"/>
  <c r="D11" i="8"/>
  <c r="D12" i="8"/>
  <c r="D13" i="8"/>
  <c r="D14" i="8"/>
  <c r="D15" i="8"/>
  <c r="D16" i="8"/>
  <c r="D17" i="8"/>
  <c r="D6" i="8"/>
  <c r="G9" i="8"/>
  <c r="G7" i="8"/>
  <c r="G8" i="8"/>
  <c r="G10" i="8"/>
  <c r="G11" i="8"/>
  <c r="G12" i="8"/>
  <c r="G13" i="8"/>
  <c r="G14" i="8"/>
  <c r="G15" i="8"/>
  <c r="G16" i="8"/>
  <c r="G17" i="8"/>
  <c r="G6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3" i="7"/>
  <c r="M19" i="6"/>
  <c r="M18" i="6"/>
  <c r="M17" i="6"/>
  <c r="F19" i="6"/>
  <c r="F18" i="6"/>
  <c r="F17" i="6"/>
  <c r="I15" i="6"/>
  <c r="J15" i="6"/>
  <c r="K15" i="6"/>
  <c r="H15" i="6"/>
  <c r="K4" i="6"/>
  <c r="K5" i="6"/>
  <c r="K6" i="6"/>
  <c r="K7" i="6"/>
  <c r="K8" i="6"/>
  <c r="K9" i="6"/>
  <c r="K10" i="6"/>
  <c r="K11" i="6"/>
  <c r="K12" i="6"/>
  <c r="K13" i="6"/>
  <c r="K14" i="6"/>
  <c r="K3" i="6"/>
  <c r="J4" i="6"/>
  <c r="J5" i="6"/>
  <c r="J6" i="6"/>
  <c r="J7" i="6"/>
  <c r="J8" i="6"/>
  <c r="J9" i="6"/>
  <c r="J10" i="6"/>
  <c r="J11" i="6"/>
  <c r="J12" i="6"/>
  <c r="J13" i="6"/>
  <c r="J14" i="6"/>
  <c r="J3" i="6"/>
  <c r="I4" i="6"/>
  <c r="I5" i="6"/>
  <c r="I6" i="6"/>
  <c r="I7" i="6"/>
  <c r="I8" i="6"/>
  <c r="I9" i="6"/>
  <c r="I10" i="6"/>
  <c r="I11" i="6"/>
  <c r="I12" i="6"/>
  <c r="I13" i="6"/>
  <c r="I14" i="6"/>
  <c r="I3" i="6"/>
  <c r="H4" i="6"/>
  <c r="H5" i="6"/>
  <c r="H6" i="6"/>
  <c r="H7" i="6"/>
  <c r="H8" i="6"/>
  <c r="H9" i="6"/>
  <c r="H10" i="6"/>
  <c r="H11" i="6"/>
  <c r="H12" i="6"/>
  <c r="H13" i="6"/>
  <c r="H14" i="6"/>
  <c r="H3" i="6"/>
  <c r="F5" i="5" l="1"/>
  <c r="F6" i="5"/>
  <c r="F7" i="5"/>
  <c r="F8" i="5"/>
  <c r="F9" i="5"/>
  <c r="F10" i="5"/>
  <c r="F11" i="5"/>
  <c r="F12" i="5"/>
  <c r="F13" i="5"/>
  <c r="F14" i="5"/>
  <c r="F4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M6" i="5" l="1"/>
  <c r="M8" i="5"/>
  <c r="M10" i="5"/>
  <c r="M12" i="5"/>
  <c r="M14" i="5"/>
  <c r="L6" i="5"/>
  <c r="L7" i="5"/>
  <c r="M7" i="5" s="1"/>
  <c r="L8" i="5"/>
  <c r="L9" i="5"/>
  <c r="M9" i="5" s="1"/>
  <c r="L10" i="5"/>
  <c r="L11" i="5"/>
  <c r="M11" i="5" s="1"/>
  <c r="L12" i="5"/>
  <c r="L13" i="5"/>
  <c r="M13" i="5" s="1"/>
  <c r="L14" i="5"/>
  <c r="L4" i="5"/>
  <c r="M4" i="5" s="1"/>
  <c r="L5" i="5"/>
  <c r="M5" i="5" s="1"/>
  <c r="I3" i="4"/>
  <c r="M18" i="5" l="1"/>
  <c r="M16" i="5"/>
  <c r="M17" i="5"/>
  <c r="M15" i="5"/>
  <c r="L5" i="3"/>
  <c r="L6" i="3"/>
  <c r="L7" i="3"/>
  <c r="L8" i="3"/>
  <c r="L9" i="3"/>
  <c r="L10" i="3"/>
  <c r="L11" i="3"/>
  <c r="G16" i="4"/>
  <c r="G15" i="4"/>
  <c r="D17" i="4"/>
  <c r="E16" i="4"/>
  <c r="F16" i="4"/>
  <c r="D16" i="4"/>
  <c r="E15" i="4"/>
  <c r="F15" i="4"/>
  <c r="D15" i="4"/>
  <c r="E14" i="4"/>
  <c r="F14" i="4"/>
  <c r="D14" i="4"/>
  <c r="E13" i="4"/>
  <c r="F13" i="4"/>
  <c r="D13" i="4"/>
  <c r="J4" i="4"/>
  <c r="J5" i="4"/>
  <c r="J6" i="4"/>
  <c r="J7" i="4"/>
  <c r="J8" i="4"/>
  <c r="J9" i="4"/>
  <c r="J10" i="4"/>
  <c r="J11" i="4"/>
  <c r="J12" i="4"/>
  <c r="J3" i="4"/>
  <c r="I4" i="4"/>
  <c r="I5" i="4"/>
  <c r="I6" i="4"/>
  <c r="I7" i="4"/>
  <c r="I8" i="4"/>
  <c r="I9" i="4"/>
  <c r="I10" i="4"/>
  <c r="I11" i="4"/>
  <c r="I12" i="4"/>
  <c r="H4" i="4"/>
  <c r="H5" i="4"/>
  <c r="H6" i="4"/>
  <c r="H7" i="4"/>
  <c r="H8" i="4"/>
  <c r="H9" i="4"/>
  <c r="H10" i="4"/>
  <c r="H11" i="4"/>
  <c r="H12" i="4"/>
  <c r="H3" i="4"/>
  <c r="G4" i="4" l="1"/>
  <c r="G5" i="4"/>
  <c r="G6" i="4"/>
  <c r="G7" i="4"/>
  <c r="G8" i="4"/>
  <c r="G9" i="4"/>
  <c r="G10" i="4"/>
  <c r="G11" i="4"/>
  <c r="G12" i="4"/>
  <c r="G3" i="4"/>
  <c r="M14" i="3" l="1"/>
  <c r="M5" i="3"/>
  <c r="M16" i="3" s="1"/>
  <c r="M6" i="3"/>
  <c r="M7" i="3"/>
  <c r="M8" i="3"/>
  <c r="M9" i="3"/>
  <c r="M10" i="3"/>
  <c r="M11" i="3"/>
  <c r="M12" i="3"/>
  <c r="M13" i="3"/>
  <c r="M4" i="3"/>
  <c r="L12" i="3"/>
  <c r="L13" i="3"/>
  <c r="L14" i="3"/>
  <c r="L4" i="3"/>
  <c r="H14" i="3"/>
  <c r="H13" i="3"/>
  <c r="H12" i="3"/>
  <c r="H11" i="3"/>
  <c r="H10" i="3"/>
  <c r="H9" i="3"/>
  <c r="H8" i="3"/>
  <c r="H7" i="3"/>
  <c r="H6" i="3"/>
  <c r="H5" i="3"/>
  <c r="H4" i="3"/>
  <c r="G5" i="3"/>
  <c r="G6" i="3"/>
  <c r="G7" i="3"/>
  <c r="G8" i="3"/>
  <c r="G9" i="3"/>
  <c r="G10" i="3"/>
  <c r="G11" i="3"/>
  <c r="G12" i="3"/>
  <c r="G13" i="3"/>
  <c r="G14" i="3"/>
  <c r="G4" i="3"/>
  <c r="G14" i="2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M17" i="3" l="1"/>
  <c r="M15" i="3"/>
  <c r="M18" i="3"/>
</calcChain>
</file>

<file path=xl/sharedStrings.xml><?xml version="1.0" encoding="utf-8"?>
<sst xmlns="http://schemas.openxmlformats.org/spreadsheetml/2006/main" count="851" uniqueCount="422">
  <si>
    <t>STT</t>
  </si>
  <si>
    <t>Họ và tên</t>
  </si>
  <si>
    <t>Ngày sinh</t>
  </si>
  <si>
    <t>Điểm</t>
  </si>
  <si>
    <t>Word</t>
  </si>
  <si>
    <t>QLMT</t>
  </si>
  <si>
    <t>EXCEL</t>
  </si>
  <si>
    <t>Tổng điểm</t>
  </si>
  <si>
    <t>Trần Quốc Anh</t>
  </si>
  <si>
    <t>Phạm Thu Anh</t>
  </si>
  <si>
    <t>Nguyễn Thị Hồng</t>
  </si>
  <si>
    <t>Phan Anh Đức</t>
  </si>
  <si>
    <t>Hà Quang Bình</t>
  </si>
  <si>
    <t>Nguyễn Thanh Cường</t>
  </si>
  <si>
    <t>Nguyễn Khắc Dương</t>
  </si>
  <si>
    <t>Đinh Văn Hiệu</t>
  </si>
  <si>
    <t>Nguyễn Quang Hưng</t>
  </si>
  <si>
    <t>Hoàng Văn Hưng</t>
  </si>
  <si>
    <t>Lương Đình Khương</t>
  </si>
  <si>
    <t>Trương Xuân Lộc</t>
  </si>
  <si>
    <t>Tên mặt hàng</t>
  </si>
  <si>
    <t>ĐVT</t>
  </si>
  <si>
    <t>ĐG nhập</t>
  </si>
  <si>
    <t>SL</t>
  </si>
  <si>
    <t>Phí VC</t>
  </si>
  <si>
    <t>Thành tiền</t>
  </si>
  <si>
    <t>ĐG Xuất</t>
  </si>
  <si>
    <t>Đường</t>
  </si>
  <si>
    <t>Trứng</t>
  </si>
  <si>
    <t>Bơ</t>
  </si>
  <si>
    <t>Sữa</t>
  </si>
  <si>
    <t>Muối</t>
  </si>
  <si>
    <t>Gạo</t>
  </si>
  <si>
    <t>Kg</t>
  </si>
  <si>
    <t>Chục</t>
  </si>
  <si>
    <t>Hộp</t>
  </si>
  <si>
    <t>Tổng tiền</t>
  </si>
  <si>
    <t>G.Tính</t>
  </si>
  <si>
    <t>Hệ số</t>
  </si>
  <si>
    <t>Ngày công</t>
  </si>
  <si>
    <t>Giờ Công</t>
  </si>
  <si>
    <t>Loại</t>
  </si>
  <si>
    <t>LCB</t>
  </si>
  <si>
    <t>LSP</t>
  </si>
  <si>
    <t>Thưởng</t>
  </si>
  <si>
    <t>Phụ cấp</t>
  </si>
  <si>
    <t>Tạm ứng</t>
  </si>
  <si>
    <t>BHYT/XH</t>
  </si>
  <si>
    <t>Thực lĩnh</t>
  </si>
  <si>
    <t>Lương cơ bản:</t>
  </si>
  <si>
    <t>Số ngày của tháng:</t>
  </si>
  <si>
    <t>Tiền 1h:</t>
  </si>
  <si>
    <t>Nguyễn Quang Sáng</t>
  </si>
  <si>
    <t>Lê Khánh Dư</t>
  </si>
  <si>
    <t>Phan Huỳnh Điểu</t>
  </si>
  <si>
    <t>B</t>
  </si>
  <si>
    <t>A</t>
  </si>
  <si>
    <t>C</t>
  </si>
  <si>
    <t>Tổng lương</t>
  </si>
  <si>
    <t>Bình quân lương</t>
  </si>
  <si>
    <t>Lương cao</t>
  </si>
  <si>
    <t>Lương thấp</t>
  </si>
  <si>
    <t>BẢNG TỔNG KẾT ĐIỂM</t>
  </si>
  <si>
    <t>Tên</t>
  </si>
  <si>
    <t>Toán</t>
  </si>
  <si>
    <t>Tin</t>
  </si>
  <si>
    <t>Anh Văn</t>
  </si>
  <si>
    <t>Điểm TB</t>
  </si>
  <si>
    <t>Xếp thứ</t>
  </si>
  <si>
    <t>Xếp loại</t>
  </si>
  <si>
    <t>Học bổng</t>
  </si>
  <si>
    <t>Hùng</t>
  </si>
  <si>
    <t>Bình</t>
  </si>
  <si>
    <t>Vân</t>
  </si>
  <si>
    <t>Doanh</t>
  </si>
  <si>
    <t>Loan</t>
  </si>
  <si>
    <t>Anh</t>
  </si>
  <si>
    <t>Thu</t>
  </si>
  <si>
    <t>Khánh</t>
  </si>
  <si>
    <t>Ngân</t>
  </si>
  <si>
    <t>Nam</t>
  </si>
  <si>
    <t>Nữ</t>
  </si>
  <si>
    <t>Tổng:</t>
  </si>
  <si>
    <t>TB:</t>
  </si>
  <si>
    <t>Điểm lớn nhất:</t>
  </si>
  <si>
    <t>Điểm nhỏ nhất:</t>
  </si>
  <si>
    <t>Tổng số sinh viên trong lớp:</t>
  </si>
  <si>
    <t>BẢNG TỔNG KẾT CÁC MẶT HÀNG</t>
  </si>
  <si>
    <t>Mã</t>
  </si>
  <si>
    <t>Tên hàng</t>
  </si>
  <si>
    <t>Ngày nhập</t>
  </si>
  <si>
    <t>Ngày bán</t>
  </si>
  <si>
    <t>Số lượng</t>
  </si>
  <si>
    <t>Đơn giá</t>
  </si>
  <si>
    <t>Giá thành</t>
  </si>
  <si>
    <t>D</t>
  </si>
  <si>
    <t>V</t>
  </si>
  <si>
    <t>Giấy</t>
  </si>
  <si>
    <t>Vải</t>
  </si>
  <si>
    <t>Xi măng</t>
  </si>
  <si>
    <t>Gạch</t>
  </si>
  <si>
    <t>Thuế</t>
  </si>
  <si>
    <t>Cộng</t>
  </si>
  <si>
    <t>1. Tính tổng Số lượng những mặt hàng là Giấy</t>
  </si>
  <si>
    <t>2. Đếm những mặt hàng có mã là A</t>
  </si>
  <si>
    <t>3. Tính tổng số lượng của mặt hàng Giấy và Vải</t>
  </si>
  <si>
    <t>4. Tổng số lượng của Giấy mà có số lượng &gt;=30</t>
  </si>
  <si>
    <t>5. Đếm các mặt hàng có số lượng từ 20 đến 40</t>
  </si>
  <si>
    <t>6. Tổng thành tiền của Vải mà số lượng &lt;=30</t>
  </si>
  <si>
    <t>Chức vụ</t>
  </si>
  <si>
    <t>Số buổi nghỉ học</t>
  </si>
  <si>
    <t>Điểm thưởng</t>
  </si>
  <si>
    <t>Điểm tổng kết</t>
  </si>
  <si>
    <t>Tổ trưởng</t>
  </si>
  <si>
    <t>Tổ phó</t>
  </si>
  <si>
    <t>Thành viên</t>
  </si>
  <si>
    <t>Ngày lấy hàng</t>
  </si>
  <si>
    <t>Mã CT</t>
  </si>
  <si>
    <t>Mã hàng</t>
  </si>
  <si>
    <t>Tên CT</t>
  </si>
  <si>
    <t>Ngày gửi hàng</t>
  </si>
  <si>
    <t>Số ngày gửi</t>
  </si>
  <si>
    <t>MN</t>
  </si>
  <si>
    <t>BM</t>
  </si>
  <si>
    <t>AT</t>
  </si>
  <si>
    <t>TL</t>
  </si>
  <si>
    <t>S</t>
  </si>
  <si>
    <t>N</t>
  </si>
  <si>
    <t>X</t>
  </si>
  <si>
    <t>G</t>
  </si>
  <si>
    <t>Sắt</t>
  </si>
  <si>
    <t>Minh Nhật</t>
  </si>
  <si>
    <t>Bình Minh</t>
  </si>
  <si>
    <t>An Thái</t>
  </si>
  <si>
    <t>Thiên Long</t>
  </si>
  <si>
    <t>Gỗ</t>
  </si>
  <si>
    <t>Nông sản</t>
  </si>
  <si>
    <t>Bảng báo cáo thuê kho hàng tháng 6/2012</t>
  </si>
  <si>
    <t>BẢNG TỔNG HỢP TIỀN - VÀNG CHO VAY</t>
  </si>
  <si>
    <t>MS-KH</t>
  </si>
  <si>
    <t>Ngày vay</t>
  </si>
  <si>
    <t>Diện vay</t>
  </si>
  <si>
    <t>Đơn vị tính</t>
  </si>
  <si>
    <t>Số vay</t>
  </si>
  <si>
    <t>Mục đích</t>
  </si>
  <si>
    <t>Lãi suất tháng</t>
  </si>
  <si>
    <t>Ngày trả đầu tiên</t>
  </si>
  <si>
    <t>Trả lần đầu tiên</t>
  </si>
  <si>
    <t>Thời hạn (tháng)</t>
  </si>
  <si>
    <t>MN12KD</t>
  </si>
  <si>
    <t>MX24CH</t>
  </si>
  <si>
    <t>MK12SD</t>
  </si>
  <si>
    <t>MN60KD</t>
  </si>
  <si>
    <t>MK24KD</t>
  </si>
  <si>
    <t>MX12SD</t>
  </si>
  <si>
    <t>MN12SD</t>
  </si>
  <si>
    <t>MX36CH</t>
  </si>
  <si>
    <t>MK24SD</t>
  </si>
  <si>
    <t>MN36KD</t>
  </si>
  <si>
    <t>MX</t>
  </si>
  <si>
    <t>MK</t>
  </si>
  <si>
    <t>Mua nhà</t>
  </si>
  <si>
    <t>Mua xe</t>
  </si>
  <si>
    <t>Mua đồ gia dụng</t>
  </si>
  <si>
    <t>KD</t>
  </si>
  <si>
    <t>SD</t>
  </si>
  <si>
    <t>CH</t>
  </si>
  <si>
    <t>Kinh doanh</t>
  </si>
  <si>
    <t>Sử dụng</t>
  </si>
  <si>
    <t>Chạy hàng</t>
  </si>
  <si>
    <t>BẢNG DANH SÁCH HỌC VIÊN CỦA CÔNG TY</t>
  </si>
  <si>
    <t>Họ tên</t>
  </si>
  <si>
    <t>Địa chỉ</t>
  </si>
  <si>
    <t>Giới tính</t>
  </si>
  <si>
    <t>Môn học</t>
  </si>
  <si>
    <t>Điểm thi</t>
  </si>
  <si>
    <t>Tuấn</t>
  </si>
  <si>
    <t>Mai</t>
  </si>
  <si>
    <t>Hà</t>
  </si>
  <si>
    <t>Sơn</t>
  </si>
  <si>
    <t>Tùng</t>
  </si>
  <si>
    <t>Hải</t>
  </si>
  <si>
    <t>Hà Nội</t>
  </si>
  <si>
    <t>Hà Tây</t>
  </si>
  <si>
    <t>Nam Định</t>
  </si>
  <si>
    <t>Vĩnh Phúc</t>
  </si>
  <si>
    <t>Hải Dương</t>
  </si>
  <si>
    <t>Excel</t>
  </si>
  <si>
    <t>Grand Total</t>
  </si>
  <si>
    <t>PHIẾU NHẬP HÀNG</t>
  </si>
  <si>
    <t>Tuần lễ từ 6/8/2012 đến 13/8/2012</t>
  </si>
  <si>
    <t>Ngày NK</t>
  </si>
  <si>
    <t>Trị giá</t>
  </si>
  <si>
    <t>Thuế GTGT</t>
  </si>
  <si>
    <t>Tiền trả</t>
  </si>
  <si>
    <t>MK-50</t>
  </si>
  <si>
    <t>RK-35</t>
  </si>
  <si>
    <t>KC-90</t>
  </si>
  <si>
    <t>NC-95</t>
  </si>
  <si>
    <t>TK-86</t>
  </si>
  <si>
    <t>RK-80</t>
  </si>
  <si>
    <t>RC-10</t>
  </si>
  <si>
    <t>MC-65</t>
  </si>
  <si>
    <t>MK-65</t>
  </si>
  <si>
    <t>TC-30</t>
  </si>
  <si>
    <t>RK-50</t>
  </si>
  <si>
    <t>K</t>
  </si>
  <si>
    <t>M</t>
  </si>
  <si>
    <t>R</t>
  </si>
  <si>
    <t>T</t>
  </si>
  <si>
    <t>Bánh</t>
  </si>
  <si>
    <t>Kẹo</t>
  </si>
  <si>
    <t>Mứt</t>
  </si>
  <si>
    <t>Nho</t>
  </si>
  <si>
    <t>Rượu</t>
  </si>
  <si>
    <t>Trà</t>
  </si>
  <si>
    <t>Tổng trị giá các mặt hàng tên Rượu</t>
  </si>
  <si>
    <t>Trung bình trị giá các mặt hàng loại là Chai</t>
  </si>
  <si>
    <t>Chai</t>
  </si>
  <si>
    <t>Tìm trị giá lớn nhất của mặt hàng là Bánh &amp; Mứt</t>
  </si>
  <si>
    <t>Số mặt hàng Thuế GTGT &gt; 220000</t>
  </si>
  <si>
    <t>&gt;220000</t>
  </si>
  <si>
    <t>Số mặt hàng có loại Hộp</t>
  </si>
  <si>
    <t>BẢNG THU NHẬP BÌNH QUÂN ĐẦU NGƯỜI 2007</t>
  </si>
  <si>
    <t>Hải Phòng</t>
  </si>
  <si>
    <t>TP.HCM</t>
  </si>
  <si>
    <t>I</t>
  </si>
  <si>
    <t>II</t>
  </si>
  <si>
    <t>III</t>
  </si>
  <si>
    <t>IV</t>
  </si>
  <si>
    <t>Quý                  TP</t>
  </si>
  <si>
    <t>Tháng            Năm</t>
  </si>
  <si>
    <t>Số lượng bán (cái)</t>
  </si>
  <si>
    <t>Doanh số (VNĐ)</t>
  </si>
  <si>
    <t>T01</t>
  </si>
  <si>
    <t>T02</t>
  </si>
  <si>
    <t>T03</t>
  </si>
  <si>
    <t>T04</t>
  </si>
  <si>
    <t>SL 2012</t>
  </si>
  <si>
    <t>SL 2013</t>
  </si>
  <si>
    <t>SL 2014</t>
  </si>
  <si>
    <t>Năm 2012</t>
  </si>
  <si>
    <t>Năm 2013</t>
  </si>
  <si>
    <t>Năm 2014</t>
  </si>
  <si>
    <t>Sparkline</t>
  </si>
  <si>
    <t>Ngày kiểm kê:</t>
  </si>
  <si>
    <t>Ngày</t>
  </si>
  <si>
    <t>Tháng</t>
  </si>
  <si>
    <t>Năm</t>
  </si>
  <si>
    <t>Ngày số</t>
  </si>
  <si>
    <t>Ngày số (Weekday)</t>
  </si>
  <si>
    <t>Thứ</t>
  </si>
  <si>
    <t>Tuần số</t>
  </si>
  <si>
    <t>Số ngày đến ngày kiểm kê</t>
  </si>
  <si>
    <t>E</t>
  </si>
  <si>
    <t>Chủ nhật</t>
  </si>
  <si>
    <t>Thứ hai</t>
  </si>
  <si>
    <t>Thứ ba</t>
  </si>
  <si>
    <t>Thứ tư</t>
  </si>
  <si>
    <t>Thứ năm</t>
  </si>
  <si>
    <t>Thứ sáu</t>
  </si>
  <si>
    <t>Thứ bảy</t>
  </si>
  <si>
    <t>1. Đếm những mặt hàng bắt đầu bằng "g"</t>
  </si>
  <si>
    <t>2. Đếm những mặt hàng chứa "n"</t>
  </si>
  <si>
    <t>3. Đếm những mặt hàng chứa "i" là kí tự thứ 2</t>
  </si>
  <si>
    <t>BẢNG DANH SÁCH THƯỞNG CÔNG TY</t>
  </si>
  <si>
    <t>Phòng ban</t>
  </si>
  <si>
    <t>Kế toán</t>
  </si>
  <si>
    <t>Kỹ thuật</t>
  </si>
  <si>
    <t>Row Labels</t>
  </si>
  <si>
    <t>Count of Họ tên</t>
  </si>
  <si>
    <t>Column Labels</t>
  </si>
  <si>
    <t>Sum of Thưởng</t>
  </si>
  <si>
    <t>SỐ THUÊ BĂNG VIDEO</t>
  </si>
  <si>
    <t>Tên khách</t>
  </si>
  <si>
    <t>Ngày thuê</t>
  </si>
  <si>
    <t>Ngày trả</t>
  </si>
  <si>
    <t>SN thuê</t>
  </si>
  <si>
    <t>Thể loại</t>
  </si>
  <si>
    <t>Mã khách</t>
  </si>
  <si>
    <t xml:space="preserve">Châu </t>
  </si>
  <si>
    <t>Hồng</t>
  </si>
  <si>
    <t>Liễu</t>
  </si>
  <si>
    <t>Thúy</t>
  </si>
  <si>
    <t>CA1TB</t>
  </si>
  <si>
    <t>NB2SL</t>
  </si>
  <si>
    <t>HB9SB</t>
  </si>
  <si>
    <t>VB7TB</t>
  </si>
  <si>
    <t>TA2SL</t>
  </si>
  <si>
    <t>CA4SB</t>
  </si>
  <si>
    <t>NA5TL</t>
  </si>
  <si>
    <t>H</t>
  </si>
  <si>
    <t>Cải lương</t>
  </si>
  <si>
    <t>Ca nhạc</t>
  </si>
  <si>
    <t>Tình cảm</t>
  </si>
  <si>
    <t>Hình sự</t>
  </si>
  <si>
    <t>Võ thuật</t>
  </si>
  <si>
    <t>Băng gốc</t>
  </si>
  <si>
    <t>Băng sao</t>
  </si>
  <si>
    <t>BẢNG TÍNH CƯỚC TRỌNG TẢI QUY ĐỊNH</t>
  </si>
  <si>
    <t>Trọng tải quy định:</t>
  </si>
  <si>
    <t>Số xe</t>
  </si>
  <si>
    <t>SL trọng tải</t>
  </si>
  <si>
    <t>Lộ trình</t>
  </si>
  <si>
    <t>Cước phí</t>
  </si>
  <si>
    <t>Ngày đi</t>
  </si>
  <si>
    <t>Ngày đến</t>
  </si>
  <si>
    <t>Thời gian thực hiện</t>
  </si>
  <si>
    <t>50-2923</t>
  </si>
  <si>
    <t>52-1234</t>
  </si>
  <si>
    <t>50-8533</t>
  </si>
  <si>
    <t>51-1111</t>
  </si>
  <si>
    <t>52-2222</t>
  </si>
  <si>
    <t>50-4455</t>
  </si>
  <si>
    <t>52-2929</t>
  </si>
  <si>
    <t>Pleiku</t>
  </si>
  <si>
    <t>Quy Nhơn</t>
  </si>
  <si>
    <t>Nha Trang</t>
  </si>
  <si>
    <t>Lào</t>
  </si>
  <si>
    <t>Đà Nẵng</t>
  </si>
  <si>
    <t>Tuyến đường</t>
  </si>
  <si>
    <t>Thời gian</t>
  </si>
  <si>
    <t>BẢNG LƯƠNG NHÂN VIÊN THÁNG 10/2012</t>
  </si>
  <si>
    <t>Họ đệm</t>
  </si>
  <si>
    <t>Mã số</t>
  </si>
  <si>
    <t>Lương cơ bản</t>
  </si>
  <si>
    <t>Mã loại</t>
  </si>
  <si>
    <t>Số năm công tác</t>
  </si>
  <si>
    <t>Hệ số lương</t>
  </si>
  <si>
    <t>Lương</t>
  </si>
  <si>
    <t>Phạm Văn</t>
  </si>
  <si>
    <t>Bảo</t>
  </si>
  <si>
    <t>Trần Thị</t>
  </si>
  <si>
    <t>Dung</t>
  </si>
  <si>
    <t>Nguyễn Văn</t>
  </si>
  <si>
    <t>An</t>
  </si>
  <si>
    <t>Phạm Thị</t>
  </si>
  <si>
    <t>Châu</t>
  </si>
  <si>
    <t>Trương Văn</t>
  </si>
  <si>
    <t>Hòa</t>
  </si>
  <si>
    <t>Trịnh Thị</t>
  </si>
  <si>
    <t>Lan</t>
  </si>
  <si>
    <t>Lê Văn</t>
  </si>
  <si>
    <t>Nguyễn Thị</t>
  </si>
  <si>
    <t>Lý Văn</t>
  </si>
  <si>
    <t>Phúc</t>
  </si>
  <si>
    <t>Triệu Văn</t>
  </si>
  <si>
    <t>Quang</t>
  </si>
  <si>
    <t>A1</t>
  </si>
  <si>
    <t>C2</t>
  </si>
  <si>
    <t>D8</t>
  </si>
  <si>
    <t>B4</t>
  </si>
  <si>
    <t>B7</t>
  </si>
  <si>
    <t>C5</t>
  </si>
  <si>
    <t>B3</t>
  </si>
  <si>
    <t>B5</t>
  </si>
  <si>
    <t>A4</t>
  </si>
  <si>
    <t>D2</t>
  </si>
  <si>
    <t>HÓA ĐƠN MUA VÀNG VÀ NGOẠI TỆ</t>
  </si>
  <si>
    <t>Ngày mua</t>
  </si>
  <si>
    <t>Hệ số giảm giá</t>
  </si>
  <si>
    <t>Đơn giá (1000 VNĐ)</t>
  </si>
  <si>
    <t>Thuế xuất</t>
  </si>
  <si>
    <t>Thành tiền (1000 VNĐ)</t>
  </si>
  <si>
    <t>Ngày khai trương (Ngày/Tháng/Năm)</t>
  </si>
  <si>
    <t>V18-1003</t>
  </si>
  <si>
    <t>V96-2105</t>
  </si>
  <si>
    <t>V99-1025</t>
  </si>
  <si>
    <t>US-1450</t>
  </si>
  <si>
    <t>FR-5500</t>
  </si>
  <si>
    <t>DM-3000</t>
  </si>
  <si>
    <t>V18-3502</t>
  </si>
  <si>
    <t>US-2450</t>
  </si>
  <si>
    <t>V99-3052</t>
  </si>
  <si>
    <t>V96-5503</t>
  </si>
  <si>
    <t>Lượng</t>
  </si>
  <si>
    <t>US</t>
  </si>
  <si>
    <t>FR</t>
  </si>
  <si>
    <t>DM</t>
  </si>
  <si>
    <t>Vàng</t>
  </si>
  <si>
    <t>V99</t>
  </si>
  <si>
    <t>V96</t>
  </si>
  <si>
    <t>V18</t>
  </si>
  <si>
    <t>Mã NT</t>
  </si>
  <si>
    <t>Đôla Mỹ</t>
  </si>
  <si>
    <t>Quan Pháp</t>
  </si>
  <si>
    <t>Mác Đức</t>
  </si>
  <si>
    <t>Đơn giá Vàng</t>
  </si>
  <si>
    <t>Đơn giá ngoại tệ</t>
  </si>
  <si>
    <t>SỔ THEO DÕI SỨC KHỎE</t>
  </si>
  <si>
    <t>Ngày theo dõi</t>
  </si>
  <si>
    <t>Họ tên bé</t>
  </si>
  <si>
    <t>Tháng tuổi</t>
  </si>
  <si>
    <t>Bệnh trạng</t>
  </si>
  <si>
    <t>Nặng (kg)</t>
  </si>
  <si>
    <t>Chuẩn đoán (trai)</t>
  </si>
  <si>
    <t>Chuẩn đoán (gái)</t>
  </si>
  <si>
    <t>Đề nghị</t>
  </si>
  <si>
    <t>Thu Nga</t>
  </si>
  <si>
    <t>Phương Mai</t>
  </si>
  <si>
    <t>Huỳnh Lâm</t>
  </si>
  <si>
    <t>Mỹ Hạnh</t>
  </si>
  <si>
    <t>Văn Khoa</t>
  </si>
  <si>
    <t>Chu Chu</t>
  </si>
  <si>
    <t>Xuân Thảo</t>
  </si>
  <si>
    <t>Xuân Mai</t>
  </si>
  <si>
    <t>Trà My</t>
  </si>
  <si>
    <t>1AGR</t>
  </si>
  <si>
    <t>1BGS</t>
  </si>
  <si>
    <t>3HTS</t>
  </si>
  <si>
    <t>1AGS</t>
  </si>
  <si>
    <t>4CTR</t>
  </si>
  <si>
    <t>2BGR</t>
  </si>
  <si>
    <t>1HTR</t>
  </si>
  <si>
    <t>3ATS</t>
  </si>
  <si>
    <t>2CGR</t>
  </si>
  <si>
    <t>Nguyên nhân</t>
  </si>
  <si>
    <t>Bỏ bú</t>
  </si>
  <si>
    <t>Bỏ ăn bỏ bú</t>
  </si>
  <si>
    <t>Có bệnh</t>
  </si>
  <si>
    <t>Cân nặng Trai (kg)</t>
  </si>
  <si>
    <t>Cân nặng Gái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</si>
</sst>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$&quot;* #,##0_);_(&quot;$&quot;* \(#,##0\);_(&quot;$&quot;* &quot;-&quot;_);_(@_)"/>
    <numFmt numFmtId="165" formatCode="_(* #,##0.00_);_(* \(#,##0.00\);_(* &quot;-&quot;??_);_(@_)"/>
    <numFmt numFmtId="166" formatCode="[$-1010000]d/m/yyyy;@"/>
    <numFmt numFmtId="167" formatCode="_(* #,##0_);_(* \(#,##0\);_(* &quot;-&quot;??_);_(@_)"/>
    <numFmt numFmtId="168" formatCode="0.0"/>
    <numFmt numFmtId="169" formatCode="[$-409]d\-mmm\-yy;@"/>
    <numFmt numFmtId="170" formatCode="[$VND]\ #,##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i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0" borderId="3" xfId="0" applyNumberFormat="1" applyBorder="1" applyAlignment="1">
      <alignment horizontal="right" vertical="center"/>
    </xf>
    <xf numFmtId="166" fontId="0" fillId="0" borderId="6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7" fontId="0" fillId="0" borderId="9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7" fontId="0" fillId="0" borderId="9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30" xfId="0" applyBorder="1" applyAlignment="1">
      <alignment horizontal="left"/>
    </xf>
    <xf numFmtId="167" fontId="0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right"/>
    </xf>
    <xf numFmtId="167" fontId="0" fillId="0" borderId="8" xfId="1" applyNumberFormat="1" applyFont="1" applyBorder="1" applyAlignment="1">
      <alignment horizontal="right"/>
    </xf>
    <xf numFmtId="167" fontId="0" fillId="0" borderId="20" xfId="0" applyNumberFormat="1" applyBorder="1" applyAlignment="1">
      <alignment horizontal="center"/>
    </xf>
    <xf numFmtId="167" fontId="0" fillId="0" borderId="28" xfId="0" applyNumberFormat="1" applyBorder="1" applyAlignment="1">
      <alignment horizontal="center"/>
    </xf>
    <xf numFmtId="167" fontId="0" fillId="0" borderId="29" xfId="0" applyNumberFormat="1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167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167" fontId="0" fillId="0" borderId="1" xfId="1" applyNumberFormat="1" applyFont="1" applyBorder="1"/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7" fontId="0" fillId="0" borderId="34" xfId="0" applyNumberFormat="1" applyBorder="1" applyAlignment="1">
      <alignment horizontal="center"/>
    </xf>
    <xf numFmtId="167" fontId="0" fillId="0" borderId="22" xfId="1" applyNumberFormat="1" applyFont="1" applyBorder="1" applyAlignment="1">
      <alignment horizontal="right"/>
    </xf>
    <xf numFmtId="167" fontId="0" fillId="0" borderId="22" xfId="1" applyNumberFormat="1" applyFon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3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0" fillId="0" borderId="1" xfId="2" applyNumberFormat="1" applyFont="1" applyBorder="1"/>
    <xf numFmtId="167" fontId="0" fillId="0" borderId="1" xfId="0" applyNumberFormat="1" applyBorder="1"/>
    <xf numFmtId="0" fontId="0" fillId="0" borderId="9" xfId="0" applyBorder="1"/>
    <xf numFmtId="14" fontId="0" fillId="0" borderId="9" xfId="0" applyNumberFormat="1" applyBorder="1"/>
    <xf numFmtId="0" fontId="0" fillId="0" borderId="39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14" fontId="0" fillId="0" borderId="22" xfId="0" applyNumberForma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center"/>
    </xf>
    <xf numFmtId="167" fontId="0" fillId="0" borderId="0" xfId="1" applyNumberFormat="1" applyFont="1" applyAlignme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/>
    <xf numFmtId="169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3" xfId="0" pivotButton="1" applyBorder="1"/>
    <xf numFmtId="0" fontId="0" fillId="0" borderId="44" xfId="0" pivotButton="1" applyBorder="1"/>
    <xf numFmtId="0" fontId="0" fillId="0" borderId="44" xfId="0" applyBorder="1"/>
    <xf numFmtId="0" fontId="0" fillId="0" borderId="45" xfId="0" applyBorder="1"/>
    <xf numFmtId="0" fontId="0" fillId="0" borderId="46" xfId="0" pivotButton="1" applyBorder="1"/>
    <xf numFmtId="0" fontId="0" fillId="0" borderId="47" xfId="0" applyBorder="1"/>
    <xf numFmtId="0" fontId="0" fillId="0" borderId="46" xfId="0" applyBorder="1" applyAlignment="1">
      <alignment horizontal="left"/>
    </xf>
    <xf numFmtId="0" fontId="0" fillId="0" borderId="0" xfId="0" applyNumberFormat="1" applyBorder="1"/>
    <xf numFmtId="0" fontId="0" fillId="0" borderId="47" xfId="0" applyNumberFormat="1" applyBorder="1"/>
    <xf numFmtId="0" fontId="0" fillId="0" borderId="46" xfId="0" applyBorder="1" applyAlignment="1">
      <alignment horizontal="left" indent="1"/>
    </xf>
    <xf numFmtId="0" fontId="0" fillId="0" borderId="48" xfId="0" applyBorder="1" applyAlignment="1">
      <alignment horizontal="left"/>
    </xf>
    <xf numFmtId="0" fontId="0" fillId="0" borderId="49" xfId="0" applyNumberFormat="1" applyBorder="1"/>
    <xf numFmtId="0" fontId="0" fillId="0" borderId="5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70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1" fontId="0" fillId="0" borderId="1" xfId="3" applyNumberFormat="1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9" fontId="0" fillId="0" borderId="1" xfId="2" applyFont="1" applyBorder="1"/>
    <xf numFmtId="14" fontId="4" fillId="0" borderId="8" xfId="0" applyNumberFormat="1" applyFont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2" fillId="0" borderId="41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32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 [0]" xfId="3" builtinId="7"/>
    <cellStyle name="Normal" xfId="0" builtinId="0"/>
    <cellStyle name="Percent" xfId="2" builtinId="5"/>
  </cellStyles>
  <dxfs count="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vi-VN"/>
              <a:t>THU NHẬP BÌNH QUÂN ĐẦU NGƯỜI 2007</a:t>
            </a:r>
          </a:p>
        </c:rich>
      </c:tx>
      <c:layout>
        <c:manualLayout>
          <c:xMode val="edge"/>
          <c:yMode val="edge"/>
          <c:x val="0.15322922134733158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'5-A'!$B$3:$B$4</c:f>
              <c:strCache>
                <c:ptCount val="1"/>
                <c:pt idx="0">
                  <c:v>Hà Nội</c:v>
                </c:pt>
              </c:strCache>
            </c:strRef>
          </c:tx>
          <c:invertIfNegative val="0"/>
          <c:cat>
            <c:strRef>
              <c:f>'5-A'!$A$5:$A$8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'5-A'!$B$5:$B$8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ser>
          <c:idx val="1"/>
          <c:order val="1"/>
          <c:tx>
            <c:strRef>
              <c:f>'5-A'!$C$3</c:f>
              <c:strCache>
                <c:ptCount val="1"/>
                <c:pt idx="0">
                  <c:v>Hải Phòng</c:v>
                </c:pt>
              </c:strCache>
            </c:strRef>
          </c:tx>
          <c:invertIfNegative val="0"/>
          <c:cat>
            <c:strRef>
              <c:f>'5-A'!$A$5:$A$8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'5-A'!$C$5:$C$8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45</c:v>
                </c:pt>
                <c:pt idx="3">
                  <c:v>35</c:v>
                </c:pt>
              </c:numCache>
            </c:numRef>
          </c:val>
        </c:ser>
        <c:ser>
          <c:idx val="2"/>
          <c:order val="2"/>
          <c:tx>
            <c:strRef>
              <c:f>'5-A'!$D$3</c:f>
              <c:strCache>
                <c:ptCount val="1"/>
                <c:pt idx="0">
                  <c:v>TP.HCM</c:v>
                </c:pt>
              </c:strCache>
            </c:strRef>
          </c:tx>
          <c:invertIfNegative val="0"/>
          <c:cat>
            <c:strRef>
              <c:f>'5-A'!$A$5:$A$8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'5-A'!$D$5:$D$8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02240"/>
        <c:axId val="71804416"/>
      </c:barChart>
      <c:catAx>
        <c:axId val="718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Quý</a:t>
                </a:r>
              </a:p>
            </c:rich>
          </c:tx>
          <c:overlay val="0"/>
        </c:title>
        <c:majorTickMark val="out"/>
        <c:minorTickMark val="none"/>
        <c:tickLblPos val="nextTo"/>
        <c:crossAx val="71804416"/>
        <c:crosses val="autoZero"/>
        <c:auto val="1"/>
        <c:lblAlgn val="ctr"/>
        <c:lblOffset val="100"/>
        <c:noMultiLvlLbl val="0"/>
      </c:catAx>
      <c:valAx>
        <c:axId val="718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0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TP Hà Nội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'5-A'!$A$5:$A$8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'5-A'!$B$5:$B$8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TP Hải Phòng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'5-A'!$A$5:$A$8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'5-A'!$C$5:$C$8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45</c:v>
                </c:pt>
                <c:pt idx="3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TP.HCM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'5-A'!$A$5:$A$8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'5-A'!$D$5:$D$8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Doanh số bán hàng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'5-B'!$E$2</c:f>
              <c:strCache>
                <c:ptCount val="1"/>
                <c:pt idx="0">
                  <c:v>Năm 2012</c:v>
                </c:pt>
              </c:strCache>
            </c:strRef>
          </c:tx>
          <c:invertIfNegative val="0"/>
          <c:cat>
            <c:strRef>
              <c:f>'5-B'!$A$3:$A$6</c:f>
              <c:strCache>
                <c:ptCount val="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</c:strCache>
            </c:strRef>
          </c:cat>
          <c:val>
            <c:numRef>
              <c:f>'5-B'!$E$3:$E$6</c:f>
              <c:numCache>
                <c:formatCode>General</c:formatCode>
                <c:ptCount val="4"/>
                <c:pt idx="0">
                  <c:v>4000</c:v>
                </c:pt>
                <c:pt idx="1">
                  <c:v>3500</c:v>
                </c:pt>
                <c:pt idx="2">
                  <c:v>5500</c:v>
                </c:pt>
                <c:pt idx="3">
                  <c:v>4100</c:v>
                </c:pt>
              </c:numCache>
            </c:numRef>
          </c:val>
        </c:ser>
        <c:ser>
          <c:idx val="1"/>
          <c:order val="1"/>
          <c:tx>
            <c:strRef>
              <c:f>'5-B'!$F$2</c:f>
              <c:strCache>
                <c:ptCount val="1"/>
                <c:pt idx="0">
                  <c:v>Năm 2013</c:v>
                </c:pt>
              </c:strCache>
            </c:strRef>
          </c:tx>
          <c:invertIfNegative val="0"/>
          <c:cat>
            <c:strRef>
              <c:f>'5-B'!$A$3:$A$6</c:f>
              <c:strCache>
                <c:ptCount val="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</c:strCache>
            </c:strRef>
          </c:cat>
          <c:val>
            <c:numRef>
              <c:f>'5-B'!$F$3:$F$6</c:f>
              <c:numCache>
                <c:formatCode>General</c:formatCode>
                <c:ptCount val="4"/>
                <c:pt idx="0">
                  <c:v>4500</c:v>
                </c:pt>
                <c:pt idx="1">
                  <c:v>3600</c:v>
                </c:pt>
                <c:pt idx="2">
                  <c:v>4000</c:v>
                </c:pt>
                <c:pt idx="3">
                  <c:v>3800</c:v>
                </c:pt>
              </c:numCache>
            </c:numRef>
          </c:val>
        </c:ser>
        <c:ser>
          <c:idx val="2"/>
          <c:order val="2"/>
          <c:tx>
            <c:strRef>
              <c:f>'5-B'!$G$2</c:f>
              <c:strCache>
                <c:ptCount val="1"/>
                <c:pt idx="0">
                  <c:v>Năm 2014</c:v>
                </c:pt>
              </c:strCache>
            </c:strRef>
          </c:tx>
          <c:invertIfNegative val="0"/>
          <c:cat>
            <c:strRef>
              <c:f>'5-B'!$A$3:$A$6</c:f>
              <c:strCache>
                <c:ptCount val="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</c:strCache>
            </c:strRef>
          </c:cat>
          <c:val>
            <c:numRef>
              <c:f>'5-B'!$G$3:$G$6</c:f>
              <c:numCache>
                <c:formatCode>General</c:formatCode>
                <c:ptCount val="4"/>
                <c:pt idx="0">
                  <c:v>3400</c:v>
                </c:pt>
                <c:pt idx="1">
                  <c:v>4600</c:v>
                </c:pt>
                <c:pt idx="2">
                  <c:v>3500</c:v>
                </c:pt>
                <c:pt idx="3">
                  <c:v>4700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0292480"/>
        <c:axId val="80306944"/>
        <c:axId val="0"/>
      </c:bar3DChart>
      <c:catAx>
        <c:axId val="802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Tháng</a:t>
                </a:r>
              </a:p>
            </c:rich>
          </c:tx>
          <c:overlay val="0"/>
        </c:title>
        <c:majorTickMark val="out"/>
        <c:minorTickMark val="none"/>
        <c:tickLblPos val="nextTo"/>
        <c:crossAx val="80306944"/>
        <c:crosses val="autoZero"/>
        <c:auto val="1"/>
        <c:lblAlgn val="ctr"/>
        <c:lblOffset val="100"/>
        <c:noMultiLvlLbl val="0"/>
      </c:catAx>
      <c:valAx>
        <c:axId val="80306944"/>
        <c:scaling>
          <c:orientation val="minMax"/>
          <c:min val="3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Doanh số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2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Thống kê 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'5-B'!$D$2</c:f>
              <c:strCache>
                <c:ptCount val="1"/>
                <c:pt idx="0">
                  <c:v>SL 2014</c:v>
                </c:pt>
              </c:strCache>
            </c:strRef>
          </c:tx>
          <c:invertIfNegative val="0"/>
          <c:val>
            <c:numRef>
              <c:f>'5-B'!$D$3:$D$6</c:f>
              <c:numCache>
                <c:formatCode>General</c:formatCode>
                <c:ptCount val="4"/>
                <c:pt idx="0">
                  <c:v>130</c:v>
                </c:pt>
                <c:pt idx="1">
                  <c:v>40</c:v>
                </c:pt>
                <c:pt idx="2">
                  <c:v>150</c:v>
                </c:pt>
                <c:pt idx="3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25632"/>
        <c:axId val="80331520"/>
      </c:barChart>
      <c:lineChart>
        <c:grouping val="standard"/>
        <c:varyColors val="0"/>
        <c:ser>
          <c:idx val="1"/>
          <c:order val="1"/>
          <c:tx>
            <c:strRef>
              <c:f>'5-B'!$G$2</c:f>
              <c:strCache>
                <c:ptCount val="1"/>
                <c:pt idx="0">
                  <c:v>Năm 2014</c:v>
                </c:pt>
              </c:strCache>
            </c:strRef>
          </c:tx>
          <c:val>
            <c:numRef>
              <c:f>'5-B'!$G$3:$G$6</c:f>
              <c:numCache>
                <c:formatCode>General</c:formatCode>
                <c:ptCount val="4"/>
                <c:pt idx="0">
                  <c:v>3400</c:v>
                </c:pt>
                <c:pt idx="1">
                  <c:v>4600</c:v>
                </c:pt>
                <c:pt idx="2">
                  <c:v>3500</c:v>
                </c:pt>
                <c:pt idx="3">
                  <c:v>4700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34848"/>
        <c:axId val="80333056"/>
      </c:lineChart>
      <c:catAx>
        <c:axId val="8032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0331520"/>
        <c:crosses val="autoZero"/>
        <c:auto val="1"/>
        <c:lblAlgn val="ctr"/>
        <c:lblOffset val="100"/>
        <c:noMultiLvlLbl val="0"/>
      </c:catAx>
      <c:valAx>
        <c:axId val="803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25632"/>
        <c:crosses val="autoZero"/>
        <c:crossBetween val="between"/>
      </c:valAx>
      <c:valAx>
        <c:axId val="8033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334848"/>
        <c:crosses val="max"/>
        <c:crossBetween val="between"/>
      </c:valAx>
      <c:catAx>
        <c:axId val="80334848"/>
        <c:scaling>
          <c:orientation val="minMax"/>
        </c:scaling>
        <c:delete val="1"/>
        <c:axPos val="b"/>
        <c:majorTickMark val="out"/>
        <c:minorTickMark val="none"/>
        <c:tickLblPos val="nextTo"/>
        <c:crossAx val="803330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Thống kê 2013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'5-B'!$C$2</c:f>
              <c:strCache>
                <c:ptCount val="1"/>
                <c:pt idx="0">
                  <c:v>SL 2013</c:v>
                </c:pt>
              </c:strCache>
            </c:strRef>
          </c:tx>
          <c:invertIfNegative val="0"/>
          <c:cat>
            <c:strRef>
              <c:f>'5-B'!$A$3:$A$6</c:f>
              <c:strCache>
                <c:ptCount val="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</c:strCache>
            </c:strRef>
          </c:cat>
          <c:val>
            <c:numRef>
              <c:f>'5-B'!$C$3:$C$6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45</c:v>
                </c:pt>
                <c:pt idx="3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57248"/>
        <c:axId val="80358784"/>
      </c:barChart>
      <c:lineChart>
        <c:grouping val="standard"/>
        <c:varyColors val="0"/>
        <c:ser>
          <c:idx val="1"/>
          <c:order val="1"/>
          <c:tx>
            <c:strRef>
              <c:f>'5-B'!$F$2</c:f>
              <c:strCache>
                <c:ptCount val="1"/>
                <c:pt idx="0">
                  <c:v>Năm 2013</c:v>
                </c:pt>
              </c:strCache>
            </c:strRef>
          </c:tx>
          <c:val>
            <c:numRef>
              <c:f>'5-B'!$F$3:$F$6</c:f>
              <c:numCache>
                <c:formatCode>General</c:formatCode>
                <c:ptCount val="4"/>
                <c:pt idx="0">
                  <c:v>4500</c:v>
                </c:pt>
                <c:pt idx="1">
                  <c:v>3600</c:v>
                </c:pt>
                <c:pt idx="2">
                  <c:v>4000</c:v>
                </c:pt>
                <c:pt idx="3">
                  <c:v>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66208"/>
        <c:axId val="80364672"/>
      </c:lineChart>
      <c:catAx>
        <c:axId val="803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0358784"/>
        <c:crosses val="autoZero"/>
        <c:auto val="1"/>
        <c:lblAlgn val="ctr"/>
        <c:lblOffset val="100"/>
        <c:noMultiLvlLbl val="0"/>
      </c:catAx>
      <c:valAx>
        <c:axId val="803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57248"/>
        <c:crosses val="autoZero"/>
        <c:crossBetween val="between"/>
      </c:valAx>
      <c:valAx>
        <c:axId val="80364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366208"/>
        <c:crosses val="max"/>
        <c:crossBetween val="between"/>
      </c:valAx>
      <c:catAx>
        <c:axId val="80366208"/>
        <c:scaling>
          <c:orientation val="minMax"/>
        </c:scaling>
        <c:delete val="1"/>
        <c:axPos val="b"/>
        <c:majorTickMark val="out"/>
        <c:minorTickMark val="none"/>
        <c:tickLblPos val="nextTo"/>
        <c:crossAx val="803646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Thống kê 2012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'5-B'!$B$2</c:f>
              <c:strCache>
                <c:ptCount val="1"/>
                <c:pt idx="0">
                  <c:v>SL 2012</c:v>
                </c:pt>
              </c:strCache>
            </c:strRef>
          </c:tx>
          <c:invertIfNegative val="0"/>
          <c:cat>
            <c:strRef>
              <c:f>'5-B'!$A$3:$A$6</c:f>
              <c:strCache>
                <c:ptCount val="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</c:strCache>
            </c:strRef>
          </c:cat>
          <c:val>
            <c:numRef>
              <c:f>'5-B'!$B$3:$B$6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404864"/>
        <c:axId val="80406400"/>
      </c:barChart>
      <c:lineChart>
        <c:grouping val="standard"/>
        <c:varyColors val="0"/>
        <c:ser>
          <c:idx val="1"/>
          <c:order val="1"/>
          <c:tx>
            <c:strRef>
              <c:f>'5-B'!$E$2</c:f>
              <c:strCache>
                <c:ptCount val="1"/>
                <c:pt idx="0">
                  <c:v>Năm 2012</c:v>
                </c:pt>
              </c:strCache>
            </c:strRef>
          </c:tx>
          <c:val>
            <c:numRef>
              <c:f>'5-B'!$E$3:$E$6</c:f>
              <c:numCache>
                <c:formatCode>General</c:formatCode>
                <c:ptCount val="4"/>
                <c:pt idx="0">
                  <c:v>4000</c:v>
                </c:pt>
                <c:pt idx="1">
                  <c:v>3500</c:v>
                </c:pt>
                <c:pt idx="2">
                  <c:v>5500</c:v>
                </c:pt>
                <c:pt idx="3">
                  <c:v>4100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48992"/>
        <c:axId val="80407936"/>
      </c:lineChart>
      <c:catAx>
        <c:axId val="804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0406400"/>
        <c:crosses val="autoZero"/>
        <c:auto val="1"/>
        <c:lblAlgn val="ctr"/>
        <c:lblOffset val="100"/>
        <c:noMultiLvlLbl val="0"/>
      </c:catAx>
      <c:valAx>
        <c:axId val="804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04864"/>
        <c:crosses val="autoZero"/>
        <c:crossBetween val="between"/>
      </c:valAx>
      <c:valAx>
        <c:axId val="8040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548992"/>
        <c:crosses val="max"/>
        <c:crossBetween val="between"/>
      </c:valAx>
      <c:catAx>
        <c:axId val="80548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04079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114301</xdr:rowOff>
    </xdr:from>
    <xdr:to>
      <xdr:col>18</xdr:col>
      <xdr:colOff>104775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12</xdr:row>
      <xdr:rowOff>109536</xdr:rowOff>
    </xdr:from>
    <xdr:to>
      <xdr:col>4</xdr:col>
      <xdr:colOff>466726</xdr:colOff>
      <xdr:row>25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0</xdr:row>
      <xdr:rowOff>42862</xdr:rowOff>
    </xdr:from>
    <xdr:to>
      <xdr:col>10</xdr:col>
      <xdr:colOff>142875</xdr:colOff>
      <xdr:row>12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12</xdr:row>
      <xdr:rowOff>76200</xdr:rowOff>
    </xdr:from>
    <xdr:to>
      <xdr:col>10</xdr:col>
      <xdr:colOff>266700</xdr:colOff>
      <xdr:row>25</xdr:row>
      <xdr:rowOff>61913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</xdr:row>
      <xdr:rowOff>85724</xdr:rowOff>
    </xdr:from>
    <xdr:to>
      <xdr:col>7</xdr:col>
      <xdr:colOff>628650</xdr:colOff>
      <xdr:row>21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90487</xdr:rowOff>
    </xdr:from>
    <xdr:to>
      <xdr:col>15</xdr:col>
      <xdr:colOff>323850</xdr:colOff>
      <xdr:row>12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142875</xdr:rowOff>
    </xdr:from>
    <xdr:to>
      <xdr:col>15</xdr:col>
      <xdr:colOff>304800</xdr:colOff>
      <xdr:row>26</xdr:row>
      <xdr:rowOff>33338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514350</xdr:colOff>
      <xdr:row>0</xdr:row>
      <xdr:rowOff>76200</xdr:rowOff>
    </xdr:from>
    <xdr:to>
      <xdr:col>23</xdr:col>
      <xdr:colOff>209550</xdr:colOff>
      <xdr:row>12</xdr:row>
      <xdr:rowOff>157163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2423.414505671295" createdVersion="4" refreshedVersion="4" minRefreshableVersion="3" recordCount="15">
  <cacheSource type="worksheet">
    <worksheetSource ref="A2:G17" sheet="5-D"/>
  </cacheSource>
  <cacheFields count="7">
    <cacheField name="STT" numFmtId="0">
      <sharedItems containsSemiMixedTypes="0" containsString="0" containsNumber="1" containsInteger="1" minValue="1" maxValue="15"/>
    </cacheField>
    <cacheField name="Họ tên" numFmtId="0">
      <sharedItems/>
    </cacheField>
    <cacheField name="Ngày sinh" numFmtId="14">
      <sharedItems containsSemiMixedTypes="0" containsNonDate="0" containsDate="1" containsString="0" minDate="1981-01-01T00:00:00" maxDate="1984-05-02T00:00:00" count="15">
        <d v="1981-07-04T00:00:00"/>
        <d v="1984-01-05T00:00:00"/>
        <d v="1982-06-03T00:00:00"/>
        <d v="1982-04-04T00:00:00"/>
        <d v="1981-07-03T00:00:00"/>
        <d v="1983-01-01T00:00:00"/>
        <d v="1984-04-02T00:00:00"/>
        <d v="1984-05-01T00:00:00"/>
        <d v="1981-08-09T00:00:00"/>
        <d v="1981-12-01T00:00:00"/>
        <d v="1982-09-03T00:00:00"/>
        <d v="1982-07-07T00:00:00"/>
        <d v="1981-01-01T00:00:00"/>
        <d v="1984-04-04T00:00:00"/>
        <d v="1982-09-01T00:00:00"/>
      </sharedItems>
    </cacheField>
    <cacheField name="Địa chỉ" numFmtId="0">
      <sharedItems count="5">
        <s v="Hà Nội"/>
        <s v="Hà Tây"/>
        <s v="Nam Định"/>
        <s v="Vĩnh Phúc"/>
        <s v="Hải Dương"/>
      </sharedItems>
    </cacheField>
    <cacheField name="Giới tính" numFmtId="0">
      <sharedItems count="2">
        <s v="Nam"/>
        <s v="Nữ"/>
      </sharedItems>
    </cacheField>
    <cacheField name="Phòng ban" numFmtId="0">
      <sharedItems count="3">
        <s v="Kế toán"/>
        <s v="Kỹ thuật"/>
        <s v="Kinh doanh"/>
      </sharedItems>
    </cacheField>
    <cacheField name="Thưởng" numFmtId="0">
      <sharedItems containsSemiMixedTypes="0" containsString="0" containsNumber="1" containsInteger="1" minValue="50" maxValue="500" count="6">
        <n v="100"/>
        <n v="200"/>
        <n v="300"/>
        <n v="150"/>
        <n v="50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s v="Tuấn"/>
    <x v="0"/>
    <x v="0"/>
    <x v="0"/>
    <x v="0"/>
    <x v="0"/>
  </r>
  <r>
    <n v="2"/>
    <s v="Mai"/>
    <x v="1"/>
    <x v="1"/>
    <x v="1"/>
    <x v="1"/>
    <x v="1"/>
  </r>
  <r>
    <n v="3"/>
    <s v="Nam"/>
    <x v="2"/>
    <x v="0"/>
    <x v="0"/>
    <x v="2"/>
    <x v="0"/>
  </r>
  <r>
    <n v="4"/>
    <s v="Hà"/>
    <x v="3"/>
    <x v="2"/>
    <x v="0"/>
    <x v="0"/>
    <x v="2"/>
  </r>
  <r>
    <n v="5"/>
    <s v="Sơn"/>
    <x v="4"/>
    <x v="1"/>
    <x v="0"/>
    <x v="1"/>
    <x v="0"/>
  </r>
  <r>
    <n v="6"/>
    <s v="Tùng"/>
    <x v="5"/>
    <x v="3"/>
    <x v="0"/>
    <x v="1"/>
    <x v="0"/>
  </r>
  <r>
    <n v="7"/>
    <s v="Tuấn"/>
    <x v="6"/>
    <x v="4"/>
    <x v="1"/>
    <x v="2"/>
    <x v="3"/>
  </r>
  <r>
    <n v="8"/>
    <s v="Hà"/>
    <x v="7"/>
    <x v="4"/>
    <x v="1"/>
    <x v="1"/>
    <x v="0"/>
  </r>
  <r>
    <n v="9"/>
    <s v="Nam"/>
    <x v="8"/>
    <x v="0"/>
    <x v="0"/>
    <x v="1"/>
    <x v="0"/>
  </r>
  <r>
    <n v="10"/>
    <s v="Hải"/>
    <x v="9"/>
    <x v="3"/>
    <x v="0"/>
    <x v="2"/>
    <x v="2"/>
  </r>
  <r>
    <n v="11"/>
    <s v="Tuấn"/>
    <x v="10"/>
    <x v="1"/>
    <x v="0"/>
    <x v="1"/>
    <x v="0"/>
  </r>
  <r>
    <n v="12"/>
    <s v="Sơn"/>
    <x v="11"/>
    <x v="0"/>
    <x v="0"/>
    <x v="1"/>
    <x v="4"/>
  </r>
  <r>
    <n v="13"/>
    <s v="Mai"/>
    <x v="12"/>
    <x v="2"/>
    <x v="1"/>
    <x v="1"/>
    <x v="0"/>
  </r>
  <r>
    <n v="14"/>
    <s v="Tuấn"/>
    <x v="13"/>
    <x v="0"/>
    <x v="1"/>
    <x v="2"/>
    <x v="1"/>
  </r>
  <r>
    <n v="15"/>
    <s v="Hà"/>
    <x v="14"/>
    <x v="1"/>
    <x v="1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3:D50" firstHeaderRow="1" firstDataRow="2" firstDataCol="1"/>
  <pivotFields count="7">
    <pivotField showAll="0"/>
    <pivotField dataField="1" showAll="0"/>
    <pivotField numFmtId="14" showAll="0"/>
    <pivotField axis="axisRow" showAll="0">
      <items count="6">
        <item x="0"/>
        <item x="1"/>
        <item x="4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Họ tên" fld="1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6:D41" firstHeaderRow="1" firstDataRow="2" firstDataCol="1"/>
  <pivotFields count="7"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hưởng" fld="6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E34" firstHeaderRow="1" firstDataRow="2" firstDataCol="1"/>
  <pivotFields count="7">
    <pivotField showAll="0"/>
    <pivotField showAll="0"/>
    <pivotField numFmtId="14" showAll="0">
      <items count="16">
        <item x="12"/>
        <item x="4"/>
        <item x="0"/>
        <item x="8"/>
        <item x="9"/>
        <item x="3"/>
        <item x="2"/>
        <item x="11"/>
        <item x="14"/>
        <item x="10"/>
        <item x="5"/>
        <item x="1"/>
        <item x="6"/>
        <item x="13"/>
        <item x="7"/>
        <item t="default"/>
      </items>
    </pivotField>
    <pivotField axis="axisRow" showAll="0">
      <items count="6">
        <item x="0"/>
        <item x="1"/>
        <item x="4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>
      <items count="7">
        <item x="5"/>
        <item x="0"/>
        <item x="3"/>
        <item x="1"/>
        <item x="2"/>
        <item x="4"/>
        <item t="default"/>
      </items>
    </pivotField>
  </pivotFields>
  <rowFields count="2">
    <field x="3"/>
    <field x="4"/>
  </rowFields>
  <rowItems count="14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 r="1">
      <x v="1"/>
    </i>
    <i>
      <x v="4"/>
    </i>
    <i r="1">
      <x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Thưởng" fld="6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3" sqref="G3"/>
    </sheetView>
  </sheetViews>
  <sheetFormatPr defaultColWidth="9.125" defaultRowHeight="14.25" x14ac:dyDescent="0.2"/>
  <cols>
    <col min="1" max="1" width="9.125" style="2"/>
    <col min="2" max="2" width="21" style="13" customWidth="1"/>
    <col min="3" max="3" width="12.375" style="2" customWidth="1"/>
    <col min="4" max="4" width="8.125" style="2" customWidth="1"/>
    <col min="5" max="5" width="7.375" style="2" customWidth="1"/>
    <col min="6" max="6" width="8.125" style="2" customWidth="1"/>
    <col min="7" max="7" width="11.375" style="2" customWidth="1"/>
    <col min="8" max="8" width="9.75" style="2" customWidth="1"/>
    <col min="9" max="16384" width="9.125" style="2"/>
  </cols>
  <sheetData>
    <row r="1" spans="1:8" x14ac:dyDescent="0.2">
      <c r="A1" s="150" t="s">
        <v>0</v>
      </c>
      <c r="B1" s="152" t="s">
        <v>1</v>
      </c>
      <c r="C1" s="150" t="s">
        <v>2</v>
      </c>
      <c r="D1" s="150" t="s">
        <v>3</v>
      </c>
      <c r="E1" s="150"/>
      <c r="F1" s="150"/>
      <c r="G1" s="150" t="s">
        <v>7</v>
      </c>
      <c r="H1" s="150" t="s">
        <v>3</v>
      </c>
    </row>
    <row r="2" spans="1:8" ht="18.75" customHeight="1" x14ac:dyDescent="0.2">
      <c r="A2" s="151"/>
      <c r="B2" s="153"/>
      <c r="C2" s="151"/>
      <c r="D2" s="4" t="s">
        <v>4</v>
      </c>
      <c r="E2" s="4" t="s">
        <v>5</v>
      </c>
      <c r="F2" s="4" t="s">
        <v>6</v>
      </c>
      <c r="G2" s="151"/>
      <c r="H2" s="151"/>
    </row>
    <row r="3" spans="1:8" x14ac:dyDescent="0.2">
      <c r="A3" s="5">
        <v>1</v>
      </c>
      <c r="B3" s="11" t="s">
        <v>8</v>
      </c>
      <c r="C3" s="14">
        <v>29683</v>
      </c>
      <c r="D3" s="6">
        <v>6</v>
      </c>
      <c r="E3" s="6">
        <v>9</v>
      </c>
      <c r="F3" s="6">
        <v>8</v>
      </c>
      <c r="G3" s="6">
        <f>SUM(D3:F3)</f>
        <v>23</v>
      </c>
      <c r="H3" s="7">
        <f>(D3*2+E3+F3*2)/5</f>
        <v>7.4</v>
      </c>
    </row>
    <row r="4" spans="1:8" x14ac:dyDescent="0.2">
      <c r="A4" s="5">
        <v>2</v>
      </c>
      <c r="B4" s="11" t="s">
        <v>9</v>
      </c>
      <c r="C4" s="14">
        <v>30803</v>
      </c>
      <c r="D4" s="6">
        <v>8</v>
      </c>
      <c r="E4" s="6">
        <v>5</v>
      </c>
      <c r="F4" s="6">
        <v>5</v>
      </c>
      <c r="G4" s="6">
        <f t="shared" ref="G4:G14" si="0">SUM(D4:F4)</f>
        <v>18</v>
      </c>
      <c r="H4" s="7">
        <f t="shared" ref="H4:H14" si="1">(D4*2+E4+F4*2)/5</f>
        <v>6.2</v>
      </c>
    </row>
    <row r="5" spans="1:8" x14ac:dyDescent="0.2">
      <c r="A5" s="5">
        <v>3</v>
      </c>
      <c r="B5" s="11" t="s">
        <v>10</v>
      </c>
      <c r="C5" s="14">
        <v>30016</v>
      </c>
      <c r="D5" s="6">
        <v>5</v>
      </c>
      <c r="E5" s="6">
        <v>2</v>
      </c>
      <c r="F5" s="6">
        <v>8</v>
      </c>
      <c r="G5" s="6">
        <f t="shared" si="0"/>
        <v>15</v>
      </c>
      <c r="H5" s="7">
        <f t="shared" si="1"/>
        <v>5.6</v>
      </c>
    </row>
    <row r="6" spans="1:8" x14ac:dyDescent="0.2">
      <c r="A6" s="5">
        <v>4</v>
      </c>
      <c r="B6" s="11" t="s">
        <v>11</v>
      </c>
      <c r="C6" s="14">
        <v>30045</v>
      </c>
      <c r="D6" s="6">
        <v>7</v>
      </c>
      <c r="E6" s="6">
        <v>8</v>
      </c>
      <c r="F6" s="6">
        <v>9</v>
      </c>
      <c r="G6" s="6">
        <f t="shared" si="0"/>
        <v>24</v>
      </c>
      <c r="H6" s="22">
        <f t="shared" si="1"/>
        <v>8</v>
      </c>
    </row>
    <row r="7" spans="1:8" x14ac:dyDescent="0.2">
      <c r="A7" s="5">
        <v>5</v>
      </c>
      <c r="B7" s="11" t="s">
        <v>12</v>
      </c>
      <c r="C7" s="14">
        <v>29652</v>
      </c>
      <c r="D7" s="6">
        <v>6</v>
      </c>
      <c r="E7" s="6">
        <v>9</v>
      </c>
      <c r="F7" s="6">
        <v>5</v>
      </c>
      <c r="G7" s="6">
        <f t="shared" si="0"/>
        <v>20</v>
      </c>
      <c r="H7" s="7">
        <f t="shared" si="1"/>
        <v>6.2</v>
      </c>
    </row>
    <row r="8" spans="1:8" x14ac:dyDescent="0.2">
      <c r="A8" s="5">
        <v>6</v>
      </c>
      <c r="B8" s="11" t="s">
        <v>13</v>
      </c>
      <c r="C8" s="14">
        <v>30317</v>
      </c>
      <c r="D8" s="6">
        <v>4</v>
      </c>
      <c r="E8" s="6">
        <v>3</v>
      </c>
      <c r="F8" s="6">
        <v>8</v>
      </c>
      <c r="G8" s="6">
        <f t="shared" si="0"/>
        <v>15</v>
      </c>
      <c r="H8" s="7">
        <f t="shared" si="1"/>
        <v>5.4</v>
      </c>
    </row>
    <row r="9" spans="1:8" x14ac:dyDescent="0.2">
      <c r="A9" s="5">
        <v>7</v>
      </c>
      <c r="B9" s="11" t="s">
        <v>14</v>
      </c>
      <c r="C9" s="14">
        <v>30716</v>
      </c>
      <c r="D9" s="6">
        <v>7</v>
      </c>
      <c r="E9" s="6">
        <v>4</v>
      </c>
      <c r="F9" s="6">
        <v>8</v>
      </c>
      <c r="G9" s="6">
        <f t="shared" si="0"/>
        <v>19</v>
      </c>
      <c r="H9" s="7">
        <f t="shared" si="1"/>
        <v>6.8</v>
      </c>
    </row>
    <row r="10" spans="1:8" x14ac:dyDescent="0.2">
      <c r="A10" s="5">
        <v>8</v>
      </c>
      <c r="B10" s="11" t="s">
        <v>15</v>
      </c>
      <c r="C10" s="14">
        <v>30686</v>
      </c>
      <c r="D10" s="6">
        <v>9</v>
      </c>
      <c r="E10" s="6">
        <v>8</v>
      </c>
      <c r="F10" s="6">
        <v>9</v>
      </c>
      <c r="G10" s="6">
        <f t="shared" si="0"/>
        <v>26</v>
      </c>
      <c r="H10" s="7">
        <f t="shared" si="1"/>
        <v>8.8000000000000007</v>
      </c>
    </row>
    <row r="11" spans="1:8" x14ac:dyDescent="0.2">
      <c r="A11" s="5">
        <v>9</v>
      </c>
      <c r="B11" s="11" t="s">
        <v>16</v>
      </c>
      <c r="C11" s="14">
        <v>29837</v>
      </c>
      <c r="D11" s="6">
        <v>5</v>
      </c>
      <c r="E11" s="6">
        <v>9</v>
      </c>
      <c r="F11" s="6">
        <v>5</v>
      </c>
      <c r="G11" s="6">
        <f t="shared" si="0"/>
        <v>19</v>
      </c>
      <c r="H11" s="7">
        <f t="shared" si="1"/>
        <v>5.8</v>
      </c>
    </row>
    <row r="12" spans="1:8" x14ac:dyDescent="0.2">
      <c r="A12" s="5">
        <v>10</v>
      </c>
      <c r="B12" s="11" t="s">
        <v>17</v>
      </c>
      <c r="C12" s="14">
        <v>29598</v>
      </c>
      <c r="D12" s="6">
        <v>8</v>
      </c>
      <c r="E12" s="6">
        <v>5</v>
      </c>
      <c r="F12" s="6">
        <v>8</v>
      </c>
      <c r="G12" s="6">
        <f t="shared" si="0"/>
        <v>21</v>
      </c>
      <c r="H12" s="7">
        <f t="shared" si="1"/>
        <v>7.4</v>
      </c>
    </row>
    <row r="13" spans="1:8" x14ac:dyDescent="0.2">
      <c r="A13" s="5">
        <v>11</v>
      </c>
      <c r="B13" s="11" t="s">
        <v>18</v>
      </c>
      <c r="C13" s="14">
        <v>30019</v>
      </c>
      <c r="D13" s="6">
        <v>6</v>
      </c>
      <c r="E13" s="6">
        <v>8</v>
      </c>
      <c r="F13" s="6">
        <v>9</v>
      </c>
      <c r="G13" s="6">
        <f t="shared" si="0"/>
        <v>23</v>
      </c>
      <c r="H13" s="7">
        <f t="shared" si="1"/>
        <v>7.6</v>
      </c>
    </row>
    <row r="14" spans="1:8" ht="15" thickBot="1" x14ac:dyDescent="0.25">
      <c r="A14" s="8">
        <v>12</v>
      </c>
      <c r="B14" s="12" t="s">
        <v>19</v>
      </c>
      <c r="C14" s="15">
        <v>30139</v>
      </c>
      <c r="D14" s="9">
        <v>7</v>
      </c>
      <c r="E14" s="9">
        <v>7</v>
      </c>
      <c r="F14" s="9">
        <v>6</v>
      </c>
      <c r="G14" s="9">
        <f t="shared" si="0"/>
        <v>20</v>
      </c>
      <c r="H14" s="10">
        <f t="shared" si="1"/>
        <v>6.6</v>
      </c>
    </row>
    <row r="15" spans="1:8" ht="15" thickTop="1" x14ac:dyDescent="0.2"/>
  </sheetData>
  <mergeCells count="6">
    <mergeCell ref="H1:H2"/>
    <mergeCell ref="A1:A2"/>
    <mergeCell ref="B1:B2"/>
    <mergeCell ref="C1:C2"/>
    <mergeCell ref="D1:F1"/>
    <mergeCell ref="G1:G2"/>
  </mergeCells>
  <pageMargins left="0.7" right="0.7" top="0.75" bottom="0.75" header="0.3" footer="0.3"/>
  <pageSetup paperSize="9" orientation="portrait" verticalDpi="0" r:id="rId1"/>
  <ignoredErrors>
    <ignoredError sqref="G3:G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9"/>
  <sheetViews>
    <sheetView workbookViewId="0">
      <selection activeCell="G25" sqref="G25"/>
    </sheetView>
  </sheetViews>
  <sheetFormatPr defaultRowHeight="14.25" x14ac:dyDescent="0.2"/>
  <cols>
    <col min="2" max="2" width="10.625" customWidth="1"/>
    <col min="3" max="3" width="14" customWidth="1"/>
    <col min="4" max="4" width="13.625" customWidth="1"/>
    <col min="5" max="5" width="11.25" customWidth="1"/>
    <col min="6" max="6" width="12" customWidth="1"/>
    <col min="7" max="7" width="11.75" customWidth="1"/>
  </cols>
  <sheetData>
    <row r="1" spans="1:7" ht="15" x14ac:dyDescent="0.25">
      <c r="A1" s="172" t="s">
        <v>170</v>
      </c>
      <c r="B1" s="172"/>
      <c r="C1" s="172"/>
      <c r="D1" s="172"/>
      <c r="E1" s="172"/>
      <c r="F1" s="172"/>
      <c r="G1" s="172"/>
    </row>
    <row r="2" spans="1:7" ht="15" thickBot="1" x14ac:dyDescent="0.25"/>
    <row r="3" spans="1:7" s="96" customFormat="1" ht="16.5" thickTop="1" thickBot="1" x14ac:dyDescent="0.3">
      <c r="A3" s="93" t="s">
        <v>0</v>
      </c>
      <c r="B3" s="94" t="s">
        <v>171</v>
      </c>
      <c r="C3" s="94" t="s">
        <v>2</v>
      </c>
      <c r="D3" s="94" t="s">
        <v>172</v>
      </c>
      <c r="E3" s="94" t="s">
        <v>173</v>
      </c>
      <c r="F3" s="94" t="s">
        <v>174</v>
      </c>
      <c r="G3" s="95" t="s">
        <v>175</v>
      </c>
    </row>
    <row r="4" spans="1:7" x14ac:dyDescent="0.2">
      <c r="A4" s="88">
        <v>1</v>
      </c>
      <c r="B4" s="86" t="s">
        <v>176</v>
      </c>
      <c r="C4" s="87">
        <v>29771</v>
      </c>
      <c r="D4" s="86" t="s">
        <v>182</v>
      </c>
      <c r="E4" s="97" t="s">
        <v>80</v>
      </c>
      <c r="F4" s="97" t="s">
        <v>4</v>
      </c>
      <c r="G4" s="98">
        <v>7</v>
      </c>
    </row>
    <row r="5" spans="1:7" x14ac:dyDescent="0.2">
      <c r="A5" s="89">
        <v>2</v>
      </c>
      <c r="B5" s="48" t="s">
        <v>177</v>
      </c>
      <c r="C5" s="81">
        <v>30686</v>
      </c>
      <c r="D5" s="48" t="s">
        <v>183</v>
      </c>
      <c r="E5" s="108" t="s">
        <v>81</v>
      </c>
      <c r="F5" s="108" t="s">
        <v>187</v>
      </c>
      <c r="G5" s="99">
        <v>8</v>
      </c>
    </row>
    <row r="6" spans="1:7" x14ac:dyDescent="0.2">
      <c r="A6" s="89">
        <v>3</v>
      </c>
      <c r="B6" s="48" t="s">
        <v>80</v>
      </c>
      <c r="C6" s="81">
        <v>30105</v>
      </c>
      <c r="D6" s="48" t="s">
        <v>182</v>
      </c>
      <c r="E6" s="62" t="s">
        <v>80</v>
      </c>
      <c r="F6" s="62" t="s">
        <v>4</v>
      </c>
      <c r="G6" s="99">
        <v>7.5</v>
      </c>
    </row>
    <row r="7" spans="1:7" x14ac:dyDescent="0.2">
      <c r="A7" s="89">
        <v>4</v>
      </c>
      <c r="B7" s="48" t="s">
        <v>178</v>
      </c>
      <c r="C7" s="81">
        <v>30045</v>
      </c>
      <c r="D7" s="48" t="s">
        <v>184</v>
      </c>
      <c r="E7" s="62" t="s">
        <v>80</v>
      </c>
      <c r="F7" s="62" t="s">
        <v>4</v>
      </c>
      <c r="G7" s="99">
        <v>9</v>
      </c>
    </row>
    <row r="8" spans="1:7" x14ac:dyDescent="0.2">
      <c r="A8" s="89">
        <v>5</v>
      </c>
      <c r="B8" s="48" t="s">
        <v>179</v>
      </c>
      <c r="C8" s="81">
        <v>29770</v>
      </c>
      <c r="D8" s="48" t="s">
        <v>183</v>
      </c>
      <c r="E8" s="62" t="s">
        <v>80</v>
      </c>
      <c r="F8" s="62" t="s">
        <v>187</v>
      </c>
      <c r="G8" s="99">
        <v>9</v>
      </c>
    </row>
    <row r="9" spans="1:7" x14ac:dyDescent="0.2">
      <c r="A9" s="89">
        <v>6</v>
      </c>
      <c r="B9" s="48" t="s">
        <v>180</v>
      </c>
      <c r="C9" s="81">
        <v>30317</v>
      </c>
      <c r="D9" s="48" t="s">
        <v>185</v>
      </c>
      <c r="E9" s="62" t="s">
        <v>80</v>
      </c>
      <c r="F9" s="62" t="s">
        <v>187</v>
      </c>
      <c r="G9" s="99">
        <v>8.5</v>
      </c>
    </row>
    <row r="10" spans="1:7" x14ac:dyDescent="0.2">
      <c r="A10" s="89">
        <v>7</v>
      </c>
      <c r="B10" s="48" t="s">
        <v>176</v>
      </c>
      <c r="C10" s="81">
        <v>30774</v>
      </c>
      <c r="D10" s="48" t="s">
        <v>186</v>
      </c>
      <c r="E10" s="62" t="s">
        <v>81</v>
      </c>
      <c r="F10" s="62" t="s">
        <v>187</v>
      </c>
      <c r="G10" s="99">
        <v>8</v>
      </c>
    </row>
    <row r="11" spans="1:7" x14ac:dyDescent="0.2">
      <c r="A11" s="89">
        <v>8</v>
      </c>
      <c r="B11" s="48" t="s">
        <v>178</v>
      </c>
      <c r="C11" s="81">
        <v>30803</v>
      </c>
      <c r="D11" s="48" t="s">
        <v>186</v>
      </c>
      <c r="E11" s="62" t="s">
        <v>81</v>
      </c>
      <c r="F11" s="62" t="s">
        <v>4</v>
      </c>
      <c r="G11" s="99">
        <v>9</v>
      </c>
    </row>
    <row r="12" spans="1:7" x14ac:dyDescent="0.2">
      <c r="A12" s="89">
        <v>9</v>
      </c>
      <c r="B12" s="48" t="s">
        <v>80</v>
      </c>
      <c r="C12" s="81">
        <v>29807</v>
      </c>
      <c r="D12" s="48" t="s">
        <v>182</v>
      </c>
      <c r="E12" s="62" t="s">
        <v>80</v>
      </c>
      <c r="F12" s="62" t="s">
        <v>187</v>
      </c>
      <c r="G12" s="99">
        <v>8</v>
      </c>
    </row>
    <row r="13" spans="1:7" x14ac:dyDescent="0.2">
      <c r="A13" s="89">
        <v>10</v>
      </c>
      <c r="B13" s="48" t="s">
        <v>181</v>
      </c>
      <c r="C13" s="81">
        <v>29921</v>
      </c>
      <c r="D13" s="48" t="s">
        <v>185</v>
      </c>
      <c r="E13" s="62" t="s">
        <v>80</v>
      </c>
      <c r="F13" s="62" t="s">
        <v>4</v>
      </c>
      <c r="G13" s="99">
        <v>8</v>
      </c>
    </row>
    <row r="14" spans="1:7" x14ac:dyDescent="0.2">
      <c r="A14" s="89">
        <v>11</v>
      </c>
      <c r="B14" s="48" t="s">
        <v>176</v>
      </c>
      <c r="C14" s="81">
        <v>30197</v>
      </c>
      <c r="D14" s="48" t="s">
        <v>183</v>
      </c>
      <c r="E14" s="62" t="s">
        <v>80</v>
      </c>
      <c r="F14" s="62" t="s">
        <v>187</v>
      </c>
      <c r="G14" s="99">
        <v>7</v>
      </c>
    </row>
    <row r="15" spans="1:7" x14ac:dyDescent="0.2">
      <c r="A15" s="89">
        <v>12</v>
      </c>
      <c r="B15" s="48" t="s">
        <v>179</v>
      </c>
      <c r="C15" s="81">
        <v>30139</v>
      </c>
      <c r="D15" s="48" t="s">
        <v>182</v>
      </c>
      <c r="E15" s="62" t="s">
        <v>80</v>
      </c>
      <c r="F15" s="62" t="s">
        <v>4</v>
      </c>
      <c r="G15" s="99">
        <v>7.5</v>
      </c>
    </row>
    <row r="16" spans="1:7" x14ac:dyDescent="0.2">
      <c r="A16" s="89">
        <v>13</v>
      </c>
      <c r="B16" s="48" t="s">
        <v>177</v>
      </c>
      <c r="C16" s="81">
        <v>29587</v>
      </c>
      <c r="D16" s="48" t="s">
        <v>184</v>
      </c>
      <c r="E16" s="62" t="s">
        <v>81</v>
      </c>
      <c r="F16" s="62" t="s">
        <v>4</v>
      </c>
      <c r="G16" s="99">
        <v>9</v>
      </c>
    </row>
    <row r="17" spans="1:7" x14ac:dyDescent="0.2">
      <c r="A17" s="89">
        <v>14</v>
      </c>
      <c r="B17" s="48" t="s">
        <v>176</v>
      </c>
      <c r="C17" s="81">
        <v>30776</v>
      </c>
      <c r="D17" s="48" t="s">
        <v>182</v>
      </c>
      <c r="E17" s="108" t="s">
        <v>81</v>
      </c>
      <c r="F17" s="108" t="s">
        <v>187</v>
      </c>
      <c r="G17" s="99">
        <v>7</v>
      </c>
    </row>
    <row r="18" spans="1:7" ht="15" thickBot="1" x14ac:dyDescent="0.25">
      <c r="A18" s="90">
        <v>15</v>
      </c>
      <c r="B18" s="91" t="s">
        <v>178</v>
      </c>
      <c r="C18" s="92">
        <v>30195</v>
      </c>
      <c r="D18" s="91" t="s">
        <v>183</v>
      </c>
      <c r="E18" s="31" t="s">
        <v>81</v>
      </c>
      <c r="F18" s="31" t="s">
        <v>187</v>
      </c>
      <c r="G18" s="100">
        <v>8</v>
      </c>
    </row>
    <row r="19" spans="1:7" ht="15" thickTop="1" x14ac:dyDescent="0.2"/>
  </sheetData>
  <sortState ref="A4:G18">
    <sortCondition ref="A4:A18"/>
  </sortState>
  <mergeCells count="1">
    <mergeCell ref="A1:G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2"/>
  <sheetViews>
    <sheetView workbookViewId="0">
      <selection activeCell="G25" sqref="G25"/>
    </sheetView>
  </sheetViews>
  <sheetFormatPr defaultRowHeight="14.25" x14ac:dyDescent="0.2"/>
  <cols>
    <col min="2" max="2" width="11.625" customWidth="1"/>
    <col min="3" max="3" width="11.375" customWidth="1"/>
    <col min="6" max="6" width="11.875" customWidth="1"/>
    <col min="7" max="7" width="10.75" customWidth="1"/>
    <col min="8" max="8" width="12.375" customWidth="1"/>
    <col min="13" max="13" width="11.625" customWidth="1"/>
  </cols>
  <sheetData>
    <row r="1" spans="1:14" ht="15" x14ac:dyDescent="0.25">
      <c r="A1" s="172" t="s">
        <v>189</v>
      </c>
      <c r="B1" s="172"/>
      <c r="C1" s="172"/>
      <c r="D1" s="172"/>
      <c r="E1" s="172"/>
      <c r="F1" s="172"/>
      <c r="G1" s="172"/>
      <c r="H1" s="172"/>
    </row>
    <row r="2" spans="1:14" x14ac:dyDescent="0.2">
      <c r="A2" s="174" t="s">
        <v>190</v>
      </c>
      <c r="B2" s="174"/>
      <c r="C2" s="174"/>
      <c r="D2" s="174"/>
      <c r="E2" s="174"/>
      <c r="F2" s="174"/>
      <c r="G2" s="174"/>
      <c r="H2" s="174"/>
    </row>
    <row r="3" spans="1:14" x14ac:dyDescent="0.2">
      <c r="A3" s="103"/>
      <c r="B3" s="103"/>
      <c r="C3" s="103"/>
      <c r="D3" s="103"/>
      <c r="E3" s="103"/>
      <c r="F3" s="103"/>
      <c r="G3" s="103"/>
      <c r="H3" s="103"/>
    </row>
    <row r="4" spans="1:14" ht="15" x14ac:dyDescent="0.25">
      <c r="A4" s="104" t="s">
        <v>118</v>
      </c>
      <c r="B4" s="104" t="s">
        <v>191</v>
      </c>
      <c r="C4" s="104" t="s">
        <v>89</v>
      </c>
      <c r="D4" s="104" t="s">
        <v>92</v>
      </c>
      <c r="E4" s="104" t="s">
        <v>41</v>
      </c>
      <c r="F4" s="104" t="s">
        <v>192</v>
      </c>
      <c r="G4" s="104" t="s">
        <v>193</v>
      </c>
      <c r="H4" s="104" t="s">
        <v>194</v>
      </c>
    </row>
    <row r="5" spans="1:14" x14ac:dyDescent="0.2">
      <c r="A5" s="48" t="s">
        <v>195</v>
      </c>
      <c r="B5" s="106">
        <v>41129</v>
      </c>
      <c r="C5" s="48" t="str">
        <f t="shared" ref="C5:C16" si="0">VLOOKUP(LEFT(A5,1),$J$5:$L$11,2,0)</f>
        <v>Mứt</v>
      </c>
      <c r="D5" s="105" t="str">
        <f t="shared" ref="D5:D16" si="1">RIGHT(A5,2)</f>
        <v>50</v>
      </c>
      <c r="E5" s="48" t="str">
        <f t="shared" ref="E5:E16" si="2">IF(LEFT(A5,1)="R","Chai","Hộp")</f>
        <v>Hộp</v>
      </c>
      <c r="F5" s="49">
        <f t="shared" ref="F5:F16" si="3">D5*VLOOKUP(LEFT(A5,1),$J$5:$L$11,3,0)</f>
        <v>1750000</v>
      </c>
      <c r="G5" s="85">
        <f t="shared" ref="G5:G16" si="4">10%*F5</f>
        <v>175000</v>
      </c>
      <c r="H5" s="85">
        <f t="shared" ref="H5:H16" si="5">F5+G5</f>
        <v>1925000</v>
      </c>
      <c r="J5" s="46" t="s">
        <v>118</v>
      </c>
      <c r="K5" s="46" t="s">
        <v>89</v>
      </c>
      <c r="L5" s="46" t="s">
        <v>93</v>
      </c>
    </row>
    <row r="6" spans="1:14" x14ac:dyDescent="0.2">
      <c r="A6" s="48" t="s">
        <v>196</v>
      </c>
      <c r="B6" s="106">
        <v>41130</v>
      </c>
      <c r="C6" s="48" t="str">
        <f t="shared" si="0"/>
        <v>Rượu</v>
      </c>
      <c r="D6" s="105" t="str">
        <f t="shared" si="1"/>
        <v>35</v>
      </c>
      <c r="E6" s="48" t="str">
        <f t="shared" si="2"/>
        <v>Chai</v>
      </c>
      <c r="F6" s="49">
        <f t="shared" si="3"/>
        <v>2100000</v>
      </c>
      <c r="G6" s="85">
        <f t="shared" si="4"/>
        <v>210000</v>
      </c>
      <c r="H6" s="85">
        <f t="shared" si="5"/>
        <v>2310000</v>
      </c>
      <c r="J6" s="62" t="s">
        <v>55</v>
      </c>
      <c r="K6" s="62" t="s">
        <v>210</v>
      </c>
      <c r="L6" s="48">
        <v>25000</v>
      </c>
    </row>
    <row r="7" spans="1:14" x14ac:dyDescent="0.2">
      <c r="A7" s="48" t="s">
        <v>197</v>
      </c>
      <c r="B7" s="106">
        <v>41131</v>
      </c>
      <c r="C7" s="48" t="str">
        <f t="shared" si="0"/>
        <v>Kẹo</v>
      </c>
      <c r="D7" s="105" t="str">
        <f t="shared" si="1"/>
        <v>90</v>
      </c>
      <c r="E7" s="48" t="str">
        <f t="shared" si="2"/>
        <v>Hộp</v>
      </c>
      <c r="F7" s="49">
        <f t="shared" si="3"/>
        <v>2700000</v>
      </c>
      <c r="G7" s="85">
        <f t="shared" si="4"/>
        <v>270000</v>
      </c>
      <c r="H7" s="85">
        <f t="shared" si="5"/>
        <v>2970000</v>
      </c>
      <c r="J7" s="62" t="s">
        <v>206</v>
      </c>
      <c r="K7" s="62" t="s">
        <v>211</v>
      </c>
      <c r="L7" s="48">
        <v>30000</v>
      </c>
    </row>
    <row r="8" spans="1:14" x14ac:dyDescent="0.2">
      <c r="A8" s="48" t="s">
        <v>198</v>
      </c>
      <c r="B8" s="106">
        <v>41132</v>
      </c>
      <c r="C8" s="48" t="str">
        <f t="shared" si="0"/>
        <v>Nho</v>
      </c>
      <c r="D8" s="105" t="str">
        <f t="shared" si="1"/>
        <v>95</v>
      </c>
      <c r="E8" s="48" t="str">
        <f t="shared" si="2"/>
        <v>Hộp</v>
      </c>
      <c r="F8" s="49">
        <f t="shared" si="3"/>
        <v>2850000</v>
      </c>
      <c r="G8" s="85">
        <f t="shared" si="4"/>
        <v>285000</v>
      </c>
      <c r="H8" s="85">
        <f t="shared" si="5"/>
        <v>3135000</v>
      </c>
      <c r="J8" s="62" t="s">
        <v>207</v>
      </c>
      <c r="K8" s="62" t="s">
        <v>212</v>
      </c>
      <c r="L8" s="48">
        <v>35000</v>
      </c>
    </row>
    <row r="9" spans="1:14" x14ac:dyDescent="0.2">
      <c r="A9" s="48" t="s">
        <v>199</v>
      </c>
      <c r="B9" s="106">
        <v>41133</v>
      </c>
      <c r="C9" s="48" t="str">
        <f t="shared" si="0"/>
        <v>Trà</v>
      </c>
      <c r="D9" s="105" t="str">
        <f t="shared" si="1"/>
        <v>86</v>
      </c>
      <c r="E9" s="48" t="str">
        <f t="shared" si="2"/>
        <v>Hộp</v>
      </c>
      <c r="F9" s="49">
        <f t="shared" si="3"/>
        <v>1032000</v>
      </c>
      <c r="G9" s="85">
        <f t="shared" si="4"/>
        <v>103200</v>
      </c>
      <c r="H9" s="85">
        <f t="shared" si="5"/>
        <v>1135200</v>
      </c>
      <c r="J9" s="62" t="s">
        <v>127</v>
      </c>
      <c r="K9" s="62" t="s">
        <v>213</v>
      </c>
      <c r="L9" s="48">
        <v>30000</v>
      </c>
      <c r="N9" s="101"/>
    </row>
    <row r="10" spans="1:14" x14ac:dyDescent="0.2">
      <c r="A10" s="48" t="s">
        <v>200</v>
      </c>
      <c r="B10" s="106">
        <v>41133</v>
      </c>
      <c r="C10" s="48" t="str">
        <f t="shared" si="0"/>
        <v>Rượu</v>
      </c>
      <c r="D10" s="105" t="str">
        <f t="shared" si="1"/>
        <v>80</v>
      </c>
      <c r="E10" s="48" t="str">
        <f t="shared" si="2"/>
        <v>Chai</v>
      </c>
      <c r="F10" s="49">
        <f t="shared" si="3"/>
        <v>4800000</v>
      </c>
      <c r="G10" s="85">
        <f t="shared" si="4"/>
        <v>480000</v>
      </c>
      <c r="H10" s="85">
        <f t="shared" si="5"/>
        <v>5280000</v>
      </c>
      <c r="J10" s="62" t="s">
        <v>208</v>
      </c>
      <c r="K10" s="62" t="s">
        <v>214</v>
      </c>
      <c r="L10" s="48">
        <v>60000</v>
      </c>
    </row>
    <row r="11" spans="1:14" x14ac:dyDescent="0.2">
      <c r="A11" s="48" t="s">
        <v>201</v>
      </c>
      <c r="B11" s="106">
        <v>41134</v>
      </c>
      <c r="C11" s="48" t="str">
        <f t="shared" si="0"/>
        <v>Rượu</v>
      </c>
      <c r="D11" s="105" t="str">
        <f t="shared" si="1"/>
        <v>10</v>
      </c>
      <c r="E11" s="48" t="str">
        <f t="shared" si="2"/>
        <v>Chai</v>
      </c>
      <c r="F11" s="49">
        <f t="shared" si="3"/>
        <v>600000</v>
      </c>
      <c r="G11" s="85">
        <f t="shared" si="4"/>
        <v>60000</v>
      </c>
      <c r="H11" s="85">
        <f t="shared" si="5"/>
        <v>660000</v>
      </c>
      <c r="J11" s="62" t="s">
        <v>209</v>
      </c>
      <c r="K11" s="62" t="s">
        <v>215</v>
      </c>
      <c r="L11" s="48">
        <v>12000</v>
      </c>
    </row>
    <row r="12" spans="1:14" x14ac:dyDescent="0.2">
      <c r="A12" s="48" t="s">
        <v>202</v>
      </c>
      <c r="B12" s="106">
        <v>41134</v>
      </c>
      <c r="C12" s="48" t="str">
        <f t="shared" si="0"/>
        <v>Mứt</v>
      </c>
      <c r="D12" s="105" t="str">
        <f t="shared" si="1"/>
        <v>65</v>
      </c>
      <c r="E12" s="48" t="str">
        <f t="shared" si="2"/>
        <v>Hộp</v>
      </c>
      <c r="F12" s="49">
        <f t="shared" si="3"/>
        <v>2275000</v>
      </c>
      <c r="G12" s="85">
        <f t="shared" si="4"/>
        <v>227500</v>
      </c>
      <c r="H12" s="85">
        <f t="shared" si="5"/>
        <v>2502500</v>
      </c>
    </row>
    <row r="13" spans="1:14" ht="15" x14ac:dyDescent="0.25">
      <c r="A13" s="48" t="s">
        <v>203</v>
      </c>
      <c r="B13" s="106">
        <v>41127</v>
      </c>
      <c r="C13" s="48" t="str">
        <f t="shared" si="0"/>
        <v>Mứt</v>
      </c>
      <c r="D13" s="105" t="str">
        <f t="shared" si="1"/>
        <v>65</v>
      </c>
      <c r="E13" s="48" t="str">
        <f t="shared" si="2"/>
        <v>Hộp</v>
      </c>
      <c r="F13" s="49">
        <f t="shared" si="3"/>
        <v>2275000</v>
      </c>
      <c r="G13" s="85">
        <f t="shared" si="4"/>
        <v>227500</v>
      </c>
      <c r="H13" s="85">
        <f t="shared" si="5"/>
        <v>2502500</v>
      </c>
      <c r="J13" s="104" t="s">
        <v>89</v>
      </c>
      <c r="K13" s="104" t="s">
        <v>41</v>
      </c>
      <c r="L13" s="104" t="s">
        <v>89</v>
      </c>
      <c r="M13" s="104" t="s">
        <v>193</v>
      </c>
      <c r="N13" s="104" t="s">
        <v>41</v>
      </c>
    </row>
    <row r="14" spans="1:14" x14ac:dyDescent="0.2">
      <c r="A14" s="48" t="s">
        <v>204</v>
      </c>
      <c r="B14" s="106">
        <v>41132</v>
      </c>
      <c r="C14" s="48" t="str">
        <f t="shared" si="0"/>
        <v>Trà</v>
      </c>
      <c r="D14" s="105" t="str">
        <f t="shared" si="1"/>
        <v>30</v>
      </c>
      <c r="E14" s="48" t="str">
        <f t="shared" si="2"/>
        <v>Hộp</v>
      </c>
      <c r="F14" s="49">
        <f t="shared" si="3"/>
        <v>360000</v>
      </c>
      <c r="G14" s="85">
        <f t="shared" si="4"/>
        <v>36000</v>
      </c>
      <c r="H14" s="85">
        <f t="shared" si="5"/>
        <v>396000</v>
      </c>
      <c r="J14" s="48" t="s">
        <v>214</v>
      </c>
      <c r="K14" s="48" t="s">
        <v>218</v>
      </c>
      <c r="L14" s="48" t="s">
        <v>212</v>
      </c>
      <c r="M14" s="48" t="s">
        <v>221</v>
      </c>
      <c r="N14" s="48" t="s">
        <v>35</v>
      </c>
    </row>
    <row r="15" spans="1:14" x14ac:dyDescent="0.2">
      <c r="A15" s="48" t="s">
        <v>205</v>
      </c>
      <c r="B15" s="106">
        <v>41128</v>
      </c>
      <c r="C15" s="48" t="str">
        <f t="shared" si="0"/>
        <v>Rượu</v>
      </c>
      <c r="D15" s="105" t="str">
        <f t="shared" si="1"/>
        <v>50</v>
      </c>
      <c r="E15" s="48" t="str">
        <f t="shared" si="2"/>
        <v>Chai</v>
      </c>
      <c r="F15" s="49">
        <f t="shared" si="3"/>
        <v>3000000</v>
      </c>
      <c r="G15" s="85">
        <f t="shared" si="4"/>
        <v>300000</v>
      </c>
      <c r="H15" s="85">
        <f t="shared" si="5"/>
        <v>3300000</v>
      </c>
    </row>
    <row r="16" spans="1:14" x14ac:dyDescent="0.2">
      <c r="A16" s="48" t="s">
        <v>201</v>
      </c>
      <c r="B16" s="106">
        <v>41131</v>
      </c>
      <c r="C16" s="48" t="str">
        <f t="shared" si="0"/>
        <v>Rượu</v>
      </c>
      <c r="D16" s="105" t="str">
        <f t="shared" si="1"/>
        <v>10</v>
      </c>
      <c r="E16" s="48" t="str">
        <f t="shared" si="2"/>
        <v>Chai</v>
      </c>
      <c r="F16" s="49">
        <f t="shared" si="3"/>
        <v>600000</v>
      </c>
      <c r="G16" s="85">
        <f t="shared" si="4"/>
        <v>60000</v>
      </c>
      <c r="H16" s="85">
        <f t="shared" si="5"/>
        <v>660000</v>
      </c>
    </row>
    <row r="18" spans="1:6" x14ac:dyDescent="0.2">
      <c r="A18" s="173" t="s">
        <v>216</v>
      </c>
      <c r="B18" s="173"/>
      <c r="C18" s="173"/>
      <c r="D18" s="173"/>
      <c r="E18" s="173"/>
      <c r="F18" s="107">
        <f>DSUM(A4:H16,F4,J13:J14)</f>
        <v>11100000</v>
      </c>
    </row>
    <row r="19" spans="1:6" x14ac:dyDescent="0.2">
      <c r="A19" s="173" t="s">
        <v>217</v>
      </c>
      <c r="B19" s="173"/>
      <c r="C19" s="173"/>
      <c r="D19" s="173"/>
      <c r="E19" s="173"/>
      <c r="F19" s="107">
        <f>DAVERAGE(A4:H16,F4,K13:K14)</f>
        <v>2220000</v>
      </c>
    </row>
    <row r="20" spans="1:6" x14ac:dyDescent="0.2">
      <c r="A20" s="173" t="s">
        <v>219</v>
      </c>
      <c r="B20" s="173"/>
      <c r="C20" s="173"/>
      <c r="D20" s="173"/>
      <c r="E20" s="173"/>
      <c r="F20" s="107">
        <f>DMAX(A4:H16,F4,L13:L14)</f>
        <v>2275000</v>
      </c>
    </row>
    <row r="21" spans="1:6" x14ac:dyDescent="0.2">
      <c r="A21" s="173" t="s">
        <v>220</v>
      </c>
      <c r="B21" s="173"/>
      <c r="C21" s="173"/>
      <c r="D21" s="173"/>
      <c r="E21" s="173"/>
      <c r="F21" s="102">
        <f>DCOUNT(A4:H16,G4,M13:M14)</f>
        <v>6</v>
      </c>
    </row>
    <row r="22" spans="1:6" x14ac:dyDescent="0.2">
      <c r="A22" s="173" t="s">
        <v>222</v>
      </c>
      <c r="B22" s="173"/>
      <c r="C22" s="173"/>
      <c r="D22" s="173"/>
      <c r="E22" s="173"/>
      <c r="F22" s="102">
        <f>DCOUNTA(A4:H16,E4,N13:N14)</f>
        <v>7</v>
      </c>
    </row>
  </sheetData>
  <mergeCells count="7">
    <mergeCell ref="A21:E21"/>
    <mergeCell ref="A22:E22"/>
    <mergeCell ref="A1:H1"/>
    <mergeCell ref="A2:H2"/>
    <mergeCell ref="A18:E18"/>
    <mergeCell ref="A19:E19"/>
    <mergeCell ref="A20:E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27" sqref="G27"/>
    </sheetView>
  </sheetViews>
  <sheetFormatPr defaultRowHeight="14.25" x14ac:dyDescent="0.2"/>
  <cols>
    <col min="1" max="1" width="14.375" customWidth="1"/>
    <col min="3" max="3" width="10.75" customWidth="1"/>
  </cols>
  <sheetData>
    <row r="1" spans="1:6" ht="15" x14ac:dyDescent="0.25">
      <c r="A1" s="172" t="s">
        <v>223</v>
      </c>
      <c r="B1" s="172"/>
      <c r="C1" s="172"/>
      <c r="D1" s="172"/>
      <c r="E1" s="110"/>
      <c r="F1" s="110"/>
    </row>
    <row r="3" spans="1:6" x14ac:dyDescent="0.2">
      <c r="A3" s="175" t="s">
        <v>230</v>
      </c>
      <c r="B3" s="177" t="s">
        <v>182</v>
      </c>
      <c r="C3" s="177" t="s">
        <v>224</v>
      </c>
      <c r="D3" s="177" t="s">
        <v>225</v>
      </c>
    </row>
    <row r="4" spans="1:6" ht="26.25" customHeight="1" x14ac:dyDescent="0.2">
      <c r="A4" s="176"/>
      <c r="B4" s="178"/>
      <c r="C4" s="178"/>
      <c r="D4" s="178"/>
    </row>
    <row r="5" spans="1:6" ht="15" x14ac:dyDescent="0.25">
      <c r="A5" s="83" t="s">
        <v>226</v>
      </c>
      <c r="B5" s="82">
        <v>45</v>
      </c>
      <c r="C5" s="82">
        <v>40</v>
      </c>
      <c r="D5" s="82">
        <v>30</v>
      </c>
    </row>
    <row r="6" spans="1:6" ht="15" x14ac:dyDescent="0.25">
      <c r="A6" s="83" t="s">
        <v>227</v>
      </c>
      <c r="B6" s="82">
        <v>30</v>
      </c>
      <c r="C6" s="82">
        <v>35</v>
      </c>
      <c r="D6" s="82">
        <v>40</v>
      </c>
    </row>
    <row r="7" spans="1:6" ht="15" x14ac:dyDescent="0.25">
      <c r="A7" s="83" t="s">
        <v>228</v>
      </c>
      <c r="B7" s="82">
        <v>50</v>
      </c>
      <c r="C7" s="82">
        <v>45</v>
      </c>
      <c r="D7" s="82">
        <v>35</v>
      </c>
    </row>
    <row r="8" spans="1:6" ht="15" x14ac:dyDescent="0.25">
      <c r="A8" s="83" t="s">
        <v>229</v>
      </c>
      <c r="B8" s="82">
        <v>40</v>
      </c>
      <c r="C8" s="82">
        <v>35</v>
      </c>
      <c r="D8" s="82">
        <v>45</v>
      </c>
    </row>
  </sheetData>
  <mergeCells count="5">
    <mergeCell ref="A3:A4"/>
    <mergeCell ref="D3:D4"/>
    <mergeCell ref="C3:C4"/>
    <mergeCell ref="B3:B4"/>
    <mergeCell ref="A1:D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"/>
  <sheetViews>
    <sheetView workbookViewId="0">
      <selection activeCell="G25" sqref="G25"/>
    </sheetView>
  </sheetViews>
  <sheetFormatPr defaultRowHeight="14.25" x14ac:dyDescent="0.2"/>
  <cols>
    <col min="1" max="1" width="15.75" customWidth="1"/>
    <col min="5" max="5" width="10.375" customWidth="1"/>
    <col min="6" max="6" width="9.625" customWidth="1"/>
    <col min="7" max="7" width="10" customWidth="1"/>
    <col min="8" max="8" width="10.25" customWidth="1"/>
  </cols>
  <sheetData>
    <row r="1" spans="1:8" ht="15" customHeight="1" x14ac:dyDescent="0.2">
      <c r="A1" s="179" t="s">
        <v>231</v>
      </c>
      <c r="B1" s="169" t="s">
        <v>232</v>
      </c>
      <c r="C1" s="169"/>
      <c r="D1" s="169"/>
      <c r="E1" s="169" t="s">
        <v>233</v>
      </c>
      <c r="F1" s="169"/>
      <c r="G1" s="169"/>
      <c r="H1" s="169"/>
    </row>
    <row r="2" spans="1:8" ht="15" customHeight="1" x14ac:dyDescent="0.2">
      <c r="A2" s="180"/>
      <c r="B2" s="48" t="s">
        <v>238</v>
      </c>
      <c r="C2" s="48" t="s">
        <v>239</v>
      </c>
      <c r="D2" s="48" t="s">
        <v>240</v>
      </c>
      <c r="E2" s="48" t="s">
        <v>241</v>
      </c>
      <c r="F2" s="48" t="s">
        <v>242</v>
      </c>
      <c r="G2" s="48" t="s">
        <v>243</v>
      </c>
      <c r="H2" s="48" t="s">
        <v>244</v>
      </c>
    </row>
    <row r="3" spans="1:8" x14ac:dyDescent="0.2">
      <c r="A3" s="48" t="s">
        <v>234</v>
      </c>
      <c r="B3" s="48">
        <v>45</v>
      </c>
      <c r="C3" s="48">
        <v>40</v>
      </c>
      <c r="D3" s="48">
        <v>130</v>
      </c>
      <c r="E3" s="48">
        <v>4000</v>
      </c>
      <c r="F3" s="48">
        <v>4500</v>
      </c>
      <c r="G3" s="48">
        <v>3400</v>
      </c>
      <c r="H3" s="48"/>
    </row>
    <row r="4" spans="1:8" x14ac:dyDescent="0.2">
      <c r="A4" s="48" t="s">
        <v>235</v>
      </c>
      <c r="B4" s="48">
        <v>30</v>
      </c>
      <c r="C4" s="48">
        <v>35</v>
      </c>
      <c r="D4" s="48">
        <v>40</v>
      </c>
      <c r="E4" s="48">
        <v>3500</v>
      </c>
      <c r="F4" s="48">
        <v>3600</v>
      </c>
      <c r="G4" s="48">
        <v>4600</v>
      </c>
      <c r="H4" s="48"/>
    </row>
    <row r="5" spans="1:8" x14ac:dyDescent="0.2">
      <c r="A5" s="48" t="s">
        <v>236</v>
      </c>
      <c r="B5" s="48">
        <v>50</v>
      </c>
      <c r="C5" s="48">
        <v>45</v>
      </c>
      <c r="D5" s="48">
        <v>150</v>
      </c>
      <c r="E5" s="48">
        <v>5500</v>
      </c>
      <c r="F5" s="48">
        <v>4000</v>
      </c>
      <c r="G5" s="48">
        <v>3500</v>
      </c>
      <c r="H5" s="48"/>
    </row>
    <row r="6" spans="1:8" x14ac:dyDescent="0.2">
      <c r="A6" s="48" t="s">
        <v>237</v>
      </c>
      <c r="B6" s="48">
        <v>40</v>
      </c>
      <c r="C6" s="48">
        <v>35</v>
      </c>
      <c r="D6" s="48">
        <v>130</v>
      </c>
      <c r="E6" s="48">
        <v>4100</v>
      </c>
      <c r="F6" s="48">
        <v>3800</v>
      </c>
      <c r="G6" s="48">
        <v>4700</v>
      </c>
      <c r="H6" s="48"/>
    </row>
  </sheetData>
  <mergeCells count="3">
    <mergeCell ref="A1:A2"/>
    <mergeCell ref="B1:D1"/>
    <mergeCell ref="E1:H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'5-B'!E3:G3</xm:f>
              <xm:sqref>H3</xm:sqref>
            </x14:sparkline>
            <x14:sparkline>
              <xm:f>'5-B'!E4:G4</xm:f>
              <xm:sqref>H4</xm:sqref>
            </x14:sparkline>
            <x14:sparkline>
              <xm:f>'5-B'!E5:G5</xm:f>
              <xm:sqref>H5</xm:sqref>
            </x14:sparkline>
            <x14:sparkline>
              <xm:f>'5-B'!E6:G6</xm:f>
              <xm:sqref>H6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8"/>
  <sheetViews>
    <sheetView workbookViewId="0">
      <selection activeCell="G16" sqref="G16"/>
    </sheetView>
  </sheetViews>
  <sheetFormatPr defaultRowHeight="14.25" x14ac:dyDescent="0.2"/>
  <cols>
    <col min="3" max="4" width="11.25" customWidth="1"/>
    <col min="7" max="7" width="10.75" customWidth="1"/>
    <col min="8" max="8" width="11" customWidth="1"/>
    <col min="11" max="11" width="13" customWidth="1"/>
  </cols>
  <sheetData>
    <row r="1" spans="1:14" x14ac:dyDescent="0.2">
      <c r="A1" s="173" t="s">
        <v>245</v>
      </c>
      <c r="B1" s="173"/>
      <c r="C1" s="173"/>
      <c r="D1" s="173"/>
      <c r="E1" s="173"/>
      <c r="F1" s="173"/>
      <c r="G1" s="173"/>
      <c r="H1" s="173"/>
      <c r="I1" s="173"/>
      <c r="J1" s="173"/>
      <c r="K1" s="115">
        <v>39827</v>
      </c>
    </row>
    <row r="2" spans="1:14" ht="30" x14ac:dyDescent="0.25">
      <c r="A2" s="118" t="s">
        <v>0</v>
      </c>
      <c r="B2" s="118" t="s">
        <v>88</v>
      </c>
      <c r="C2" s="118" t="s">
        <v>89</v>
      </c>
      <c r="D2" s="118" t="s">
        <v>90</v>
      </c>
      <c r="E2" s="118" t="s">
        <v>246</v>
      </c>
      <c r="F2" s="118" t="s">
        <v>247</v>
      </c>
      <c r="G2" s="118" t="s">
        <v>248</v>
      </c>
      <c r="H2" s="119" t="s">
        <v>250</v>
      </c>
      <c r="I2" s="118" t="s">
        <v>251</v>
      </c>
      <c r="J2" s="118" t="s">
        <v>252</v>
      </c>
      <c r="K2" s="119" t="s">
        <v>253</v>
      </c>
    </row>
    <row r="3" spans="1:14" x14ac:dyDescent="0.2">
      <c r="A3" s="48">
        <v>1</v>
      </c>
      <c r="B3" s="48" t="s">
        <v>55</v>
      </c>
      <c r="C3" s="48" t="s">
        <v>97</v>
      </c>
      <c r="D3" s="117">
        <v>39083</v>
      </c>
      <c r="E3" s="48">
        <f>DAY(D3)</f>
        <v>1</v>
      </c>
      <c r="F3" s="48">
        <f>MONTH(D3)</f>
        <v>1</v>
      </c>
      <c r="G3" s="48">
        <f>YEAR(D3)</f>
        <v>2007</v>
      </c>
      <c r="H3" s="48">
        <f>WEEKDAY(D3,1)</f>
        <v>2</v>
      </c>
      <c r="I3" s="105" t="str">
        <f>VLOOKUP(H3,$M$3:$N$10,2,0)</f>
        <v>Thứ hai</v>
      </c>
      <c r="J3" s="48">
        <f>WEEKNUM(D3,1)</f>
        <v>1</v>
      </c>
      <c r="K3" s="116">
        <f>$K$1-D3</f>
        <v>744</v>
      </c>
      <c r="M3" s="108" t="s">
        <v>249</v>
      </c>
      <c r="N3" s="108" t="s">
        <v>251</v>
      </c>
    </row>
    <row r="4" spans="1:14" x14ac:dyDescent="0.2">
      <c r="A4" s="48">
        <v>2</v>
      </c>
      <c r="B4" s="48" t="s">
        <v>254</v>
      </c>
      <c r="C4" s="48" t="s">
        <v>210</v>
      </c>
      <c r="D4" s="117">
        <v>39116</v>
      </c>
      <c r="E4" s="48">
        <f t="shared" ref="E4:E14" si="0">DAY(D4)</f>
        <v>3</v>
      </c>
      <c r="F4" s="48">
        <f t="shared" ref="F4:F14" si="1">MONTH(D4)</f>
        <v>2</v>
      </c>
      <c r="G4" s="48">
        <f t="shared" ref="G4:G14" si="2">YEAR(D4)</f>
        <v>2007</v>
      </c>
      <c r="H4" s="48">
        <f t="shared" ref="H4:H14" si="3">WEEKDAY(D4,1)</f>
        <v>7</v>
      </c>
      <c r="I4" s="105" t="str">
        <f t="shared" ref="I4:I14" si="4">VLOOKUP(H4,$M$3:$N$10,2,0)</f>
        <v>Thứ bảy</v>
      </c>
      <c r="J4" s="48">
        <f t="shared" ref="J4:J14" si="5">WEEKNUM(D4,1)</f>
        <v>5</v>
      </c>
      <c r="K4" s="116">
        <f t="shared" ref="K4:K14" si="6">$K$1-D4</f>
        <v>711</v>
      </c>
      <c r="M4" s="108">
        <v>1</v>
      </c>
      <c r="N4" s="108" t="s">
        <v>255</v>
      </c>
    </row>
    <row r="5" spans="1:14" x14ac:dyDescent="0.2">
      <c r="A5" s="48">
        <v>3</v>
      </c>
      <c r="B5" s="48" t="s">
        <v>95</v>
      </c>
      <c r="C5" s="48" t="s">
        <v>99</v>
      </c>
      <c r="D5" s="117">
        <v>39539</v>
      </c>
      <c r="E5" s="48">
        <f t="shared" si="0"/>
        <v>1</v>
      </c>
      <c r="F5" s="48">
        <f t="shared" si="1"/>
        <v>4</v>
      </c>
      <c r="G5" s="48">
        <f t="shared" si="2"/>
        <v>2008</v>
      </c>
      <c r="H5" s="48">
        <f t="shared" si="3"/>
        <v>3</v>
      </c>
      <c r="I5" s="105" t="str">
        <f t="shared" si="4"/>
        <v>Thứ ba</v>
      </c>
      <c r="J5" s="48">
        <f t="shared" si="5"/>
        <v>14</v>
      </c>
      <c r="K5" s="116">
        <f t="shared" si="6"/>
        <v>288</v>
      </c>
      <c r="M5" s="108">
        <v>2</v>
      </c>
      <c r="N5" s="108" t="s">
        <v>256</v>
      </c>
    </row>
    <row r="6" spans="1:14" x14ac:dyDescent="0.2">
      <c r="A6" s="48">
        <v>4</v>
      </c>
      <c r="B6" s="48" t="s">
        <v>57</v>
      </c>
      <c r="C6" s="48" t="s">
        <v>100</v>
      </c>
      <c r="D6" s="117">
        <v>39115</v>
      </c>
      <c r="E6" s="48">
        <f t="shared" si="0"/>
        <v>2</v>
      </c>
      <c r="F6" s="48">
        <f t="shared" si="1"/>
        <v>2</v>
      </c>
      <c r="G6" s="48">
        <f t="shared" si="2"/>
        <v>2007</v>
      </c>
      <c r="H6" s="48">
        <f t="shared" si="3"/>
        <v>6</v>
      </c>
      <c r="I6" s="105" t="str">
        <f t="shared" si="4"/>
        <v>Thứ sáu</v>
      </c>
      <c r="J6" s="48">
        <f t="shared" si="5"/>
        <v>5</v>
      </c>
      <c r="K6" s="116">
        <f t="shared" si="6"/>
        <v>712</v>
      </c>
      <c r="M6" s="108">
        <v>3</v>
      </c>
      <c r="N6" s="108" t="s">
        <v>257</v>
      </c>
    </row>
    <row r="7" spans="1:14" x14ac:dyDescent="0.2">
      <c r="A7" s="48">
        <v>5</v>
      </c>
      <c r="B7" s="48" t="s">
        <v>55</v>
      </c>
      <c r="C7" s="48" t="s">
        <v>97</v>
      </c>
      <c r="D7" s="117">
        <v>39214</v>
      </c>
      <c r="E7" s="48">
        <f t="shared" si="0"/>
        <v>12</v>
      </c>
      <c r="F7" s="48">
        <f t="shared" si="1"/>
        <v>5</v>
      </c>
      <c r="G7" s="48">
        <f t="shared" si="2"/>
        <v>2007</v>
      </c>
      <c r="H7" s="48">
        <f t="shared" si="3"/>
        <v>7</v>
      </c>
      <c r="I7" s="105" t="str">
        <f t="shared" si="4"/>
        <v>Thứ bảy</v>
      </c>
      <c r="J7" s="48">
        <f t="shared" si="5"/>
        <v>19</v>
      </c>
      <c r="K7" s="116">
        <f t="shared" si="6"/>
        <v>613</v>
      </c>
      <c r="M7" s="108">
        <v>4</v>
      </c>
      <c r="N7" s="108" t="s">
        <v>258</v>
      </c>
    </row>
    <row r="8" spans="1:14" x14ac:dyDescent="0.2">
      <c r="A8" s="48">
        <v>6</v>
      </c>
      <c r="B8" s="48" t="s">
        <v>56</v>
      </c>
      <c r="C8" s="48" t="s">
        <v>98</v>
      </c>
      <c r="D8" s="117">
        <v>39820</v>
      </c>
      <c r="E8" s="48">
        <f t="shared" si="0"/>
        <v>7</v>
      </c>
      <c r="F8" s="48">
        <f t="shared" si="1"/>
        <v>1</v>
      </c>
      <c r="G8" s="48">
        <f t="shared" si="2"/>
        <v>2009</v>
      </c>
      <c r="H8" s="48">
        <f t="shared" si="3"/>
        <v>4</v>
      </c>
      <c r="I8" s="105" t="str">
        <f t="shared" si="4"/>
        <v>Thứ tư</v>
      </c>
      <c r="J8" s="48">
        <f t="shared" si="5"/>
        <v>2</v>
      </c>
      <c r="K8" s="116">
        <f t="shared" si="6"/>
        <v>7</v>
      </c>
      <c r="M8" s="108">
        <v>5</v>
      </c>
      <c r="N8" s="108" t="s">
        <v>259</v>
      </c>
    </row>
    <row r="9" spans="1:14" x14ac:dyDescent="0.2">
      <c r="A9" s="48">
        <v>7</v>
      </c>
      <c r="B9" s="48" t="s">
        <v>95</v>
      </c>
      <c r="C9" s="48" t="s">
        <v>99</v>
      </c>
      <c r="D9" s="117">
        <v>39293</v>
      </c>
      <c r="E9" s="48">
        <f t="shared" si="0"/>
        <v>30</v>
      </c>
      <c r="F9" s="48">
        <f t="shared" si="1"/>
        <v>7</v>
      </c>
      <c r="G9" s="48">
        <f t="shared" si="2"/>
        <v>2007</v>
      </c>
      <c r="H9" s="48">
        <f t="shared" si="3"/>
        <v>2</v>
      </c>
      <c r="I9" s="105" t="str">
        <f t="shared" si="4"/>
        <v>Thứ hai</v>
      </c>
      <c r="J9" s="48">
        <f t="shared" si="5"/>
        <v>31</v>
      </c>
      <c r="K9" s="116">
        <f t="shared" si="6"/>
        <v>534</v>
      </c>
      <c r="M9" s="108">
        <v>6</v>
      </c>
      <c r="N9" s="108" t="s">
        <v>260</v>
      </c>
    </row>
    <row r="10" spans="1:14" x14ac:dyDescent="0.2">
      <c r="A10" s="48">
        <v>8</v>
      </c>
      <c r="B10" s="48" t="s">
        <v>56</v>
      </c>
      <c r="C10" s="48" t="s">
        <v>98</v>
      </c>
      <c r="D10" s="117">
        <v>39114</v>
      </c>
      <c r="E10" s="48">
        <f t="shared" si="0"/>
        <v>1</v>
      </c>
      <c r="F10" s="48">
        <f t="shared" si="1"/>
        <v>2</v>
      </c>
      <c r="G10" s="48">
        <f t="shared" si="2"/>
        <v>2007</v>
      </c>
      <c r="H10" s="48">
        <f t="shared" si="3"/>
        <v>5</v>
      </c>
      <c r="I10" s="105" t="str">
        <f t="shared" si="4"/>
        <v>Thứ năm</v>
      </c>
      <c r="J10" s="48">
        <f t="shared" si="5"/>
        <v>5</v>
      </c>
      <c r="K10" s="116">
        <f t="shared" si="6"/>
        <v>713</v>
      </c>
      <c r="M10" s="108">
        <v>7</v>
      </c>
      <c r="N10" s="108" t="s">
        <v>261</v>
      </c>
    </row>
    <row r="11" spans="1:14" x14ac:dyDescent="0.2">
      <c r="A11" s="48">
        <v>9</v>
      </c>
      <c r="B11" s="48" t="s">
        <v>55</v>
      </c>
      <c r="C11" s="48" t="s">
        <v>97</v>
      </c>
      <c r="D11" s="117">
        <v>39449</v>
      </c>
      <c r="E11" s="48">
        <f t="shared" si="0"/>
        <v>2</v>
      </c>
      <c r="F11" s="48">
        <f t="shared" si="1"/>
        <v>1</v>
      </c>
      <c r="G11" s="48">
        <f t="shared" si="2"/>
        <v>2008</v>
      </c>
      <c r="H11" s="48">
        <f t="shared" si="3"/>
        <v>4</v>
      </c>
      <c r="I11" s="105" t="str">
        <f t="shared" si="4"/>
        <v>Thứ tư</v>
      </c>
      <c r="J11" s="48">
        <f t="shared" si="5"/>
        <v>1</v>
      </c>
      <c r="K11" s="116">
        <f t="shared" si="6"/>
        <v>378</v>
      </c>
    </row>
    <row r="12" spans="1:14" x14ac:dyDescent="0.2">
      <c r="A12" s="48">
        <v>10</v>
      </c>
      <c r="B12" s="48" t="s">
        <v>56</v>
      </c>
      <c r="C12" s="48" t="s">
        <v>98</v>
      </c>
      <c r="D12" s="117">
        <v>39295</v>
      </c>
      <c r="E12" s="48">
        <f t="shared" si="0"/>
        <v>1</v>
      </c>
      <c r="F12" s="48">
        <f t="shared" si="1"/>
        <v>8</v>
      </c>
      <c r="G12" s="48">
        <f t="shared" si="2"/>
        <v>2007</v>
      </c>
      <c r="H12" s="48">
        <f t="shared" si="3"/>
        <v>4</v>
      </c>
      <c r="I12" s="105" t="str">
        <f t="shared" si="4"/>
        <v>Thứ tư</v>
      </c>
      <c r="J12" s="48">
        <f t="shared" si="5"/>
        <v>31</v>
      </c>
      <c r="K12" s="116">
        <f t="shared" si="6"/>
        <v>532</v>
      </c>
    </row>
    <row r="13" spans="1:14" x14ac:dyDescent="0.2">
      <c r="A13" s="48">
        <v>11</v>
      </c>
      <c r="B13" s="48" t="s">
        <v>95</v>
      </c>
      <c r="C13" s="48" t="s">
        <v>99</v>
      </c>
      <c r="D13" s="117">
        <v>39173</v>
      </c>
      <c r="E13" s="48">
        <f t="shared" si="0"/>
        <v>1</v>
      </c>
      <c r="F13" s="48">
        <f t="shared" si="1"/>
        <v>4</v>
      </c>
      <c r="G13" s="48">
        <f t="shared" si="2"/>
        <v>2007</v>
      </c>
      <c r="H13" s="48">
        <f t="shared" si="3"/>
        <v>1</v>
      </c>
      <c r="I13" s="105" t="str">
        <f t="shared" si="4"/>
        <v>Chủ nhật</v>
      </c>
      <c r="J13" s="48">
        <f t="shared" si="5"/>
        <v>14</v>
      </c>
      <c r="K13" s="116">
        <f t="shared" si="6"/>
        <v>654</v>
      </c>
    </row>
    <row r="14" spans="1:14" x14ac:dyDescent="0.2">
      <c r="A14" s="48">
        <v>12</v>
      </c>
      <c r="B14" s="48" t="s">
        <v>55</v>
      </c>
      <c r="C14" s="48" t="s">
        <v>97</v>
      </c>
      <c r="D14" s="117">
        <v>39784</v>
      </c>
      <c r="E14" s="48">
        <f t="shared" si="0"/>
        <v>2</v>
      </c>
      <c r="F14" s="48">
        <f t="shared" si="1"/>
        <v>12</v>
      </c>
      <c r="G14" s="48">
        <f t="shared" si="2"/>
        <v>2008</v>
      </c>
      <c r="H14" s="48">
        <f t="shared" si="3"/>
        <v>3</v>
      </c>
      <c r="I14" s="105" t="str">
        <f t="shared" si="4"/>
        <v>Thứ ba</v>
      </c>
      <c r="J14" s="48">
        <f t="shared" si="5"/>
        <v>49</v>
      </c>
      <c r="K14" s="116">
        <f t="shared" si="6"/>
        <v>43</v>
      </c>
    </row>
    <row r="16" spans="1:14" x14ac:dyDescent="0.2">
      <c r="B16" s="181" t="s">
        <v>262</v>
      </c>
      <c r="C16" s="181"/>
      <c r="D16" s="181"/>
      <c r="E16" s="181"/>
      <c r="F16" s="181"/>
      <c r="G16" s="48">
        <f>COUNTIF(C3:C14,"G*")</f>
        <v>5</v>
      </c>
    </row>
    <row r="17" spans="2:7" x14ac:dyDescent="0.2">
      <c r="B17" s="181" t="s">
        <v>263</v>
      </c>
      <c r="C17" s="181"/>
      <c r="D17" s="181"/>
      <c r="E17" s="181"/>
      <c r="F17" s="181"/>
      <c r="G17" s="48">
        <f>COUNTIF(C3:C14,"*n*")</f>
        <v>4</v>
      </c>
    </row>
    <row r="18" spans="2:7" x14ac:dyDescent="0.2">
      <c r="B18" s="181" t="s">
        <v>264</v>
      </c>
      <c r="C18" s="181"/>
      <c r="D18" s="181"/>
      <c r="E18" s="181"/>
      <c r="F18" s="181"/>
      <c r="G18" s="48">
        <f>COUNTIF(C3:C14,"?i*")</f>
        <v>7</v>
      </c>
    </row>
  </sheetData>
  <mergeCells count="4">
    <mergeCell ref="A1:J1"/>
    <mergeCell ref="B16:F16"/>
    <mergeCell ref="B17:F17"/>
    <mergeCell ref="B18:F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50"/>
  <sheetViews>
    <sheetView workbookViewId="0">
      <selection activeCell="E52" sqref="E52"/>
    </sheetView>
  </sheetViews>
  <sheetFormatPr defaultRowHeight="14.25" x14ac:dyDescent="0.2"/>
  <cols>
    <col min="1" max="1" width="15" customWidth="1"/>
    <col min="2" max="2" width="16.25" customWidth="1"/>
    <col min="3" max="4" width="13.875" customWidth="1"/>
    <col min="5" max="5" width="14" customWidth="1"/>
    <col min="6" max="6" width="12" customWidth="1"/>
  </cols>
  <sheetData>
    <row r="1" spans="1:7" ht="15.75" thickBot="1" x14ac:dyDescent="0.3">
      <c r="A1" s="172" t="s">
        <v>265</v>
      </c>
      <c r="B1" s="172"/>
      <c r="C1" s="172"/>
      <c r="D1" s="172"/>
      <c r="E1" s="172"/>
      <c r="F1" s="172"/>
      <c r="G1" s="172"/>
    </row>
    <row r="2" spans="1:7" ht="15.75" thickTop="1" x14ac:dyDescent="0.25">
      <c r="A2" s="120" t="s">
        <v>0</v>
      </c>
      <c r="B2" s="121" t="s">
        <v>171</v>
      </c>
      <c r="C2" s="121" t="s">
        <v>2</v>
      </c>
      <c r="D2" s="121" t="s">
        <v>172</v>
      </c>
      <c r="E2" s="121" t="s">
        <v>173</v>
      </c>
      <c r="F2" s="121" t="s">
        <v>266</v>
      </c>
      <c r="G2" s="122" t="s">
        <v>44</v>
      </c>
    </row>
    <row r="3" spans="1:7" x14ac:dyDescent="0.2">
      <c r="A3" s="123">
        <v>1</v>
      </c>
      <c r="B3" s="48" t="s">
        <v>176</v>
      </c>
      <c r="C3" s="81">
        <v>29771</v>
      </c>
      <c r="D3" s="48" t="s">
        <v>182</v>
      </c>
      <c r="E3" s="108" t="s">
        <v>80</v>
      </c>
      <c r="F3" s="48" t="s">
        <v>267</v>
      </c>
      <c r="G3" s="99">
        <v>100</v>
      </c>
    </row>
    <row r="4" spans="1:7" x14ac:dyDescent="0.2">
      <c r="A4" s="123">
        <v>2</v>
      </c>
      <c r="B4" s="48" t="s">
        <v>177</v>
      </c>
      <c r="C4" s="81">
        <v>30686</v>
      </c>
      <c r="D4" s="48" t="s">
        <v>183</v>
      </c>
      <c r="E4" s="108" t="s">
        <v>81</v>
      </c>
      <c r="F4" s="48" t="s">
        <v>268</v>
      </c>
      <c r="G4" s="99">
        <v>200</v>
      </c>
    </row>
    <row r="5" spans="1:7" x14ac:dyDescent="0.2">
      <c r="A5" s="123">
        <v>3</v>
      </c>
      <c r="B5" s="48" t="s">
        <v>80</v>
      </c>
      <c r="C5" s="81">
        <v>30105</v>
      </c>
      <c r="D5" s="48" t="s">
        <v>182</v>
      </c>
      <c r="E5" s="108" t="s">
        <v>80</v>
      </c>
      <c r="F5" s="48" t="s">
        <v>167</v>
      </c>
      <c r="G5" s="99">
        <v>100</v>
      </c>
    </row>
    <row r="6" spans="1:7" x14ac:dyDescent="0.2">
      <c r="A6" s="123">
        <v>4</v>
      </c>
      <c r="B6" s="48" t="s">
        <v>178</v>
      </c>
      <c r="C6" s="81">
        <v>30045</v>
      </c>
      <c r="D6" s="48" t="s">
        <v>184</v>
      </c>
      <c r="E6" s="108" t="s">
        <v>80</v>
      </c>
      <c r="F6" s="48" t="s">
        <v>267</v>
      </c>
      <c r="G6" s="99">
        <v>300</v>
      </c>
    </row>
    <row r="7" spans="1:7" x14ac:dyDescent="0.2">
      <c r="A7" s="123">
        <v>5</v>
      </c>
      <c r="B7" s="48" t="s">
        <v>179</v>
      </c>
      <c r="C7" s="81">
        <v>29770</v>
      </c>
      <c r="D7" s="48" t="s">
        <v>183</v>
      </c>
      <c r="E7" s="108" t="s">
        <v>80</v>
      </c>
      <c r="F7" s="48" t="s">
        <v>268</v>
      </c>
      <c r="G7" s="99">
        <v>100</v>
      </c>
    </row>
    <row r="8" spans="1:7" x14ac:dyDescent="0.2">
      <c r="A8" s="123">
        <v>6</v>
      </c>
      <c r="B8" s="48" t="s">
        <v>180</v>
      </c>
      <c r="C8" s="81">
        <v>30317</v>
      </c>
      <c r="D8" s="48" t="s">
        <v>185</v>
      </c>
      <c r="E8" s="108" t="s">
        <v>80</v>
      </c>
      <c r="F8" s="48" t="s">
        <v>268</v>
      </c>
      <c r="G8" s="99">
        <v>100</v>
      </c>
    </row>
    <row r="9" spans="1:7" x14ac:dyDescent="0.2">
      <c r="A9" s="123">
        <v>7</v>
      </c>
      <c r="B9" s="48" t="s">
        <v>176</v>
      </c>
      <c r="C9" s="81">
        <v>30774</v>
      </c>
      <c r="D9" s="48" t="s">
        <v>186</v>
      </c>
      <c r="E9" s="108" t="s">
        <v>81</v>
      </c>
      <c r="F9" s="48" t="s">
        <v>167</v>
      </c>
      <c r="G9" s="99">
        <v>150</v>
      </c>
    </row>
    <row r="10" spans="1:7" x14ac:dyDescent="0.2">
      <c r="A10" s="123">
        <v>8</v>
      </c>
      <c r="B10" s="48" t="s">
        <v>178</v>
      </c>
      <c r="C10" s="81">
        <v>30803</v>
      </c>
      <c r="D10" s="48" t="s">
        <v>186</v>
      </c>
      <c r="E10" s="108" t="s">
        <v>81</v>
      </c>
      <c r="F10" s="48" t="s">
        <v>268</v>
      </c>
      <c r="G10" s="99">
        <v>100</v>
      </c>
    </row>
    <row r="11" spans="1:7" x14ac:dyDescent="0.2">
      <c r="A11" s="123">
        <v>9</v>
      </c>
      <c r="B11" s="48" t="s">
        <v>80</v>
      </c>
      <c r="C11" s="81">
        <v>29807</v>
      </c>
      <c r="D11" s="48" t="s">
        <v>182</v>
      </c>
      <c r="E11" s="108" t="s">
        <v>80</v>
      </c>
      <c r="F11" s="48" t="s">
        <v>268</v>
      </c>
      <c r="G11" s="99">
        <v>100</v>
      </c>
    </row>
    <row r="12" spans="1:7" x14ac:dyDescent="0.2">
      <c r="A12" s="123">
        <v>10</v>
      </c>
      <c r="B12" s="48" t="s">
        <v>181</v>
      </c>
      <c r="C12" s="81">
        <v>29921</v>
      </c>
      <c r="D12" s="48" t="s">
        <v>185</v>
      </c>
      <c r="E12" s="108" t="s">
        <v>80</v>
      </c>
      <c r="F12" s="48" t="s">
        <v>167</v>
      </c>
      <c r="G12" s="99">
        <v>300</v>
      </c>
    </row>
    <row r="13" spans="1:7" x14ac:dyDescent="0.2">
      <c r="A13" s="123">
        <v>11</v>
      </c>
      <c r="B13" s="48" t="s">
        <v>176</v>
      </c>
      <c r="C13" s="81">
        <v>30197</v>
      </c>
      <c r="D13" s="48" t="s">
        <v>183</v>
      </c>
      <c r="E13" s="108" t="s">
        <v>80</v>
      </c>
      <c r="F13" s="48" t="s">
        <v>268</v>
      </c>
      <c r="G13" s="99">
        <v>100</v>
      </c>
    </row>
    <row r="14" spans="1:7" x14ac:dyDescent="0.2">
      <c r="A14" s="123">
        <v>12</v>
      </c>
      <c r="B14" s="48" t="s">
        <v>179</v>
      </c>
      <c r="C14" s="81">
        <v>30139</v>
      </c>
      <c r="D14" s="48" t="s">
        <v>182</v>
      </c>
      <c r="E14" s="108" t="s">
        <v>80</v>
      </c>
      <c r="F14" s="48" t="s">
        <v>268</v>
      </c>
      <c r="G14" s="99">
        <v>500</v>
      </c>
    </row>
    <row r="15" spans="1:7" x14ac:dyDescent="0.2">
      <c r="A15" s="123">
        <v>13</v>
      </c>
      <c r="B15" s="48" t="s">
        <v>177</v>
      </c>
      <c r="C15" s="81">
        <v>29587</v>
      </c>
      <c r="D15" s="48" t="s">
        <v>184</v>
      </c>
      <c r="E15" s="108" t="s">
        <v>81</v>
      </c>
      <c r="F15" s="48" t="s">
        <v>268</v>
      </c>
      <c r="G15" s="99">
        <v>100</v>
      </c>
    </row>
    <row r="16" spans="1:7" x14ac:dyDescent="0.2">
      <c r="A16" s="123">
        <v>14</v>
      </c>
      <c r="B16" s="48" t="s">
        <v>176</v>
      </c>
      <c r="C16" s="81">
        <v>30776</v>
      </c>
      <c r="D16" s="48" t="s">
        <v>182</v>
      </c>
      <c r="E16" s="108" t="s">
        <v>81</v>
      </c>
      <c r="F16" s="48" t="s">
        <v>167</v>
      </c>
      <c r="G16" s="99">
        <v>200</v>
      </c>
    </row>
    <row r="17" spans="1:7" ht="15" thickBot="1" x14ac:dyDescent="0.25">
      <c r="A17" s="124">
        <v>15</v>
      </c>
      <c r="B17" s="91" t="s">
        <v>178</v>
      </c>
      <c r="C17" s="92">
        <v>30195</v>
      </c>
      <c r="D17" s="91" t="s">
        <v>183</v>
      </c>
      <c r="E17" s="31" t="s">
        <v>81</v>
      </c>
      <c r="F17" s="91" t="s">
        <v>268</v>
      </c>
      <c r="G17" s="100">
        <v>50</v>
      </c>
    </row>
    <row r="18" spans="1:7" ht="15.75" thickTop="1" thickBot="1" x14ac:dyDescent="0.25"/>
    <row r="19" spans="1:7" x14ac:dyDescent="0.2">
      <c r="A19" s="125" t="s">
        <v>272</v>
      </c>
      <c r="B19" s="126" t="s">
        <v>271</v>
      </c>
      <c r="C19" s="127"/>
      <c r="D19" s="127"/>
      <c r="E19" s="128"/>
    </row>
    <row r="20" spans="1:7" x14ac:dyDescent="0.2">
      <c r="A20" s="129" t="s">
        <v>269</v>
      </c>
      <c r="B20" s="101" t="s">
        <v>267</v>
      </c>
      <c r="C20" s="101" t="s">
        <v>167</v>
      </c>
      <c r="D20" s="101" t="s">
        <v>268</v>
      </c>
      <c r="E20" s="130" t="s">
        <v>188</v>
      </c>
    </row>
    <row r="21" spans="1:7" x14ac:dyDescent="0.2">
      <c r="A21" s="131" t="s">
        <v>182</v>
      </c>
      <c r="B21" s="132">
        <v>100</v>
      </c>
      <c r="C21" s="132">
        <v>300</v>
      </c>
      <c r="D21" s="132">
        <v>600</v>
      </c>
      <c r="E21" s="133">
        <v>1000</v>
      </c>
    </row>
    <row r="22" spans="1:7" x14ac:dyDescent="0.2">
      <c r="A22" s="134" t="s">
        <v>80</v>
      </c>
      <c r="B22" s="132">
        <v>100</v>
      </c>
      <c r="C22" s="132">
        <v>100</v>
      </c>
      <c r="D22" s="132">
        <v>600</v>
      </c>
      <c r="E22" s="133">
        <v>800</v>
      </c>
    </row>
    <row r="23" spans="1:7" x14ac:dyDescent="0.2">
      <c r="A23" s="134" t="s">
        <v>81</v>
      </c>
      <c r="B23" s="132"/>
      <c r="C23" s="132">
        <v>200</v>
      </c>
      <c r="D23" s="132"/>
      <c r="E23" s="133">
        <v>200</v>
      </c>
    </row>
    <row r="24" spans="1:7" x14ac:dyDescent="0.2">
      <c r="A24" s="131" t="s">
        <v>183</v>
      </c>
      <c r="B24" s="132"/>
      <c r="C24" s="132"/>
      <c r="D24" s="132">
        <v>450</v>
      </c>
      <c r="E24" s="133">
        <v>450</v>
      </c>
    </row>
    <row r="25" spans="1:7" x14ac:dyDescent="0.2">
      <c r="A25" s="134" t="s">
        <v>80</v>
      </c>
      <c r="B25" s="132"/>
      <c r="C25" s="132"/>
      <c r="D25" s="132">
        <v>200</v>
      </c>
      <c r="E25" s="133">
        <v>200</v>
      </c>
    </row>
    <row r="26" spans="1:7" x14ac:dyDescent="0.2">
      <c r="A26" s="134" t="s">
        <v>81</v>
      </c>
      <c r="B26" s="132"/>
      <c r="C26" s="132"/>
      <c r="D26" s="132">
        <v>250</v>
      </c>
      <c r="E26" s="133">
        <v>250</v>
      </c>
    </row>
    <row r="27" spans="1:7" x14ac:dyDescent="0.2">
      <c r="A27" s="131" t="s">
        <v>186</v>
      </c>
      <c r="B27" s="132"/>
      <c r="C27" s="132">
        <v>150</v>
      </c>
      <c r="D27" s="132">
        <v>100</v>
      </c>
      <c r="E27" s="133">
        <v>250</v>
      </c>
    </row>
    <row r="28" spans="1:7" x14ac:dyDescent="0.2">
      <c r="A28" s="134" t="s">
        <v>81</v>
      </c>
      <c r="B28" s="132"/>
      <c r="C28" s="132">
        <v>150</v>
      </c>
      <c r="D28" s="132">
        <v>100</v>
      </c>
      <c r="E28" s="133">
        <v>250</v>
      </c>
    </row>
    <row r="29" spans="1:7" x14ac:dyDescent="0.2">
      <c r="A29" s="131" t="s">
        <v>184</v>
      </c>
      <c r="B29" s="132">
        <v>300</v>
      </c>
      <c r="C29" s="132"/>
      <c r="D29" s="132">
        <v>100</v>
      </c>
      <c r="E29" s="133">
        <v>400</v>
      </c>
    </row>
    <row r="30" spans="1:7" x14ac:dyDescent="0.2">
      <c r="A30" s="134" t="s">
        <v>80</v>
      </c>
      <c r="B30" s="132">
        <v>300</v>
      </c>
      <c r="C30" s="132"/>
      <c r="D30" s="132"/>
      <c r="E30" s="133">
        <v>300</v>
      </c>
    </row>
    <row r="31" spans="1:7" x14ac:dyDescent="0.2">
      <c r="A31" s="134" t="s">
        <v>81</v>
      </c>
      <c r="B31" s="132"/>
      <c r="C31" s="132"/>
      <c r="D31" s="132">
        <v>100</v>
      </c>
      <c r="E31" s="133">
        <v>100</v>
      </c>
    </row>
    <row r="32" spans="1:7" x14ac:dyDescent="0.2">
      <c r="A32" s="131" t="s">
        <v>185</v>
      </c>
      <c r="B32" s="132"/>
      <c r="C32" s="132">
        <v>300</v>
      </c>
      <c r="D32" s="132">
        <v>100</v>
      </c>
      <c r="E32" s="133">
        <v>400</v>
      </c>
    </row>
    <row r="33" spans="1:5" x14ac:dyDescent="0.2">
      <c r="A33" s="134" t="s">
        <v>80</v>
      </c>
      <c r="B33" s="132"/>
      <c r="C33" s="132">
        <v>300</v>
      </c>
      <c r="D33" s="132">
        <v>100</v>
      </c>
      <c r="E33" s="133">
        <v>400</v>
      </c>
    </row>
    <row r="34" spans="1:5" ht="15" thickBot="1" x14ac:dyDescent="0.25">
      <c r="A34" s="135" t="s">
        <v>188</v>
      </c>
      <c r="B34" s="136">
        <v>400</v>
      </c>
      <c r="C34" s="136">
        <v>750</v>
      </c>
      <c r="D34" s="136">
        <v>1350</v>
      </c>
      <c r="E34" s="137">
        <v>2500</v>
      </c>
    </row>
    <row r="35" spans="1:5" ht="15" thickBot="1" x14ac:dyDescent="0.25"/>
    <row r="36" spans="1:5" x14ac:dyDescent="0.2">
      <c r="A36" s="125" t="s">
        <v>272</v>
      </c>
      <c r="B36" s="126" t="s">
        <v>271</v>
      </c>
      <c r="C36" s="127"/>
      <c r="D36" s="128"/>
    </row>
    <row r="37" spans="1:5" x14ac:dyDescent="0.2">
      <c r="A37" s="129" t="s">
        <v>269</v>
      </c>
      <c r="B37" s="101" t="s">
        <v>80</v>
      </c>
      <c r="C37" s="101" t="s">
        <v>81</v>
      </c>
      <c r="D37" s="130" t="s">
        <v>188</v>
      </c>
    </row>
    <row r="38" spans="1:5" x14ac:dyDescent="0.2">
      <c r="A38" s="131" t="s">
        <v>267</v>
      </c>
      <c r="B38" s="132">
        <v>400</v>
      </c>
      <c r="C38" s="132"/>
      <c r="D38" s="133">
        <v>400</v>
      </c>
    </row>
    <row r="39" spans="1:5" x14ac:dyDescent="0.2">
      <c r="A39" s="131" t="s">
        <v>167</v>
      </c>
      <c r="B39" s="132">
        <v>400</v>
      </c>
      <c r="C39" s="132">
        <v>350</v>
      </c>
      <c r="D39" s="133">
        <v>750</v>
      </c>
    </row>
    <row r="40" spans="1:5" x14ac:dyDescent="0.2">
      <c r="A40" s="131" t="s">
        <v>268</v>
      </c>
      <c r="B40" s="132">
        <v>900</v>
      </c>
      <c r="C40" s="132">
        <v>450</v>
      </c>
      <c r="D40" s="133">
        <v>1350</v>
      </c>
    </row>
    <row r="41" spans="1:5" ht="15" thickBot="1" x14ac:dyDescent="0.25">
      <c r="A41" s="135" t="s">
        <v>188</v>
      </c>
      <c r="B41" s="136">
        <v>1700</v>
      </c>
      <c r="C41" s="136">
        <v>800</v>
      </c>
      <c r="D41" s="137">
        <v>2500</v>
      </c>
    </row>
    <row r="42" spans="1:5" ht="15" thickBot="1" x14ac:dyDescent="0.25"/>
    <row r="43" spans="1:5" x14ac:dyDescent="0.2">
      <c r="A43" s="125" t="s">
        <v>270</v>
      </c>
      <c r="B43" s="126" t="s">
        <v>271</v>
      </c>
      <c r="C43" s="127"/>
      <c r="D43" s="128"/>
    </row>
    <row r="44" spans="1:5" x14ac:dyDescent="0.2">
      <c r="A44" s="129" t="s">
        <v>269</v>
      </c>
      <c r="B44" s="101" t="s">
        <v>80</v>
      </c>
      <c r="C44" s="101" t="s">
        <v>81</v>
      </c>
      <c r="D44" s="130" t="s">
        <v>188</v>
      </c>
    </row>
    <row r="45" spans="1:5" x14ac:dyDescent="0.2">
      <c r="A45" s="131" t="s">
        <v>182</v>
      </c>
      <c r="B45" s="132">
        <v>4</v>
      </c>
      <c r="C45" s="132">
        <v>1</v>
      </c>
      <c r="D45" s="133">
        <v>5</v>
      </c>
    </row>
    <row r="46" spans="1:5" x14ac:dyDescent="0.2">
      <c r="A46" s="131" t="s">
        <v>183</v>
      </c>
      <c r="B46" s="132">
        <v>2</v>
      </c>
      <c r="C46" s="132">
        <v>2</v>
      </c>
      <c r="D46" s="133">
        <v>4</v>
      </c>
    </row>
    <row r="47" spans="1:5" x14ac:dyDescent="0.2">
      <c r="A47" s="131" t="s">
        <v>186</v>
      </c>
      <c r="B47" s="132"/>
      <c r="C47" s="132">
        <v>2</v>
      </c>
      <c r="D47" s="133">
        <v>2</v>
      </c>
    </row>
    <row r="48" spans="1:5" x14ac:dyDescent="0.2">
      <c r="A48" s="131" t="s">
        <v>184</v>
      </c>
      <c r="B48" s="132">
        <v>1</v>
      </c>
      <c r="C48" s="132">
        <v>1</v>
      </c>
      <c r="D48" s="133">
        <v>2</v>
      </c>
    </row>
    <row r="49" spans="1:4" x14ac:dyDescent="0.2">
      <c r="A49" s="131" t="s">
        <v>185</v>
      </c>
      <c r="B49" s="132">
        <v>2</v>
      </c>
      <c r="C49" s="132"/>
      <c r="D49" s="133">
        <v>2</v>
      </c>
    </row>
    <row r="50" spans="1:4" ht="15" thickBot="1" x14ac:dyDescent="0.25">
      <c r="A50" s="135" t="s">
        <v>188</v>
      </c>
      <c r="B50" s="136">
        <v>9</v>
      </c>
      <c r="C50" s="136">
        <v>6</v>
      </c>
      <c r="D50" s="137">
        <v>15</v>
      </c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7"/>
  <sheetViews>
    <sheetView workbookViewId="0">
      <selection activeCell="J6" sqref="J6"/>
    </sheetView>
  </sheetViews>
  <sheetFormatPr defaultRowHeight="14.25" x14ac:dyDescent="0.2"/>
  <cols>
    <col min="2" max="4" width="11" customWidth="1"/>
    <col min="5" max="6" width="10.25" customWidth="1"/>
    <col min="7" max="7" width="10.375" customWidth="1"/>
    <col min="9" max="9" width="10.75" customWidth="1"/>
    <col min="10" max="10" width="14.75" customWidth="1"/>
  </cols>
  <sheetData>
    <row r="1" spans="1:12" ht="15" x14ac:dyDescent="0.25">
      <c r="A1" s="172" t="s">
        <v>273</v>
      </c>
      <c r="B1" s="172"/>
      <c r="C1" s="172"/>
      <c r="D1" s="172"/>
      <c r="E1" s="172"/>
      <c r="F1" s="172"/>
      <c r="G1" s="172"/>
      <c r="H1" s="172"/>
      <c r="I1" s="172"/>
      <c r="J1" s="172"/>
      <c r="K1" s="102"/>
      <c r="L1" s="102"/>
    </row>
    <row r="3" spans="1:12" x14ac:dyDescent="0.2">
      <c r="A3" s="80" t="s">
        <v>0</v>
      </c>
      <c r="B3" s="80" t="s">
        <v>274</v>
      </c>
      <c r="C3" s="80" t="s">
        <v>279</v>
      </c>
      <c r="D3" s="80" t="s">
        <v>275</v>
      </c>
      <c r="E3" s="80" t="s">
        <v>276</v>
      </c>
      <c r="F3" s="80" t="s">
        <v>277</v>
      </c>
      <c r="G3" s="80" t="s">
        <v>278</v>
      </c>
      <c r="H3" s="80" t="s">
        <v>41</v>
      </c>
      <c r="I3" s="80" t="s">
        <v>93</v>
      </c>
      <c r="J3" s="80" t="s">
        <v>194</v>
      </c>
    </row>
    <row r="4" spans="1:12" x14ac:dyDescent="0.2">
      <c r="A4" s="48">
        <v>1</v>
      </c>
      <c r="B4" s="48" t="s">
        <v>280</v>
      </c>
      <c r="C4" s="48" t="s">
        <v>284</v>
      </c>
      <c r="D4" s="81">
        <v>41038</v>
      </c>
      <c r="E4" s="81">
        <v>41040</v>
      </c>
      <c r="F4" s="48">
        <f>E4-D4</f>
        <v>2</v>
      </c>
      <c r="G4" s="48" t="str">
        <f>VLOOKUP(LEFT(C4,1),$B$12:$E$17,2,0)</f>
        <v>Cải lương</v>
      </c>
      <c r="H4" s="48" t="str">
        <f>IF(RIGHT(C4,1)="B","Bộ","Lẻ")</f>
        <v>Bộ</v>
      </c>
      <c r="I4" s="48">
        <f>VLOOKUP(G4,$C$12:$E$17,IF(MID(C4,2,1)="A",2,3),0)</f>
        <v>2500</v>
      </c>
      <c r="J4" s="141">
        <f>F4*I4*MID(C4,3,1)</f>
        <v>5000</v>
      </c>
    </row>
    <row r="5" spans="1:12" x14ac:dyDescent="0.2">
      <c r="A5" s="48">
        <v>2</v>
      </c>
      <c r="B5" s="48" t="s">
        <v>281</v>
      </c>
      <c r="C5" s="48" t="s">
        <v>285</v>
      </c>
      <c r="D5" s="81">
        <v>41037</v>
      </c>
      <c r="E5" s="81">
        <v>41038</v>
      </c>
      <c r="F5" s="48">
        <f t="shared" ref="F5:F10" si="0">E5-D5</f>
        <v>1</v>
      </c>
      <c r="G5" s="48" t="str">
        <f t="shared" ref="G5:G10" si="1">VLOOKUP(LEFT(C5,1),$B$12:$E$17,2,0)</f>
        <v>Ca nhạc</v>
      </c>
      <c r="H5" s="48" t="str">
        <f t="shared" ref="H5:H10" si="2">IF(RIGHT(C5,1)="B","Bộ","Lẻ")</f>
        <v>Lẻ</v>
      </c>
      <c r="I5" s="48">
        <f t="shared" ref="I5:I10" si="3">VLOOKUP(G5,$C$12:$E$17,IF(MID(C5,2,1)="A",2,3),0)</f>
        <v>3000</v>
      </c>
      <c r="J5" s="141">
        <f t="shared" ref="J5:J10" si="4">F5*I5*MID(C5,3,1)</f>
        <v>6000</v>
      </c>
    </row>
    <row r="6" spans="1:12" x14ac:dyDescent="0.2">
      <c r="A6" s="48">
        <v>3</v>
      </c>
      <c r="B6" s="48" t="s">
        <v>71</v>
      </c>
      <c r="C6" s="48" t="s">
        <v>286</v>
      </c>
      <c r="D6" s="81">
        <v>41039</v>
      </c>
      <c r="E6" s="81">
        <v>41042</v>
      </c>
      <c r="F6" s="48">
        <f t="shared" si="0"/>
        <v>3</v>
      </c>
      <c r="G6" s="48" t="str">
        <f t="shared" si="1"/>
        <v>Hình sự</v>
      </c>
      <c r="H6" s="48" t="str">
        <f t="shared" si="2"/>
        <v>Bộ</v>
      </c>
      <c r="I6" s="48">
        <f t="shared" si="3"/>
        <v>2000</v>
      </c>
      <c r="J6" s="141">
        <f t="shared" si="4"/>
        <v>54000</v>
      </c>
    </row>
    <row r="7" spans="1:12" x14ac:dyDescent="0.2">
      <c r="A7" s="48">
        <v>4</v>
      </c>
      <c r="B7" s="48" t="s">
        <v>282</v>
      </c>
      <c r="C7" s="48" t="s">
        <v>287</v>
      </c>
      <c r="D7" s="81">
        <v>41040</v>
      </c>
      <c r="E7" s="81">
        <v>41041</v>
      </c>
      <c r="F7" s="48">
        <f t="shared" si="0"/>
        <v>1</v>
      </c>
      <c r="G7" s="48" t="str">
        <f t="shared" si="1"/>
        <v>Võ thuật</v>
      </c>
      <c r="H7" s="48" t="str">
        <f t="shared" si="2"/>
        <v>Bộ</v>
      </c>
      <c r="I7" s="48">
        <f t="shared" si="3"/>
        <v>2500</v>
      </c>
      <c r="J7" s="141">
        <f t="shared" si="4"/>
        <v>17500</v>
      </c>
    </row>
    <row r="8" spans="1:12" x14ac:dyDescent="0.2">
      <c r="A8" s="48">
        <v>5</v>
      </c>
      <c r="B8" s="48" t="s">
        <v>177</v>
      </c>
      <c r="C8" s="48" t="s">
        <v>288</v>
      </c>
      <c r="D8" s="81">
        <v>41039</v>
      </c>
      <c r="E8" s="81">
        <v>41041</v>
      </c>
      <c r="F8" s="48">
        <f t="shared" si="0"/>
        <v>2</v>
      </c>
      <c r="G8" s="48" t="str">
        <f t="shared" si="1"/>
        <v>Tình cảm</v>
      </c>
      <c r="H8" s="48" t="str">
        <f t="shared" si="2"/>
        <v>Lẻ</v>
      </c>
      <c r="I8" s="48">
        <f t="shared" si="3"/>
        <v>2000</v>
      </c>
      <c r="J8" s="141">
        <f t="shared" si="4"/>
        <v>8000</v>
      </c>
    </row>
    <row r="9" spans="1:12" x14ac:dyDescent="0.2">
      <c r="A9" s="48">
        <v>6</v>
      </c>
      <c r="B9" s="48" t="s">
        <v>283</v>
      </c>
      <c r="C9" s="48" t="s">
        <v>289</v>
      </c>
      <c r="D9" s="81">
        <v>41040</v>
      </c>
      <c r="E9" s="81">
        <v>41042</v>
      </c>
      <c r="F9" s="48">
        <f t="shared" si="0"/>
        <v>2</v>
      </c>
      <c r="G9" s="48" t="str">
        <f t="shared" si="1"/>
        <v>Cải lương</v>
      </c>
      <c r="H9" s="48" t="str">
        <f t="shared" si="2"/>
        <v>Bộ</v>
      </c>
      <c r="I9" s="48">
        <f t="shared" si="3"/>
        <v>2500</v>
      </c>
      <c r="J9" s="141">
        <f t="shared" si="4"/>
        <v>20000</v>
      </c>
    </row>
    <row r="10" spans="1:12" x14ac:dyDescent="0.2">
      <c r="A10" s="48">
        <v>7</v>
      </c>
      <c r="B10" s="48" t="s">
        <v>73</v>
      </c>
      <c r="C10" s="48" t="s">
        <v>290</v>
      </c>
      <c r="D10" s="81">
        <v>41049</v>
      </c>
      <c r="E10" s="81">
        <v>41051</v>
      </c>
      <c r="F10" s="48">
        <f t="shared" si="0"/>
        <v>2</v>
      </c>
      <c r="G10" s="48" t="str">
        <f t="shared" si="1"/>
        <v>Ca nhạc</v>
      </c>
      <c r="H10" s="48" t="str">
        <f t="shared" si="2"/>
        <v>Lẻ</v>
      </c>
      <c r="I10" s="48">
        <f t="shared" si="3"/>
        <v>3000</v>
      </c>
      <c r="J10" s="141">
        <f t="shared" si="4"/>
        <v>30000</v>
      </c>
    </row>
    <row r="12" spans="1:12" ht="15" x14ac:dyDescent="0.25">
      <c r="B12" s="109" t="s">
        <v>88</v>
      </c>
      <c r="C12" s="109" t="s">
        <v>278</v>
      </c>
      <c r="D12" s="109" t="s">
        <v>297</v>
      </c>
      <c r="E12" s="109" t="s">
        <v>298</v>
      </c>
    </row>
    <row r="13" spans="1:12" x14ac:dyDescent="0.2">
      <c r="B13" s="108" t="s">
        <v>57</v>
      </c>
      <c r="C13" s="108" t="s">
        <v>292</v>
      </c>
      <c r="D13" s="108">
        <v>2500</v>
      </c>
      <c r="E13" s="108">
        <v>2000</v>
      </c>
    </row>
    <row r="14" spans="1:12" x14ac:dyDescent="0.2">
      <c r="B14" s="108" t="s">
        <v>127</v>
      </c>
      <c r="C14" s="108" t="s">
        <v>293</v>
      </c>
      <c r="D14" s="108">
        <v>3000</v>
      </c>
      <c r="E14" s="108">
        <v>3000</v>
      </c>
    </row>
    <row r="15" spans="1:12" x14ac:dyDescent="0.2">
      <c r="B15" s="108" t="s">
        <v>209</v>
      </c>
      <c r="C15" s="108" t="s">
        <v>294</v>
      </c>
      <c r="D15" s="108">
        <v>2000</v>
      </c>
      <c r="E15" s="108">
        <v>1500</v>
      </c>
    </row>
    <row r="16" spans="1:12" x14ac:dyDescent="0.2">
      <c r="B16" s="108" t="s">
        <v>291</v>
      </c>
      <c r="C16" s="108" t="s">
        <v>295</v>
      </c>
      <c r="D16" s="108">
        <v>2500</v>
      </c>
      <c r="E16" s="108">
        <v>2000</v>
      </c>
    </row>
    <row r="17" spans="2:5" x14ac:dyDescent="0.2">
      <c r="B17" s="108" t="s">
        <v>96</v>
      </c>
      <c r="C17" s="108" t="s">
        <v>296</v>
      </c>
      <c r="D17" s="108">
        <v>3000</v>
      </c>
      <c r="E17" s="108">
        <v>2500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7" sqref="D17"/>
    </sheetView>
  </sheetViews>
  <sheetFormatPr defaultRowHeight="14.25" x14ac:dyDescent="0.2"/>
  <cols>
    <col min="2" max="2" width="13.125" customWidth="1"/>
    <col min="3" max="3" width="10.625" customWidth="1"/>
    <col min="4" max="4" width="10.75" customWidth="1"/>
    <col min="5" max="5" width="10.25" customWidth="1"/>
    <col min="6" max="6" width="11" customWidth="1"/>
    <col min="7" max="7" width="11.625" customWidth="1"/>
    <col min="8" max="8" width="12" customWidth="1"/>
  </cols>
  <sheetData>
    <row r="1" spans="1:9" ht="15" x14ac:dyDescent="0.25">
      <c r="A1" s="172" t="s">
        <v>299</v>
      </c>
      <c r="B1" s="172"/>
      <c r="C1" s="172"/>
      <c r="D1" s="172"/>
      <c r="E1" s="172"/>
      <c r="F1" s="172"/>
      <c r="G1" s="172"/>
      <c r="H1" s="172"/>
      <c r="I1" s="172"/>
    </row>
    <row r="2" spans="1:9" ht="15" x14ac:dyDescent="0.25">
      <c r="D2" s="172" t="s">
        <v>300</v>
      </c>
      <c r="E2" s="172"/>
      <c r="F2" s="172"/>
      <c r="G2" s="172"/>
      <c r="H2" s="114">
        <v>5</v>
      </c>
    </row>
    <row r="4" spans="1:9" ht="28.5" x14ac:dyDescent="0.2">
      <c r="A4" s="4" t="s">
        <v>301</v>
      </c>
      <c r="B4" s="4" t="s">
        <v>302</v>
      </c>
      <c r="C4" s="4" t="s">
        <v>303</v>
      </c>
      <c r="D4" s="4" t="s">
        <v>93</v>
      </c>
      <c r="E4" s="4" t="s">
        <v>304</v>
      </c>
      <c r="F4" s="4" t="s">
        <v>305</v>
      </c>
      <c r="G4" s="4" t="s">
        <v>306</v>
      </c>
      <c r="H4" s="68" t="s">
        <v>307</v>
      </c>
      <c r="I4" s="4" t="s">
        <v>44</v>
      </c>
    </row>
    <row r="5" spans="1:9" x14ac:dyDescent="0.2">
      <c r="A5" s="111" t="s">
        <v>308</v>
      </c>
      <c r="B5" s="111">
        <v>5</v>
      </c>
      <c r="C5" s="111" t="s">
        <v>315</v>
      </c>
      <c r="D5" s="111">
        <f>VLOOKUP(C5,$B$14:$D$20,2,0)</f>
        <v>6000</v>
      </c>
      <c r="E5" s="111">
        <f>IF(B5&lt;=$H$2,D5,110%*D5)</f>
        <v>6000</v>
      </c>
      <c r="F5" s="142">
        <v>39087</v>
      </c>
      <c r="G5" s="142">
        <v>39107</v>
      </c>
      <c r="H5" s="111">
        <f>G5-F5</f>
        <v>20</v>
      </c>
      <c r="I5" s="28" t="str">
        <f>IF(H5&lt;=VLOOKUP(C5,$B$14:$D$20,3,0),0.05,"")</f>
        <v/>
      </c>
    </row>
    <row r="6" spans="1:9" x14ac:dyDescent="0.2">
      <c r="A6" s="111" t="s">
        <v>309</v>
      </c>
      <c r="B6" s="111">
        <v>10</v>
      </c>
      <c r="C6" s="111" t="s">
        <v>316</v>
      </c>
      <c r="D6" s="111">
        <f t="shared" ref="D6:D12" si="0">VLOOKUP(C6,$B$14:$D$20,2,0)</f>
        <v>4000</v>
      </c>
      <c r="E6" s="111">
        <f t="shared" ref="E6:E12" si="1">IF(B6&lt;=$H$2,D6,110%*D6)</f>
        <v>4400</v>
      </c>
      <c r="F6" s="142">
        <v>39146</v>
      </c>
      <c r="G6" s="142">
        <v>39147</v>
      </c>
      <c r="H6" s="111">
        <f t="shared" ref="H6:H12" si="2">G6-F6</f>
        <v>1</v>
      </c>
      <c r="I6" s="28">
        <f t="shared" ref="I6:I12" si="3">IF(H6&lt;=VLOOKUP(C6,$B$14:$D$20,3,0),0.05,"")</f>
        <v>0.05</v>
      </c>
    </row>
    <row r="7" spans="1:9" x14ac:dyDescent="0.2">
      <c r="A7" s="111" t="s">
        <v>310</v>
      </c>
      <c r="B7" s="111">
        <v>2</v>
      </c>
      <c r="C7" s="111" t="s">
        <v>317</v>
      </c>
      <c r="D7" s="111">
        <f t="shared" si="0"/>
        <v>3000</v>
      </c>
      <c r="E7" s="111">
        <f t="shared" si="1"/>
        <v>3000</v>
      </c>
      <c r="F7" s="142">
        <v>39146</v>
      </c>
      <c r="G7" s="142">
        <v>39147</v>
      </c>
      <c r="H7" s="111">
        <f t="shared" si="2"/>
        <v>1</v>
      </c>
      <c r="I7" s="28">
        <f t="shared" si="3"/>
        <v>0.05</v>
      </c>
    </row>
    <row r="8" spans="1:9" x14ac:dyDescent="0.2">
      <c r="A8" s="111" t="s">
        <v>308</v>
      </c>
      <c r="B8" s="111">
        <v>3</v>
      </c>
      <c r="C8" s="111" t="s">
        <v>182</v>
      </c>
      <c r="D8" s="111">
        <f t="shared" si="0"/>
        <v>10000</v>
      </c>
      <c r="E8" s="111">
        <f t="shared" si="1"/>
        <v>10000</v>
      </c>
      <c r="F8" s="142">
        <v>39087</v>
      </c>
      <c r="G8" s="142">
        <v>39118</v>
      </c>
      <c r="H8" s="111">
        <f t="shared" si="2"/>
        <v>31</v>
      </c>
      <c r="I8" s="28" t="str">
        <f t="shared" si="3"/>
        <v/>
      </c>
    </row>
    <row r="9" spans="1:9" x14ac:dyDescent="0.2">
      <c r="A9" s="111" t="s">
        <v>311</v>
      </c>
      <c r="B9" s="111">
        <v>6</v>
      </c>
      <c r="C9" s="111" t="s">
        <v>318</v>
      </c>
      <c r="D9" s="111">
        <f t="shared" si="0"/>
        <v>25000</v>
      </c>
      <c r="E9" s="111">
        <f t="shared" si="1"/>
        <v>27500.000000000004</v>
      </c>
      <c r="F9" s="142">
        <v>39238</v>
      </c>
      <c r="G9" s="142">
        <v>39268</v>
      </c>
      <c r="H9" s="111">
        <f t="shared" si="2"/>
        <v>30</v>
      </c>
      <c r="I9" s="28" t="str">
        <f t="shared" si="3"/>
        <v/>
      </c>
    </row>
    <row r="10" spans="1:9" x14ac:dyDescent="0.2">
      <c r="A10" s="111" t="s">
        <v>312</v>
      </c>
      <c r="B10" s="111">
        <v>5</v>
      </c>
      <c r="C10" s="111" t="s">
        <v>318</v>
      </c>
      <c r="D10" s="111">
        <f t="shared" si="0"/>
        <v>25000</v>
      </c>
      <c r="E10" s="111">
        <f t="shared" si="1"/>
        <v>25000</v>
      </c>
      <c r="F10" s="142">
        <v>39360</v>
      </c>
      <c r="G10" s="142">
        <v>39366</v>
      </c>
      <c r="H10" s="111">
        <f t="shared" si="2"/>
        <v>6</v>
      </c>
      <c r="I10" s="28">
        <f t="shared" si="3"/>
        <v>0.05</v>
      </c>
    </row>
    <row r="11" spans="1:9" x14ac:dyDescent="0.2">
      <c r="A11" s="111" t="s">
        <v>313</v>
      </c>
      <c r="B11" s="111">
        <v>10</v>
      </c>
      <c r="C11" s="111" t="s">
        <v>182</v>
      </c>
      <c r="D11" s="111">
        <f t="shared" si="0"/>
        <v>10000</v>
      </c>
      <c r="E11" s="111">
        <f t="shared" si="1"/>
        <v>11000</v>
      </c>
      <c r="F11" s="142">
        <v>39222</v>
      </c>
      <c r="G11" s="142">
        <v>39228</v>
      </c>
      <c r="H11" s="111">
        <f t="shared" si="2"/>
        <v>6</v>
      </c>
      <c r="I11" s="28" t="str">
        <f t="shared" si="3"/>
        <v/>
      </c>
    </row>
    <row r="12" spans="1:9" x14ac:dyDescent="0.2">
      <c r="A12" s="111" t="s">
        <v>314</v>
      </c>
      <c r="B12" s="111">
        <v>6</v>
      </c>
      <c r="C12" s="111" t="s">
        <v>319</v>
      </c>
      <c r="D12" s="111">
        <f t="shared" si="0"/>
        <v>5000</v>
      </c>
      <c r="E12" s="111">
        <f t="shared" si="1"/>
        <v>5500</v>
      </c>
      <c r="F12" s="142">
        <v>39223</v>
      </c>
      <c r="G12" s="142">
        <v>39229</v>
      </c>
      <c r="H12" s="111">
        <f t="shared" si="2"/>
        <v>6</v>
      </c>
      <c r="I12" s="28">
        <f t="shared" si="3"/>
        <v>0.05</v>
      </c>
    </row>
    <row r="14" spans="1:9" x14ac:dyDescent="0.2">
      <c r="B14" s="46" t="s">
        <v>320</v>
      </c>
      <c r="C14" s="46" t="s">
        <v>93</v>
      </c>
      <c r="D14" s="46" t="s">
        <v>321</v>
      </c>
    </row>
    <row r="15" spans="1:9" x14ac:dyDescent="0.2">
      <c r="B15" s="113" t="s">
        <v>319</v>
      </c>
      <c r="C15" s="113">
        <v>5000</v>
      </c>
      <c r="D15" s="113">
        <v>7</v>
      </c>
    </row>
    <row r="16" spans="1:9" x14ac:dyDescent="0.2">
      <c r="B16" s="113" t="s">
        <v>182</v>
      </c>
      <c r="C16" s="113">
        <v>10000</v>
      </c>
      <c r="D16" s="113">
        <v>5</v>
      </c>
    </row>
    <row r="17" spans="2:4" x14ac:dyDescent="0.2">
      <c r="B17" s="113" t="s">
        <v>318</v>
      </c>
      <c r="C17" s="113">
        <v>25000</v>
      </c>
      <c r="D17" s="113">
        <v>8</v>
      </c>
    </row>
    <row r="18" spans="2:4" x14ac:dyDescent="0.2">
      <c r="B18" s="113" t="s">
        <v>317</v>
      </c>
      <c r="C18" s="113">
        <v>3000</v>
      </c>
      <c r="D18" s="113">
        <v>6</v>
      </c>
    </row>
    <row r="19" spans="2:4" x14ac:dyDescent="0.2">
      <c r="B19" s="113" t="s">
        <v>315</v>
      </c>
      <c r="C19" s="113">
        <v>6000</v>
      </c>
      <c r="D19" s="113">
        <v>4</v>
      </c>
    </row>
    <row r="20" spans="2:4" x14ac:dyDescent="0.2">
      <c r="B20" s="113" t="s">
        <v>316</v>
      </c>
      <c r="C20" s="113">
        <v>4000</v>
      </c>
      <c r="D20" s="113">
        <v>2</v>
      </c>
    </row>
  </sheetData>
  <mergeCells count="2">
    <mergeCell ref="A1:I1"/>
    <mergeCell ref="D2: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3" sqref="A3:XFD3"/>
    </sheetView>
  </sheetViews>
  <sheetFormatPr defaultRowHeight="14.25" x14ac:dyDescent="0.2"/>
  <cols>
    <col min="1" max="1" width="9.125" style="112"/>
    <col min="2" max="2" width="13.875" customWidth="1"/>
    <col min="4" max="4" width="9.125" style="112"/>
    <col min="5" max="5" width="14.25" style="112" customWidth="1"/>
    <col min="6" max="6" width="10.375" style="112" customWidth="1"/>
    <col min="7" max="7" width="9.125" style="112"/>
    <col min="8" max="8" width="15.25" style="112" customWidth="1"/>
    <col min="9" max="9" width="12.125" style="112" customWidth="1"/>
    <col min="10" max="10" width="10.25" customWidth="1"/>
    <col min="11" max="12" width="10.625" customWidth="1"/>
  </cols>
  <sheetData>
    <row r="1" spans="1:12" ht="15" x14ac:dyDescent="0.25">
      <c r="A1" s="172" t="s">
        <v>322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</row>
    <row r="3" spans="1:12" s="147" customFormat="1" ht="16.5" customHeight="1" x14ac:dyDescent="0.2">
      <c r="A3" s="145" t="s">
        <v>0</v>
      </c>
      <c r="B3" s="145" t="s">
        <v>323</v>
      </c>
      <c r="C3" s="145" t="s">
        <v>63</v>
      </c>
      <c r="D3" s="145" t="s">
        <v>324</v>
      </c>
      <c r="E3" s="146" t="s">
        <v>325</v>
      </c>
      <c r="F3" s="145" t="s">
        <v>39</v>
      </c>
      <c r="G3" s="145" t="s">
        <v>326</v>
      </c>
      <c r="H3" s="146" t="s">
        <v>327</v>
      </c>
      <c r="I3" s="146" t="s">
        <v>328</v>
      </c>
      <c r="J3" s="145" t="s">
        <v>329</v>
      </c>
      <c r="K3" s="145" t="s">
        <v>45</v>
      </c>
      <c r="L3" s="145" t="s">
        <v>48</v>
      </c>
    </row>
    <row r="4" spans="1:12" x14ac:dyDescent="0.2">
      <c r="A4" s="113">
        <v>1</v>
      </c>
      <c r="B4" s="48" t="s">
        <v>330</v>
      </c>
      <c r="C4" s="48" t="s">
        <v>331</v>
      </c>
      <c r="D4" s="113" t="s">
        <v>348</v>
      </c>
      <c r="E4" s="113">
        <v>600</v>
      </c>
      <c r="F4" s="113">
        <v>23</v>
      </c>
      <c r="G4" s="113" t="str">
        <f>LEFT(D4,1)</f>
        <v>A</v>
      </c>
      <c r="H4" s="143">
        <f>INT(RIGHT(D4,1))</f>
        <v>1</v>
      </c>
      <c r="I4" s="113">
        <f>IF(H4&lt;=3,7,IF(AND(H4&gt;=4,H4&lt;=6),10,13))</f>
        <v>7</v>
      </c>
      <c r="J4" s="49">
        <f>E4*IF(F4&gt;24,(F4-24)*2+24,F4)*I4</f>
        <v>96600</v>
      </c>
      <c r="K4" s="48">
        <f>H4*10000+IF(G4="A",6000,0)</f>
        <v>16000</v>
      </c>
      <c r="L4" s="85">
        <f>J4+K4</f>
        <v>112600</v>
      </c>
    </row>
    <row r="5" spans="1:12" x14ac:dyDescent="0.2">
      <c r="A5" s="113">
        <v>2</v>
      </c>
      <c r="B5" s="48" t="s">
        <v>332</v>
      </c>
      <c r="C5" s="48" t="s">
        <v>333</v>
      </c>
      <c r="D5" s="113" t="s">
        <v>349</v>
      </c>
      <c r="E5" s="113">
        <v>480</v>
      </c>
      <c r="F5" s="113">
        <v>25</v>
      </c>
      <c r="G5" s="113" t="str">
        <f t="shared" ref="G5:G13" si="0">LEFT(D5,1)</f>
        <v>C</v>
      </c>
      <c r="H5" s="143">
        <f t="shared" ref="H5:H13" si="1">INT(RIGHT(D5,1))</f>
        <v>2</v>
      </c>
      <c r="I5" s="113">
        <f t="shared" ref="I5:I13" si="2">IF(H5&lt;=3,7,IF(AND(H5&gt;=4,H5&lt;=6),10,13))</f>
        <v>7</v>
      </c>
      <c r="J5" s="49">
        <f t="shared" ref="J5:J13" si="3">E5*IF(F5&gt;24,(F5-24)*2+24,F5)*I5</f>
        <v>87360</v>
      </c>
      <c r="K5" s="48">
        <f t="shared" ref="K5:K13" si="4">H5*10000+IF(G5="A",6000,0)</f>
        <v>20000</v>
      </c>
      <c r="L5" s="85">
        <f t="shared" ref="L5:L13" si="5">J5+K5</f>
        <v>107360</v>
      </c>
    </row>
    <row r="6" spans="1:12" x14ac:dyDescent="0.2">
      <c r="A6" s="113">
        <v>3</v>
      </c>
      <c r="B6" s="48" t="s">
        <v>334</v>
      </c>
      <c r="C6" s="48" t="s">
        <v>335</v>
      </c>
      <c r="D6" s="113" t="s">
        <v>350</v>
      </c>
      <c r="E6" s="113">
        <v>390</v>
      </c>
      <c r="F6" s="113">
        <v>28</v>
      </c>
      <c r="G6" s="113" t="str">
        <f t="shared" si="0"/>
        <v>D</v>
      </c>
      <c r="H6" s="143">
        <f t="shared" si="1"/>
        <v>8</v>
      </c>
      <c r="I6" s="113">
        <f t="shared" si="2"/>
        <v>13</v>
      </c>
      <c r="J6" s="49">
        <f t="shared" si="3"/>
        <v>162240</v>
      </c>
      <c r="K6" s="48">
        <f t="shared" si="4"/>
        <v>80000</v>
      </c>
      <c r="L6" s="85">
        <f t="shared" si="5"/>
        <v>242240</v>
      </c>
    </row>
    <row r="7" spans="1:12" x14ac:dyDescent="0.2">
      <c r="A7" s="113">
        <v>4</v>
      </c>
      <c r="B7" s="48" t="s">
        <v>336</v>
      </c>
      <c r="C7" s="48" t="s">
        <v>337</v>
      </c>
      <c r="D7" s="113" t="s">
        <v>351</v>
      </c>
      <c r="E7" s="113">
        <v>520</v>
      </c>
      <c r="F7" s="113">
        <v>24</v>
      </c>
      <c r="G7" s="113" t="str">
        <f t="shared" si="0"/>
        <v>B</v>
      </c>
      <c r="H7" s="143">
        <f t="shared" si="1"/>
        <v>4</v>
      </c>
      <c r="I7" s="113">
        <f t="shared" si="2"/>
        <v>10</v>
      </c>
      <c r="J7" s="49">
        <f t="shared" si="3"/>
        <v>124800</v>
      </c>
      <c r="K7" s="48">
        <f t="shared" si="4"/>
        <v>40000</v>
      </c>
      <c r="L7" s="85">
        <f t="shared" si="5"/>
        <v>164800</v>
      </c>
    </row>
    <row r="8" spans="1:12" x14ac:dyDescent="0.2">
      <c r="A8" s="113">
        <v>5</v>
      </c>
      <c r="B8" s="48" t="s">
        <v>338</v>
      </c>
      <c r="C8" s="48" t="s">
        <v>339</v>
      </c>
      <c r="D8" s="113" t="s">
        <v>352</v>
      </c>
      <c r="E8" s="113">
        <v>520</v>
      </c>
      <c r="F8" s="113">
        <v>23</v>
      </c>
      <c r="G8" s="113" t="str">
        <f t="shared" si="0"/>
        <v>B</v>
      </c>
      <c r="H8" s="143">
        <f t="shared" si="1"/>
        <v>7</v>
      </c>
      <c r="I8" s="113">
        <f t="shared" si="2"/>
        <v>13</v>
      </c>
      <c r="J8" s="49">
        <f t="shared" si="3"/>
        <v>155480</v>
      </c>
      <c r="K8" s="48">
        <f t="shared" si="4"/>
        <v>70000</v>
      </c>
      <c r="L8" s="85">
        <f t="shared" si="5"/>
        <v>225480</v>
      </c>
    </row>
    <row r="9" spans="1:12" x14ac:dyDescent="0.2">
      <c r="A9" s="113">
        <v>6</v>
      </c>
      <c r="B9" s="48" t="s">
        <v>340</v>
      </c>
      <c r="C9" s="48" t="s">
        <v>341</v>
      </c>
      <c r="D9" s="113" t="s">
        <v>353</v>
      </c>
      <c r="E9" s="113">
        <v>480</v>
      </c>
      <c r="F9" s="113">
        <v>25</v>
      </c>
      <c r="G9" s="113" t="str">
        <f t="shared" si="0"/>
        <v>C</v>
      </c>
      <c r="H9" s="143">
        <f t="shared" si="1"/>
        <v>5</v>
      </c>
      <c r="I9" s="113">
        <f t="shared" si="2"/>
        <v>10</v>
      </c>
      <c r="J9" s="49">
        <f t="shared" si="3"/>
        <v>124800</v>
      </c>
      <c r="K9" s="48">
        <f t="shared" si="4"/>
        <v>50000</v>
      </c>
      <c r="L9" s="85">
        <f t="shared" si="5"/>
        <v>174800</v>
      </c>
    </row>
    <row r="10" spans="1:12" x14ac:dyDescent="0.2">
      <c r="A10" s="113">
        <v>7</v>
      </c>
      <c r="B10" s="48" t="s">
        <v>342</v>
      </c>
      <c r="C10" s="48" t="s">
        <v>80</v>
      </c>
      <c r="D10" s="113" t="s">
        <v>354</v>
      </c>
      <c r="E10" s="113">
        <v>520</v>
      </c>
      <c r="F10" s="113">
        <v>25</v>
      </c>
      <c r="G10" s="113" t="str">
        <f t="shared" si="0"/>
        <v>B</v>
      </c>
      <c r="H10" s="143">
        <f t="shared" si="1"/>
        <v>3</v>
      </c>
      <c r="I10" s="113">
        <f t="shared" si="2"/>
        <v>7</v>
      </c>
      <c r="J10" s="49">
        <f t="shared" si="3"/>
        <v>94640</v>
      </c>
      <c r="K10" s="48">
        <f t="shared" si="4"/>
        <v>30000</v>
      </c>
      <c r="L10" s="85">
        <f t="shared" si="5"/>
        <v>124640</v>
      </c>
    </row>
    <row r="11" spans="1:12" x14ac:dyDescent="0.2">
      <c r="A11" s="113">
        <v>8</v>
      </c>
      <c r="B11" s="48" t="s">
        <v>343</v>
      </c>
      <c r="C11" s="48" t="s">
        <v>177</v>
      </c>
      <c r="D11" s="113" t="s">
        <v>355</v>
      </c>
      <c r="E11" s="113">
        <v>520</v>
      </c>
      <c r="F11" s="113">
        <v>25</v>
      </c>
      <c r="G11" s="113" t="str">
        <f t="shared" si="0"/>
        <v>B</v>
      </c>
      <c r="H11" s="143">
        <f t="shared" si="1"/>
        <v>5</v>
      </c>
      <c r="I11" s="113">
        <f t="shared" si="2"/>
        <v>10</v>
      </c>
      <c r="J11" s="49">
        <f t="shared" si="3"/>
        <v>135200</v>
      </c>
      <c r="K11" s="48">
        <f t="shared" si="4"/>
        <v>50000</v>
      </c>
      <c r="L11" s="85">
        <f t="shared" si="5"/>
        <v>185200</v>
      </c>
    </row>
    <row r="12" spans="1:12" x14ac:dyDescent="0.2">
      <c r="A12" s="113">
        <v>9</v>
      </c>
      <c r="B12" s="48" t="s">
        <v>344</v>
      </c>
      <c r="C12" s="48" t="s">
        <v>345</v>
      </c>
      <c r="D12" s="113" t="s">
        <v>356</v>
      </c>
      <c r="E12" s="113">
        <v>600</v>
      </c>
      <c r="F12" s="113">
        <v>22</v>
      </c>
      <c r="G12" s="113" t="str">
        <f t="shared" si="0"/>
        <v>A</v>
      </c>
      <c r="H12" s="143">
        <f t="shared" si="1"/>
        <v>4</v>
      </c>
      <c r="I12" s="113">
        <f t="shared" si="2"/>
        <v>10</v>
      </c>
      <c r="J12" s="49">
        <f t="shared" si="3"/>
        <v>132000</v>
      </c>
      <c r="K12" s="48">
        <f t="shared" si="4"/>
        <v>46000</v>
      </c>
      <c r="L12" s="85">
        <f t="shared" si="5"/>
        <v>178000</v>
      </c>
    </row>
    <row r="13" spans="1:12" x14ac:dyDescent="0.2">
      <c r="A13" s="113">
        <v>10</v>
      </c>
      <c r="B13" s="48" t="s">
        <v>346</v>
      </c>
      <c r="C13" s="48" t="s">
        <v>347</v>
      </c>
      <c r="D13" s="113" t="s">
        <v>357</v>
      </c>
      <c r="E13" s="113">
        <v>390</v>
      </c>
      <c r="F13" s="113">
        <v>28</v>
      </c>
      <c r="G13" s="113" t="str">
        <f t="shared" si="0"/>
        <v>D</v>
      </c>
      <c r="H13" s="143">
        <f t="shared" si="1"/>
        <v>2</v>
      </c>
      <c r="I13" s="113">
        <f t="shared" si="2"/>
        <v>7</v>
      </c>
      <c r="J13" s="49">
        <f t="shared" si="3"/>
        <v>87360</v>
      </c>
      <c r="K13" s="48">
        <f t="shared" si="4"/>
        <v>20000</v>
      </c>
      <c r="L13" s="85">
        <f t="shared" si="5"/>
        <v>107360</v>
      </c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5" sqref="H5"/>
    </sheetView>
  </sheetViews>
  <sheetFormatPr defaultRowHeight="14.25" x14ac:dyDescent="0.2"/>
  <cols>
    <col min="2" max="2" width="10.25" customWidth="1"/>
    <col min="3" max="3" width="18.25" customWidth="1"/>
    <col min="4" max="4" width="9.375" customWidth="1"/>
    <col min="5" max="5" width="12.625" customWidth="1"/>
    <col min="6" max="6" width="13.125" customWidth="1"/>
    <col min="7" max="7" width="14.125" customWidth="1"/>
    <col min="8" max="8" width="18.625" customWidth="1"/>
    <col min="9" max="9" width="12.25" customWidth="1"/>
    <col min="10" max="10" width="20.75" customWidth="1"/>
  </cols>
  <sheetData>
    <row r="1" spans="1:10" ht="15" x14ac:dyDescent="0.25">
      <c r="A1" s="172" t="s">
        <v>358</v>
      </c>
      <c r="B1" s="172"/>
      <c r="C1" s="172"/>
      <c r="D1" s="172"/>
      <c r="E1" s="172"/>
      <c r="F1" s="172"/>
      <c r="G1" s="172"/>
      <c r="H1" s="172"/>
      <c r="I1" s="172"/>
      <c r="J1" s="172"/>
    </row>
    <row r="3" spans="1:10" s="96" customFormat="1" ht="15" x14ac:dyDescent="0.25">
      <c r="A3" s="182" t="s">
        <v>364</v>
      </c>
      <c r="B3" s="182"/>
      <c r="C3" s="182"/>
      <c r="D3" s="182"/>
      <c r="E3" s="182"/>
      <c r="F3" s="144">
        <v>39243</v>
      </c>
    </row>
    <row r="4" spans="1:10" s="96" customFormat="1" ht="15" x14ac:dyDescent="0.25">
      <c r="A4" s="65" t="s">
        <v>0</v>
      </c>
      <c r="B4" s="65" t="s">
        <v>118</v>
      </c>
      <c r="C4" s="65" t="s">
        <v>89</v>
      </c>
      <c r="D4" s="65" t="s">
        <v>92</v>
      </c>
      <c r="E4" s="65" t="s">
        <v>359</v>
      </c>
      <c r="F4" s="65" t="s">
        <v>142</v>
      </c>
      <c r="G4" s="65" t="s">
        <v>360</v>
      </c>
      <c r="H4" s="65" t="s">
        <v>361</v>
      </c>
      <c r="I4" s="65" t="s">
        <v>362</v>
      </c>
      <c r="J4" s="65" t="s">
        <v>363</v>
      </c>
    </row>
    <row r="5" spans="1:10" x14ac:dyDescent="0.2">
      <c r="A5" s="48">
        <v>1</v>
      </c>
      <c r="B5" s="48" t="s">
        <v>365</v>
      </c>
      <c r="C5" s="48" t="str">
        <f>IF(LEFT(B5,1)="V","Vàng",HLOOKUP(LEFT(B5,2),$F$17:$I$19,2,0))</f>
        <v>Vàng</v>
      </c>
      <c r="D5" s="48">
        <f>INT(RIGHT(B5,4))</f>
        <v>1003</v>
      </c>
      <c r="E5" s="81">
        <v>39248</v>
      </c>
      <c r="F5" s="48" t="s">
        <v>375</v>
      </c>
      <c r="G5" s="148">
        <f>IF(AND(LEFT(B5,3)="V18",E5=$F$3),1%,0%)</f>
        <v>0</v>
      </c>
      <c r="H5" s="48">
        <f>IF(C5="Vàng",VLOOKUP(LEFT(B5,3),$B$17:$C$20,2,0),HLOOKUP(LEFT(B5,2),$F$17:$I$19,3,0))</f>
        <v>3500</v>
      </c>
      <c r="I5" s="148">
        <f>IF(C5="Vàng",2%,IF(C5="Đôla Mỹ",1%,0%))</f>
        <v>0.02</v>
      </c>
      <c r="J5" s="49">
        <f>D5*H5*(1-G5)*(1+I5)</f>
        <v>3580710</v>
      </c>
    </row>
    <row r="6" spans="1:10" x14ac:dyDescent="0.2">
      <c r="A6" s="48">
        <v>2</v>
      </c>
      <c r="B6" s="48" t="s">
        <v>366</v>
      </c>
      <c r="C6" s="48" t="str">
        <f t="shared" ref="C6:C14" si="0">IF(LEFT(B6,1)="V","Vàng",HLOOKUP(LEFT(B6,2),$F$17:$I$19,2,0))</f>
        <v>Vàng</v>
      </c>
      <c r="D6" s="48">
        <f t="shared" ref="D6:D14" si="1">INT(RIGHT(B6,4))</f>
        <v>2105</v>
      </c>
      <c r="E6" s="81">
        <v>39246</v>
      </c>
      <c r="F6" s="48" t="s">
        <v>375</v>
      </c>
      <c r="G6" s="148">
        <f t="shared" ref="G6:G14" si="2">IF(AND(LEFT(B6,3)="V18",E6=$F$3),1%,0%)</f>
        <v>0</v>
      </c>
      <c r="H6" s="48">
        <f t="shared" ref="H6:H14" si="3">IF(C6="Vàng",VLOOKUP(LEFT(B6,3),$B$17:$C$20,2,0),HLOOKUP(LEFT(B6,2),$F$17:$I$19,3,0))</f>
        <v>4500</v>
      </c>
      <c r="I6" s="148">
        <f t="shared" ref="I6:I14" si="4">IF(C6="Vàng",2%,IF(C6="Đôla Mỹ",1%,0%))</f>
        <v>0.02</v>
      </c>
      <c r="J6" s="49">
        <f t="shared" ref="J6:J14" si="5">D6*H6*(1-G6)*(1+I6)</f>
        <v>9661950</v>
      </c>
    </row>
    <row r="7" spans="1:10" x14ac:dyDescent="0.2">
      <c r="A7" s="48">
        <v>3</v>
      </c>
      <c r="B7" s="48" t="s">
        <v>367</v>
      </c>
      <c r="C7" s="48" t="str">
        <f t="shared" si="0"/>
        <v>Vàng</v>
      </c>
      <c r="D7" s="48">
        <f t="shared" si="1"/>
        <v>1025</v>
      </c>
      <c r="E7" s="81">
        <v>39247</v>
      </c>
      <c r="F7" s="48" t="s">
        <v>375</v>
      </c>
      <c r="G7" s="148">
        <f t="shared" si="2"/>
        <v>0</v>
      </c>
      <c r="H7" s="48">
        <f t="shared" si="3"/>
        <v>4810</v>
      </c>
      <c r="I7" s="148">
        <f t="shared" si="4"/>
        <v>0.02</v>
      </c>
      <c r="J7" s="49">
        <f t="shared" si="5"/>
        <v>5028855</v>
      </c>
    </row>
    <row r="8" spans="1:10" x14ac:dyDescent="0.2">
      <c r="A8" s="48">
        <v>4</v>
      </c>
      <c r="B8" s="48" t="s">
        <v>368</v>
      </c>
      <c r="C8" s="48" t="str">
        <f t="shared" si="0"/>
        <v>Đôla Mỹ</v>
      </c>
      <c r="D8" s="48">
        <f t="shared" si="1"/>
        <v>1450</v>
      </c>
      <c r="E8" s="81">
        <v>39243</v>
      </c>
      <c r="F8" s="48" t="s">
        <v>376</v>
      </c>
      <c r="G8" s="148">
        <f t="shared" si="2"/>
        <v>0</v>
      </c>
      <c r="H8" s="48">
        <f t="shared" si="3"/>
        <v>14.75</v>
      </c>
      <c r="I8" s="148">
        <f t="shared" si="4"/>
        <v>0.01</v>
      </c>
      <c r="J8" s="49">
        <f t="shared" si="5"/>
        <v>21601.375</v>
      </c>
    </row>
    <row r="9" spans="1:10" x14ac:dyDescent="0.2">
      <c r="A9" s="48">
        <v>5</v>
      </c>
      <c r="B9" s="48" t="s">
        <v>369</v>
      </c>
      <c r="C9" s="48" t="str">
        <f t="shared" si="0"/>
        <v>Quan Pháp</v>
      </c>
      <c r="D9" s="48">
        <f t="shared" si="1"/>
        <v>5500</v>
      </c>
      <c r="E9" s="81">
        <v>39244</v>
      </c>
      <c r="F9" s="48" t="s">
        <v>377</v>
      </c>
      <c r="G9" s="148">
        <f t="shared" si="2"/>
        <v>0</v>
      </c>
      <c r="H9" s="48">
        <f t="shared" si="3"/>
        <v>2.5</v>
      </c>
      <c r="I9" s="148">
        <f t="shared" si="4"/>
        <v>0</v>
      </c>
      <c r="J9" s="49">
        <f t="shared" si="5"/>
        <v>13750</v>
      </c>
    </row>
    <row r="10" spans="1:10" x14ac:dyDescent="0.2">
      <c r="A10" s="48">
        <v>6</v>
      </c>
      <c r="B10" s="48" t="s">
        <v>370</v>
      </c>
      <c r="C10" s="48" t="str">
        <f t="shared" si="0"/>
        <v>Mác Đức</v>
      </c>
      <c r="D10" s="48">
        <f t="shared" si="1"/>
        <v>3000</v>
      </c>
      <c r="E10" s="81">
        <v>39244</v>
      </c>
      <c r="F10" s="48" t="s">
        <v>378</v>
      </c>
      <c r="G10" s="148">
        <f t="shared" si="2"/>
        <v>0</v>
      </c>
      <c r="H10" s="48">
        <f t="shared" si="3"/>
        <v>8.4</v>
      </c>
      <c r="I10" s="148">
        <f t="shared" si="4"/>
        <v>0</v>
      </c>
      <c r="J10" s="49">
        <f t="shared" si="5"/>
        <v>25200</v>
      </c>
    </row>
    <row r="11" spans="1:10" x14ac:dyDescent="0.2">
      <c r="A11" s="48">
        <v>7</v>
      </c>
      <c r="B11" s="48" t="s">
        <v>371</v>
      </c>
      <c r="C11" s="48" t="str">
        <f t="shared" si="0"/>
        <v>Vàng</v>
      </c>
      <c r="D11" s="48">
        <f t="shared" si="1"/>
        <v>3502</v>
      </c>
      <c r="E11" s="81">
        <v>39243</v>
      </c>
      <c r="F11" s="48" t="s">
        <v>375</v>
      </c>
      <c r="G11" s="148">
        <f t="shared" si="2"/>
        <v>0.01</v>
      </c>
      <c r="H11" s="48">
        <f t="shared" si="3"/>
        <v>3500</v>
      </c>
      <c r="I11" s="148">
        <f t="shared" si="4"/>
        <v>0.02</v>
      </c>
      <c r="J11" s="49">
        <f t="shared" si="5"/>
        <v>12377118.6</v>
      </c>
    </row>
    <row r="12" spans="1:10" x14ac:dyDescent="0.2">
      <c r="A12" s="48">
        <v>8</v>
      </c>
      <c r="B12" s="48" t="s">
        <v>372</v>
      </c>
      <c r="C12" s="48" t="str">
        <f t="shared" si="0"/>
        <v>Đôla Mỹ</v>
      </c>
      <c r="D12" s="48">
        <f t="shared" si="1"/>
        <v>2450</v>
      </c>
      <c r="E12" s="81">
        <v>39248</v>
      </c>
      <c r="F12" s="48" t="s">
        <v>376</v>
      </c>
      <c r="G12" s="148">
        <f t="shared" si="2"/>
        <v>0</v>
      </c>
      <c r="H12" s="48">
        <f t="shared" si="3"/>
        <v>14.75</v>
      </c>
      <c r="I12" s="148">
        <f t="shared" si="4"/>
        <v>0.01</v>
      </c>
      <c r="J12" s="49">
        <f t="shared" si="5"/>
        <v>36498.875</v>
      </c>
    </row>
    <row r="13" spans="1:10" x14ac:dyDescent="0.2">
      <c r="A13" s="48">
        <v>9</v>
      </c>
      <c r="B13" s="48" t="s">
        <v>373</v>
      </c>
      <c r="C13" s="48" t="str">
        <f t="shared" si="0"/>
        <v>Vàng</v>
      </c>
      <c r="D13" s="48">
        <f t="shared" si="1"/>
        <v>3052</v>
      </c>
      <c r="E13" s="81">
        <v>39248</v>
      </c>
      <c r="F13" s="48" t="s">
        <v>375</v>
      </c>
      <c r="G13" s="148">
        <f t="shared" si="2"/>
        <v>0</v>
      </c>
      <c r="H13" s="48">
        <f t="shared" si="3"/>
        <v>4810</v>
      </c>
      <c r="I13" s="148">
        <f t="shared" si="4"/>
        <v>0.02</v>
      </c>
      <c r="J13" s="49">
        <f t="shared" si="5"/>
        <v>14973722.4</v>
      </c>
    </row>
    <row r="14" spans="1:10" x14ac:dyDescent="0.2">
      <c r="A14" s="48">
        <v>10</v>
      </c>
      <c r="B14" s="48" t="s">
        <v>374</v>
      </c>
      <c r="C14" s="48" t="str">
        <f t="shared" si="0"/>
        <v>Vàng</v>
      </c>
      <c r="D14" s="48">
        <f t="shared" si="1"/>
        <v>5503</v>
      </c>
      <c r="E14" s="81">
        <v>39243</v>
      </c>
      <c r="F14" s="48" t="s">
        <v>375</v>
      </c>
      <c r="G14" s="148">
        <f t="shared" si="2"/>
        <v>0</v>
      </c>
      <c r="H14" s="48">
        <f t="shared" si="3"/>
        <v>4500</v>
      </c>
      <c r="I14" s="148">
        <f t="shared" si="4"/>
        <v>0.02</v>
      </c>
      <c r="J14" s="49">
        <f t="shared" si="5"/>
        <v>25258770</v>
      </c>
    </row>
    <row r="16" spans="1:10" ht="15" x14ac:dyDescent="0.25">
      <c r="B16" s="183" t="s">
        <v>387</v>
      </c>
      <c r="C16" s="183"/>
      <c r="F16" s="183" t="s">
        <v>388</v>
      </c>
      <c r="G16" s="183"/>
      <c r="H16" s="183"/>
      <c r="I16" s="183"/>
    </row>
    <row r="17" spans="2:9" s="138" customFormat="1" ht="15" x14ac:dyDescent="0.25">
      <c r="B17" s="140" t="s">
        <v>379</v>
      </c>
      <c r="C17" s="140" t="s">
        <v>361</v>
      </c>
      <c r="F17" s="140" t="s">
        <v>383</v>
      </c>
      <c r="G17" s="139" t="s">
        <v>376</v>
      </c>
      <c r="H17" s="139" t="s">
        <v>377</v>
      </c>
      <c r="I17" s="139" t="s">
        <v>378</v>
      </c>
    </row>
    <row r="18" spans="2:9" s="138" customFormat="1" ht="15" x14ac:dyDescent="0.25">
      <c r="B18" s="139" t="s">
        <v>380</v>
      </c>
      <c r="C18" s="139">
        <v>4810</v>
      </c>
      <c r="F18" s="140" t="s">
        <v>89</v>
      </c>
      <c r="G18" s="139" t="s">
        <v>384</v>
      </c>
      <c r="H18" s="139" t="s">
        <v>385</v>
      </c>
      <c r="I18" s="139" t="s">
        <v>386</v>
      </c>
    </row>
    <row r="19" spans="2:9" s="138" customFormat="1" ht="15" x14ac:dyDescent="0.25">
      <c r="B19" s="139" t="s">
        <v>381</v>
      </c>
      <c r="C19" s="139">
        <v>4500</v>
      </c>
      <c r="F19" s="140" t="s">
        <v>93</v>
      </c>
      <c r="G19" s="139">
        <v>14.75</v>
      </c>
      <c r="H19" s="139">
        <v>2.5</v>
      </c>
      <c r="I19" s="139">
        <v>8.4</v>
      </c>
    </row>
    <row r="20" spans="2:9" s="138" customFormat="1" x14ac:dyDescent="0.2">
      <c r="B20" s="139" t="s">
        <v>382</v>
      </c>
      <c r="C20" s="139">
        <v>3500</v>
      </c>
    </row>
  </sheetData>
  <mergeCells count="4">
    <mergeCell ref="A1:J1"/>
    <mergeCell ref="A3:E3"/>
    <mergeCell ref="B16:C16"/>
    <mergeCell ref="F16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" sqref="C1"/>
    </sheetView>
  </sheetViews>
  <sheetFormatPr defaultColWidth="9.125" defaultRowHeight="14.25" x14ac:dyDescent="0.2"/>
  <cols>
    <col min="1" max="1" width="6.875" style="2" customWidth="1"/>
    <col min="2" max="2" width="14.125" style="2" customWidth="1"/>
    <col min="3" max="3" width="9.125" style="2"/>
    <col min="4" max="4" width="10.625" style="2" bestFit="1" customWidth="1"/>
    <col min="5" max="5" width="9.125" style="2"/>
    <col min="6" max="6" width="10.875" style="2" customWidth="1"/>
    <col min="7" max="7" width="11.875" style="2" customWidth="1"/>
    <col min="8" max="8" width="11.375" style="2" customWidth="1"/>
    <col min="9" max="16384" width="9.125" style="2"/>
  </cols>
  <sheetData>
    <row r="1" spans="1:8" ht="15.75" thickBot="1" x14ac:dyDescent="0.25">
      <c r="A1" s="23" t="s">
        <v>0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5" t="s">
        <v>26</v>
      </c>
    </row>
    <row r="2" spans="1:8" x14ac:dyDescent="0.2">
      <c r="A2" s="17">
        <v>1</v>
      </c>
      <c r="B2" s="17" t="s">
        <v>27</v>
      </c>
      <c r="C2" s="17" t="s">
        <v>33</v>
      </c>
      <c r="D2" s="20">
        <v>7500</v>
      </c>
      <c r="E2" s="18">
        <v>150</v>
      </c>
      <c r="F2" s="26">
        <f>5%*(D2*E2)</f>
        <v>56250</v>
      </c>
      <c r="G2" s="26">
        <f>D2*E2+F2</f>
        <v>1181250</v>
      </c>
      <c r="H2" s="26">
        <f>(G2+10%*G2)/E2</f>
        <v>8662.5</v>
      </c>
    </row>
    <row r="3" spans="1:8" x14ac:dyDescent="0.2">
      <c r="A3" s="3">
        <v>2</v>
      </c>
      <c r="B3" s="3" t="s">
        <v>28</v>
      </c>
      <c r="C3" s="3" t="s">
        <v>34</v>
      </c>
      <c r="D3" s="21">
        <v>10000</v>
      </c>
      <c r="E3" s="19">
        <v>225</v>
      </c>
      <c r="F3" s="26">
        <f t="shared" ref="F3:F13" si="0">5%*(D3*E3)</f>
        <v>112500</v>
      </c>
      <c r="G3" s="26">
        <f t="shared" ref="G3:G13" si="1">D3*E3+F3</f>
        <v>2362500</v>
      </c>
      <c r="H3" s="26">
        <f t="shared" ref="H3:H13" si="2">(G3+10%*G3)/E3</f>
        <v>11550</v>
      </c>
    </row>
    <row r="4" spans="1:8" x14ac:dyDescent="0.2">
      <c r="A4" s="3">
        <v>3</v>
      </c>
      <c r="B4" s="3" t="s">
        <v>29</v>
      </c>
      <c r="C4" s="3" t="s">
        <v>33</v>
      </c>
      <c r="D4" s="21">
        <v>40000</v>
      </c>
      <c r="E4" s="19">
        <v>118</v>
      </c>
      <c r="F4" s="26">
        <f t="shared" si="0"/>
        <v>236000</v>
      </c>
      <c r="G4" s="26">
        <f t="shared" si="1"/>
        <v>4956000</v>
      </c>
      <c r="H4" s="26">
        <f t="shared" si="2"/>
        <v>46200</v>
      </c>
    </row>
    <row r="5" spans="1:8" x14ac:dyDescent="0.2">
      <c r="A5" s="3">
        <v>4</v>
      </c>
      <c r="B5" s="3" t="s">
        <v>30</v>
      </c>
      <c r="C5" s="3" t="s">
        <v>35</v>
      </c>
      <c r="D5" s="21">
        <v>7800</v>
      </c>
      <c r="E5" s="19">
        <v>430</v>
      </c>
      <c r="F5" s="26">
        <f t="shared" si="0"/>
        <v>167700</v>
      </c>
      <c r="G5" s="26">
        <f t="shared" si="1"/>
        <v>3521700</v>
      </c>
      <c r="H5" s="26">
        <f t="shared" si="2"/>
        <v>9009</v>
      </c>
    </row>
    <row r="6" spans="1:8" x14ac:dyDescent="0.2">
      <c r="A6" s="3">
        <v>5</v>
      </c>
      <c r="B6" s="3" t="s">
        <v>31</v>
      </c>
      <c r="C6" s="3" t="s">
        <v>33</v>
      </c>
      <c r="D6" s="21">
        <v>3500</v>
      </c>
      <c r="E6" s="19">
        <v>105</v>
      </c>
      <c r="F6" s="26">
        <f t="shared" si="0"/>
        <v>18375</v>
      </c>
      <c r="G6" s="26">
        <f t="shared" si="1"/>
        <v>385875</v>
      </c>
      <c r="H6" s="26">
        <f t="shared" si="2"/>
        <v>4042.5</v>
      </c>
    </row>
    <row r="7" spans="1:8" x14ac:dyDescent="0.2">
      <c r="A7" s="3">
        <v>6</v>
      </c>
      <c r="B7" s="3" t="s">
        <v>32</v>
      </c>
      <c r="C7" s="3" t="s">
        <v>33</v>
      </c>
      <c r="D7" s="21">
        <v>6000</v>
      </c>
      <c r="E7" s="19">
        <v>530</v>
      </c>
      <c r="F7" s="26">
        <f t="shared" si="0"/>
        <v>159000</v>
      </c>
      <c r="G7" s="26">
        <f t="shared" si="1"/>
        <v>3339000</v>
      </c>
      <c r="H7" s="26">
        <f t="shared" si="2"/>
        <v>6930</v>
      </c>
    </row>
    <row r="8" spans="1:8" x14ac:dyDescent="0.2">
      <c r="A8" s="3">
        <v>7</v>
      </c>
      <c r="B8" s="3" t="s">
        <v>27</v>
      </c>
      <c r="C8" s="3" t="s">
        <v>33</v>
      </c>
      <c r="D8" s="21">
        <v>4300</v>
      </c>
      <c r="E8" s="19">
        <v>275</v>
      </c>
      <c r="F8" s="26">
        <f t="shared" si="0"/>
        <v>59125</v>
      </c>
      <c r="G8" s="26">
        <f t="shared" si="1"/>
        <v>1241625</v>
      </c>
      <c r="H8" s="26">
        <f t="shared" si="2"/>
        <v>4966.5</v>
      </c>
    </row>
    <row r="9" spans="1:8" x14ac:dyDescent="0.2">
      <c r="A9" s="3">
        <v>8</v>
      </c>
      <c r="B9" s="3" t="s">
        <v>31</v>
      </c>
      <c r="C9" s="3" t="s">
        <v>33</v>
      </c>
      <c r="D9" s="21">
        <v>3500</v>
      </c>
      <c r="E9" s="19">
        <v>200</v>
      </c>
      <c r="F9" s="26">
        <f t="shared" si="0"/>
        <v>35000</v>
      </c>
      <c r="G9" s="26">
        <f t="shared" si="1"/>
        <v>735000</v>
      </c>
      <c r="H9" s="26">
        <f t="shared" si="2"/>
        <v>4042.5</v>
      </c>
    </row>
    <row r="10" spans="1:8" x14ac:dyDescent="0.2">
      <c r="A10" s="3">
        <v>9</v>
      </c>
      <c r="B10" s="3" t="s">
        <v>28</v>
      </c>
      <c r="C10" s="3" t="s">
        <v>34</v>
      </c>
      <c r="D10" s="21">
        <v>10000</v>
      </c>
      <c r="E10" s="19">
        <v>124</v>
      </c>
      <c r="F10" s="26">
        <f t="shared" si="0"/>
        <v>62000</v>
      </c>
      <c r="G10" s="26">
        <f t="shared" si="1"/>
        <v>1302000</v>
      </c>
      <c r="H10" s="26">
        <f t="shared" si="2"/>
        <v>11550</v>
      </c>
    </row>
    <row r="11" spans="1:8" x14ac:dyDescent="0.2">
      <c r="A11" s="3">
        <v>10</v>
      </c>
      <c r="B11" s="3" t="s">
        <v>29</v>
      </c>
      <c r="C11" s="3" t="s">
        <v>33</v>
      </c>
      <c r="D11" s="21">
        <v>40000</v>
      </c>
      <c r="E11" s="19">
        <v>215</v>
      </c>
      <c r="F11" s="26">
        <f t="shared" si="0"/>
        <v>430000</v>
      </c>
      <c r="G11" s="26">
        <f t="shared" si="1"/>
        <v>9030000</v>
      </c>
      <c r="H11" s="26">
        <f t="shared" si="2"/>
        <v>46200</v>
      </c>
    </row>
    <row r="12" spans="1:8" x14ac:dyDescent="0.2">
      <c r="A12" s="3">
        <v>11</v>
      </c>
      <c r="B12" s="3" t="s">
        <v>32</v>
      </c>
      <c r="C12" s="3" t="s">
        <v>33</v>
      </c>
      <c r="D12" s="21">
        <v>6000</v>
      </c>
      <c r="E12" s="19">
        <v>100</v>
      </c>
      <c r="F12" s="26">
        <f t="shared" si="0"/>
        <v>30000</v>
      </c>
      <c r="G12" s="26">
        <f t="shared" si="1"/>
        <v>630000</v>
      </c>
      <c r="H12" s="26">
        <f t="shared" si="2"/>
        <v>6930</v>
      </c>
    </row>
    <row r="13" spans="1:8" x14ac:dyDescent="0.2">
      <c r="A13" s="3">
        <v>12</v>
      </c>
      <c r="B13" s="3" t="s">
        <v>27</v>
      </c>
      <c r="C13" s="3" t="s">
        <v>33</v>
      </c>
      <c r="D13" s="21">
        <v>4300</v>
      </c>
      <c r="E13" s="19">
        <v>123</v>
      </c>
      <c r="F13" s="26">
        <f t="shared" si="0"/>
        <v>26445</v>
      </c>
      <c r="G13" s="26">
        <f t="shared" si="1"/>
        <v>555345</v>
      </c>
      <c r="H13" s="26">
        <f t="shared" si="2"/>
        <v>4966.5</v>
      </c>
    </row>
    <row r="14" spans="1:8" ht="15" x14ac:dyDescent="0.2">
      <c r="A14" s="154" t="s">
        <v>36</v>
      </c>
      <c r="B14" s="155"/>
      <c r="C14" s="155"/>
      <c r="D14" s="155"/>
      <c r="E14" s="155"/>
      <c r="F14" s="156"/>
      <c r="G14" s="27">
        <f>SUM(G2:G13)</f>
        <v>29240295</v>
      </c>
      <c r="H14" s="3"/>
    </row>
  </sheetData>
  <mergeCells count="1">
    <mergeCell ref="A14:F14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0"/>
  <sheetViews>
    <sheetView tabSelected="1" workbookViewId="0">
      <selection activeCell="J7" sqref="J7"/>
    </sheetView>
  </sheetViews>
  <sheetFormatPr defaultRowHeight="14.25" x14ac:dyDescent="0.2"/>
  <cols>
    <col min="1" max="1" width="13.25" customWidth="1"/>
    <col min="3" max="3" width="13" customWidth="1"/>
    <col min="4" max="4" width="10.625" customWidth="1"/>
    <col min="5" max="5" width="11.375" customWidth="1"/>
    <col min="6" max="7" width="16.75" customWidth="1"/>
    <col min="8" max="8" width="17.375" customWidth="1"/>
    <col min="9" max="9" width="16.625" customWidth="1"/>
    <col min="10" max="10" width="15.25" customWidth="1"/>
  </cols>
  <sheetData>
    <row r="1" spans="1:10" ht="15" x14ac:dyDescent="0.25">
      <c r="A1" s="172" t="s">
        <v>389</v>
      </c>
      <c r="B1" s="172"/>
      <c r="C1" s="172"/>
      <c r="D1" s="172"/>
      <c r="E1" s="172"/>
      <c r="F1" s="172"/>
      <c r="G1" s="172"/>
      <c r="H1" s="172"/>
      <c r="I1" s="172"/>
      <c r="J1" s="172"/>
    </row>
    <row r="2" spans="1:10" x14ac:dyDescent="0.2">
      <c r="F2" s="184" t="s">
        <v>390</v>
      </c>
      <c r="G2" s="184"/>
      <c r="H2" s="184"/>
      <c r="I2" s="149">
        <v>41061</v>
      </c>
    </row>
    <row r="3" spans="1:10" ht="15" x14ac:dyDescent="0.25">
      <c r="A3" s="118" t="s">
        <v>391</v>
      </c>
      <c r="B3" s="118" t="s">
        <v>88</v>
      </c>
      <c r="C3" s="118" t="s">
        <v>2</v>
      </c>
      <c r="D3" s="118" t="s">
        <v>394</v>
      </c>
      <c r="E3" s="118" t="s">
        <v>392</v>
      </c>
      <c r="F3" s="118" t="s">
        <v>393</v>
      </c>
      <c r="G3" s="118" t="s">
        <v>41</v>
      </c>
      <c r="H3" s="118" t="s">
        <v>395</v>
      </c>
      <c r="I3" s="118" t="s">
        <v>396</v>
      </c>
      <c r="J3" s="118" t="s">
        <v>397</v>
      </c>
    </row>
    <row r="4" spans="1:10" x14ac:dyDescent="0.2">
      <c r="A4" s="48" t="s">
        <v>398</v>
      </c>
      <c r="B4" s="48" t="s">
        <v>407</v>
      </c>
      <c r="C4" s="81">
        <v>40988</v>
      </c>
      <c r="D4" s="48">
        <v>6.2</v>
      </c>
      <c r="E4" s="48">
        <f>INT(($I$2-C4)/30)</f>
        <v>2</v>
      </c>
      <c r="F4" s="48" t="str">
        <f>VLOOKUP(MID(B4,2,1),$B$14:$C$18,2,0)</f>
        <v>Bỏ ăn bỏ bú</v>
      </c>
      <c r="G4" s="48" t="str">
        <f>IF(RIGHT(B4,1)="S","Con so","Con rạ")</f>
        <v>Con rạ</v>
      </c>
      <c r="H4" s="48" t="str">
        <f>IF(AND(MID(B4,3,1)="T",D4&lt;VLOOKUP(E4,$E$14:$G$20,2,0)),"Suy DD",IF(AND(MID(B4,3,1)="T",D4&gt;=VLOOKUP(E4,$E$14:$G$20,2,0)),"PT bình thường",""))</f>
        <v/>
      </c>
      <c r="I4" s="48" t="str">
        <f>IF(AND(MID(B4,3,1)="G",D4&lt;VLOOKUP(E4,$E$14:$G$20,3,0)),"Suy DD",IF(AND(MID(B4,3,1)="G",D4&gt;=VLOOKUP(E4,$E$14:$G$20,3,0)),"PT bình thường",""))</f>
        <v>PT bình thường</v>
      </c>
      <c r="J4" s="48" t="str">
        <f>IF(AND(INT(LEFT(B4,1))=1,OR(H4="Suy DD",I4="Suy DD")),"Siêu âm",IF(AND(INT(LEFT(B4,1))&gt;1,OR(H4="Suy DD",I4="Suy DD")),"Thuốc/Theo dõi","Thay chế độ ăn"))</f>
        <v>Thay chế độ ăn</v>
      </c>
    </row>
    <row r="5" spans="1:10" x14ac:dyDescent="0.2">
      <c r="A5" s="48" t="s">
        <v>399</v>
      </c>
      <c r="B5" s="48" t="s">
        <v>408</v>
      </c>
      <c r="C5" s="81">
        <v>40861</v>
      </c>
      <c r="D5" s="48">
        <v>6.6</v>
      </c>
      <c r="E5" s="48">
        <f t="shared" ref="E5:E12" si="0">INT(($I$2-C5)/30)</f>
        <v>6</v>
      </c>
      <c r="F5" s="48" t="str">
        <f t="shared" ref="F5:F12" si="1">VLOOKUP(MID(B5,2,1),$B$14:$C$18,2,0)</f>
        <v>Bỏ bú</v>
      </c>
      <c r="G5" s="48" t="str">
        <f t="shared" ref="G5:G12" si="2">IF(RIGHT(B5,1)="S","Con so","Con rạ")</f>
        <v>Con so</v>
      </c>
      <c r="H5" s="48" t="str">
        <f t="shared" ref="H5:H12" si="3">IF(AND(MID(B5,3,1)="T",D5&lt;VLOOKUP(E5,$E$14:$G$20,2,0)),"Suy DD",IF(AND(MID(B5,3,1)="T",D5&gt;=VLOOKUP(E5,$E$14:$G$20,2,0)),"PT bình thường",""))</f>
        <v/>
      </c>
      <c r="I5" s="48" t="str">
        <f t="shared" ref="I5:I12" si="4">IF(AND(MID(B5,3,1)="G",D5&lt;VLOOKUP(E5,$E$14:$G$20,3,0)),"Suy DD",IF(AND(MID(B5,3,1)="G",D5&gt;=VLOOKUP(E5,$E$14:$G$20,3,0)),"PT bình thường",""))</f>
        <v>Suy DD</v>
      </c>
      <c r="J5" s="48" t="str">
        <f t="shared" ref="J5:J12" si="5">IF(AND(INT(LEFT(B5,1))=1,OR(H5="Suy DD",I5="Suy DD")),"Siêu âm",IF(AND(INT(LEFT(B5,1))&gt;1,OR(H5="Suy DD",I5="Suy DD")),"Thuốc/Theo dõi","Thay chế độ ăn"))</f>
        <v>Siêu âm</v>
      </c>
    </row>
    <row r="6" spans="1:10" x14ac:dyDescent="0.2">
      <c r="A6" s="48" t="s">
        <v>400</v>
      </c>
      <c r="B6" s="48" t="s">
        <v>409</v>
      </c>
      <c r="C6" s="81">
        <v>40848</v>
      </c>
      <c r="D6" s="48">
        <v>8.6</v>
      </c>
      <c r="E6" s="48">
        <f t="shared" si="0"/>
        <v>7</v>
      </c>
      <c r="F6" s="48" t="str">
        <f t="shared" si="1"/>
        <v>Bỏ ăn bỏ bú</v>
      </c>
      <c r="G6" s="48" t="str">
        <f t="shared" si="2"/>
        <v>Con so</v>
      </c>
      <c r="H6" s="48" t="str">
        <f>IF(AND(MID(B6,3,1)="T",D6&lt;VLOOKUP(E6,$E$14:$G$20,2,0)),"Suy DD",IF(AND(MID(B6,3,1)="T",D6&gt;=VLOOKUP(E6,$E$14:$G$20,2,0)),"PT bình thường",""))</f>
        <v>PT bình thường</v>
      </c>
      <c r="I6" s="48" t="str">
        <f t="shared" si="4"/>
        <v/>
      </c>
      <c r="J6" s="48" t="str">
        <f t="shared" si="5"/>
        <v>Thay chế độ ăn</v>
      </c>
    </row>
    <row r="7" spans="1:10" x14ac:dyDescent="0.2">
      <c r="A7" s="48" t="s">
        <v>401</v>
      </c>
      <c r="B7" s="48" t="s">
        <v>410</v>
      </c>
      <c r="C7" s="81">
        <v>40907</v>
      </c>
      <c r="D7" s="48">
        <v>5.0999999999999996</v>
      </c>
      <c r="E7" s="48">
        <f t="shared" si="0"/>
        <v>5</v>
      </c>
      <c r="F7" s="48" t="str">
        <f t="shared" si="1"/>
        <v>Bỏ ăn bỏ bú</v>
      </c>
      <c r="G7" s="48" t="str">
        <f t="shared" si="2"/>
        <v>Con so</v>
      </c>
      <c r="H7" s="48" t="str">
        <f t="shared" si="3"/>
        <v/>
      </c>
      <c r="I7" s="48" t="str">
        <f t="shared" si="4"/>
        <v>Suy DD</v>
      </c>
      <c r="J7" s="48" t="str">
        <f t="shared" si="5"/>
        <v>Siêu âm</v>
      </c>
    </row>
    <row r="8" spans="1:10" x14ac:dyDescent="0.2">
      <c r="A8" s="48" t="s">
        <v>402</v>
      </c>
      <c r="B8" s="48" t="s">
        <v>411</v>
      </c>
      <c r="C8" s="81">
        <v>40923</v>
      </c>
      <c r="D8" s="48">
        <v>5</v>
      </c>
      <c r="E8" s="48">
        <f t="shared" si="0"/>
        <v>4</v>
      </c>
      <c r="F8" s="48" t="str">
        <f t="shared" si="1"/>
        <v>Có bệnh</v>
      </c>
      <c r="G8" s="48" t="str">
        <f t="shared" si="2"/>
        <v>Con rạ</v>
      </c>
      <c r="H8" s="48" t="str">
        <f t="shared" si="3"/>
        <v>Suy DD</v>
      </c>
      <c r="I8" s="48" t="str">
        <f t="shared" si="4"/>
        <v/>
      </c>
      <c r="J8" s="48" t="str">
        <f t="shared" si="5"/>
        <v>Thuốc/Theo dõi</v>
      </c>
    </row>
    <row r="9" spans="1:10" x14ac:dyDescent="0.2">
      <c r="A9" s="48" t="s">
        <v>403</v>
      </c>
      <c r="B9" s="48" t="s">
        <v>412</v>
      </c>
      <c r="C9" s="81">
        <v>40978</v>
      </c>
      <c r="D9" s="48">
        <v>5.5</v>
      </c>
      <c r="E9" s="48">
        <f t="shared" si="0"/>
        <v>2</v>
      </c>
      <c r="F9" s="48" t="str">
        <f t="shared" si="1"/>
        <v>Bỏ bú</v>
      </c>
      <c r="G9" s="48" t="str">
        <f t="shared" si="2"/>
        <v>Con rạ</v>
      </c>
      <c r="H9" s="48" t="str">
        <f t="shared" si="3"/>
        <v/>
      </c>
      <c r="I9" s="48" t="str">
        <f t="shared" si="4"/>
        <v>PT bình thường</v>
      </c>
      <c r="J9" s="48" t="str">
        <f t="shared" si="5"/>
        <v>Thay chế độ ăn</v>
      </c>
    </row>
    <row r="10" spans="1:10" x14ac:dyDescent="0.2">
      <c r="A10" s="48" t="s">
        <v>404</v>
      </c>
      <c r="B10" s="48" t="s">
        <v>413</v>
      </c>
      <c r="C10" s="81">
        <v>40951</v>
      </c>
      <c r="D10" s="48">
        <v>5.6</v>
      </c>
      <c r="E10" s="48">
        <f t="shared" si="0"/>
        <v>3</v>
      </c>
      <c r="F10" s="48" t="str">
        <f t="shared" si="1"/>
        <v>Bỏ ăn bỏ bú</v>
      </c>
      <c r="G10" s="48" t="str">
        <f t="shared" si="2"/>
        <v>Con rạ</v>
      </c>
      <c r="H10" s="48" t="str">
        <f t="shared" si="3"/>
        <v>Suy DD</v>
      </c>
      <c r="I10" s="48" t="str">
        <f t="shared" si="4"/>
        <v/>
      </c>
      <c r="J10" s="48" t="str">
        <f t="shared" si="5"/>
        <v>Siêu âm</v>
      </c>
    </row>
    <row r="11" spans="1:10" x14ac:dyDescent="0.2">
      <c r="A11" s="48" t="s">
        <v>405</v>
      </c>
      <c r="B11" s="48" t="s">
        <v>414</v>
      </c>
      <c r="C11" s="81">
        <v>40869</v>
      </c>
      <c r="D11" s="48">
        <v>6</v>
      </c>
      <c r="E11" s="48">
        <f t="shared" si="0"/>
        <v>6</v>
      </c>
      <c r="F11" s="48" t="str">
        <f t="shared" si="1"/>
        <v>Bỏ ăn bỏ bú</v>
      </c>
      <c r="G11" s="48" t="str">
        <f t="shared" si="2"/>
        <v>Con so</v>
      </c>
      <c r="H11" s="48" t="str">
        <f t="shared" si="3"/>
        <v>Suy DD</v>
      </c>
      <c r="I11" s="48" t="str">
        <f t="shared" si="4"/>
        <v/>
      </c>
      <c r="J11" s="48" t="str">
        <f t="shared" si="5"/>
        <v>Thuốc/Theo dõi</v>
      </c>
    </row>
    <row r="12" spans="1:10" x14ac:dyDescent="0.2">
      <c r="A12" s="48" t="s">
        <v>406</v>
      </c>
      <c r="B12" s="48" t="s">
        <v>415</v>
      </c>
      <c r="C12" s="81">
        <v>40910</v>
      </c>
      <c r="D12" s="48">
        <v>7</v>
      </c>
      <c r="E12" s="48">
        <f t="shared" si="0"/>
        <v>5</v>
      </c>
      <c r="F12" s="48" t="str">
        <f t="shared" si="1"/>
        <v>Có bệnh</v>
      </c>
      <c r="G12" s="48" t="str">
        <f t="shared" si="2"/>
        <v>Con rạ</v>
      </c>
      <c r="H12" s="48" t="str">
        <f t="shared" si="3"/>
        <v/>
      </c>
      <c r="I12" s="48" t="str">
        <f t="shared" si="4"/>
        <v>PT bình thường</v>
      </c>
      <c r="J12" s="48" t="str">
        <f t="shared" si="5"/>
        <v>Thay chế độ ăn</v>
      </c>
    </row>
    <row r="13" spans="1:10" s="101" customFormat="1" x14ac:dyDescent="0.2"/>
    <row r="14" spans="1:10" ht="15" x14ac:dyDescent="0.25">
      <c r="B14" s="118" t="s">
        <v>88</v>
      </c>
      <c r="C14" s="118" t="s">
        <v>416</v>
      </c>
      <c r="E14" s="118" t="s">
        <v>392</v>
      </c>
      <c r="F14" s="118" t="s">
        <v>420</v>
      </c>
      <c r="G14" s="118" t="s">
        <v>421</v>
      </c>
    </row>
    <row r="15" spans="1:10" x14ac:dyDescent="0.2">
      <c r="B15" s="48" t="s">
        <v>55</v>
      </c>
      <c r="C15" s="48" t="s">
        <v>417</v>
      </c>
      <c r="E15" s="48">
        <v>2</v>
      </c>
      <c r="F15" s="48">
        <v>5.3</v>
      </c>
      <c r="G15" s="48">
        <v>5</v>
      </c>
    </row>
    <row r="16" spans="1:10" x14ac:dyDescent="0.2">
      <c r="B16" s="48" t="s">
        <v>56</v>
      </c>
      <c r="C16" s="48" t="s">
        <v>418</v>
      </c>
      <c r="E16" s="48">
        <v>3</v>
      </c>
      <c r="F16" s="48">
        <v>6</v>
      </c>
      <c r="G16" s="48">
        <v>5.5</v>
      </c>
    </row>
    <row r="17" spans="2:7" x14ac:dyDescent="0.2">
      <c r="B17" s="48" t="s">
        <v>291</v>
      </c>
      <c r="C17" s="48" t="s">
        <v>418</v>
      </c>
      <c r="E17" s="48">
        <v>4</v>
      </c>
      <c r="F17" s="48">
        <v>6.5</v>
      </c>
      <c r="G17" s="48">
        <v>6</v>
      </c>
    </row>
    <row r="18" spans="2:7" x14ac:dyDescent="0.2">
      <c r="B18" s="48" t="s">
        <v>57</v>
      </c>
      <c r="C18" s="48" t="s">
        <v>419</v>
      </c>
      <c r="E18" s="48">
        <v>5</v>
      </c>
      <c r="F18" s="48">
        <v>7.2</v>
      </c>
      <c r="G18" s="48">
        <v>6.8</v>
      </c>
    </row>
    <row r="19" spans="2:7" x14ac:dyDescent="0.2">
      <c r="E19" s="48">
        <v>6</v>
      </c>
      <c r="F19" s="48">
        <v>7.8</v>
      </c>
      <c r="G19" s="48">
        <v>7.3</v>
      </c>
    </row>
    <row r="20" spans="2:7" x14ac:dyDescent="0.2">
      <c r="E20" s="48">
        <v>7</v>
      </c>
      <c r="F20" s="48">
        <v>8.4</v>
      </c>
      <c r="G20" s="48">
        <v>7.8</v>
      </c>
    </row>
  </sheetData>
  <mergeCells count="2">
    <mergeCell ref="A1:J1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5" sqref="A5"/>
    </sheetView>
  </sheetViews>
  <sheetFormatPr defaultColWidth="9.125" defaultRowHeight="14.25" x14ac:dyDescent="0.2"/>
  <cols>
    <col min="1" max="1" width="21.125" style="1" customWidth="1"/>
    <col min="2" max="3" width="9.125" style="1"/>
    <col min="4" max="4" width="10.625" style="1" customWidth="1"/>
    <col min="5" max="5" width="9.125" style="1"/>
    <col min="6" max="6" width="5.375" style="1" customWidth="1"/>
    <col min="7" max="7" width="12.25" style="1" customWidth="1"/>
    <col min="8" max="8" width="12.375" style="1" customWidth="1"/>
    <col min="9" max="9" width="12.25" style="1" customWidth="1"/>
    <col min="10" max="10" width="13.625" style="1" customWidth="1"/>
    <col min="11" max="11" width="13" style="1" customWidth="1"/>
    <col min="12" max="12" width="13.25" style="1" customWidth="1"/>
    <col min="13" max="13" width="13.75" style="1" customWidth="1"/>
    <col min="14" max="16384" width="9.125" style="1"/>
  </cols>
  <sheetData>
    <row r="1" spans="1:13" s="2" customFormat="1" ht="28.5" x14ac:dyDescent="0.2">
      <c r="F1" s="157" t="s">
        <v>49</v>
      </c>
      <c r="G1" s="157"/>
      <c r="H1" s="3">
        <v>850000</v>
      </c>
      <c r="I1" s="28" t="s">
        <v>50</v>
      </c>
      <c r="J1" s="3">
        <v>25</v>
      </c>
      <c r="K1" s="3" t="s">
        <v>51</v>
      </c>
      <c r="L1" s="3">
        <v>10000</v>
      </c>
    </row>
    <row r="2" spans="1:13" ht="15" thickBot="1" x14ac:dyDescent="0.25"/>
    <row r="3" spans="1:13" ht="15.75" thickTop="1" x14ac:dyDescent="0.25">
      <c r="A3" s="33" t="s">
        <v>1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4" t="s">
        <v>42</v>
      </c>
      <c r="H3" s="34" t="s">
        <v>43</v>
      </c>
      <c r="I3" s="34" t="s">
        <v>44</v>
      </c>
      <c r="J3" s="34" t="s">
        <v>45</v>
      </c>
      <c r="K3" s="34" t="s">
        <v>46</v>
      </c>
      <c r="L3" s="34" t="s">
        <v>47</v>
      </c>
      <c r="M3" s="35" t="s">
        <v>48</v>
      </c>
    </row>
    <row r="4" spans="1:13" x14ac:dyDescent="0.2">
      <c r="A4" s="29" t="s">
        <v>8</v>
      </c>
      <c r="B4" s="53">
        <v>1</v>
      </c>
      <c r="C4" s="53">
        <v>2</v>
      </c>
      <c r="D4" s="53">
        <v>22</v>
      </c>
      <c r="E4" s="53">
        <v>200</v>
      </c>
      <c r="F4" s="53" t="s">
        <v>55</v>
      </c>
      <c r="G4" s="39">
        <f>C4*$H$1*D4/$J$1</f>
        <v>1496000</v>
      </c>
      <c r="H4" s="39">
        <f>E4*$L$1</f>
        <v>2000000</v>
      </c>
      <c r="I4" s="39">
        <v>500000</v>
      </c>
      <c r="J4" s="39">
        <v>0</v>
      </c>
      <c r="K4" s="37">
        <v>1500000</v>
      </c>
      <c r="L4" s="38">
        <f>6%*G4</f>
        <v>89760</v>
      </c>
      <c r="M4" s="41">
        <f>G4+H4+J4+I4-K4-L4</f>
        <v>2406240</v>
      </c>
    </row>
    <row r="5" spans="1:13" x14ac:dyDescent="0.2">
      <c r="A5" s="29" t="s">
        <v>9</v>
      </c>
      <c r="B5" s="53">
        <v>0</v>
      </c>
      <c r="C5" s="53">
        <v>3</v>
      </c>
      <c r="D5" s="53">
        <v>23</v>
      </c>
      <c r="E5" s="53">
        <v>208</v>
      </c>
      <c r="F5" s="53" t="s">
        <v>56</v>
      </c>
      <c r="G5" s="39">
        <f t="shared" ref="G5:G14" si="0">C5*$H$1*D5/$J$1</f>
        <v>2346000</v>
      </c>
      <c r="H5" s="39">
        <f t="shared" ref="H5:H14" si="1">E5*$L$1</f>
        <v>2080000</v>
      </c>
      <c r="I5" s="39">
        <v>1000000</v>
      </c>
      <c r="J5" s="39">
        <v>500000</v>
      </c>
      <c r="K5" s="37">
        <v>1500000</v>
      </c>
      <c r="L5" s="38">
        <f t="shared" ref="L5:L11" si="2">6%*G5</f>
        <v>140760</v>
      </c>
      <c r="M5" s="41">
        <f t="shared" ref="M5:M14" si="3">G5+H5+J5+I5-K5-L5</f>
        <v>4285240</v>
      </c>
    </row>
    <row r="6" spans="1:13" x14ac:dyDescent="0.2">
      <c r="A6" s="29" t="s">
        <v>10</v>
      </c>
      <c r="B6" s="53">
        <v>1</v>
      </c>
      <c r="C6" s="53">
        <v>4</v>
      </c>
      <c r="D6" s="53">
        <v>21</v>
      </c>
      <c r="E6" s="53">
        <v>200</v>
      </c>
      <c r="F6" s="53" t="s">
        <v>55</v>
      </c>
      <c r="G6" s="39">
        <f t="shared" si="0"/>
        <v>2856000</v>
      </c>
      <c r="H6" s="39">
        <f t="shared" si="1"/>
        <v>2000000</v>
      </c>
      <c r="I6" s="39">
        <v>500000</v>
      </c>
      <c r="J6" s="39">
        <v>0</v>
      </c>
      <c r="K6" s="37">
        <v>1500000</v>
      </c>
      <c r="L6" s="38">
        <f t="shared" si="2"/>
        <v>171360</v>
      </c>
      <c r="M6" s="41">
        <f t="shared" si="3"/>
        <v>3684640</v>
      </c>
    </row>
    <row r="7" spans="1:13" x14ac:dyDescent="0.2">
      <c r="A7" s="29" t="s">
        <v>11</v>
      </c>
      <c r="B7" s="53">
        <v>1</v>
      </c>
      <c r="C7" s="53">
        <v>3</v>
      </c>
      <c r="D7" s="53">
        <v>26</v>
      </c>
      <c r="E7" s="53">
        <v>208</v>
      </c>
      <c r="F7" s="53" t="s">
        <v>56</v>
      </c>
      <c r="G7" s="39">
        <f t="shared" si="0"/>
        <v>2652000</v>
      </c>
      <c r="H7" s="39">
        <f t="shared" si="1"/>
        <v>2080000</v>
      </c>
      <c r="I7" s="39">
        <v>1000000</v>
      </c>
      <c r="J7" s="39">
        <v>0</v>
      </c>
      <c r="K7" s="37">
        <v>1500000</v>
      </c>
      <c r="L7" s="38">
        <f t="shared" si="2"/>
        <v>159120</v>
      </c>
      <c r="M7" s="41">
        <f t="shared" si="3"/>
        <v>4072880</v>
      </c>
    </row>
    <row r="8" spans="1:13" x14ac:dyDescent="0.2">
      <c r="A8" s="29" t="s">
        <v>12</v>
      </c>
      <c r="B8" s="53">
        <v>1</v>
      </c>
      <c r="C8" s="53">
        <v>2</v>
      </c>
      <c r="D8" s="53">
        <v>24</v>
      </c>
      <c r="E8" s="53">
        <v>200</v>
      </c>
      <c r="F8" s="53" t="s">
        <v>55</v>
      </c>
      <c r="G8" s="39">
        <f t="shared" si="0"/>
        <v>1632000</v>
      </c>
      <c r="H8" s="39">
        <f t="shared" si="1"/>
        <v>2000000</v>
      </c>
      <c r="I8" s="39">
        <v>500000</v>
      </c>
      <c r="J8" s="39">
        <v>0</v>
      </c>
      <c r="K8" s="37">
        <v>1500000</v>
      </c>
      <c r="L8" s="38">
        <f t="shared" si="2"/>
        <v>97920</v>
      </c>
      <c r="M8" s="41">
        <f t="shared" si="3"/>
        <v>2534080</v>
      </c>
    </row>
    <row r="9" spans="1:13" x14ac:dyDescent="0.2">
      <c r="A9" s="29" t="s">
        <v>13</v>
      </c>
      <c r="B9" s="53">
        <v>0</v>
      </c>
      <c r="C9" s="53">
        <v>4</v>
      </c>
      <c r="D9" s="53">
        <v>26</v>
      </c>
      <c r="E9" s="53">
        <v>200</v>
      </c>
      <c r="F9" s="53" t="s">
        <v>55</v>
      </c>
      <c r="G9" s="39">
        <f t="shared" si="0"/>
        <v>3536000</v>
      </c>
      <c r="H9" s="39">
        <f t="shared" si="1"/>
        <v>2000000</v>
      </c>
      <c r="I9" s="39">
        <v>500000</v>
      </c>
      <c r="J9" s="39">
        <v>500000</v>
      </c>
      <c r="K9" s="37">
        <v>1500000</v>
      </c>
      <c r="L9" s="38">
        <f t="shared" si="2"/>
        <v>212160</v>
      </c>
      <c r="M9" s="41">
        <f t="shared" si="3"/>
        <v>4823840</v>
      </c>
    </row>
    <row r="10" spans="1:13" x14ac:dyDescent="0.2">
      <c r="A10" s="29" t="s">
        <v>14</v>
      </c>
      <c r="B10" s="53">
        <v>0</v>
      </c>
      <c r="C10" s="53">
        <v>3</v>
      </c>
      <c r="D10" s="53">
        <v>22</v>
      </c>
      <c r="E10" s="53">
        <v>198</v>
      </c>
      <c r="F10" s="53" t="s">
        <v>57</v>
      </c>
      <c r="G10" s="39">
        <f t="shared" si="0"/>
        <v>2244000</v>
      </c>
      <c r="H10" s="39">
        <f t="shared" si="1"/>
        <v>1980000</v>
      </c>
      <c r="I10" s="39">
        <v>-200000</v>
      </c>
      <c r="J10" s="39">
        <v>500000</v>
      </c>
      <c r="K10" s="37">
        <v>1500000</v>
      </c>
      <c r="L10" s="38">
        <f t="shared" si="2"/>
        <v>134640</v>
      </c>
      <c r="M10" s="41">
        <f t="shared" si="3"/>
        <v>2889360</v>
      </c>
    </row>
    <row r="11" spans="1:13" x14ac:dyDescent="0.2">
      <c r="A11" s="36" t="s">
        <v>15</v>
      </c>
      <c r="B11" s="32">
        <v>0</v>
      </c>
      <c r="C11" s="32">
        <v>2</v>
      </c>
      <c r="D11" s="32">
        <v>24</v>
      </c>
      <c r="E11" s="32">
        <v>208</v>
      </c>
      <c r="F11" s="32" t="s">
        <v>56</v>
      </c>
      <c r="G11" s="39">
        <f t="shared" si="0"/>
        <v>1632000</v>
      </c>
      <c r="H11" s="39">
        <f t="shared" si="1"/>
        <v>2080000</v>
      </c>
      <c r="I11" s="40">
        <v>1000000</v>
      </c>
      <c r="J11" s="39">
        <v>500000</v>
      </c>
      <c r="K11" s="37">
        <v>1500000</v>
      </c>
      <c r="L11" s="38">
        <f t="shared" si="2"/>
        <v>97920</v>
      </c>
      <c r="M11" s="41">
        <f t="shared" si="3"/>
        <v>3614080</v>
      </c>
    </row>
    <row r="12" spans="1:13" x14ac:dyDescent="0.2">
      <c r="A12" s="36" t="s">
        <v>52</v>
      </c>
      <c r="B12" s="32">
        <v>0</v>
      </c>
      <c r="C12" s="32">
        <v>5</v>
      </c>
      <c r="D12" s="32">
        <v>26</v>
      </c>
      <c r="E12" s="32">
        <v>196</v>
      </c>
      <c r="F12" s="32" t="s">
        <v>57</v>
      </c>
      <c r="G12" s="39">
        <f t="shared" si="0"/>
        <v>4420000</v>
      </c>
      <c r="H12" s="39">
        <f t="shared" si="1"/>
        <v>1960000</v>
      </c>
      <c r="I12" s="40">
        <v>-200000</v>
      </c>
      <c r="J12" s="39">
        <v>500000</v>
      </c>
      <c r="K12" s="37">
        <v>1500000</v>
      </c>
      <c r="L12" s="38">
        <f t="shared" ref="L12:L14" si="4">6%*G12</f>
        <v>265200</v>
      </c>
      <c r="M12" s="41">
        <f t="shared" si="3"/>
        <v>4914800</v>
      </c>
    </row>
    <row r="13" spans="1:13" x14ac:dyDescent="0.2">
      <c r="A13" s="36" t="s">
        <v>53</v>
      </c>
      <c r="B13" s="32">
        <v>1</v>
      </c>
      <c r="C13" s="32">
        <v>2</v>
      </c>
      <c r="D13" s="32">
        <v>26</v>
      </c>
      <c r="E13" s="32">
        <v>208</v>
      </c>
      <c r="F13" s="32" t="s">
        <v>56</v>
      </c>
      <c r="G13" s="39">
        <f t="shared" si="0"/>
        <v>1768000</v>
      </c>
      <c r="H13" s="39">
        <f t="shared" si="1"/>
        <v>2080000</v>
      </c>
      <c r="I13" s="40">
        <v>1000000</v>
      </c>
      <c r="J13" s="39">
        <v>0</v>
      </c>
      <c r="K13" s="37">
        <v>1500000</v>
      </c>
      <c r="L13" s="38">
        <f t="shared" si="4"/>
        <v>106080</v>
      </c>
      <c r="M13" s="41">
        <f t="shared" si="3"/>
        <v>3241920</v>
      </c>
    </row>
    <row r="14" spans="1:13" ht="15" thickBot="1" x14ac:dyDescent="0.25">
      <c r="A14" s="30" t="s">
        <v>54</v>
      </c>
      <c r="B14" s="31">
        <v>1</v>
      </c>
      <c r="C14" s="31">
        <v>3</v>
      </c>
      <c r="D14" s="31">
        <v>25</v>
      </c>
      <c r="E14" s="31">
        <v>208</v>
      </c>
      <c r="F14" s="31" t="s">
        <v>56</v>
      </c>
      <c r="G14" s="58">
        <f t="shared" si="0"/>
        <v>2550000</v>
      </c>
      <c r="H14" s="58">
        <f t="shared" si="1"/>
        <v>2080000</v>
      </c>
      <c r="I14" s="58">
        <v>1000000</v>
      </c>
      <c r="J14" s="58">
        <v>0</v>
      </c>
      <c r="K14" s="59">
        <v>1500000</v>
      </c>
      <c r="L14" s="60">
        <f t="shared" si="4"/>
        <v>153000</v>
      </c>
      <c r="M14" s="61">
        <f t="shared" si="3"/>
        <v>3977000</v>
      </c>
    </row>
    <row r="15" spans="1:13" ht="15" thickTop="1" x14ac:dyDescent="0.2">
      <c r="I15" s="164" t="s">
        <v>58</v>
      </c>
      <c r="J15" s="165"/>
      <c r="K15" s="165"/>
      <c r="L15" s="166"/>
      <c r="M15" s="57">
        <f>SUM(M4:M14)</f>
        <v>40444080</v>
      </c>
    </row>
    <row r="16" spans="1:13" x14ac:dyDescent="0.2">
      <c r="I16" s="161" t="s">
        <v>59</v>
      </c>
      <c r="J16" s="162"/>
      <c r="K16" s="162"/>
      <c r="L16" s="163"/>
      <c r="M16" s="42">
        <f>AVERAGE(M4:M14)</f>
        <v>3676734.5454545454</v>
      </c>
    </row>
    <row r="17" spans="9:13" x14ac:dyDescent="0.2">
      <c r="I17" s="161" t="s">
        <v>60</v>
      </c>
      <c r="J17" s="162"/>
      <c r="K17" s="162"/>
      <c r="L17" s="163"/>
      <c r="M17" s="42">
        <f>MAX(M4:M14)</f>
        <v>4914800</v>
      </c>
    </row>
    <row r="18" spans="9:13" ht="15" thickBot="1" x14ac:dyDescent="0.25">
      <c r="I18" s="158" t="s">
        <v>61</v>
      </c>
      <c r="J18" s="159"/>
      <c r="K18" s="159"/>
      <c r="L18" s="160"/>
      <c r="M18" s="43">
        <f>MIN(M4:M14)</f>
        <v>2406240</v>
      </c>
    </row>
    <row r="19" spans="9:13" ht="15" thickTop="1" x14ac:dyDescent="0.2"/>
  </sheetData>
  <mergeCells count="5">
    <mergeCell ref="F1:G1"/>
    <mergeCell ref="I18:L18"/>
    <mergeCell ref="I17:L17"/>
    <mergeCell ref="I16:L16"/>
    <mergeCell ref="I15:L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4" sqref="J4"/>
    </sheetView>
  </sheetViews>
  <sheetFormatPr defaultRowHeight="14.25" x14ac:dyDescent="0.2"/>
  <cols>
    <col min="10" max="10" width="9.375" style="45" customWidth="1"/>
  </cols>
  <sheetData>
    <row r="1" spans="1:10" x14ac:dyDescent="0.2">
      <c r="A1" s="167" t="s">
        <v>62</v>
      </c>
      <c r="B1" s="167"/>
      <c r="C1" s="167"/>
      <c r="D1" s="167"/>
      <c r="E1" s="167"/>
      <c r="F1" s="167"/>
      <c r="G1" s="167"/>
      <c r="H1" s="167"/>
      <c r="I1" s="167"/>
      <c r="J1" s="167"/>
    </row>
    <row r="2" spans="1:10" s="44" customFormat="1" x14ac:dyDescent="0.2">
      <c r="A2" s="46" t="s">
        <v>0</v>
      </c>
      <c r="B2" s="46" t="s">
        <v>63</v>
      </c>
      <c r="C2" s="46" t="s">
        <v>37</v>
      </c>
      <c r="D2" s="46" t="s">
        <v>64</v>
      </c>
      <c r="E2" s="46" t="s">
        <v>65</v>
      </c>
      <c r="F2" s="46" t="s">
        <v>66</v>
      </c>
      <c r="G2" s="46" t="s">
        <v>67</v>
      </c>
      <c r="H2" s="46" t="s">
        <v>68</v>
      </c>
      <c r="I2" s="46" t="s">
        <v>69</v>
      </c>
      <c r="J2" s="47" t="s">
        <v>70</v>
      </c>
    </row>
    <row r="3" spans="1:10" x14ac:dyDescent="0.2">
      <c r="A3" s="16">
        <v>1</v>
      </c>
      <c r="B3" s="48" t="s">
        <v>71</v>
      </c>
      <c r="C3" s="48" t="s">
        <v>80</v>
      </c>
      <c r="D3" s="16">
        <v>4</v>
      </c>
      <c r="E3" s="16">
        <v>7</v>
      </c>
      <c r="F3" s="16">
        <v>5</v>
      </c>
      <c r="G3" s="16">
        <f t="shared" ref="G3:G12" si="0">ROUND((D3*2+E3*3+F3)/6,1)</f>
        <v>5.7</v>
      </c>
      <c r="H3" s="16">
        <f>RANK(G3,$G$3:$G$12)</f>
        <v>7</v>
      </c>
      <c r="I3" s="16" t="str">
        <f>IF(G3&lt;5,"Kém",IF(G3&lt;=6.4,"TB",IF(G3&lt;=7.9,"Khá","Giỏi")))</f>
        <v>TB</v>
      </c>
      <c r="J3" s="49">
        <f>IF(AND(H3&lt;=3,H3&gt;=1),100000,IF(AND(H3&lt;=6,H3&gt;=4),50000,0))</f>
        <v>0</v>
      </c>
    </row>
    <row r="4" spans="1:10" x14ac:dyDescent="0.2">
      <c r="A4" s="16">
        <v>2</v>
      </c>
      <c r="B4" s="48" t="s">
        <v>72</v>
      </c>
      <c r="C4" s="48" t="s">
        <v>81</v>
      </c>
      <c r="D4" s="16">
        <v>2</v>
      </c>
      <c r="E4" s="16">
        <v>5</v>
      </c>
      <c r="F4" s="16">
        <v>6</v>
      </c>
      <c r="G4" s="16">
        <f t="shared" si="0"/>
        <v>4.2</v>
      </c>
      <c r="H4" s="16">
        <f t="shared" ref="H4:H12" si="1">RANK(G4,$G$3:$G$12)</f>
        <v>10</v>
      </c>
      <c r="I4" s="16" t="str">
        <f t="shared" ref="I4:I12" si="2">IF(G4&lt;5,"Kém",IF(G4&lt;=6.4,"TB",IF(G4&lt;=7.9,"Khá","Giỏi")))</f>
        <v>Kém</v>
      </c>
      <c r="J4" s="49">
        <f t="shared" ref="J4:J12" si="3">IF(AND(H4&lt;=3,H4&gt;=1),100000,IF(AND(H4&lt;=6,H4&gt;=4),50000,0))</f>
        <v>0</v>
      </c>
    </row>
    <row r="5" spans="1:10" x14ac:dyDescent="0.2">
      <c r="A5" s="16">
        <v>3</v>
      </c>
      <c r="B5" s="48" t="s">
        <v>73</v>
      </c>
      <c r="C5" s="48" t="s">
        <v>81</v>
      </c>
      <c r="D5" s="16">
        <v>10</v>
      </c>
      <c r="E5" s="16">
        <v>8</v>
      </c>
      <c r="F5" s="16">
        <v>9</v>
      </c>
      <c r="G5" s="16">
        <f t="shared" si="0"/>
        <v>8.8000000000000007</v>
      </c>
      <c r="H5" s="16">
        <f t="shared" si="1"/>
        <v>2</v>
      </c>
      <c r="I5" s="16" t="str">
        <f t="shared" si="2"/>
        <v>Giỏi</v>
      </c>
      <c r="J5" s="49">
        <f t="shared" si="3"/>
        <v>100000</v>
      </c>
    </row>
    <row r="6" spans="1:10" x14ac:dyDescent="0.2">
      <c r="A6" s="16">
        <v>4</v>
      </c>
      <c r="B6" s="48" t="s">
        <v>72</v>
      </c>
      <c r="C6" s="48" t="s">
        <v>80</v>
      </c>
      <c r="D6" s="16">
        <v>9</v>
      </c>
      <c r="E6" s="16">
        <v>10</v>
      </c>
      <c r="F6" s="16">
        <v>7</v>
      </c>
      <c r="G6" s="16">
        <f t="shared" si="0"/>
        <v>9.1999999999999993</v>
      </c>
      <c r="H6" s="16">
        <f t="shared" si="1"/>
        <v>1</v>
      </c>
      <c r="I6" s="16" t="str">
        <f t="shared" si="2"/>
        <v>Giỏi</v>
      </c>
      <c r="J6" s="49">
        <f t="shared" si="3"/>
        <v>100000</v>
      </c>
    </row>
    <row r="7" spans="1:10" x14ac:dyDescent="0.2">
      <c r="A7" s="16">
        <v>5</v>
      </c>
      <c r="B7" s="48" t="s">
        <v>74</v>
      </c>
      <c r="C7" s="48" t="s">
        <v>80</v>
      </c>
      <c r="D7" s="16">
        <v>5</v>
      </c>
      <c r="E7" s="16">
        <v>9</v>
      </c>
      <c r="F7" s="16">
        <v>8</v>
      </c>
      <c r="G7" s="16">
        <f t="shared" si="0"/>
        <v>7.5</v>
      </c>
      <c r="H7" s="16">
        <f t="shared" si="1"/>
        <v>4</v>
      </c>
      <c r="I7" s="16" t="str">
        <f t="shared" si="2"/>
        <v>Khá</v>
      </c>
      <c r="J7" s="49">
        <f t="shared" si="3"/>
        <v>50000</v>
      </c>
    </row>
    <row r="8" spans="1:10" x14ac:dyDescent="0.2">
      <c r="A8" s="16">
        <v>6</v>
      </c>
      <c r="B8" s="48" t="s">
        <v>75</v>
      </c>
      <c r="C8" s="48" t="s">
        <v>81</v>
      </c>
      <c r="D8" s="16">
        <v>5</v>
      </c>
      <c r="E8" s="16">
        <v>4</v>
      </c>
      <c r="F8" s="16">
        <v>6</v>
      </c>
      <c r="G8" s="16">
        <f t="shared" si="0"/>
        <v>4.7</v>
      </c>
      <c r="H8" s="16">
        <f t="shared" si="1"/>
        <v>9</v>
      </c>
      <c r="I8" s="16" t="str">
        <f t="shared" si="2"/>
        <v>Kém</v>
      </c>
      <c r="J8" s="49">
        <f t="shared" si="3"/>
        <v>0</v>
      </c>
    </row>
    <row r="9" spans="1:10" x14ac:dyDescent="0.2">
      <c r="A9" s="16">
        <v>7</v>
      </c>
      <c r="B9" s="48" t="s">
        <v>76</v>
      </c>
      <c r="C9" s="48" t="s">
        <v>80</v>
      </c>
      <c r="D9" s="16">
        <v>9</v>
      </c>
      <c r="E9" s="16">
        <v>6</v>
      </c>
      <c r="F9" s="16">
        <v>7</v>
      </c>
      <c r="G9" s="16">
        <f t="shared" si="0"/>
        <v>7.2</v>
      </c>
      <c r="H9" s="16">
        <f t="shared" si="1"/>
        <v>5</v>
      </c>
      <c r="I9" s="16" t="str">
        <f t="shared" si="2"/>
        <v>Khá</v>
      </c>
      <c r="J9" s="49">
        <f t="shared" si="3"/>
        <v>50000</v>
      </c>
    </row>
    <row r="10" spans="1:10" x14ac:dyDescent="0.2">
      <c r="A10" s="16">
        <v>8</v>
      </c>
      <c r="B10" s="48" t="s">
        <v>77</v>
      </c>
      <c r="C10" s="48" t="s">
        <v>81</v>
      </c>
      <c r="D10" s="16">
        <v>6</v>
      </c>
      <c r="E10" s="16">
        <v>5</v>
      </c>
      <c r="F10" s="16">
        <v>7</v>
      </c>
      <c r="G10" s="16">
        <f t="shared" si="0"/>
        <v>5.7</v>
      </c>
      <c r="H10" s="16">
        <f t="shared" si="1"/>
        <v>7</v>
      </c>
      <c r="I10" s="16" t="str">
        <f t="shared" si="2"/>
        <v>TB</v>
      </c>
      <c r="J10" s="49">
        <f t="shared" si="3"/>
        <v>0</v>
      </c>
    </row>
    <row r="11" spans="1:10" x14ac:dyDescent="0.2">
      <c r="A11" s="16">
        <v>9</v>
      </c>
      <c r="B11" s="48" t="s">
        <v>78</v>
      </c>
      <c r="C11" s="48" t="s">
        <v>80</v>
      </c>
      <c r="D11" s="16">
        <v>5</v>
      </c>
      <c r="E11" s="16">
        <v>9</v>
      </c>
      <c r="F11" s="16">
        <v>5</v>
      </c>
      <c r="G11" s="50">
        <f t="shared" si="0"/>
        <v>7</v>
      </c>
      <c r="H11" s="16">
        <f t="shared" si="1"/>
        <v>6</v>
      </c>
      <c r="I11" s="16" t="str">
        <f t="shared" si="2"/>
        <v>Khá</v>
      </c>
      <c r="J11" s="49">
        <f t="shared" si="3"/>
        <v>50000</v>
      </c>
    </row>
    <row r="12" spans="1:10" x14ac:dyDescent="0.2">
      <c r="A12" s="16">
        <v>10</v>
      </c>
      <c r="B12" s="48" t="s">
        <v>79</v>
      </c>
      <c r="C12" s="48" t="s">
        <v>81</v>
      </c>
      <c r="D12" s="16">
        <v>10</v>
      </c>
      <c r="E12" s="16">
        <v>8</v>
      </c>
      <c r="F12" s="16">
        <v>9</v>
      </c>
      <c r="G12" s="16">
        <f t="shared" si="0"/>
        <v>8.8000000000000007</v>
      </c>
      <c r="H12" s="16">
        <f t="shared" si="1"/>
        <v>2</v>
      </c>
      <c r="I12" s="16" t="str">
        <f t="shared" si="2"/>
        <v>Giỏi</v>
      </c>
      <c r="J12" s="49">
        <f t="shared" si="3"/>
        <v>100000</v>
      </c>
    </row>
    <row r="13" spans="1:10" ht="15" x14ac:dyDescent="0.25">
      <c r="A13" s="168" t="s">
        <v>82</v>
      </c>
      <c r="B13" s="168"/>
      <c r="C13" s="168"/>
      <c r="D13" s="16">
        <f>SUM(D3:D12)</f>
        <v>65</v>
      </c>
      <c r="E13" s="16">
        <f t="shared" ref="E13:F13" si="4">SUM(E3:E12)</f>
        <v>71</v>
      </c>
      <c r="F13" s="16">
        <f t="shared" si="4"/>
        <v>69</v>
      </c>
      <c r="G13" s="16"/>
      <c r="H13" s="16"/>
      <c r="I13" s="16"/>
      <c r="J13" s="49"/>
    </row>
    <row r="14" spans="1:10" ht="15" x14ac:dyDescent="0.25">
      <c r="A14" s="168" t="s">
        <v>83</v>
      </c>
      <c r="B14" s="168"/>
      <c r="C14" s="168"/>
      <c r="D14" s="16">
        <f>AVERAGE(D3:D12)</f>
        <v>6.5</v>
      </c>
      <c r="E14" s="16">
        <f t="shared" ref="E14:F14" si="5">AVERAGE(E3:E12)</f>
        <v>7.1</v>
      </c>
      <c r="F14" s="16">
        <f t="shared" si="5"/>
        <v>6.9</v>
      </c>
      <c r="G14" s="16"/>
      <c r="H14" s="16"/>
      <c r="I14" s="16"/>
      <c r="J14" s="49"/>
    </row>
    <row r="15" spans="1:10" ht="15" x14ac:dyDescent="0.25">
      <c r="A15" s="168" t="s">
        <v>84</v>
      </c>
      <c r="B15" s="168"/>
      <c r="C15" s="168"/>
      <c r="D15" s="16">
        <f>MAX(D3:D12)</f>
        <v>10</v>
      </c>
      <c r="E15" s="16">
        <f t="shared" ref="E15:G15" si="6">MAX(E3:E12)</f>
        <v>10</v>
      </c>
      <c r="F15" s="16">
        <f t="shared" si="6"/>
        <v>9</v>
      </c>
      <c r="G15" s="16">
        <f t="shared" si="6"/>
        <v>9.1999999999999993</v>
      </c>
      <c r="H15" s="16"/>
      <c r="I15" s="16"/>
      <c r="J15" s="49"/>
    </row>
    <row r="16" spans="1:10" ht="15" x14ac:dyDescent="0.25">
      <c r="A16" s="168" t="s">
        <v>85</v>
      </c>
      <c r="B16" s="168"/>
      <c r="C16" s="168"/>
      <c r="D16" s="16">
        <f>MIN(D3:D12)</f>
        <v>2</v>
      </c>
      <c r="E16" s="16">
        <f t="shared" ref="E16:G16" si="7">MIN(E3:E12)</f>
        <v>4</v>
      </c>
      <c r="F16" s="16">
        <f t="shared" si="7"/>
        <v>5</v>
      </c>
      <c r="G16" s="16">
        <f t="shared" si="7"/>
        <v>4.2</v>
      </c>
      <c r="H16" s="16"/>
      <c r="I16" s="16"/>
      <c r="J16" s="49"/>
    </row>
    <row r="17" spans="1:10" ht="15" x14ac:dyDescent="0.25">
      <c r="A17" s="168" t="s">
        <v>86</v>
      </c>
      <c r="B17" s="168"/>
      <c r="C17" s="168"/>
      <c r="D17" s="169">
        <f>COUNT(A3:A12)</f>
        <v>10</v>
      </c>
      <c r="E17" s="169"/>
      <c r="F17" s="169"/>
      <c r="G17" s="48"/>
      <c r="H17" s="48"/>
      <c r="I17" s="48"/>
      <c r="J17" s="49"/>
    </row>
  </sheetData>
  <sortState ref="A3:J12">
    <sortCondition ref="A3:A12"/>
  </sortState>
  <mergeCells count="7">
    <mergeCell ref="A1:J1"/>
    <mergeCell ref="A17:C17"/>
    <mergeCell ref="A16:C16"/>
    <mergeCell ref="A15:C15"/>
    <mergeCell ref="A14:C14"/>
    <mergeCell ref="A13:C13"/>
    <mergeCell ref="D17:F1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9" sqref="G9"/>
    </sheetView>
  </sheetViews>
  <sheetFormatPr defaultRowHeight="14.25" x14ac:dyDescent="0.2"/>
  <cols>
    <col min="1" max="1" width="21.625" customWidth="1"/>
    <col min="7" max="7" width="15.625" customWidth="1"/>
    <col min="8" max="8" width="16" customWidth="1"/>
    <col min="9" max="9" width="15.375" customWidth="1"/>
    <col min="10" max="10" width="13.25" customWidth="1"/>
    <col min="11" max="11" width="14.125" customWidth="1"/>
    <col min="12" max="12" width="12.75" customWidth="1"/>
    <col min="13" max="13" width="16" customWidth="1"/>
  </cols>
  <sheetData>
    <row r="1" spans="1:13" ht="28.5" x14ac:dyDescent="0.2">
      <c r="A1" s="2"/>
      <c r="B1" s="2"/>
      <c r="C1" s="2"/>
      <c r="D1" s="2"/>
      <c r="E1" s="2"/>
      <c r="F1" s="157" t="s">
        <v>49</v>
      </c>
      <c r="G1" s="157"/>
      <c r="H1" s="51">
        <v>850000</v>
      </c>
      <c r="I1" s="28" t="s">
        <v>50</v>
      </c>
      <c r="J1" s="51">
        <v>25</v>
      </c>
      <c r="K1" s="51" t="s">
        <v>51</v>
      </c>
      <c r="L1" s="51">
        <v>10000</v>
      </c>
      <c r="M1" s="2"/>
    </row>
    <row r="2" spans="1:13" ht="15" thickBo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</row>
    <row r="3" spans="1:13" ht="15.75" thickTop="1" x14ac:dyDescent="0.25">
      <c r="A3" s="33" t="s">
        <v>1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4" t="s">
        <v>42</v>
      </c>
      <c r="H3" s="34" t="s">
        <v>43</v>
      </c>
      <c r="I3" s="34" t="s">
        <v>44</v>
      </c>
      <c r="J3" s="34" t="s">
        <v>45</v>
      </c>
      <c r="K3" s="34" t="s">
        <v>46</v>
      </c>
      <c r="L3" s="34" t="s">
        <v>47</v>
      </c>
      <c r="M3" s="35" t="s">
        <v>48</v>
      </c>
    </row>
    <row r="4" spans="1:13" x14ac:dyDescent="0.2">
      <c r="A4" s="29" t="s">
        <v>8</v>
      </c>
      <c r="B4" s="53">
        <v>1</v>
      </c>
      <c r="C4" s="53">
        <v>2</v>
      </c>
      <c r="D4" s="53">
        <v>22</v>
      </c>
      <c r="E4" s="53">
        <v>200</v>
      </c>
      <c r="F4" s="53" t="str">
        <f>IF(E4&gt;=208,"A",IF(E4&gt;=200,"B","C"))</f>
        <v>B</v>
      </c>
      <c r="G4" s="39">
        <f>C4*$H$1*D4/$J$1</f>
        <v>1496000</v>
      </c>
      <c r="H4" s="39">
        <f>E4*$L$1</f>
        <v>2000000</v>
      </c>
      <c r="I4" s="39">
        <v>500000</v>
      </c>
      <c r="J4" s="39">
        <v>0</v>
      </c>
      <c r="K4" s="37">
        <v>1500000</v>
      </c>
      <c r="L4" s="38">
        <f>6%*G4</f>
        <v>89760</v>
      </c>
      <c r="M4" s="41">
        <f>G4+H4+J4+I4-K4-L4</f>
        <v>2406240</v>
      </c>
    </row>
    <row r="5" spans="1:13" x14ac:dyDescent="0.2">
      <c r="A5" s="29" t="s">
        <v>9</v>
      </c>
      <c r="B5" s="53">
        <v>0</v>
      </c>
      <c r="C5" s="53">
        <v>3</v>
      </c>
      <c r="D5" s="53">
        <v>23</v>
      </c>
      <c r="E5" s="53">
        <v>208</v>
      </c>
      <c r="F5" s="53" t="str">
        <f t="shared" ref="F5:F14" si="0">IF(E5&gt;=208,"A",IF(E5&gt;=200,"B","C"))</f>
        <v>A</v>
      </c>
      <c r="G5" s="39">
        <f t="shared" ref="G5:G14" si="1">C5*$H$1*D5/$J$1</f>
        <v>2346000</v>
      </c>
      <c r="H5" s="39">
        <f t="shared" ref="H5:H14" si="2">E5*$L$1</f>
        <v>2080000</v>
      </c>
      <c r="I5" s="39">
        <v>1000000</v>
      </c>
      <c r="J5" s="39">
        <v>500000</v>
      </c>
      <c r="K5" s="37">
        <v>1500000</v>
      </c>
      <c r="L5" s="38">
        <f t="shared" ref="L5:L14" si="3">6%*G5</f>
        <v>140760</v>
      </c>
      <c r="M5" s="41">
        <f t="shared" ref="M5:M14" si="4">G5+H5+J5+I5-K5-L5</f>
        <v>4285240</v>
      </c>
    </row>
    <row r="6" spans="1:13" x14ac:dyDescent="0.2">
      <c r="A6" s="29" t="s">
        <v>10</v>
      </c>
      <c r="B6" s="53">
        <v>1</v>
      </c>
      <c r="C6" s="53">
        <v>4</v>
      </c>
      <c r="D6" s="53">
        <v>21</v>
      </c>
      <c r="E6" s="53">
        <v>200</v>
      </c>
      <c r="F6" s="53" t="str">
        <f t="shared" si="0"/>
        <v>B</v>
      </c>
      <c r="G6" s="39">
        <f t="shared" si="1"/>
        <v>2856000</v>
      </c>
      <c r="H6" s="39">
        <f t="shared" si="2"/>
        <v>2000000</v>
      </c>
      <c r="I6" s="39">
        <v>500000</v>
      </c>
      <c r="J6" s="39">
        <v>0</v>
      </c>
      <c r="K6" s="37">
        <v>1500000</v>
      </c>
      <c r="L6" s="38">
        <f t="shared" si="3"/>
        <v>171360</v>
      </c>
      <c r="M6" s="41">
        <f t="shared" si="4"/>
        <v>3684640</v>
      </c>
    </row>
    <row r="7" spans="1:13" x14ac:dyDescent="0.2">
      <c r="A7" s="29" t="s">
        <v>11</v>
      </c>
      <c r="B7" s="53">
        <v>1</v>
      </c>
      <c r="C7" s="53">
        <v>3</v>
      </c>
      <c r="D7" s="53">
        <v>26</v>
      </c>
      <c r="E7" s="53">
        <v>208</v>
      </c>
      <c r="F7" s="53" t="str">
        <f t="shared" si="0"/>
        <v>A</v>
      </c>
      <c r="G7" s="39">
        <f t="shared" si="1"/>
        <v>2652000</v>
      </c>
      <c r="H7" s="39">
        <f t="shared" si="2"/>
        <v>2080000</v>
      </c>
      <c r="I7" s="39">
        <v>1000000</v>
      </c>
      <c r="J7" s="39">
        <v>0</v>
      </c>
      <c r="K7" s="37">
        <v>1500000</v>
      </c>
      <c r="L7" s="38">
        <f t="shared" si="3"/>
        <v>159120</v>
      </c>
      <c r="M7" s="41">
        <f t="shared" si="4"/>
        <v>4072880</v>
      </c>
    </row>
    <row r="8" spans="1:13" x14ac:dyDescent="0.2">
      <c r="A8" s="29" t="s">
        <v>12</v>
      </c>
      <c r="B8" s="53">
        <v>1</v>
      </c>
      <c r="C8" s="53">
        <v>2</v>
      </c>
      <c r="D8" s="53">
        <v>24</v>
      </c>
      <c r="E8" s="53">
        <v>200</v>
      </c>
      <c r="F8" s="53" t="str">
        <f t="shared" si="0"/>
        <v>B</v>
      </c>
      <c r="G8" s="39">
        <f t="shared" si="1"/>
        <v>1632000</v>
      </c>
      <c r="H8" s="39">
        <f t="shared" si="2"/>
        <v>2000000</v>
      </c>
      <c r="I8" s="39">
        <v>500000</v>
      </c>
      <c r="J8" s="39">
        <v>0</v>
      </c>
      <c r="K8" s="37">
        <v>1500000</v>
      </c>
      <c r="L8" s="38">
        <f t="shared" si="3"/>
        <v>97920</v>
      </c>
      <c r="M8" s="41">
        <f t="shared" si="4"/>
        <v>2534080</v>
      </c>
    </row>
    <row r="9" spans="1:13" x14ac:dyDescent="0.2">
      <c r="A9" s="29" t="s">
        <v>13</v>
      </c>
      <c r="B9" s="53">
        <v>0</v>
      </c>
      <c r="C9" s="53">
        <v>4</v>
      </c>
      <c r="D9" s="53">
        <v>26</v>
      </c>
      <c r="E9" s="53">
        <v>200</v>
      </c>
      <c r="F9" s="53" t="str">
        <f t="shared" si="0"/>
        <v>B</v>
      </c>
      <c r="G9" s="39">
        <f t="shared" si="1"/>
        <v>3536000</v>
      </c>
      <c r="H9" s="39">
        <f t="shared" si="2"/>
        <v>2000000</v>
      </c>
      <c r="I9" s="39">
        <v>500000</v>
      </c>
      <c r="J9" s="39">
        <v>500000</v>
      </c>
      <c r="K9" s="37">
        <v>1500000</v>
      </c>
      <c r="L9" s="38">
        <f t="shared" si="3"/>
        <v>212160</v>
      </c>
      <c r="M9" s="41">
        <f t="shared" si="4"/>
        <v>4823840</v>
      </c>
    </row>
    <row r="10" spans="1:13" x14ac:dyDescent="0.2">
      <c r="A10" s="29" t="s">
        <v>14</v>
      </c>
      <c r="B10" s="53">
        <v>0</v>
      </c>
      <c r="C10" s="53">
        <v>3</v>
      </c>
      <c r="D10" s="53">
        <v>22</v>
      </c>
      <c r="E10" s="53">
        <v>198</v>
      </c>
      <c r="F10" s="53" t="str">
        <f t="shared" si="0"/>
        <v>C</v>
      </c>
      <c r="G10" s="39">
        <f t="shared" si="1"/>
        <v>2244000</v>
      </c>
      <c r="H10" s="39">
        <f t="shared" si="2"/>
        <v>1980000</v>
      </c>
      <c r="I10" s="39">
        <v>-200000</v>
      </c>
      <c r="J10" s="39">
        <v>500000</v>
      </c>
      <c r="K10" s="37">
        <v>1500000</v>
      </c>
      <c r="L10" s="38">
        <f t="shared" si="3"/>
        <v>134640</v>
      </c>
      <c r="M10" s="41">
        <f t="shared" si="4"/>
        <v>2889360</v>
      </c>
    </row>
    <row r="11" spans="1:13" x14ac:dyDescent="0.2">
      <c r="A11" s="36" t="s">
        <v>15</v>
      </c>
      <c r="B11" s="32">
        <v>0</v>
      </c>
      <c r="C11" s="32">
        <v>2</v>
      </c>
      <c r="D11" s="32">
        <v>24</v>
      </c>
      <c r="E11" s="32">
        <v>208</v>
      </c>
      <c r="F11" s="53" t="str">
        <f t="shared" si="0"/>
        <v>A</v>
      </c>
      <c r="G11" s="39">
        <f t="shared" si="1"/>
        <v>1632000</v>
      </c>
      <c r="H11" s="39">
        <f t="shared" si="2"/>
        <v>2080000</v>
      </c>
      <c r="I11" s="40">
        <v>1000000</v>
      </c>
      <c r="J11" s="39">
        <v>500000</v>
      </c>
      <c r="K11" s="37">
        <v>1500000</v>
      </c>
      <c r="L11" s="38">
        <f t="shared" si="3"/>
        <v>97920</v>
      </c>
      <c r="M11" s="41">
        <f t="shared" si="4"/>
        <v>3614080</v>
      </c>
    </row>
    <row r="12" spans="1:13" x14ac:dyDescent="0.2">
      <c r="A12" s="36" t="s">
        <v>52</v>
      </c>
      <c r="B12" s="32">
        <v>0</v>
      </c>
      <c r="C12" s="32">
        <v>5</v>
      </c>
      <c r="D12" s="32">
        <v>26</v>
      </c>
      <c r="E12" s="32">
        <v>196</v>
      </c>
      <c r="F12" s="53" t="str">
        <f t="shared" si="0"/>
        <v>C</v>
      </c>
      <c r="G12" s="39">
        <f t="shared" si="1"/>
        <v>4420000</v>
      </c>
      <c r="H12" s="39">
        <f t="shared" si="2"/>
        <v>1960000</v>
      </c>
      <c r="I12" s="40">
        <v>-200000</v>
      </c>
      <c r="J12" s="39">
        <v>500000</v>
      </c>
      <c r="K12" s="37">
        <v>1500000</v>
      </c>
      <c r="L12" s="38">
        <f t="shared" si="3"/>
        <v>265200</v>
      </c>
      <c r="M12" s="41">
        <f t="shared" si="4"/>
        <v>4914800</v>
      </c>
    </row>
    <row r="13" spans="1:13" x14ac:dyDescent="0.2">
      <c r="A13" s="36" t="s">
        <v>53</v>
      </c>
      <c r="B13" s="32">
        <v>1</v>
      </c>
      <c r="C13" s="32">
        <v>2</v>
      </c>
      <c r="D13" s="32">
        <v>26</v>
      </c>
      <c r="E13" s="32">
        <v>208</v>
      </c>
      <c r="F13" s="53" t="str">
        <f t="shared" si="0"/>
        <v>A</v>
      </c>
      <c r="G13" s="39">
        <f t="shared" si="1"/>
        <v>1768000</v>
      </c>
      <c r="H13" s="39">
        <f t="shared" si="2"/>
        <v>2080000</v>
      </c>
      <c r="I13" s="40">
        <v>1000000</v>
      </c>
      <c r="J13" s="39">
        <v>0</v>
      </c>
      <c r="K13" s="37">
        <v>1500000</v>
      </c>
      <c r="L13" s="38">
        <f t="shared" si="3"/>
        <v>106080</v>
      </c>
      <c r="M13" s="41">
        <f t="shared" si="4"/>
        <v>3241920</v>
      </c>
    </row>
    <row r="14" spans="1:13" ht="15" thickBot="1" x14ac:dyDescent="0.25">
      <c r="A14" s="30" t="s">
        <v>54</v>
      </c>
      <c r="B14" s="31">
        <v>1</v>
      </c>
      <c r="C14" s="31">
        <v>3</v>
      </c>
      <c r="D14" s="31">
        <v>25</v>
      </c>
      <c r="E14" s="31">
        <v>208</v>
      </c>
      <c r="F14" s="31" t="str">
        <f t="shared" si="0"/>
        <v>A</v>
      </c>
      <c r="G14" s="58">
        <f t="shared" si="1"/>
        <v>2550000</v>
      </c>
      <c r="H14" s="58">
        <f t="shared" si="2"/>
        <v>2080000</v>
      </c>
      <c r="I14" s="58">
        <v>1000000</v>
      </c>
      <c r="J14" s="58">
        <v>0</v>
      </c>
      <c r="K14" s="59">
        <v>1500000</v>
      </c>
      <c r="L14" s="60">
        <f t="shared" si="3"/>
        <v>153000</v>
      </c>
      <c r="M14" s="61">
        <f t="shared" si="4"/>
        <v>3977000</v>
      </c>
    </row>
    <row r="15" spans="1:13" ht="15" thickTop="1" x14ac:dyDescent="0.2">
      <c r="A15" s="52"/>
      <c r="B15" s="52"/>
      <c r="C15" s="52"/>
      <c r="D15" s="52"/>
      <c r="E15" s="52"/>
      <c r="F15" s="52"/>
      <c r="G15" s="52"/>
      <c r="H15" s="52"/>
      <c r="I15" s="164" t="s">
        <v>58</v>
      </c>
      <c r="J15" s="165"/>
      <c r="K15" s="165"/>
      <c r="L15" s="166"/>
      <c r="M15" s="57">
        <f>SUM(M4:M14)</f>
        <v>40444080</v>
      </c>
    </row>
    <row r="16" spans="1:13" x14ac:dyDescent="0.2">
      <c r="A16" s="52"/>
      <c r="B16" s="52"/>
      <c r="C16" s="52"/>
      <c r="D16" s="52"/>
      <c r="E16" s="52"/>
      <c r="F16" s="52"/>
      <c r="G16" s="52"/>
      <c r="H16" s="52"/>
      <c r="I16" s="161" t="s">
        <v>59</v>
      </c>
      <c r="J16" s="162"/>
      <c r="K16" s="162"/>
      <c r="L16" s="163"/>
      <c r="M16" s="42">
        <f>AVERAGE(M4:M14)</f>
        <v>3676734.5454545454</v>
      </c>
    </row>
    <row r="17" spans="1:13" x14ac:dyDescent="0.2">
      <c r="A17" s="52"/>
      <c r="B17" s="52"/>
      <c r="C17" s="52"/>
      <c r="D17" s="52"/>
      <c r="E17" s="52"/>
      <c r="F17" s="52"/>
      <c r="G17" s="52"/>
      <c r="H17" s="52"/>
      <c r="I17" s="161" t="s">
        <v>60</v>
      </c>
      <c r="J17" s="162"/>
      <c r="K17" s="162"/>
      <c r="L17" s="163"/>
      <c r="M17" s="42">
        <f>MAX(M4:M14)</f>
        <v>4914800</v>
      </c>
    </row>
    <row r="18" spans="1:13" ht="15" thickBot="1" x14ac:dyDescent="0.25">
      <c r="A18" s="52"/>
      <c r="B18" s="52"/>
      <c r="C18" s="52"/>
      <c r="D18" s="52"/>
      <c r="E18" s="52"/>
      <c r="F18" s="52"/>
      <c r="G18" s="52"/>
      <c r="H18" s="52"/>
      <c r="I18" s="158" t="s">
        <v>61</v>
      </c>
      <c r="J18" s="159"/>
      <c r="K18" s="159"/>
      <c r="L18" s="160"/>
      <c r="M18" s="43">
        <f>MIN(M4:M14)</f>
        <v>2406240</v>
      </c>
    </row>
    <row r="19" spans="1:13" ht="15" thickTop="1" x14ac:dyDescent="0.2"/>
  </sheetData>
  <mergeCells count="5">
    <mergeCell ref="F1:G1"/>
    <mergeCell ref="I15:L15"/>
    <mergeCell ref="I16:L16"/>
    <mergeCell ref="I17:L17"/>
    <mergeCell ref="I18:L18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9"/>
  <sheetViews>
    <sheetView workbookViewId="0">
      <selection activeCell="G25" sqref="G25"/>
    </sheetView>
  </sheetViews>
  <sheetFormatPr defaultRowHeight="14.25" x14ac:dyDescent="0.2"/>
  <cols>
    <col min="3" max="3" width="10.625" customWidth="1"/>
    <col min="4" max="4" width="17.75" customWidth="1"/>
    <col min="5" max="5" width="13.875" customWidth="1"/>
    <col min="7" max="7" width="9.75" customWidth="1"/>
    <col min="8" max="8" width="11" customWidth="1"/>
  </cols>
  <sheetData>
    <row r="1" spans="1:11" x14ac:dyDescent="0.2">
      <c r="A1" s="167" t="s">
        <v>87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s="55" customFormat="1" x14ac:dyDescent="0.2">
      <c r="A2" s="46" t="s">
        <v>0</v>
      </c>
      <c r="B2" s="46" t="s">
        <v>88</v>
      </c>
      <c r="C2" s="46" t="s">
        <v>89</v>
      </c>
      <c r="D2" s="46" t="s">
        <v>90</v>
      </c>
      <c r="E2" s="46" t="s">
        <v>91</v>
      </c>
      <c r="F2" s="46" t="s">
        <v>92</v>
      </c>
      <c r="G2" s="46" t="s">
        <v>93</v>
      </c>
      <c r="H2" s="46" t="s">
        <v>25</v>
      </c>
      <c r="I2" s="46" t="s">
        <v>101</v>
      </c>
      <c r="J2" s="46" t="s">
        <v>44</v>
      </c>
      <c r="K2" s="46" t="s">
        <v>94</v>
      </c>
    </row>
    <row r="3" spans="1:11" x14ac:dyDescent="0.2">
      <c r="A3" s="56">
        <v>1</v>
      </c>
      <c r="B3" s="56" t="s">
        <v>55</v>
      </c>
      <c r="C3" s="48" t="s">
        <v>97</v>
      </c>
      <c r="D3" s="66">
        <v>39083</v>
      </c>
      <c r="E3" s="66">
        <v>39107</v>
      </c>
      <c r="F3" s="56">
        <v>30</v>
      </c>
      <c r="G3" s="48">
        <v>100</v>
      </c>
      <c r="H3" s="48">
        <f>F3*G3</f>
        <v>3000</v>
      </c>
      <c r="I3" s="48">
        <f>H3*IF(B3="A",1%,IF(B3="B",5%,IF(B3="C",7%,10%)))</f>
        <v>150</v>
      </c>
      <c r="J3" s="64">
        <f>H3*IF(E3-D3&lt;30,2%,IF(AND(E3-D3&gt;=30,E3-D3&lt;=89),1%,0))</f>
        <v>60</v>
      </c>
      <c r="K3" s="64">
        <f>H3+I3+J3</f>
        <v>3210</v>
      </c>
    </row>
    <row r="4" spans="1:11" x14ac:dyDescent="0.2">
      <c r="A4" s="56">
        <v>2</v>
      </c>
      <c r="B4" s="56" t="s">
        <v>56</v>
      </c>
      <c r="C4" s="48" t="s">
        <v>98</v>
      </c>
      <c r="D4" s="66">
        <v>39116</v>
      </c>
      <c r="E4" s="66">
        <v>39237</v>
      </c>
      <c r="F4" s="56">
        <v>10</v>
      </c>
      <c r="G4" s="48">
        <v>200</v>
      </c>
      <c r="H4" s="48">
        <f t="shared" ref="H4:H14" si="0">F4*G4</f>
        <v>2000</v>
      </c>
      <c r="I4" s="48">
        <f t="shared" ref="I4:I14" si="1">H4*IF(B4="A",1%,IF(B4="B",5%,IF(B4="C",7%,10%)))</f>
        <v>20</v>
      </c>
      <c r="J4" s="64">
        <f t="shared" ref="J4:J14" si="2">H4*IF(E4-D4&lt;30,2%,IF(AND(E4-D4&gt;=30,E4-D4&lt;=89),1%,0))</f>
        <v>0</v>
      </c>
      <c r="K4" s="64">
        <f t="shared" ref="K4:K14" si="3">H4+I4+J4</f>
        <v>2020</v>
      </c>
    </row>
    <row r="5" spans="1:11" x14ac:dyDescent="0.2">
      <c r="A5" s="56">
        <v>3</v>
      </c>
      <c r="B5" s="56" t="s">
        <v>95</v>
      </c>
      <c r="C5" s="48" t="s">
        <v>99</v>
      </c>
      <c r="D5" s="66">
        <v>39173</v>
      </c>
      <c r="E5" s="66">
        <v>39205</v>
      </c>
      <c r="F5" s="56">
        <v>20</v>
      </c>
      <c r="G5" s="48">
        <v>300</v>
      </c>
      <c r="H5" s="48">
        <f t="shared" si="0"/>
        <v>6000</v>
      </c>
      <c r="I5" s="48">
        <f t="shared" si="1"/>
        <v>600</v>
      </c>
      <c r="J5" s="64">
        <f t="shared" si="2"/>
        <v>60</v>
      </c>
      <c r="K5" s="64">
        <f t="shared" si="3"/>
        <v>6660</v>
      </c>
    </row>
    <row r="6" spans="1:11" x14ac:dyDescent="0.2">
      <c r="A6" s="56">
        <v>4</v>
      </c>
      <c r="B6" s="56" t="s">
        <v>57</v>
      </c>
      <c r="C6" s="48" t="s">
        <v>100</v>
      </c>
      <c r="D6" s="66">
        <v>39115</v>
      </c>
      <c r="E6" s="66">
        <v>39116</v>
      </c>
      <c r="F6" s="56">
        <v>15</v>
      </c>
      <c r="G6" s="48">
        <v>120</v>
      </c>
      <c r="H6" s="48">
        <f t="shared" si="0"/>
        <v>1800</v>
      </c>
      <c r="I6" s="48">
        <f t="shared" si="1"/>
        <v>126.00000000000001</v>
      </c>
      <c r="J6" s="64">
        <f t="shared" si="2"/>
        <v>36</v>
      </c>
      <c r="K6" s="64">
        <f t="shared" si="3"/>
        <v>1962</v>
      </c>
    </row>
    <row r="7" spans="1:11" x14ac:dyDescent="0.2">
      <c r="A7" s="56">
        <v>5</v>
      </c>
      <c r="B7" s="56" t="s">
        <v>55</v>
      </c>
      <c r="C7" s="48" t="s">
        <v>97</v>
      </c>
      <c r="D7" s="66">
        <v>39214</v>
      </c>
      <c r="E7" s="66">
        <v>39217</v>
      </c>
      <c r="F7" s="56">
        <v>34</v>
      </c>
      <c r="G7" s="48">
        <v>200</v>
      </c>
      <c r="H7" s="48">
        <f t="shared" si="0"/>
        <v>6800</v>
      </c>
      <c r="I7" s="48">
        <f t="shared" si="1"/>
        <v>340</v>
      </c>
      <c r="J7" s="64">
        <f t="shared" si="2"/>
        <v>136</v>
      </c>
      <c r="K7" s="64">
        <f t="shared" si="3"/>
        <v>7276</v>
      </c>
    </row>
    <row r="8" spans="1:11" x14ac:dyDescent="0.2">
      <c r="A8" s="56">
        <v>6</v>
      </c>
      <c r="B8" s="56" t="s">
        <v>56</v>
      </c>
      <c r="C8" s="48" t="s">
        <v>98</v>
      </c>
      <c r="D8" s="66">
        <v>39089</v>
      </c>
      <c r="E8" s="66">
        <v>39189</v>
      </c>
      <c r="F8" s="56">
        <v>56</v>
      </c>
      <c r="G8" s="48">
        <v>100</v>
      </c>
      <c r="H8" s="48">
        <f t="shared" si="0"/>
        <v>5600</v>
      </c>
      <c r="I8" s="48">
        <f t="shared" si="1"/>
        <v>56</v>
      </c>
      <c r="J8" s="64">
        <f t="shared" si="2"/>
        <v>0</v>
      </c>
      <c r="K8" s="64">
        <f t="shared" si="3"/>
        <v>5656</v>
      </c>
    </row>
    <row r="9" spans="1:11" x14ac:dyDescent="0.2">
      <c r="A9" s="56">
        <v>7</v>
      </c>
      <c r="B9" s="56" t="s">
        <v>95</v>
      </c>
      <c r="C9" s="48" t="s">
        <v>99</v>
      </c>
      <c r="D9" s="66">
        <v>39293</v>
      </c>
      <c r="E9" s="66">
        <v>39353</v>
      </c>
      <c r="F9" s="56">
        <v>32</v>
      </c>
      <c r="G9" s="48">
        <v>120</v>
      </c>
      <c r="H9" s="48">
        <f t="shared" si="0"/>
        <v>3840</v>
      </c>
      <c r="I9" s="48">
        <f t="shared" si="1"/>
        <v>384</v>
      </c>
      <c r="J9" s="64">
        <f t="shared" si="2"/>
        <v>38.4</v>
      </c>
      <c r="K9" s="64">
        <f t="shared" si="3"/>
        <v>4262.3999999999996</v>
      </c>
    </row>
    <row r="10" spans="1:11" x14ac:dyDescent="0.2">
      <c r="A10" s="56">
        <v>8</v>
      </c>
      <c r="B10" s="56" t="s">
        <v>56</v>
      </c>
      <c r="C10" s="48" t="s">
        <v>98</v>
      </c>
      <c r="D10" s="66">
        <v>39114</v>
      </c>
      <c r="E10" s="66">
        <v>39417</v>
      </c>
      <c r="F10" s="56">
        <v>13</v>
      </c>
      <c r="G10" s="48">
        <v>100</v>
      </c>
      <c r="H10" s="48">
        <f t="shared" si="0"/>
        <v>1300</v>
      </c>
      <c r="I10" s="48">
        <f t="shared" si="1"/>
        <v>13</v>
      </c>
      <c r="J10" s="64">
        <f t="shared" si="2"/>
        <v>0</v>
      </c>
      <c r="K10" s="64">
        <f t="shared" si="3"/>
        <v>1313</v>
      </c>
    </row>
    <row r="11" spans="1:11" x14ac:dyDescent="0.2">
      <c r="A11" s="56">
        <v>9</v>
      </c>
      <c r="B11" s="56" t="s">
        <v>55</v>
      </c>
      <c r="C11" s="48" t="s">
        <v>97</v>
      </c>
      <c r="D11" s="66">
        <v>39084</v>
      </c>
      <c r="E11" s="66">
        <v>39087</v>
      </c>
      <c r="F11" s="56">
        <v>22</v>
      </c>
      <c r="G11" s="48">
        <v>300</v>
      </c>
      <c r="H11" s="48">
        <f t="shared" si="0"/>
        <v>6600</v>
      </c>
      <c r="I11" s="48">
        <f t="shared" si="1"/>
        <v>330</v>
      </c>
      <c r="J11" s="64">
        <f t="shared" si="2"/>
        <v>132</v>
      </c>
      <c r="K11" s="64">
        <f t="shared" si="3"/>
        <v>7062</v>
      </c>
    </row>
    <row r="12" spans="1:11" x14ac:dyDescent="0.2">
      <c r="A12" s="56">
        <v>10</v>
      </c>
      <c r="B12" s="56" t="s">
        <v>56</v>
      </c>
      <c r="C12" s="48" t="s">
        <v>98</v>
      </c>
      <c r="D12" s="66">
        <v>39295</v>
      </c>
      <c r="E12" s="66">
        <v>39326</v>
      </c>
      <c r="F12" s="56">
        <v>54</v>
      </c>
      <c r="G12" s="48">
        <v>200</v>
      </c>
      <c r="H12" s="48">
        <f t="shared" si="0"/>
        <v>10800</v>
      </c>
      <c r="I12" s="48">
        <f t="shared" si="1"/>
        <v>108</v>
      </c>
      <c r="J12" s="64">
        <f t="shared" si="2"/>
        <v>108</v>
      </c>
      <c r="K12" s="64">
        <f t="shared" si="3"/>
        <v>11016</v>
      </c>
    </row>
    <row r="13" spans="1:11" x14ac:dyDescent="0.2">
      <c r="A13" s="56">
        <v>11</v>
      </c>
      <c r="B13" s="56" t="s">
        <v>95</v>
      </c>
      <c r="C13" s="48" t="s">
        <v>99</v>
      </c>
      <c r="D13" s="66">
        <v>39173</v>
      </c>
      <c r="E13" s="66">
        <v>39360</v>
      </c>
      <c r="F13" s="56">
        <v>34</v>
      </c>
      <c r="G13" s="48">
        <v>300</v>
      </c>
      <c r="H13" s="48">
        <f t="shared" si="0"/>
        <v>10200</v>
      </c>
      <c r="I13" s="48">
        <f t="shared" si="1"/>
        <v>1020</v>
      </c>
      <c r="J13" s="64">
        <f t="shared" si="2"/>
        <v>0</v>
      </c>
      <c r="K13" s="64">
        <f t="shared" si="3"/>
        <v>11220</v>
      </c>
    </row>
    <row r="14" spans="1:11" x14ac:dyDescent="0.2">
      <c r="A14" s="56">
        <v>12</v>
      </c>
      <c r="B14" s="56" t="s">
        <v>55</v>
      </c>
      <c r="C14" s="48" t="s">
        <v>97</v>
      </c>
      <c r="D14" s="66">
        <v>39418</v>
      </c>
      <c r="E14" s="66">
        <v>39446</v>
      </c>
      <c r="F14" s="56">
        <v>11</v>
      </c>
      <c r="G14" s="48">
        <v>120</v>
      </c>
      <c r="H14" s="48">
        <f t="shared" si="0"/>
        <v>1320</v>
      </c>
      <c r="I14" s="48">
        <f t="shared" si="1"/>
        <v>66</v>
      </c>
      <c r="J14" s="64">
        <f t="shared" si="2"/>
        <v>26.400000000000002</v>
      </c>
      <c r="K14" s="64">
        <f t="shared" si="3"/>
        <v>1412.4</v>
      </c>
    </row>
    <row r="15" spans="1:11" ht="15" x14ac:dyDescent="0.25">
      <c r="A15" s="170" t="s">
        <v>102</v>
      </c>
      <c r="B15" s="170"/>
      <c r="C15" s="170"/>
      <c r="D15" s="170"/>
      <c r="E15" s="170"/>
      <c r="F15" s="170"/>
      <c r="G15" s="170"/>
      <c r="H15" s="65">
        <f>SUM(H3:H14)</f>
        <v>59260</v>
      </c>
      <c r="I15" s="65">
        <f t="shared" ref="I15:K15" si="4">SUM(I3:I14)</f>
        <v>3213</v>
      </c>
      <c r="J15" s="65">
        <f t="shared" si="4"/>
        <v>596.79999999999995</v>
      </c>
      <c r="K15" s="65">
        <f t="shared" si="4"/>
        <v>63069.8</v>
      </c>
    </row>
    <row r="17" spans="1:13" x14ac:dyDescent="0.2">
      <c r="A17" s="171" t="s">
        <v>103</v>
      </c>
      <c r="B17" s="171"/>
      <c r="C17" s="171"/>
      <c r="D17" s="171"/>
      <c r="E17" s="171"/>
      <c r="F17" s="56">
        <f>SUMIF(C3:C14,"Giấy",F3:F14)</f>
        <v>97</v>
      </c>
      <c r="H17" s="171" t="s">
        <v>106</v>
      </c>
      <c r="I17" s="171"/>
      <c r="J17" s="171"/>
      <c r="K17" s="171"/>
      <c r="L17" s="171"/>
      <c r="M17" s="56">
        <f>SUMIFS(F3:F14,C3:C14,"Giấy",F3:F14,"&gt;=30")</f>
        <v>64</v>
      </c>
    </row>
    <row r="18" spans="1:13" x14ac:dyDescent="0.2">
      <c r="A18" s="171" t="s">
        <v>104</v>
      </c>
      <c r="B18" s="171"/>
      <c r="C18" s="171"/>
      <c r="D18" s="171"/>
      <c r="E18" s="171"/>
      <c r="F18" s="56">
        <f>COUNTIF(B3:B14,"A")</f>
        <v>4</v>
      </c>
      <c r="H18" s="171" t="s">
        <v>107</v>
      </c>
      <c r="I18" s="171"/>
      <c r="J18" s="171"/>
      <c r="K18" s="171"/>
      <c r="L18" s="171"/>
      <c r="M18" s="56">
        <f>COUNTIFS(F3:F14,"&gt;=20",F3:F14,"&lt;=40")</f>
        <v>6</v>
      </c>
    </row>
    <row r="19" spans="1:13" x14ac:dyDescent="0.2">
      <c r="A19" s="171" t="s">
        <v>105</v>
      </c>
      <c r="B19" s="171"/>
      <c r="C19" s="171"/>
      <c r="D19" s="171"/>
      <c r="E19" s="171"/>
      <c r="F19" s="56">
        <f>SUMIF(C3:C14,"Giấy",F3:F14) + SUMIF(C3:C14,"Vải",F3:F14)</f>
        <v>230</v>
      </c>
      <c r="H19" s="171" t="s">
        <v>108</v>
      </c>
      <c r="I19" s="171"/>
      <c r="J19" s="171"/>
      <c r="K19" s="171"/>
      <c r="L19" s="171"/>
      <c r="M19" s="56">
        <f>SUMIFS(H3:H14,C3:C14,"Vải",F3:F14,"&lt;=30")</f>
        <v>3300</v>
      </c>
    </row>
  </sheetData>
  <mergeCells count="8">
    <mergeCell ref="A1:K1"/>
    <mergeCell ref="A15:G15"/>
    <mergeCell ref="H19:L19"/>
    <mergeCell ref="H18:L18"/>
    <mergeCell ref="H17:L17"/>
    <mergeCell ref="A19:E19"/>
    <mergeCell ref="A18:E18"/>
    <mergeCell ref="A17:E1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8"/>
  <sheetViews>
    <sheetView workbookViewId="0">
      <selection activeCell="G25" sqref="G25"/>
    </sheetView>
  </sheetViews>
  <sheetFormatPr defaultRowHeight="14.25" x14ac:dyDescent="0.2"/>
  <cols>
    <col min="1" max="1" width="10.875" customWidth="1"/>
    <col min="2" max="2" width="20.125" customWidth="1"/>
    <col min="3" max="3" width="11.25" customWidth="1"/>
    <col min="4" max="4" width="9.25" customWidth="1"/>
    <col min="6" max="6" width="13" customWidth="1"/>
  </cols>
  <sheetData>
    <row r="1" spans="1:7" ht="15" thickBot="1" x14ac:dyDescent="0.25"/>
    <row r="2" spans="1:7" ht="29.25" thickTop="1" x14ac:dyDescent="0.2">
      <c r="A2" s="70" t="s">
        <v>0</v>
      </c>
      <c r="B2" s="71" t="s">
        <v>1</v>
      </c>
      <c r="C2" s="71" t="s">
        <v>109</v>
      </c>
      <c r="D2" s="72" t="s">
        <v>110</v>
      </c>
      <c r="E2" s="71" t="s">
        <v>67</v>
      </c>
      <c r="F2" s="71" t="s">
        <v>111</v>
      </c>
      <c r="G2" s="73" t="s">
        <v>112</v>
      </c>
    </row>
    <row r="3" spans="1:7" x14ac:dyDescent="0.2">
      <c r="A3" s="74">
        <v>1</v>
      </c>
      <c r="B3" s="69" t="s">
        <v>8</v>
      </c>
      <c r="C3" s="69" t="s">
        <v>113</v>
      </c>
      <c r="D3" s="54">
        <v>1</v>
      </c>
      <c r="E3" s="54">
        <v>7</v>
      </c>
      <c r="F3" s="54">
        <f>IF(AND(OR(C3="Tổ trưởng",C3="Tổ phó"),D3=0),0.8,IF(D3=0,0.5,0))</f>
        <v>0</v>
      </c>
      <c r="G3" s="75">
        <f>E3+F3</f>
        <v>7</v>
      </c>
    </row>
    <row r="4" spans="1:7" x14ac:dyDescent="0.2">
      <c r="A4" s="74">
        <v>2</v>
      </c>
      <c r="B4" s="69" t="s">
        <v>9</v>
      </c>
      <c r="C4" s="69" t="s">
        <v>114</v>
      </c>
      <c r="D4" s="54">
        <v>1</v>
      </c>
      <c r="E4" s="54">
        <v>6.5</v>
      </c>
      <c r="F4" s="54">
        <f t="shared" ref="F4:F17" si="0">IF(AND(OR(C4="Tổ trưởng",C4="Tổ phó"),D4=0),0.8,IF(D4=0,0.5,0))</f>
        <v>0</v>
      </c>
      <c r="G4" s="75">
        <f t="shared" ref="G4:G17" si="1">E4+F4</f>
        <v>6.5</v>
      </c>
    </row>
    <row r="5" spans="1:7" x14ac:dyDescent="0.2">
      <c r="A5" s="74">
        <v>3</v>
      </c>
      <c r="B5" s="69" t="s">
        <v>10</v>
      </c>
      <c r="C5" s="69" t="s">
        <v>114</v>
      </c>
      <c r="D5" s="54">
        <v>0</v>
      </c>
      <c r="E5" s="54">
        <v>6</v>
      </c>
      <c r="F5" s="54">
        <f t="shared" si="0"/>
        <v>0.8</v>
      </c>
      <c r="G5" s="75">
        <f t="shared" si="1"/>
        <v>6.8</v>
      </c>
    </row>
    <row r="6" spans="1:7" x14ac:dyDescent="0.2">
      <c r="A6" s="74">
        <v>4</v>
      </c>
      <c r="B6" s="69" t="s">
        <v>11</v>
      </c>
      <c r="C6" s="69" t="s">
        <v>113</v>
      </c>
      <c r="D6" s="54">
        <v>0</v>
      </c>
      <c r="E6" s="54">
        <v>8</v>
      </c>
      <c r="F6" s="54">
        <f t="shared" si="0"/>
        <v>0.8</v>
      </c>
      <c r="G6" s="75">
        <f t="shared" si="1"/>
        <v>8.8000000000000007</v>
      </c>
    </row>
    <row r="7" spans="1:7" x14ac:dyDescent="0.2">
      <c r="A7" s="74">
        <v>5</v>
      </c>
      <c r="B7" s="69" t="s">
        <v>12</v>
      </c>
      <c r="C7" s="69" t="s">
        <v>115</v>
      </c>
      <c r="D7" s="54">
        <v>2</v>
      </c>
      <c r="E7" s="54">
        <v>7.5</v>
      </c>
      <c r="F7" s="54">
        <f t="shared" si="0"/>
        <v>0</v>
      </c>
      <c r="G7" s="75">
        <f t="shared" si="1"/>
        <v>7.5</v>
      </c>
    </row>
    <row r="8" spans="1:7" x14ac:dyDescent="0.2">
      <c r="A8" s="74">
        <v>6</v>
      </c>
      <c r="B8" s="69" t="s">
        <v>13</v>
      </c>
      <c r="C8" s="69" t="s">
        <v>113</v>
      </c>
      <c r="D8" s="54">
        <v>0</v>
      </c>
      <c r="E8" s="54">
        <v>8</v>
      </c>
      <c r="F8" s="54">
        <f t="shared" si="0"/>
        <v>0.8</v>
      </c>
      <c r="G8" s="75">
        <f t="shared" si="1"/>
        <v>8.8000000000000007</v>
      </c>
    </row>
    <row r="9" spans="1:7" x14ac:dyDescent="0.2">
      <c r="A9" s="74">
        <v>7</v>
      </c>
      <c r="B9" s="69" t="s">
        <v>14</v>
      </c>
      <c r="C9" s="69" t="s">
        <v>115</v>
      </c>
      <c r="D9" s="54">
        <v>0</v>
      </c>
      <c r="E9" s="54">
        <v>6</v>
      </c>
      <c r="F9" s="54">
        <f t="shared" si="0"/>
        <v>0.5</v>
      </c>
      <c r="G9" s="75">
        <f t="shared" si="1"/>
        <v>6.5</v>
      </c>
    </row>
    <row r="10" spans="1:7" x14ac:dyDescent="0.2">
      <c r="A10" s="74">
        <v>8</v>
      </c>
      <c r="B10" s="69" t="s">
        <v>15</v>
      </c>
      <c r="C10" s="69" t="s">
        <v>114</v>
      </c>
      <c r="D10" s="54">
        <v>1</v>
      </c>
      <c r="E10" s="54">
        <v>7</v>
      </c>
      <c r="F10" s="54">
        <f t="shared" si="0"/>
        <v>0</v>
      </c>
      <c r="G10" s="75">
        <f t="shared" si="1"/>
        <v>7</v>
      </c>
    </row>
    <row r="11" spans="1:7" x14ac:dyDescent="0.2">
      <c r="A11" s="74">
        <v>9</v>
      </c>
      <c r="B11" s="69" t="s">
        <v>52</v>
      </c>
      <c r="C11" s="69" t="s">
        <v>113</v>
      </c>
      <c r="D11" s="54">
        <v>2</v>
      </c>
      <c r="E11" s="54">
        <v>8</v>
      </c>
      <c r="F11" s="54">
        <f t="shared" si="0"/>
        <v>0</v>
      </c>
      <c r="G11" s="75">
        <f t="shared" si="1"/>
        <v>8</v>
      </c>
    </row>
    <row r="12" spans="1:7" x14ac:dyDescent="0.2">
      <c r="A12" s="74">
        <v>10</v>
      </c>
      <c r="B12" s="69" t="s">
        <v>53</v>
      </c>
      <c r="C12" s="69" t="s">
        <v>115</v>
      </c>
      <c r="D12" s="54">
        <v>0</v>
      </c>
      <c r="E12" s="54">
        <v>6.5</v>
      </c>
      <c r="F12" s="54">
        <f t="shared" si="0"/>
        <v>0.5</v>
      </c>
      <c r="G12" s="75">
        <f t="shared" si="1"/>
        <v>7</v>
      </c>
    </row>
    <row r="13" spans="1:7" x14ac:dyDescent="0.2">
      <c r="A13" s="74">
        <v>11</v>
      </c>
      <c r="B13" s="69" t="s">
        <v>54</v>
      </c>
      <c r="C13" s="69" t="s">
        <v>113</v>
      </c>
      <c r="D13" s="54">
        <v>1</v>
      </c>
      <c r="E13" s="54">
        <v>7.5</v>
      </c>
      <c r="F13" s="54">
        <f t="shared" si="0"/>
        <v>0</v>
      </c>
      <c r="G13" s="75">
        <f t="shared" si="1"/>
        <v>7.5</v>
      </c>
    </row>
    <row r="14" spans="1:7" x14ac:dyDescent="0.2">
      <c r="A14" s="74">
        <v>12</v>
      </c>
      <c r="B14" s="69" t="s">
        <v>16</v>
      </c>
      <c r="C14" s="69" t="s">
        <v>115</v>
      </c>
      <c r="D14" s="54">
        <v>3</v>
      </c>
      <c r="E14" s="54">
        <v>8</v>
      </c>
      <c r="F14" s="54">
        <f t="shared" si="0"/>
        <v>0</v>
      </c>
      <c r="G14" s="75">
        <f t="shared" si="1"/>
        <v>8</v>
      </c>
    </row>
    <row r="15" spans="1:7" x14ac:dyDescent="0.2">
      <c r="A15" s="74">
        <v>13</v>
      </c>
      <c r="B15" s="69" t="s">
        <v>17</v>
      </c>
      <c r="C15" s="69" t="s">
        <v>114</v>
      </c>
      <c r="D15" s="54">
        <v>0</v>
      </c>
      <c r="E15" s="54">
        <v>8.5</v>
      </c>
      <c r="F15" s="54">
        <f t="shared" si="0"/>
        <v>0.8</v>
      </c>
      <c r="G15" s="75">
        <f t="shared" si="1"/>
        <v>9.3000000000000007</v>
      </c>
    </row>
    <row r="16" spans="1:7" x14ac:dyDescent="0.2">
      <c r="A16" s="74">
        <v>14</v>
      </c>
      <c r="B16" s="69" t="s">
        <v>18</v>
      </c>
      <c r="C16" s="69" t="s">
        <v>115</v>
      </c>
      <c r="D16" s="54">
        <v>3</v>
      </c>
      <c r="E16" s="54">
        <v>6</v>
      </c>
      <c r="F16" s="54">
        <f t="shared" si="0"/>
        <v>0</v>
      </c>
      <c r="G16" s="75">
        <f t="shared" si="1"/>
        <v>6</v>
      </c>
    </row>
    <row r="17" spans="1:7" ht="15" thickBot="1" x14ac:dyDescent="0.25">
      <c r="A17" s="76">
        <v>15</v>
      </c>
      <c r="B17" s="77" t="s">
        <v>19</v>
      </c>
      <c r="C17" s="77" t="s">
        <v>114</v>
      </c>
      <c r="D17" s="78">
        <v>0</v>
      </c>
      <c r="E17" s="78">
        <v>6.5</v>
      </c>
      <c r="F17" s="78">
        <f t="shared" si="0"/>
        <v>0.8</v>
      </c>
      <c r="G17" s="79">
        <f t="shared" si="1"/>
        <v>7.3</v>
      </c>
    </row>
    <row r="18" spans="1:7" ht="15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3"/>
  <sheetViews>
    <sheetView workbookViewId="0">
      <selection activeCell="G25" sqref="G25"/>
    </sheetView>
  </sheetViews>
  <sheetFormatPr defaultRowHeight="14.25" x14ac:dyDescent="0.2"/>
  <cols>
    <col min="3" max="3" width="11.625" customWidth="1"/>
    <col min="4" max="4" width="14.125" customWidth="1"/>
    <col min="5" max="5" width="11.75" customWidth="1"/>
    <col min="6" max="6" width="13.75" customWidth="1"/>
    <col min="7" max="7" width="11.125" customWidth="1"/>
    <col min="8" max="8" width="10.625" bestFit="1" customWidth="1"/>
    <col min="10" max="10" width="10.875" customWidth="1"/>
  </cols>
  <sheetData>
    <row r="1" spans="1:10" x14ac:dyDescent="0.2">
      <c r="A1" s="167" t="s">
        <v>137</v>
      </c>
      <c r="B1" s="167"/>
      <c r="C1" s="167"/>
      <c r="D1" s="167"/>
      <c r="E1" s="167"/>
      <c r="F1" s="167"/>
      <c r="G1" s="167"/>
      <c r="H1" s="167"/>
      <c r="I1" s="167"/>
      <c r="J1" s="167"/>
    </row>
    <row r="3" spans="1:10" x14ac:dyDescent="0.2">
      <c r="C3" s="169" t="s">
        <v>116</v>
      </c>
      <c r="D3" s="169"/>
      <c r="E3" s="169"/>
      <c r="F3" s="81">
        <v>41102</v>
      </c>
    </row>
    <row r="5" spans="1:10" x14ac:dyDescent="0.2">
      <c r="A5" s="80" t="s">
        <v>0</v>
      </c>
      <c r="B5" s="80" t="s">
        <v>117</v>
      </c>
      <c r="C5" s="80" t="s">
        <v>118</v>
      </c>
      <c r="D5" s="80" t="s">
        <v>119</v>
      </c>
      <c r="E5" s="80" t="s">
        <v>89</v>
      </c>
      <c r="F5" s="80" t="s">
        <v>120</v>
      </c>
      <c r="G5" s="80" t="s">
        <v>121</v>
      </c>
      <c r="H5" s="80" t="s">
        <v>93</v>
      </c>
      <c r="I5" s="80" t="s">
        <v>92</v>
      </c>
      <c r="J5" s="80" t="s">
        <v>25</v>
      </c>
    </row>
    <row r="6" spans="1:10" x14ac:dyDescent="0.2">
      <c r="A6" s="48">
        <v>1</v>
      </c>
      <c r="B6" s="48" t="s">
        <v>122</v>
      </c>
      <c r="C6" s="48" t="s">
        <v>126</v>
      </c>
      <c r="D6" s="48" t="str">
        <f>VLOOKUP(B6,$B$19:$C$23,2,0)</f>
        <v>Minh Nhật</v>
      </c>
      <c r="E6" s="48" t="str">
        <f>HLOOKUP(C6,$E$19:$J$21,2,0)</f>
        <v>Sắt</v>
      </c>
      <c r="F6" s="63">
        <v>41062</v>
      </c>
      <c r="G6" s="48">
        <f>$F$3-F6+1</f>
        <v>41</v>
      </c>
      <c r="H6" s="49">
        <f>HLOOKUP(C6,$E$19:$J$21,3,0)</f>
        <v>6000</v>
      </c>
      <c r="I6" s="48">
        <v>40</v>
      </c>
      <c r="J6" s="49">
        <f>H6*I6</f>
        <v>240000</v>
      </c>
    </row>
    <row r="7" spans="1:10" x14ac:dyDescent="0.2">
      <c r="A7" s="48">
        <v>2</v>
      </c>
      <c r="B7" s="48" t="s">
        <v>123</v>
      </c>
      <c r="C7" s="48" t="s">
        <v>127</v>
      </c>
      <c r="D7" s="48" t="str">
        <f t="shared" ref="D7:D17" si="0">VLOOKUP(B7,$B$19:$C$23,2,0)</f>
        <v>Bình Minh</v>
      </c>
      <c r="E7" s="48" t="str">
        <f t="shared" ref="E7:E17" si="1">HLOOKUP(C7,$E$19:$J$21,2,0)</f>
        <v>Nông sản</v>
      </c>
      <c r="F7" s="63">
        <v>41063</v>
      </c>
      <c r="G7" s="48">
        <f t="shared" ref="G7:G17" si="2">$F$3-F7+1</f>
        <v>40</v>
      </c>
      <c r="H7" s="49">
        <f t="shared" ref="H7:H17" si="3">HLOOKUP(C7,$E$19:$J$21,3,0)</f>
        <v>85000</v>
      </c>
      <c r="I7" s="48">
        <v>51</v>
      </c>
      <c r="J7" s="49">
        <f t="shared" ref="J7:J17" si="4">H7*I7</f>
        <v>4335000</v>
      </c>
    </row>
    <row r="8" spans="1:10" x14ac:dyDescent="0.2">
      <c r="A8" s="48">
        <v>3</v>
      </c>
      <c r="B8" s="48" t="s">
        <v>124</v>
      </c>
      <c r="C8" s="48" t="s">
        <v>126</v>
      </c>
      <c r="D8" s="48" t="str">
        <f t="shared" si="0"/>
        <v>An Thái</v>
      </c>
      <c r="E8" s="48" t="str">
        <f t="shared" si="1"/>
        <v>Sắt</v>
      </c>
      <c r="F8" s="63">
        <v>41061</v>
      </c>
      <c r="G8" s="48">
        <f t="shared" si="2"/>
        <v>42</v>
      </c>
      <c r="H8" s="49">
        <f t="shared" si="3"/>
        <v>6000</v>
      </c>
      <c r="I8" s="48">
        <v>38</v>
      </c>
      <c r="J8" s="49">
        <f t="shared" si="4"/>
        <v>228000</v>
      </c>
    </row>
    <row r="9" spans="1:10" x14ac:dyDescent="0.2">
      <c r="A9" s="48">
        <v>4</v>
      </c>
      <c r="B9" s="48" t="s">
        <v>125</v>
      </c>
      <c r="C9" s="48" t="s">
        <v>127</v>
      </c>
      <c r="D9" s="48" t="str">
        <f t="shared" si="0"/>
        <v>Thiên Long</v>
      </c>
      <c r="E9" s="48" t="str">
        <f t="shared" si="1"/>
        <v>Nông sản</v>
      </c>
      <c r="F9" s="63">
        <v>41066</v>
      </c>
      <c r="G9" s="48">
        <f t="shared" si="2"/>
        <v>37</v>
      </c>
      <c r="H9" s="49">
        <f t="shared" si="3"/>
        <v>85000</v>
      </c>
      <c r="I9" s="48">
        <v>29</v>
      </c>
      <c r="J9" s="49">
        <f t="shared" si="4"/>
        <v>2465000</v>
      </c>
    </row>
    <row r="10" spans="1:10" x14ac:dyDescent="0.2">
      <c r="A10" s="48">
        <v>5</v>
      </c>
      <c r="B10" s="48" t="s">
        <v>124</v>
      </c>
      <c r="C10" s="48" t="s">
        <v>128</v>
      </c>
      <c r="D10" s="48" t="str">
        <f t="shared" si="0"/>
        <v>An Thái</v>
      </c>
      <c r="E10" s="48" t="str">
        <f t="shared" si="1"/>
        <v>Xi măng</v>
      </c>
      <c r="F10" s="63">
        <v>41076</v>
      </c>
      <c r="G10" s="48">
        <f t="shared" si="2"/>
        <v>27</v>
      </c>
      <c r="H10" s="49">
        <f t="shared" si="3"/>
        <v>6500</v>
      </c>
      <c r="I10" s="48">
        <v>26</v>
      </c>
      <c r="J10" s="49">
        <f t="shared" si="4"/>
        <v>169000</v>
      </c>
    </row>
    <row r="11" spans="1:10" x14ac:dyDescent="0.2">
      <c r="A11" s="48">
        <v>6</v>
      </c>
      <c r="B11" s="48" t="s">
        <v>123</v>
      </c>
      <c r="C11" s="48" t="s">
        <v>129</v>
      </c>
      <c r="D11" s="48" t="str">
        <f t="shared" si="0"/>
        <v>Bình Minh</v>
      </c>
      <c r="E11" s="48" t="str">
        <f t="shared" si="1"/>
        <v>Gỗ</v>
      </c>
      <c r="F11" s="63">
        <v>41066</v>
      </c>
      <c r="G11" s="48">
        <f t="shared" si="2"/>
        <v>37</v>
      </c>
      <c r="H11" s="49">
        <f t="shared" si="3"/>
        <v>9000</v>
      </c>
      <c r="I11" s="48">
        <v>37</v>
      </c>
      <c r="J11" s="49">
        <f t="shared" si="4"/>
        <v>333000</v>
      </c>
    </row>
    <row r="12" spans="1:10" x14ac:dyDescent="0.2">
      <c r="A12" s="48">
        <v>7</v>
      </c>
      <c r="B12" s="48" t="s">
        <v>125</v>
      </c>
      <c r="C12" s="48" t="s">
        <v>126</v>
      </c>
      <c r="D12" s="48" t="str">
        <f t="shared" si="0"/>
        <v>Thiên Long</v>
      </c>
      <c r="E12" s="48" t="str">
        <f t="shared" si="1"/>
        <v>Sắt</v>
      </c>
      <c r="F12" s="63">
        <v>41084</v>
      </c>
      <c r="G12" s="48">
        <f t="shared" si="2"/>
        <v>19</v>
      </c>
      <c r="H12" s="49">
        <f t="shared" si="3"/>
        <v>6000</v>
      </c>
      <c r="I12" s="48">
        <v>22</v>
      </c>
      <c r="J12" s="49">
        <f t="shared" si="4"/>
        <v>132000</v>
      </c>
    </row>
    <row r="13" spans="1:10" x14ac:dyDescent="0.2">
      <c r="A13" s="48">
        <v>8</v>
      </c>
      <c r="B13" s="48" t="s">
        <v>122</v>
      </c>
      <c r="C13" s="48" t="s">
        <v>128</v>
      </c>
      <c r="D13" s="48" t="str">
        <f t="shared" si="0"/>
        <v>Minh Nhật</v>
      </c>
      <c r="E13" s="48" t="str">
        <f t="shared" si="1"/>
        <v>Xi măng</v>
      </c>
      <c r="F13" s="63">
        <v>41075</v>
      </c>
      <c r="G13" s="48">
        <f t="shared" si="2"/>
        <v>28</v>
      </c>
      <c r="H13" s="49">
        <f t="shared" si="3"/>
        <v>6500</v>
      </c>
      <c r="I13" s="48">
        <v>50</v>
      </c>
      <c r="J13" s="49">
        <f t="shared" si="4"/>
        <v>325000</v>
      </c>
    </row>
    <row r="14" spans="1:10" x14ac:dyDescent="0.2">
      <c r="A14" s="48">
        <v>9</v>
      </c>
      <c r="B14" s="48" t="s">
        <v>123</v>
      </c>
      <c r="C14" s="48" t="s">
        <v>127</v>
      </c>
      <c r="D14" s="48" t="str">
        <f t="shared" si="0"/>
        <v>Bình Minh</v>
      </c>
      <c r="E14" s="48" t="str">
        <f t="shared" si="1"/>
        <v>Nông sản</v>
      </c>
      <c r="F14" s="63">
        <v>41063</v>
      </c>
      <c r="G14" s="48">
        <f t="shared" si="2"/>
        <v>40</v>
      </c>
      <c r="H14" s="49">
        <f t="shared" si="3"/>
        <v>85000</v>
      </c>
      <c r="I14" s="48">
        <v>22</v>
      </c>
      <c r="J14" s="49">
        <f t="shared" si="4"/>
        <v>1870000</v>
      </c>
    </row>
    <row r="15" spans="1:10" x14ac:dyDescent="0.2">
      <c r="A15" s="48">
        <v>10</v>
      </c>
      <c r="B15" s="48" t="s">
        <v>125</v>
      </c>
      <c r="C15" s="48" t="s">
        <v>96</v>
      </c>
      <c r="D15" s="48" t="str">
        <f t="shared" si="0"/>
        <v>Thiên Long</v>
      </c>
      <c r="E15" s="48" t="str">
        <f t="shared" si="1"/>
        <v>Vải</v>
      </c>
      <c r="F15" s="63">
        <v>41082</v>
      </c>
      <c r="G15" s="48">
        <f t="shared" si="2"/>
        <v>21</v>
      </c>
      <c r="H15" s="49">
        <f t="shared" si="3"/>
        <v>12000</v>
      </c>
      <c r="I15" s="48">
        <v>45</v>
      </c>
      <c r="J15" s="49">
        <f t="shared" si="4"/>
        <v>540000</v>
      </c>
    </row>
    <row r="16" spans="1:10" x14ac:dyDescent="0.2">
      <c r="A16" s="48">
        <v>11</v>
      </c>
      <c r="B16" s="48" t="s">
        <v>124</v>
      </c>
      <c r="C16" s="48" t="s">
        <v>128</v>
      </c>
      <c r="D16" s="48" t="str">
        <f t="shared" si="0"/>
        <v>An Thái</v>
      </c>
      <c r="E16" s="48" t="str">
        <f t="shared" si="1"/>
        <v>Xi măng</v>
      </c>
      <c r="F16" s="63">
        <v>41069</v>
      </c>
      <c r="G16" s="48">
        <f t="shared" si="2"/>
        <v>34</v>
      </c>
      <c r="H16" s="49">
        <f t="shared" si="3"/>
        <v>6500</v>
      </c>
      <c r="I16" s="48">
        <v>31</v>
      </c>
      <c r="J16" s="49">
        <f t="shared" si="4"/>
        <v>201500</v>
      </c>
    </row>
    <row r="17" spans="1:10" x14ac:dyDescent="0.2">
      <c r="A17" s="48">
        <v>12</v>
      </c>
      <c r="B17" s="48" t="s">
        <v>124</v>
      </c>
      <c r="C17" s="48" t="s">
        <v>96</v>
      </c>
      <c r="D17" s="48" t="str">
        <f t="shared" si="0"/>
        <v>An Thái</v>
      </c>
      <c r="E17" s="48" t="str">
        <f t="shared" si="1"/>
        <v>Vải</v>
      </c>
      <c r="F17" s="63">
        <v>41081</v>
      </c>
      <c r="G17" s="48">
        <f t="shared" si="2"/>
        <v>22</v>
      </c>
      <c r="H17" s="49">
        <f t="shared" si="3"/>
        <v>12000</v>
      </c>
      <c r="I17" s="48">
        <v>32</v>
      </c>
      <c r="J17" s="49">
        <f t="shared" si="4"/>
        <v>384000</v>
      </c>
    </row>
    <row r="19" spans="1:10" x14ac:dyDescent="0.2">
      <c r="B19" s="46" t="s">
        <v>117</v>
      </c>
      <c r="C19" s="46" t="s">
        <v>119</v>
      </c>
      <c r="E19" s="46" t="s">
        <v>118</v>
      </c>
      <c r="F19" s="46" t="s">
        <v>126</v>
      </c>
      <c r="G19" s="46" t="s">
        <v>96</v>
      </c>
      <c r="H19" s="46" t="s">
        <v>128</v>
      </c>
      <c r="I19" s="46" t="s">
        <v>129</v>
      </c>
      <c r="J19" s="46" t="s">
        <v>127</v>
      </c>
    </row>
    <row r="20" spans="1:10" x14ac:dyDescent="0.2">
      <c r="B20" s="56" t="s">
        <v>122</v>
      </c>
      <c r="C20" s="48" t="s">
        <v>131</v>
      </c>
      <c r="E20" s="56" t="s">
        <v>89</v>
      </c>
      <c r="F20" s="56" t="s">
        <v>130</v>
      </c>
      <c r="G20" s="56" t="s">
        <v>98</v>
      </c>
      <c r="H20" s="56" t="s">
        <v>99</v>
      </c>
      <c r="I20" s="56" t="s">
        <v>135</v>
      </c>
      <c r="J20" s="56" t="s">
        <v>136</v>
      </c>
    </row>
    <row r="21" spans="1:10" x14ac:dyDescent="0.2">
      <c r="B21" s="56" t="s">
        <v>123</v>
      </c>
      <c r="C21" s="48" t="s">
        <v>132</v>
      </c>
      <c r="E21" s="56" t="s">
        <v>93</v>
      </c>
      <c r="F21" s="56">
        <v>6000</v>
      </c>
      <c r="G21" s="56">
        <v>12000</v>
      </c>
      <c r="H21" s="56">
        <v>6500</v>
      </c>
      <c r="I21" s="56">
        <v>9000</v>
      </c>
      <c r="J21" s="56">
        <v>85000</v>
      </c>
    </row>
    <row r="22" spans="1:10" x14ac:dyDescent="0.2">
      <c r="B22" s="56" t="s">
        <v>124</v>
      </c>
      <c r="C22" s="48" t="s">
        <v>133</v>
      </c>
    </row>
    <row r="23" spans="1:10" x14ac:dyDescent="0.2">
      <c r="B23" s="56" t="s">
        <v>125</v>
      </c>
      <c r="C23" s="48" t="s">
        <v>134</v>
      </c>
    </row>
  </sheetData>
  <mergeCells count="2">
    <mergeCell ref="C3:E3"/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9"/>
  <sheetViews>
    <sheetView workbookViewId="0">
      <selection activeCell="G25" sqref="G25"/>
    </sheetView>
  </sheetViews>
  <sheetFormatPr defaultRowHeight="14.25" x14ac:dyDescent="0.2"/>
  <cols>
    <col min="1" max="1" width="11.75" customWidth="1"/>
    <col min="2" max="2" width="12.125" customWidth="1"/>
    <col min="3" max="3" width="16.625" customWidth="1"/>
    <col min="4" max="4" width="11.375" customWidth="1"/>
    <col min="5" max="5" width="14.25" customWidth="1"/>
    <col min="6" max="6" width="12.25" customWidth="1"/>
    <col min="7" max="7" width="11" customWidth="1"/>
    <col min="8" max="8" width="14.375" customWidth="1"/>
    <col min="9" max="9" width="13.625" customWidth="1"/>
    <col min="10" max="10" width="10.75" customWidth="1"/>
  </cols>
  <sheetData>
    <row r="1" spans="1:10" x14ac:dyDescent="0.2">
      <c r="A1" s="167" t="s">
        <v>138</v>
      </c>
      <c r="B1" s="167"/>
      <c r="C1" s="167"/>
      <c r="D1" s="167"/>
      <c r="E1" s="167"/>
      <c r="F1" s="167"/>
      <c r="G1" s="167"/>
      <c r="H1" s="167"/>
      <c r="I1" s="167"/>
    </row>
    <row r="3" spans="1:10" s="67" customFormat="1" ht="28.5" x14ac:dyDescent="0.2">
      <c r="A3" s="4" t="s">
        <v>139</v>
      </c>
      <c r="B3" s="4" t="s">
        <v>140</v>
      </c>
      <c r="C3" s="4" t="s">
        <v>141</v>
      </c>
      <c r="D3" s="4" t="s">
        <v>142</v>
      </c>
      <c r="E3" s="4" t="s">
        <v>143</v>
      </c>
      <c r="F3" s="4" t="s">
        <v>144</v>
      </c>
      <c r="G3" s="68" t="s">
        <v>148</v>
      </c>
      <c r="H3" s="68" t="s">
        <v>145</v>
      </c>
      <c r="I3" s="68" t="s">
        <v>146</v>
      </c>
      <c r="J3" s="68" t="s">
        <v>147</v>
      </c>
    </row>
    <row r="4" spans="1:10" x14ac:dyDescent="0.2">
      <c r="A4" s="48" t="s">
        <v>149</v>
      </c>
      <c r="B4" s="81">
        <v>41109</v>
      </c>
      <c r="C4" s="48" t="str">
        <f>VLOOKUP(LEFT(A4,2),$B$16:$C$19,2,0)</f>
        <v>Mua nhà</v>
      </c>
      <c r="D4" s="48" t="str">
        <f>IF(E4&lt;100000,"Chỉ","Đồng")</f>
        <v>Chỉ</v>
      </c>
      <c r="E4" s="49">
        <v>300</v>
      </c>
      <c r="F4" s="48" t="str">
        <f>HLOOKUP(RIGHT(A4,2),$E$16:$H$17,2,0)</f>
        <v>Kinh doanh</v>
      </c>
      <c r="G4" s="48" t="str">
        <f>MID(A4,3,2)</f>
        <v>12</v>
      </c>
      <c r="H4" s="84">
        <f>IF(AND(C4="Mua nhà",F4="Sử dụng"),0.3%,IF(AND(C4="Mua nhà",F4="Kinh doanh"),0.6%,IF(AND(C4="Mua xe",F4="Sử dụng"),0.45%,0.25%)))</f>
        <v>6.0000000000000001E-3</v>
      </c>
      <c r="I4" s="81">
        <f>B4+30</f>
        <v>41139</v>
      </c>
      <c r="J4" s="85">
        <f>E4/G4+E4*H4</f>
        <v>26.8</v>
      </c>
    </row>
    <row r="5" spans="1:10" x14ac:dyDescent="0.2">
      <c r="A5" s="48" t="s">
        <v>150</v>
      </c>
      <c r="B5" s="81">
        <v>41189</v>
      </c>
      <c r="C5" s="48" t="str">
        <f t="shared" ref="C5:C14" si="0">VLOOKUP(LEFT(A5,2),$B$16:$C$19,2,0)</f>
        <v>Mua xe</v>
      </c>
      <c r="D5" s="48" t="str">
        <f t="shared" ref="D5:D14" si="1">IF(E5&lt;100000,"Chỉ","Đồng")</f>
        <v>Đồng</v>
      </c>
      <c r="E5" s="49">
        <v>5000000</v>
      </c>
      <c r="F5" s="48" t="str">
        <f t="shared" ref="F5:F14" si="2">HLOOKUP(RIGHT(A5,2),$E$16:$H$17,2,0)</f>
        <v>Chạy hàng</v>
      </c>
      <c r="G5" s="48" t="str">
        <f t="shared" ref="G5:G14" si="3">MID(A5,3,2)</f>
        <v>24</v>
      </c>
      <c r="H5" s="84">
        <f t="shared" ref="H5:H14" si="4">IF(AND(C5="Mua nhà",F5="Sử dụng"),0.3%,IF(AND(C5="Mua nhà",F5="Kinh doanh"),0.6%,IF(AND(C5="Mua xe",F5="Sử dụng"),0.45%,0.25%)))</f>
        <v>2.5000000000000001E-3</v>
      </c>
      <c r="I5" s="81">
        <f t="shared" ref="I5:I14" si="5">B5+30</f>
        <v>41219</v>
      </c>
      <c r="J5" s="85">
        <f t="shared" ref="J5:J14" si="6">E5/G5+E5*H5</f>
        <v>220833.33333333334</v>
      </c>
    </row>
    <row r="6" spans="1:10" x14ac:dyDescent="0.2">
      <c r="A6" s="48" t="s">
        <v>151</v>
      </c>
      <c r="B6" s="81">
        <v>41065</v>
      </c>
      <c r="C6" s="48" t="str">
        <f t="shared" si="0"/>
        <v>Mua đồ gia dụng</v>
      </c>
      <c r="D6" s="48" t="str">
        <f t="shared" si="1"/>
        <v>Đồng</v>
      </c>
      <c r="E6" s="49">
        <v>5000000</v>
      </c>
      <c r="F6" s="48" t="str">
        <f t="shared" si="2"/>
        <v>Sử dụng</v>
      </c>
      <c r="G6" s="48" t="str">
        <f t="shared" si="3"/>
        <v>12</v>
      </c>
      <c r="H6" s="84">
        <f t="shared" si="4"/>
        <v>2.5000000000000001E-3</v>
      </c>
      <c r="I6" s="81">
        <f t="shared" si="5"/>
        <v>41095</v>
      </c>
      <c r="J6" s="85">
        <f t="shared" si="6"/>
        <v>429166.66666666669</v>
      </c>
    </row>
    <row r="7" spans="1:10" x14ac:dyDescent="0.2">
      <c r="A7" s="48" t="s">
        <v>152</v>
      </c>
      <c r="B7" s="81">
        <v>40974</v>
      </c>
      <c r="C7" s="48" t="str">
        <f t="shared" si="0"/>
        <v>Mua nhà</v>
      </c>
      <c r="D7" s="48" t="str">
        <f t="shared" si="1"/>
        <v>Chỉ</v>
      </c>
      <c r="E7" s="49">
        <v>310</v>
      </c>
      <c r="F7" s="48" t="str">
        <f t="shared" si="2"/>
        <v>Kinh doanh</v>
      </c>
      <c r="G7" s="48" t="str">
        <f t="shared" si="3"/>
        <v>60</v>
      </c>
      <c r="H7" s="84">
        <f t="shared" si="4"/>
        <v>6.0000000000000001E-3</v>
      </c>
      <c r="I7" s="81">
        <f t="shared" si="5"/>
        <v>41004</v>
      </c>
      <c r="J7" s="85">
        <f t="shared" si="6"/>
        <v>7.0266666666666673</v>
      </c>
    </row>
    <row r="8" spans="1:10" x14ac:dyDescent="0.2">
      <c r="A8" s="48" t="s">
        <v>153</v>
      </c>
      <c r="B8" s="81">
        <v>40845</v>
      </c>
      <c r="C8" s="48" t="str">
        <f t="shared" si="0"/>
        <v>Mua đồ gia dụng</v>
      </c>
      <c r="D8" s="48" t="str">
        <f t="shared" si="1"/>
        <v>Đồng</v>
      </c>
      <c r="E8" s="49">
        <v>7000000</v>
      </c>
      <c r="F8" s="48" t="str">
        <f t="shared" si="2"/>
        <v>Kinh doanh</v>
      </c>
      <c r="G8" s="48" t="str">
        <f t="shared" si="3"/>
        <v>24</v>
      </c>
      <c r="H8" s="84">
        <f t="shared" si="4"/>
        <v>2.5000000000000001E-3</v>
      </c>
      <c r="I8" s="81">
        <f t="shared" si="5"/>
        <v>40875</v>
      </c>
      <c r="J8" s="85">
        <f t="shared" si="6"/>
        <v>309166.66666666669</v>
      </c>
    </row>
    <row r="9" spans="1:10" x14ac:dyDescent="0.2">
      <c r="A9" s="48" t="s">
        <v>154</v>
      </c>
      <c r="B9" s="81">
        <v>40937</v>
      </c>
      <c r="C9" s="48" t="str">
        <f t="shared" si="0"/>
        <v>Mua xe</v>
      </c>
      <c r="D9" s="48" t="str">
        <f t="shared" si="1"/>
        <v>Đồng</v>
      </c>
      <c r="E9" s="49">
        <v>10000000</v>
      </c>
      <c r="F9" s="48" t="str">
        <f t="shared" si="2"/>
        <v>Sử dụng</v>
      </c>
      <c r="G9" s="48" t="str">
        <f t="shared" si="3"/>
        <v>12</v>
      </c>
      <c r="H9" s="84">
        <f t="shared" si="4"/>
        <v>4.5000000000000005E-3</v>
      </c>
      <c r="I9" s="81">
        <f t="shared" si="5"/>
        <v>40967</v>
      </c>
      <c r="J9" s="85">
        <f t="shared" si="6"/>
        <v>878333.33333333337</v>
      </c>
    </row>
    <row r="10" spans="1:10" x14ac:dyDescent="0.2">
      <c r="A10" s="48" t="s">
        <v>155</v>
      </c>
      <c r="B10" s="81">
        <v>41013</v>
      </c>
      <c r="C10" s="48" t="str">
        <f t="shared" si="0"/>
        <v>Mua nhà</v>
      </c>
      <c r="D10" s="48" t="str">
        <f t="shared" si="1"/>
        <v>Chỉ</v>
      </c>
      <c r="E10" s="49">
        <v>350</v>
      </c>
      <c r="F10" s="48" t="str">
        <f t="shared" si="2"/>
        <v>Sử dụng</v>
      </c>
      <c r="G10" s="48" t="str">
        <f t="shared" si="3"/>
        <v>12</v>
      </c>
      <c r="H10" s="84">
        <f t="shared" si="4"/>
        <v>3.0000000000000001E-3</v>
      </c>
      <c r="I10" s="81">
        <f t="shared" si="5"/>
        <v>41043</v>
      </c>
      <c r="J10" s="85">
        <f t="shared" si="6"/>
        <v>30.216666666666669</v>
      </c>
    </row>
    <row r="11" spans="1:10" x14ac:dyDescent="0.2">
      <c r="A11" s="48" t="s">
        <v>152</v>
      </c>
      <c r="B11" s="81">
        <v>40903</v>
      </c>
      <c r="C11" s="48" t="str">
        <f t="shared" si="0"/>
        <v>Mua nhà</v>
      </c>
      <c r="D11" s="48" t="str">
        <f t="shared" si="1"/>
        <v>Chỉ</v>
      </c>
      <c r="E11" s="49">
        <v>300</v>
      </c>
      <c r="F11" s="48" t="str">
        <f t="shared" si="2"/>
        <v>Kinh doanh</v>
      </c>
      <c r="G11" s="48" t="str">
        <f t="shared" si="3"/>
        <v>60</v>
      </c>
      <c r="H11" s="84">
        <f t="shared" si="4"/>
        <v>6.0000000000000001E-3</v>
      </c>
      <c r="I11" s="81">
        <f t="shared" si="5"/>
        <v>40933</v>
      </c>
      <c r="J11" s="85">
        <f t="shared" si="6"/>
        <v>6.8</v>
      </c>
    </row>
    <row r="12" spans="1:10" x14ac:dyDescent="0.2">
      <c r="A12" s="48" t="s">
        <v>156</v>
      </c>
      <c r="B12" s="81">
        <v>40895</v>
      </c>
      <c r="C12" s="48" t="str">
        <f t="shared" si="0"/>
        <v>Mua xe</v>
      </c>
      <c r="D12" s="48" t="str">
        <f t="shared" si="1"/>
        <v>Đồng</v>
      </c>
      <c r="E12" s="49">
        <v>7000000</v>
      </c>
      <c r="F12" s="48" t="str">
        <f t="shared" si="2"/>
        <v>Chạy hàng</v>
      </c>
      <c r="G12" s="48" t="str">
        <f t="shared" si="3"/>
        <v>36</v>
      </c>
      <c r="H12" s="84">
        <f t="shared" si="4"/>
        <v>2.5000000000000001E-3</v>
      </c>
      <c r="I12" s="81">
        <f t="shared" si="5"/>
        <v>40925</v>
      </c>
      <c r="J12" s="85">
        <f t="shared" si="6"/>
        <v>211944.44444444444</v>
      </c>
    </row>
    <row r="13" spans="1:10" x14ac:dyDescent="0.2">
      <c r="A13" s="48" t="s">
        <v>157</v>
      </c>
      <c r="B13" s="81">
        <v>40938</v>
      </c>
      <c r="C13" s="48" t="str">
        <f t="shared" si="0"/>
        <v>Mua đồ gia dụng</v>
      </c>
      <c r="D13" s="48" t="str">
        <f t="shared" si="1"/>
        <v>Đồng</v>
      </c>
      <c r="E13" s="49">
        <v>10000000</v>
      </c>
      <c r="F13" s="48" t="str">
        <f t="shared" si="2"/>
        <v>Sử dụng</v>
      </c>
      <c r="G13" s="48" t="str">
        <f t="shared" si="3"/>
        <v>24</v>
      </c>
      <c r="H13" s="84">
        <f t="shared" si="4"/>
        <v>2.5000000000000001E-3</v>
      </c>
      <c r="I13" s="81">
        <f t="shared" si="5"/>
        <v>40968</v>
      </c>
      <c r="J13" s="85">
        <f t="shared" si="6"/>
        <v>441666.66666666669</v>
      </c>
    </row>
    <row r="14" spans="1:10" x14ac:dyDescent="0.2">
      <c r="A14" s="48" t="s">
        <v>158</v>
      </c>
      <c r="B14" s="81">
        <v>40942</v>
      </c>
      <c r="C14" s="48" t="str">
        <f t="shared" si="0"/>
        <v>Mua nhà</v>
      </c>
      <c r="D14" s="48" t="str">
        <f t="shared" si="1"/>
        <v>Chỉ</v>
      </c>
      <c r="E14" s="49">
        <v>850</v>
      </c>
      <c r="F14" s="48" t="str">
        <f t="shared" si="2"/>
        <v>Kinh doanh</v>
      </c>
      <c r="G14" s="48" t="str">
        <f t="shared" si="3"/>
        <v>36</v>
      </c>
      <c r="H14" s="84">
        <f t="shared" si="4"/>
        <v>6.0000000000000001E-3</v>
      </c>
      <c r="I14" s="81">
        <f t="shared" si="5"/>
        <v>40972</v>
      </c>
      <c r="J14" s="85">
        <f t="shared" si="6"/>
        <v>28.711111111111112</v>
      </c>
    </row>
    <row r="16" spans="1:10" x14ac:dyDescent="0.2">
      <c r="B16" s="80" t="s">
        <v>139</v>
      </c>
      <c r="C16" s="80" t="s">
        <v>141</v>
      </c>
      <c r="E16" s="80" t="s">
        <v>139</v>
      </c>
      <c r="F16" s="80" t="s">
        <v>164</v>
      </c>
      <c r="G16" s="80" t="s">
        <v>165</v>
      </c>
      <c r="H16" s="80" t="s">
        <v>166</v>
      </c>
    </row>
    <row r="17" spans="2:8" x14ac:dyDescent="0.2">
      <c r="B17" s="48" t="s">
        <v>122</v>
      </c>
      <c r="C17" s="48" t="s">
        <v>161</v>
      </c>
      <c r="E17" s="48" t="s">
        <v>144</v>
      </c>
      <c r="F17" s="48" t="s">
        <v>167</v>
      </c>
      <c r="G17" s="48" t="s">
        <v>168</v>
      </c>
      <c r="H17" s="48" t="s">
        <v>169</v>
      </c>
    </row>
    <row r="18" spans="2:8" x14ac:dyDescent="0.2">
      <c r="B18" s="48" t="s">
        <v>159</v>
      </c>
      <c r="C18" s="48" t="s">
        <v>162</v>
      </c>
    </row>
    <row r="19" spans="2:8" x14ac:dyDescent="0.2">
      <c r="B19" s="48" t="s">
        <v>160</v>
      </c>
      <c r="C19" s="48" t="s">
        <v>163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1-A</vt:lpstr>
      <vt:lpstr>1-B</vt:lpstr>
      <vt:lpstr>2-A</vt:lpstr>
      <vt:lpstr>2-B</vt:lpstr>
      <vt:lpstr>2-C</vt:lpstr>
      <vt:lpstr>2-D</vt:lpstr>
      <vt:lpstr>2-E</vt:lpstr>
      <vt:lpstr>3-A</vt:lpstr>
      <vt:lpstr>3-B</vt:lpstr>
      <vt:lpstr>4-A</vt:lpstr>
      <vt:lpstr>4-B</vt:lpstr>
      <vt:lpstr>5-A</vt:lpstr>
      <vt:lpstr>5-B</vt:lpstr>
      <vt:lpstr>5-C</vt:lpstr>
      <vt:lpstr>5-D</vt:lpstr>
      <vt:lpstr>TH1</vt:lpstr>
      <vt:lpstr>TH2</vt:lpstr>
      <vt:lpstr>TH3</vt:lpstr>
      <vt:lpstr>TH4</vt:lpstr>
      <vt:lpstr>TH5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2016-02-20T11:29:46Z</dcterms:created>
  <dcterms:modified xsi:type="dcterms:W3CDTF">2016-03-23T04:43:55Z</dcterms:modified>
</cp:coreProperties>
</file>