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15451\Desktop\"/>
    </mc:Choice>
  </mc:AlternateContent>
  <xr:revisionPtr revIDLastSave="0" documentId="12_ncr:500000_{C27A7E7F-AEE5-4A07-9854-2AA11702D7F2}" xr6:coauthVersionLast="31" xr6:coauthVersionMax="31" xr10:uidLastSave="{00000000-0000-0000-0000-000000000000}"/>
  <bookViews>
    <workbookView minimized="1" xWindow="0" yWindow="0" windowWidth="20496" windowHeight="7560" tabRatio="592" activeTab="3" xr2:uid="{00000000-000D-0000-FFFF-FFFF00000000}"/>
  </bookViews>
  <sheets>
    <sheet name="财务分析" sheetId="1" r:id="rId1"/>
    <sheet name="公式计算" sheetId="3" r:id="rId2"/>
    <sheet name="小炊事117" sheetId="4" r:id="rId3"/>
    <sheet name="真牛112（菜菜）" sheetId="5" r:id="rId4"/>
    <sheet name="茂华102" sheetId="8" r:id="rId5"/>
    <sheet name="多尔克司84" sheetId="9" r:id="rId6"/>
    <sheet name="锦聚成87" sheetId="7" r:id="rId7"/>
    <sheet name="华创" sheetId="6" r:id="rId8"/>
    <sheet name="杜邦分析" sheetId="2" r:id="rId9"/>
  </sheets>
  <calcPr calcId="162913"/>
</workbook>
</file>

<file path=xl/calcChain.xml><?xml version="1.0" encoding="utf-8"?>
<calcChain xmlns="http://schemas.openxmlformats.org/spreadsheetml/2006/main">
  <c r="H21" i="5" l="1"/>
  <c r="H20" i="5" l="1"/>
  <c r="H15" i="5"/>
  <c r="H14" i="5"/>
  <c r="H13" i="5"/>
  <c r="H12" i="5"/>
  <c r="H11" i="5"/>
  <c r="H10" i="5"/>
  <c r="H9" i="5"/>
  <c r="H8" i="5"/>
  <c r="H7" i="5"/>
  <c r="H6" i="5"/>
  <c r="H5" i="5"/>
  <c r="H3" i="5"/>
  <c r="H30" i="5" l="1"/>
  <c r="H28" i="5"/>
  <c r="H26" i="5"/>
  <c r="H25" i="5"/>
  <c r="H24" i="5"/>
  <c r="H18" i="5"/>
  <c r="H17" i="5"/>
  <c r="H16" i="5"/>
  <c r="H2" i="5"/>
  <c r="H30" i="9" l="1"/>
  <c r="I30" i="9" s="1"/>
  <c r="H29" i="9"/>
  <c r="I29" i="9" s="1"/>
  <c r="H28" i="9"/>
  <c r="I28" i="9" s="1"/>
  <c r="H27" i="9"/>
  <c r="I27" i="9" s="1"/>
  <c r="H26" i="9"/>
  <c r="I26" i="9" s="1"/>
  <c r="H25" i="9"/>
  <c r="I25" i="9" s="1"/>
  <c r="H24" i="9"/>
  <c r="I24" i="9" s="1"/>
  <c r="H23" i="9"/>
  <c r="I23" i="9" s="1"/>
  <c r="H22" i="9"/>
  <c r="I22" i="9" s="1"/>
  <c r="H21" i="9"/>
  <c r="I21" i="9" s="1"/>
  <c r="H20" i="9"/>
  <c r="I20" i="9" s="1"/>
  <c r="H19" i="9"/>
  <c r="I19" i="9" s="1"/>
  <c r="H18" i="9"/>
  <c r="I18" i="9" s="1"/>
  <c r="H17" i="9"/>
  <c r="I17" i="9" s="1"/>
  <c r="H16" i="9"/>
  <c r="I16" i="9" s="1"/>
  <c r="H15" i="9"/>
  <c r="I15" i="9" s="1"/>
  <c r="H14" i="9"/>
  <c r="I14" i="9" s="1"/>
  <c r="H13" i="9"/>
  <c r="I13" i="9" s="1"/>
  <c r="H12" i="9"/>
  <c r="I12" i="9" s="1"/>
  <c r="H11" i="9"/>
  <c r="I11" i="9" s="1"/>
  <c r="H10" i="9"/>
  <c r="I10" i="9" s="1"/>
  <c r="H9" i="9"/>
  <c r="I9" i="9" s="1"/>
  <c r="H8" i="9"/>
  <c r="I8" i="9" s="1"/>
  <c r="H7" i="9"/>
  <c r="I7" i="9" s="1"/>
  <c r="H6" i="9"/>
  <c r="I6" i="9" s="1"/>
  <c r="H5" i="9"/>
  <c r="I5" i="9" s="1"/>
  <c r="H4" i="9"/>
  <c r="I4" i="9" s="1"/>
  <c r="H3" i="9"/>
  <c r="I3" i="9" s="1"/>
  <c r="H2" i="9"/>
  <c r="I2" i="9" s="1"/>
  <c r="H30" i="8"/>
  <c r="I30" i="8" s="1"/>
  <c r="H29" i="8"/>
  <c r="I29" i="8" s="1"/>
  <c r="H28" i="8"/>
  <c r="I28" i="8" s="1"/>
  <c r="H27" i="8"/>
  <c r="I27" i="8" s="1"/>
  <c r="H26" i="8"/>
  <c r="I26" i="8" s="1"/>
  <c r="H25" i="8"/>
  <c r="I25" i="8" s="1"/>
  <c r="H24" i="8"/>
  <c r="I24" i="8" s="1"/>
  <c r="H23" i="8"/>
  <c r="I23" i="8" s="1"/>
  <c r="H22" i="8"/>
  <c r="I22" i="8" s="1"/>
  <c r="H21" i="8"/>
  <c r="I21" i="8" s="1"/>
  <c r="H20" i="8"/>
  <c r="I20" i="8" s="1"/>
  <c r="H18" i="8"/>
  <c r="I18" i="8" s="1"/>
  <c r="H17" i="8"/>
  <c r="I17" i="8" s="1"/>
  <c r="H16" i="8"/>
  <c r="I16" i="8" s="1"/>
  <c r="H14" i="8"/>
  <c r="I14" i="8" s="1"/>
  <c r="H13" i="8"/>
  <c r="I13" i="8" s="1"/>
  <c r="H12" i="8"/>
  <c r="I12" i="8" s="1"/>
  <c r="H11" i="8"/>
  <c r="I11" i="8" s="1"/>
  <c r="H15" i="8"/>
  <c r="I15" i="8" s="1"/>
  <c r="H9" i="8"/>
  <c r="I9" i="8" s="1"/>
  <c r="H6" i="8"/>
  <c r="I6" i="8" s="1"/>
  <c r="H5" i="8"/>
  <c r="I5" i="8" s="1"/>
  <c r="H4" i="8"/>
  <c r="I4" i="8" s="1"/>
  <c r="H3" i="8"/>
  <c r="I3" i="8" s="1"/>
  <c r="H2" i="8"/>
  <c r="I2" i="8" s="1"/>
  <c r="H7" i="8" l="1"/>
  <c r="I7" i="8" s="1"/>
  <c r="H19" i="8"/>
  <c r="I19" i="8" s="1"/>
  <c r="H8" i="8"/>
  <c r="I8" i="8" s="1"/>
  <c r="H10" i="8"/>
  <c r="I10" i="8" s="1"/>
  <c r="H27" i="6"/>
  <c r="H27" i="4"/>
  <c r="H27" i="5"/>
  <c r="H27" i="7"/>
  <c r="H4" i="4"/>
  <c r="H3" i="4"/>
  <c r="H2" i="4"/>
  <c r="H30" i="7" l="1"/>
  <c r="I30" i="7" s="1"/>
  <c r="H29" i="7"/>
  <c r="I29" i="7" s="1"/>
  <c r="H28" i="7"/>
  <c r="I28" i="7" s="1"/>
  <c r="I27" i="7"/>
  <c r="H26" i="7"/>
  <c r="I26" i="7" s="1"/>
  <c r="H25" i="7"/>
  <c r="I25" i="7" s="1"/>
  <c r="H24" i="7"/>
  <c r="I24" i="7" s="1"/>
  <c r="H23" i="7"/>
  <c r="I23" i="7" s="1"/>
  <c r="H22" i="7"/>
  <c r="I22" i="7" s="1"/>
  <c r="H21" i="7"/>
  <c r="I21" i="7" s="1"/>
  <c r="H20" i="7"/>
  <c r="I20" i="7" s="1"/>
  <c r="H18" i="7"/>
  <c r="I18" i="7" s="1"/>
  <c r="H17" i="7"/>
  <c r="I17" i="7" s="1"/>
  <c r="H16" i="7"/>
  <c r="I16" i="7" s="1"/>
  <c r="H14" i="7"/>
  <c r="I14" i="7" s="1"/>
  <c r="H13" i="7"/>
  <c r="H12" i="7"/>
  <c r="I12" i="7" s="1"/>
  <c r="H11" i="7"/>
  <c r="I11" i="7" s="1"/>
  <c r="C10" i="7"/>
  <c r="H15" i="7" s="1"/>
  <c r="I15" i="7" s="1"/>
  <c r="B10" i="7"/>
  <c r="H9" i="7"/>
  <c r="I9" i="7" s="1"/>
  <c r="H6" i="7"/>
  <c r="I6" i="7" s="1"/>
  <c r="H5" i="7"/>
  <c r="I5" i="7" s="1"/>
  <c r="H4" i="7"/>
  <c r="I4" i="7" s="1"/>
  <c r="H3" i="7"/>
  <c r="I3" i="7" s="1"/>
  <c r="H2" i="7"/>
  <c r="I2" i="7" s="1"/>
  <c r="H30" i="6"/>
  <c r="I30" i="6" s="1"/>
  <c r="H29" i="6"/>
  <c r="I29" i="6" s="1"/>
  <c r="H28" i="6"/>
  <c r="I28" i="6" s="1"/>
  <c r="I27" i="6"/>
  <c r="H26" i="6"/>
  <c r="I26" i="6" s="1"/>
  <c r="H25" i="6"/>
  <c r="I25" i="6" s="1"/>
  <c r="H24" i="6"/>
  <c r="I24" i="6" s="1"/>
  <c r="H23" i="6"/>
  <c r="I23" i="6" s="1"/>
  <c r="H22" i="6"/>
  <c r="I22" i="6" s="1"/>
  <c r="H21" i="6"/>
  <c r="I21" i="6" s="1"/>
  <c r="H20" i="6"/>
  <c r="I20" i="6" s="1"/>
  <c r="H18" i="6"/>
  <c r="I18" i="6" s="1"/>
  <c r="H17" i="6"/>
  <c r="I17" i="6" s="1"/>
  <c r="H16" i="6"/>
  <c r="I16" i="6" s="1"/>
  <c r="H14" i="6"/>
  <c r="I14" i="6" s="1"/>
  <c r="H13" i="6"/>
  <c r="I13" i="6" s="1"/>
  <c r="H12" i="6"/>
  <c r="I12" i="6" s="1"/>
  <c r="H11" i="6"/>
  <c r="I11" i="6" s="1"/>
  <c r="C10" i="6"/>
  <c r="H7" i="6" s="1"/>
  <c r="I7" i="6" s="1"/>
  <c r="B10" i="6"/>
  <c r="H9" i="6"/>
  <c r="I9" i="6" s="1"/>
  <c r="H6" i="6"/>
  <c r="I6" i="6" s="1"/>
  <c r="H5" i="6"/>
  <c r="I5" i="6" s="1"/>
  <c r="H4" i="6"/>
  <c r="I4" i="6" s="1"/>
  <c r="H3" i="6"/>
  <c r="I3" i="6" s="1"/>
  <c r="H2" i="6"/>
  <c r="I2" i="6" s="1"/>
  <c r="I30" i="5"/>
  <c r="H29" i="5"/>
  <c r="I29" i="5" s="1"/>
  <c r="I28" i="5"/>
  <c r="I27" i="5"/>
  <c r="I26" i="5"/>
  <c r="I25" i="5"/>
  <c r="I24" i="5"/>
  <c r="H23" i="5"/>
  <c r="I23" i="5" s="1"/>
  <c r="H22" i="5"/>
  <c r="I22" i="5" s="1"/>
  <c r="I21" i="5"/>
  <c r="I20" i="5"/>
  <c r="I18" i="5"/>
  <c r="I17" i="5"/>
  <c r="I16" i="5"/>
  <c r="I14" i="5"/>
  <c r="I13" i="5"/>
  <c r="I12" i="5"/>
  <c r="I11" i="5"/>
  <c r="C10" i="5"/>
  <c r="I7" i="5" s="1"/>
  <c r="B10" i="5"/>
  <c r="I9" i="5"/>
  <c r="I6" i="5"/>
  <c r="I5" i="5"/>
  <c r="H4" i="5"/>
  <c r="I4" i="5" s="1"/>
  <c r="I3" i="5"/>
  <c r="I2" i="5"/>
  <c r="I18" i="4"/>
  <c r="G23" i="3"/>
  <c r="G21" i="3"/>
  <c r="G19" i="3"/>
  <c r="H23" i="4"/>
  <c r="I23" i="4" s="1"/>
  <c r="H21" i="4"/>
  <c r="I21" i="4" s="1"/>
  <c r="G22" i="3"/>
  <c r="I27" i="4"/>
  <c r="I13" i="4"/>
  <c r="I11" i="4"/>
  <c r="I9" i="4"/>
  <c r="I6" i="4"/>
  <c r="I5" i="4"/>
  <c r="I4" i="4"/>
  <c r="I3" i="4"/>
  <c r="I2" i="4"/>
  <c r="C10" i="4"/>
  <c r="H8" i="4" s="1"/>
  <c r="I8" i="4" s="1"/>
  <c r="B10" i="4"/>
  <c r="H30" i="4"/>
  <c r="I30" i="4" s="1"/>
  <c r="H29" i="4"/>
  <c r="I29" i="4" s="1"/>
  <c r="H28" i="4"/>
  <c r="I28" i="4" s="1"/>
  <c r="H26" i="4"/>
  <c r="I26" i="4" s="1"/>
  <c r="H25" i="4"/>
  <c r="I25" i="4" s="1"/>
  <c r="H24" i="4"/>
  <c r="I24" i="4" s="1"/>
  <c r="H22" i="4"/>
  <c r="I22" i="4" s="1"/>
  <c r="H20" i="4"/>
  <c r="I20" i="4" s="1"/>
  <c r="H18" i="4"/>
  <c r="H17" i="4"/>
  <c r="I17" i="4" s="1"/>
  <c r="H16" i="4"/>
  <c r="I16" i="4" s="1"/>
  <c r="H14" i="4"/>
  <c r="I14" i="4" s="1"/>
  <c r="H13" i="4"/>
  <c r="H12" i="4"/>
  <c r="I12" i="4" s="1"/>
  <c r="H11" i="4"/>
  <c r="H9" i="4"/>
  <c r="H7" i="4"/>
  <c r="I7" i="4" s="1"/>
  <c r="H6" i="4"/>
  <c r="H5" i="4"/>
  <c r="H10" i="4" l="1"/>
  <c r="I10" i="4" s="1"/>
  <c r="H15" i="4"/>
  <c r="I15" i="4" s="1"/>
  <c r="H19" i="7"/>
  <c r="I19" i="7" s="1"/>
  <c r="H7" i="7"/>
  <c r="I7" i="7" s="1"/>
  <c r="H10" i="7"/>
  <c r="I10" i="7" s="1"/>
  <c r="H8" i="7"/>
  <c r="I8" i="7" s="1"/>
  <c r="H8" i="6"/>
  <c r="I8" i="6" s="1"/>
  <c r="H10" i="6"/>
  <c r="I10" i="6" s="1"/>
  <c r="H15" i="6"/>
  <c r="I15" i="6" s="1"/>
  <c r="H19" i="6"/>
  <c r="I19" i="6" s="1"/>
  <c r="I10" i="5"/>
  <c r="I15" i="5"/>
  <c r="I8" i="5"/>
  <c r="H19" i="5"/>
  <c r="I19" i="5" s="1"/>
  <c r="H19" i="4"/>
  <c r="I19" i="4" s="1"/>
  <c r="G30" i="3"/>
  <c r="G29" i="3"/>
  <c r="G28" i="3"/>
  <c r="G26" i="3"/>
  <c r="G25" i="3"/>
  <c r="G27" i="3"/>
  <c r="G24" i="3"/>
  <c r="G20" i="3"/>
  <c r="G18" i="3"/>
  <c r="G17" i="3" l="1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2" i="3"/>
  <c r="G3" i="3"/>
  <c r="K20" i="2" l="1"/>
  <c r="N20" i="2"/>
  <c r="K22" i="2"/>
  <c r="N22" i="2"/>
  <c r="E16" i="2"/>
  <c r="I16" i="2"/>
  <c r="C19" i="2"/>
  <c r="C16" i="2" s="1"/>
  <c r="D13" i="2" s="1"/>
  <c r="K16" i="2" l="1"/>
  <c r="J13" i="2" s="1"/>
  <c r="E8" i="2" s="1"/>
  <c r="G5" i="2" s="1"/>
  <c r="I8" i="2"/>
</calcChain>
</file>

<file path=xl/sharedStrings.xml><?xml version="1.0" encoding="utf-8"?>
<sst xmlns="http://schemas.openxmlformats.org/spreadsheetml/2006/main" count="671" uniqueCount="243">
  <si>
    <t>杜邦分析计算展示</t>
    <rPh sb="0" eb="1">
      <t>du'b</t>
    </rPh>
    <rPh sb="2" eb="3">
      <t>fen'xi</t>
    </rPh>
    <rPh sb="4" eb="5">
      <t>ji'suan</t>
    </rPh>
    <rPh sb="6" eb="7">
      <t>zhan's</t>
    </rPh>
    <phoneticPr fontId="5" type="noConversion"/>
  </si>
  <si>
    <t>净资产回报率ROE</t>
    <rPh sb="0" eb="1">
      <t>jing'zi'c</t>
    </rPh>
    <rPh sb="3" eb="4">
      <t>hui'b'l</t>
    </rPh>
    <phoneticPr fontId="5" type="noConversion"/>
  </si>
  <si>
    <t>总资产报酬率</t>
    <rPh sb="0" eb="1">
      <t>zong'zi'c</t>
    </rPh>
    <rPh sb="3" eb="4">
      <t>bao'ch</t>
    </rPh>
    <rPh sb="5" eb="6">
      <t>lv</t>
    </rPh>
    <phoneticPr fontId="5" type="noConversion"/>
  </si>
  <si>
    <t>权益乘数</t>
    <rPh sb="0" eb="1">
      <t>quan'yi</t>
    </rPh>
    <rPh sb="2" eb="3">
      <t>cheng's</t>
    </rPh>
    <phoneticPr fontId="5" type="noConversion"/>
  </si>
  <si>
    <t>销售净利率</t>
    <rPh sb="0" eb="1">
      <t>xiao'shou</t>
    </rPh>
    <rPh sb="2" eb="3">
      <t>jing'li'l</t>
    </rPh>
    <phoneticPr fontId="5" type="noConversion"/>
  </si>
  <si>
    <t>总资产周转率</t>
    <rPh sb="0" eb="1">
      <t>zong'zi'c</t>
    </rPh>
    <rPh sb="3" eb="4">
      <t>zhou'z'l</t>
    </rPh>
    <phoneticPr fontId="5" type="noConversion"/>
  </si>
  <si>
    <t>净利润</t>
    <rPh sb="0" eb="1">
      <t>jing'li'r</t>
    </rPh>
    <phoneticPr fontId="5" type="noConversion"/>
  </si>
  <si>
    <t>营业收入</t>
    <rPh sb="0" eb="1">
      <t>ying'ye</t>
    </rPh>
    <rPh sb="2" eb="3">
      <t>shou'r</t>
    </rPh>
    <phoneticPr fontId="5" type="noConversion"/>
  </si>
  <si>
    <t>总资产平均余额</t>
    <rPh sb="0" eb="1">
      <t>zong'zi'c</t>
    </rPh>
    <rPh sb="3" eb="4">
      <t>ping'j</t>
    </rPh>
    <rPh sb="5" eb="6">
      <t>yu'e</t>
    </rPh>
    <phoneticPr fontId="5" type="noConversion"/>
  </si>
  <si>
    <t>成本费用</t>
    <rPh sb="0" eb="1">
      <t>c'b</t>
    </rPh>
    <rPh sb="2" eb="3">
      <t>fei'y</t>
    </rPh>
    <phoneticPr fontId="5" type="noConversion"/>
  </si>
  <si>
    <t>其他损益及收入</t>
    <rPh sb="0" eb="1">
      <t>qi't</t>
    </rPh>
    <rPh sb="2" eb="3">
      <t>sun'y</t>
    </rPh>
    <rPh sb="4" eb="5">
      <t>ji</t>
    </rPh>
    <rPh sb="5" eb="6">
      <t>shou'r</t>
    </rPh>
    <phoneticPr fontId="5" type="noConversion"/>
  </si>
  <si>
    <t>所得税费用</t>
    <rPh sb="0" eb="1">
      <t>suo'de's</t>
    </rPh>
    <rPh sb="3" eb="4">
      <t>fei'y</t>
    </rPh>
    <phoneticPr fontId="5" type="noConversion"/>
  </si>
  <si>
    <t>营业成本</t>
    <rPh sb="0" eb="1">
      <t>ying'ye</t>
    </rPh>
    <rPh sb="2" eb="3">
      <t>c'b</t>
    </rPh>
    <phoneticPr fontId="5" type="noConversion"/>
  </si>
  <si>
    <t>销售费用</t>
    <rPh sb="0" eb="1">
      <t>xiao's</t>
    </rPh>
    <rPh sb="2" eb="3">
      <t>fei'y</t>
    </rPh>
    <phoneticPr fontId="5" type="noConversion"/>
  </si>
  <si>
    <t>管理费用</t>
    <rPh sb="0" eb="1">
      <t>guan'l</t>
    </rPh>
    <rPh sb="2" eb="3">
      <t>fei'y</t>
    </rPh>
    <phoneticPr fontId="5" type="noConversion"/>
  </si>
  <si>
    <t>财务费用</t>
    <rPh sb="0" eb="1">
      <t>cai'w</t>
    </rPh>
    <rPh sb="2" eb="3">
      <t>fei'y</t>
    </rPh>
    <phoneticPr fontId="5" type="noConversion"/>
  </si>
  <si>
    <t>营业税附加</t>
    <rPh sb="0" eb="1">
      <t>ying'y</t>
    </rPh>
    <rPh sb="2" eb="3">
      <t>shui</t>
    </rPh>
    <rPh sb="3" eb="4">
      <t>fu'j</t>
    </rPh>
    <phoneticPr fontId="5" type="noConversion"/>
  </si>
  <si>
    <t>流动资产</t>
  </si>
  <si>
    <t>流动资产</t>
    <rPh sb="0" eb="1">
      <t>liu'd</t>
    </rPh>
    <rPh sb="2" eb="3">
      <t>zi'c</t>
    </rPh>
    <phoneticPr fontId="5" type="noConversion"/>
  </si>
  <si>
    <t>非流动资产</t>
    <rPh sb="0" eb="1">
      <t>fei</t>
    </rPh>
    <rPh sb="1" eb="2">
      <t>liu'd</t>
    </rPh>
    <rPh sb="3" eb="4">
      <t>zi'c</t>
    </rPh>
    <phoneticPr fontId="5" type="noConversion"/>
  </si>
  <si>
    <t>年初数</t>
  </si>
  <si>
    <t>年初数</t>
    <rPh sb="0" eb="1">
      <t>nian'chu</t>
    </rPh>
    <rPh sb="2" eb="3">
      <t>shuo</t>
    </rPh>
    <phoneticPr fontId="5" type="noConversion"/>
  </si>
  <si>
    <t>年末数</t>
  </si>
  <si>
    <t>年末数</t>
    <rPh sb="0" eb="1">
      <t>nian'mo</t>
    </rPh>
    <rPh sb="2" eb="3">
      <t>shu</t>
    </rPh>
    <phoneticPr fontId="5" type="noConversion"/>
  </si>
  <si>
    <t>货币资金</t>
    <rPh sb="0" eb="1">
      <t>huo'bi'zi'j</t>
    </rPh>
    <phoneticPr fontId="5" type="noConversion"/>
  </si>
  <si>
    <t>长期股权投资</t>
    <rPh sb="0" eb="1">
      <t>chang'q</t>
    </rPh>
    <rPh sb="2" eb="3">
      <t>gu'q</t>
    </rPh>
    <rPh sb="4" eb="5">
      <t>tou'z</t>
    </rPh>
    <phoneticPr fontId="5" type="noConversion"/>
  </si>
  <si>
    <t>预付款项</t>
    <rPh sb="0" eb="1">
      <t>yu'fu</t>
    </rPh>
    <rPh sb="2" eb="3">
      <t>kuan'x</t>
    </rPh>
    <phoneticPr fontId="5" type="noConversion"/>
  </si>
  <si>
    <t>固定资产</t>
    <rPh sb="0" eb="1">
      <t>gu'ding</t>
    </rPh>
    <rPh sb="2" eb="3">
      <t>zi'c</t>
    </rPh>
    <phoneticPr fontId="5" type="noConversion"/>
  </si>
  <si>
    <t>应收账款</t>
    <rPh sb="0" eb="1">
      <t>y's'z'k</t>
    </rPh>
    <phoneticPr fontId="5" type="noConversion"/>
  </si>
  <si>
    <t>无形资产</t>
    <rPh sb="0" eb="1">
      <t>wu'xing'zi'c</t>
    </rPh>
    <phoneticPr fontId="5" type="noConversion"/>
  </si>
  <si>
    <t>存货</t>
    <rPh sb="0" eb="1">
      <t>cun'h</t>
    </rPh>
    <phoneticPr fontId="5" type="noConversion"/>
  </si>
  <si>
    <t>其他</t>
    <rPh sb="0" eb="1">
      <t>qi't</t>
    </rPh>
    <phoneticPr fontId="5" type="noConversion"/>
  </si>
  <si>
    <t>负债</t>
    <rPh sb="0" eb="1">
      <t>fu'zhai</t>
    </rPh>
    <phoneticPr fontId="5" type="noConversion"/>
  </si>
  <si>
    <t>ROE</t>
    <phoneticPr fontId="5" type="noConversion"/>
  </si>
  <si>
    <t>ROA</t>
    <phoneticPr fontId="5" type="noConversion"/>
  </si>
  <si>
    <t>资产负债率</t>
    <rPh sb="0" eb="1">
      <t>zi'c</t>
    </rPh>
    <rPh sb="2" eb="3">
      <t>fu'z'l</t>
    </rPh>
    <phoneticPr fontId="5" type="noConversion"/>
  </si>
  <si>
    <t>客户名称</t>
    <rPh sb="0" eb="1">
      <t>ke'h</t>
    </rPh>
    <rPh sb="2" eb="3">
      <t>m'c</t>
    </rPh>
    <phoneticPr fontId="5" type="noConversion"/>
  </si>
  <si>
    <t>销售净利率</t>
    <rPh sb="0" eb="1">
      <t>xiao's</t>
    </rPh>
    <rPh sb="2" eb="3">
      <t>jing'li'l</t>
    </rPh>
    <phoneticPr fontId="5" type="noConversion"/>
  </si>
  <si>
    <t>总资产周转率</t>
    <rPh sb="0" eb="1">
      <t>zong'zi'c</t>
    </rPh>
    <rPh sb="3" eb="4">
      <t>zhou'z</t>
    </rPh>
    <rPh sb="5" eb="6">
      <t>lv</t>
    </rPh>
    <phoneticPr fontId="5" type="noConversion"/>
  </si>
  <si>
    <t>营业收入</t>
    <rPh sb="0" eb="1">
      <t>ying'ye</t>
    </rPh>
    <rPh sb="2" eb="3">
      <t>s'r</t>
    </rPh>
    <phoneticPr fontId="5" type="noConversion"/>
  </si>
  <si>
    <t>财务分析结果展示模型</t>
    <rPh sb="0" eb="1">
      <t>cai wu</t>
    </rPh>
    <rPh sb="2" eb="3">
      <t>fen x</t>
    </rPh>
    <rPh sb="4" eb="5">
      <t>jie g</t>
    </rPh>
    <rPh sb="6" eb="7">
      <t>zhan s</t>
    </rPh>
    <rPh sb="8" eb="9">
      <t>mo x</t>
    </rPh>
    <phoneticPr fontId="5" type="noConversion"/>
  </si>
  <si>
    <t>项目</t>
    <rPh sb="0" eb="1">
      <t>xiang m</t>
    </rPh>
    <phoneticPr fontId="5" type="noConversion"/>
  </si>
  <si>
    <t>指标名称</t>
    <rPh sb="0" eb="1">
      <t>zhi biao</t>
    </rPh>
    <rPh sb="2" eb="3">
      <t>ming c</t>
    </rPh>
    <phoneticPr fontId="5" type="noConversion"/>
  </si>
  <si>
    <t>计算模型</t>
    <rPh sb="0" eb="1">
      <t>ji suan</t>
    </rPh>
    <rPh sb="2" eb="3">
      <t>mo x</t>
    </rPh>
    <phoneticPr fontId="5" type="noConversion"/>
  </si>
  <si>
    <t>备注</t>
    <rPh sb="0" eb="1">
      <t>bei zhu</t>
    </rPh>
    <phoneticPr fontId="5" type="noConversion"/>
  </si>
  <si>
    <t>经营能力</t>
    <rPh sb="0" eb="1">
      <t>jing y</t>
    </rPh>
    <rPh sb="2" eb="3">
      <t>neng l</t>
    </rPh>
    <phoneticPr fontId="5" type="noConversion"/>
  </si>
  <si>
    <t>净利润率</t>
    <rPh sb="0" eb="1">
      <t>jing li r</t>
    </rPh>
    <rPh sb="3" eb="4">
      <t>lü</t>
    </rPh>
    <phoneticPr fontId="5" type="noConversion"/>
  </si>
  <si>
    <t>运营毛利率</t>
    <rPh sb="0" eb="1">
      <t>yun y</t>
    </rPh>
    <rPh sb="2" eb="3">
      <t>mao li l</t>
    </rPh>
    <phoneticPr fontId="5" type="noConversion"/>
  </si>
  <si>
    <t>总计</t>
    <rPh sb="0" eb="1">
      <t>zong ji</t>
    </rPh>
    <phoneticPr fontId="5" type="noConversion"/>
  </si>
  <si>
    <t>优秀：任意三项大于平均值；
较好：任意二项大于平均值；
平均：任意二项及以上近于或等于平均值
较差：任意二项及以上低于平均值</t>
    <rPh sb="0" eb="1">
      <t>you xiu</t>
    </rPh>
    <rPh sb="3" eb="4">
      <t>ren y</t>
    </rPh>
    <rPh sb="5" eb="6">
      <t>san</t>
    </rPh>
    <rPh sb="7" eb="8">
      <t>da yu</t>
    </rPh>
    <rPh sb="9" eb="10">
      <t>ping j z</t>
    </rPh>
    <rPh sb="14" eb="15">
      <t>jiao hao</t>
    </rPh>
    <rPh sb="17" eb="18">
      <t>ren y</t>
    </rPh>
    <rPh sb="19" eb="20">
      <t>er</t>
    </rPh>
    <rPh sb="28" eb="29">
      <t>ping j</t>
    </rPh>
    <rPh sb="31" eb="32">
      <t>ren yi</t>
    </rPh>
    <rPh sb="33" eb="34">
      <t>er</t>
    </rPh>
    <rPh sb="35" eb="36">
      <t>ji</t>
    </rPh>
    <rPh sb="36" eb="37">
      <t>yi s</t>
    </rPh>
    <rPh sb="38" eb="39">
      <t>jin yu</t>
    </rPh>
    <rPh sb="40" eb="41">
      <t>huo</t>
    </rPh>
    <rPh sb="41" eb="42">
      <t>deng y</t>
    </rPh>
    <rPh sb="43" eb="44">
      <t>p j z</t>
    </rPh>
    <rPh sb="47" eb="48">
      <t>jiao cha</t>
    </rPh>
    <rPh sb="50" eb="51">
      <t>ren y</t>
    </rPh>
    <rPh sb="52" eb="53">
      <t>er</t>
    </rPh>
    <rPh sb="54" eb="55">
      <t>ji</t>
    </rPh>
    <rPh sb="55" eb="56">
      <t>yi s</t>
    </rPh>
    <rPh sb="57" eb="58">
      <t>di yu</t>
    </rPh>
    <rPh sb="59" eb="60">
      <t>p j z</t>
    </rPh>
    <phoneticPr fontId="5" type="noConversion"/>
  </si>
  <si>
    <t>运营效率= 毛利率与净利润率的接近程度，差值大于5%较低，2-5%较好，2%以内极好</t>
    <rPh sb="0" eb="1">
      <t>yun y</t>
    </rPh>
    <rPh sb="2" eb="3">
      <t>xiao l</t>
    </rPh>
    <rPh sb="6" eb="7">
      <t>mao li l</t>
    </rPh>
    <rPh sb="9" eb="10">
      <t>yu</t>
    </rPh>
    <rPh sb="10" eb="11">
      <t>jing l r l</t>
    </rPh>
    <rPh sb="14" eb="15">
      <t>d</t>
    </rPh>
    <rPh sb="15" eb="16">
      <t>jie jin</t>
    </rPh>
    <rPh sb="17" eb="18">
      <t>cheng du</t>
    </rPh>
    <rPh sb="20" eb="21">
      <t>cha zhi</t>
    </rPh>
    <rPh sb="22" eb="23">
      <t>da yu</t>
    </rPh>
    <rPh sb="26" eb="27">
      <t>jiao di</t>
    </rPh>
    <rPh sb="33" eb="34">
      <t>jiao h</t>
    </rPh>
    <rPh sb="38" eb="39">
      <t>yi nei</t>
    </rPh>
    <rPh sb="40" eb="41">
      <t>ji hao</t>
    </rPh>
    <phoneticPr fontId="5" type="noConversion"/>
  </si>
  <si>
    <t>资产负债率</t>
    <rPh sb="0" eb="1">
      <t>zi c</t>
    </rPh>
    <rPh sb="2" eb="3">
      <t>fu zhai l</t>
    </rPh>
    <phoneticPr fontId="5" type="noConversion"/>
  </si>
  <si>
    <t>流动比率</t>
    <rPh sb="0" eb="1">
      <t>liu dong bi l</t>
    </rPh>
    <phoneticPr fontId="5" type="noConversion"/>
  </si>
  <si>
    <t>速动比例</t>
    <rPh sb="0" eb="1">
      <t>su dong</t>
    </rPh>
    <rPh sb="1" eb="2">
      <t>dong</t>
    </rPh>
    <rPh sb="2" eb="3">
      <t>b li</t>
    </rPh>
    <phoneticPr fontId="5" type="noConversion"/>
  </si>
  <si>
    <t>利息保障倍数</t>
    <rPh sb="0" eb="1">
      <t>li xi</t>
    </rPh>
    <rPh sb="2" eb="3">
      <t>bao z</t>
    </rPh>
    <rPh sb="4" eb="5">
      <t>bei s</t>
    </rPh>
    <phoneticPr fontId="5" type="noConversion"/>
  </si>
  <si>
    <t>优秀：任意四项大于平均值；
较好：任意三项大于平均值；任意两项近于平均值，两项大于平均值；
平均：任意三项及以上近于或等于平均值
较差：任意三项及以上低于平均值；任意两项近于平均值，两项小于平均值；</t>
    <rPh sb="0" eb="1">
      <t>you xiu</t>
    </rPh>
    <rPh sb="3" eb="4">
      <t>ren yi</t>
    </rPh>
    <rPh sb="5" eb="6">
      <t>si xiang</t>
    </rPh>
    <rPh sb="7" eb="8">
      <t>da yu</t>
    </rPh>
    <rPh sb="9" eb="10">
      <t>ping j z</t>
    </rPh>
    <rPh sb="14" eb="15">
      <t>jiao hao</t>
    </rPh>
    <rPh sb="17" eb="18">
      <t>ren yi</t>
    </rPh>
    <rPh sb="19" eb="20">
      <t>san</t>
    </rPh>
    <rPh sb="27" eb="28">
      <t>ren y</t>
    </rPh>
    <rPh sb="29" eb="30">
      <t>liang x</t>
    </rPh>
    <rPh sb="31" eb="32">
      <t>jin yu</t>
    </rPh>
    <rPh sb="33" eb="34">
      <t>p j z</t>
    </rPh>
    <rPh sb="37" eb="38">
      <t>liang x</t>
    </rPh>
    <rPh sb="39" eb="40">
      <t>da yu</t>
    </rPh>
    <rPh sb="40" eb="41">
      <t>yu</t>
    </rPh>
    <rPh sb="41" eb="42">
      <t>p j z</t>
    </rPh>
    <rPh sb="46" eb="47">
      <t>ping j</t>
    </rPh>
    <rPh sb="49" eb="50">
      <t>ren yi</t>
    </rPh>
    <rPh sb="51" eb="52">
      <t>san xiang</t>
    </rPh>
    <rPh sb="53" eb="54">
      <t>ji</t>
    </rPh>
    <rPh sb="54" eb="55">
      <t>yi s</t>
    </rPh>
    <rPh sb="56" eb="57">
      <t>jin yu</t>
    </rPh>
    <rPh sb="58" eb="59">
      <t>huo</t>
    </rPh>
    <rPh sb="59" eb="60">
      <t>deng y</t>
    </rPh>
    <rPh sb="61" eb="62">
      <t>p j z</t>
    </rPh>
    <rPh sb="65" eb="66">
      <t>jiao cha</t>
    </rPh>
    <rPh sb="68" eb="69">
      <t>ren y</t>
    </rPh>
    <rPh sb="70" eb="71">
      <t>san xiang</t>
    </rPh>
    <rPh sb="72" eb="73">
      <t>ji</t>
    </rPh>
    <rPh sb="73" eb="74">
      <t>yi s</t>
    </rPh>
    <rPh sb="75" eb="76">
      <t>di yu</t>
    </rPh>
    <rPh sb="77" eb="78">
      <t>p j z</t>
    </rPh>
    <rPh sb="93" eb="94">
      <t>xiao yu</t>
    </rPh>
    <phoneticPr fontId="5" type="noConversion"/>
  </si>
  <si>
    <t>运营能力</t>
    <rPh sb="0" eb="1">
      <t>yun y</t>
    </rPh>
    <rPh sb="2" eb="3">
      <t>neng l</t>
    </rPh>
    <phoneticPr fontId="5" type="noConversion"/>
  </si>
  <si>
    <t>存货周转率</t>
    <rPh sb="0" eb="1">
      <t>cun h</t>
    </rPh>
    <rPh sb="2" eb="3">
      <t>zhou zhuan l</t>
    </rPh>
    <phoneticPr fontId="5" type="noConversion"/>
  </si>
  <si>
    <t>需要行业平均值</t>
    <rPh sb="0" eb="1">
      <t>xu y</t>
    </rPh>
    <rPh sb="2" eb="3">
      <t>hang ye</t>
    </rPh>
    <rPh sb="4" eb="5">
      <t>ping j z</t>
    </rPh>
    <phoneticPr fontId="5" type="noConversion"/>
  </si>
  <si>
    <t>应收帐款周转率</t>
    <rPh sb="0" eb="1">
      <t>y s z k</t>
    </rPh>
    <rPh sb="4" eb="5">
      <t>zhou z</t>
    </rPh>
    <rPh sb="6" eb="7">
      <t>lü</t>
    </rPh>
    <phoneticPr fontId="5" type="noConversion"/>
  </si>
  <si>
    <t>总资产周转率</t>
    <rPh sb="0" eb="1">
      <t>zong</t>
    </rPh>
    <rPh sb="1" eb="2">
      <t>zi c</t>
    </rPh>
    <rPh sb="3" eb="4">
      <t>zhou z</t>
    </rPh>
    <rPh sb="5" eb="6">
      <t>l</t>
    </rPh>
    <phoneticPr fontId="5" type="noConversion"/>
  </si>
  <si>
    <t>优秀：除研发投入和后台费用外其它三项大于平均值；
较好：除研发投入和后台费用其它两项大于平均值，一项或两项近于平均值；
平均：除研发投入和后台费用任意三项及以上近于或等于平均值
较差：除研发投入和后台费用任意三项及以上低于平均值，或两项近于平均值，两项小于平均值</t>
    <rPh sb="0" eb="1">
      <t>you xiu</t>
    </rPh>
    <rPh sb="3" eb="4">
      <t>chu</t>
    </rPh>
    <rPh sb="4" eb="5">
      <t>yan fa</t>
    </rPh>
    <rPh sb="6" eb="7">
      <t>tou r</t>
    </rPh>
    <rPh sb="8" eb="9">
      <t>he</t>
    </rPh>
    <rPh sb="9" eb="10">
      <t>hou tai</t>
    </rPh>
    <rPh sb="11" eb="12">
      <t>fei y</t>
    </rPh>
    <rPh sb="13" eb="14">
      <t>wai</t>
    </rPh>
    <rPh sb="14" eb="15">
      <t>qi t</t>
    </rPh>
    <rPh sb="16" eb="17">
      <t>san</t>
    </rPh>
    <rPh sb="18" eb="19">
      <t>da yu</t>
    </rPh>
    <rPh sb="20" eb="21">
      <t>ping j z</t>
    </rPh>
    <rPh sb="25" eb="26">
      <t>jiao hao</t>
    </rPh>
    <rPh sb="40" eb="41">
      <t>liang</t>
    </rPh>
    <rPh sb="48" eb="49">
      <t>yi xiang</t>
    </rPh>
    <rPh sb="50" eb="51">
      <t>huo</t>
    </rPh>
    <rPh sb="51" eb="52">
      <t>liang xiang</t>
    </rPh>
    <rPh sb="53" eb="54">
      <t>jin yu</t>
    </rPh>
    <rPh sb="55" eb="56">
      <t>p j z</t>
    </rPh>
    <rPh sb="60" eb="61">
      <t>ping j</t>
    </rPh>
    <rPh sb="73" eb="74">
      <t>ren yi</t>
    </rPh>
    <rPh sb="75" eb="76">
      <t>san xiang</t>
    </rPh>
    <rPh sb="77" eb="78">
      <t>ji</t>
    </rPh>
    <rPh sb="78" eb="79">
      <t>yi s</t>
    </rPh>
    <rPh sb="80" eb="81">
      <t>jin yu</t>
    </rPh>
    <rPh sb="82" eb="83">
      <t>huo</t>
    </rPh>
    <rPh sb="83" eb="84">
      <t>deng y</t>
    </rPh>
    <rPh sb="85" eb="86">
      <t>p j z</t>
    </rPh>
    <rPh sb="89" eb="90">
      <t>jiao cha</t>
    </rPh>
    <rPh sb="102" eb="103">
      <t>ren y</t>
    </rPh>
    <rPh sb="104" eb="105">
      <t>san xiang</t>
    </rPh>
    <rPh sb="106" eb="107">
      <t>ji</t>
    </rPh>
    <rPh sb="107" eb="108">
      <t>yi s</t>
    </rPh>
    <rPh sb="109" eb="110">
      <t>di yu</t>
    </rPh>
    <rPh sb="111" eb="112">
      <t>p j z</t>
    </rPh>
    <rPh sb="115" eb="116">
      <t>huo</t>
    </rPh>
    <rPh sb="116" eb="117">
      <t>liang x</t>
    </rPh>
    <rPh sb="118" eb="119">
      <t>jin yu</t>
    </rPh>
    <rPh sb="120" eb="121">
      <t>p j z</t>
    </rPh>
    <rPh sb="124" eb="125">
      <t>liang x</t>
    </rPh>
    <rPh sb="126" eb="127">
      <t>xiao y</t>
    </rPh>
    <rPh sb="128" eb="129">
      <t>p j z</t>
    </rPh>
    <phoneticPr fontId="5" type="noConversion"/>
  </si>
  <si>
    <t>发展能力</t>
    <rPh sb="0" eb="1">
      <t>fa z</t>
    </rPh>
    <rPh sb="2" eb="3">
      <t>neng l</t>
    </rPh>
    <phoneticPr fontId="5" type="noConversion"/>
  </si>
  <si>
    <t>销售收入增长率</t>
    <rPh sb="0" eb="1">
      <t>xiao s</t>
    </rPh>
    <rPh sb="2" eb="3">
      <t>shou r</t>
    </rPh>
    <rPh sb="4" eb="5">
      <t>zeng z l</t>
    </rPh>
    <rPh sb="6" eb="7">
      <t>lü</t>
    </rPh>
    <phoneticPr fontId="5" type="noConversion"/>
  </si>
  <si>
    <t>净利润增长率</t>
    <rPh sb="0" eb="1">
      <t>jing li r</t>
    </rPh>
    <rPh sb="3" eb="4">
      <t>zeng z l</t>
    </rPh>
    <phoneticPr fontId="5" type="noConversion"/>
  </si>
  <si>
    <t>企业自身平均值</t>
    <rPh sb="0" eb="1">
      <t>qi ye</t>
    </rPh>
    <rPh sb="2" eb="3">
      <t>zi s</t>
    </rPh>
    <rPh sb="4" eb="5">
      <t>ping j z</t>
    </rPh>
    <phoneticPr fontId="5" type="noConversion"/>
  </si>
  <si>
    <t>总资产报酬率</t>
    <rPh sb="0" eb="1">
      <t>zong zi c</t>
    </rPh>
    <rPh sb="3" eb="4">
      <t>bao c l</t>
    </rPh>
    <phoneticPr fontId="5" type="noConversion"/>
  </si>
  <si>
    <t>优秀：任意四项大于平均值；或任意三项大于平均值，两项近于平均值。
较好：任意三项大于平均值；或任意两项大于平均值，两项近于平均值
平均：任意三项及以上近于或等于平均值
较差：任意三项及以上低于平均值；或两项低于平均值，两项等于平均值</t>
    <rPh sb="0" eb="1">
      <t>you xiu</t>
    </rPh>
    <rPh sb="3" eb="4">
      <t>ren yi</t>
    </rPh>
    <rPh sb="5" eb="6">
      <t>si xiang</t>
    </rPh>
    <rPh sb="7" eb="8">
      <t>da yu</t>
    </rPh>
    <rPh sb="9" eb="10">
      <t>ping j z</t>
    </rPh>
    <rPh sb="13" eb="14">
      <t>huo</t>
    </rPh>
    <rPh sb="14" eb="15">
      <t>ren y</t>
    </rPh>
    <rPh sb="16" eb="17">
      <t>san x</t>
    </rPh>
    <rPh sb="18" eb="19">
      <t>da y</t>
    </rPh>
    <rPh sb="20" eb="21">
      <t>p j z</t>
    </rPh>
    <rPh sb="24" eb="25">
      <t>liang x</t>
    </rPh>
    <rPh sb="26" eb="27">
      <t>jin yu</t>
    </rPh>
    <rPh sb="28" eb="29">
      <t>p j z</t>
    </rPh>
    <rPh sb="33" eb="34">
      <t>jiao hao</t>
    </rPh>
    <rPh sb="36" eb="37">
      <t>ren yi</t>
    </rPh>
    <rPh sb="38" eb="39">
      <t>san</t>
    </rPh>
    <rPh sb="46" eb="47">
      <t>huo</t>
    </rPh>
    <rPh sb="47" eb="48">
      <t>ren y</t>
    </rPh>
    <rPh sb="49" eb="50">
      <t>liang x</t>
    </rPh>
    <rPh sb="51" eb="52">
      <t>da y</t>
    </rPh>
    <rPh sb="53" eb="54">
      <t>p j z</t>
    </rPh>
    <rPh sb="57" eb="58">
      <t>liang x</t>
    </rPh>
    <rPh sb="59" eb="60">
      <t>jin yu</t>
    </rPh>
    <rPh sb="61" eb="62">
      <t>p j z</t>
    </rPh>
    <rPh sb="65" eb="66">
      <t>ping j</t>
    </rPh>
    <rPh sb="68" eb="69">
      <t>ren yi</t>
    </rPh>
    <rPh sb="70" eb="71">
      <t>san xiang</t>
    </rPh>
    <rPh sb="72" eb="73">
      <t>ji</t>
    </rPh>
    <rPh sb="73" eb="74">
      <t>yi s</t>
    </rPh>
    <rPh sb="75" eb="76">
      <t>jin yu</t>
    </rPh>
    <rPh sb="77" eb="78">
      <t>huo</t>
    </rPh>
    <rPh sb="78" eb="79">
      <t>deng y</t>
    </rPh>
    <rPh sb="80" eb="81">
      <t>p j z</t>
    </rPh>
    <rPh sb="84" eb="85">
      <t>jiao cha</t>
    </rPh>
    <rPh sb="87" eb="88">
      <t>ren y</t>
    </rPh>
    <rPh sb="89" eb="90">
      <t>san xiang</t>
    </rPh>
    <rPh sb="91" eb="92">
      <t>ji</t>
    </rPh>
    <rPh sb="92" eb="93">
      <t>yi s</t>
    </rPh>
    <rPh sb="94" eb="95">
      <t>di yu</t>
    </rPh>
    <rPh sb="96" eb="97">
      <t>p j z</t>
    </rPh>
    <rPh sb="100" eb="101">
      <t>huo</t>
    </rPh>
    <rPh sb="101" eb="102">
      <t>liang x</t>
    </rPh>
    <rPh sb="103" eb="104">
      <t>di yu</t>
    </rPh>
    <rPh sb="105" eb="106">
      <t>p j z</t>
    </rPh>
    <rPh sb="109" eb="110">
      <t>liang x</t>
    </rPh>
    <rPh sb="111" eb="112">
      <t>deng y</t>
    </rPh>
    <rPh sb="112" eb="113">
      <t>yu</t>
    </rPh>
    <rPh sb="113" eb="114">
      <t>p j z</t>
    </rPh>
    <phoneticPr fontId="5" type="noConversion"/>
  </si>
  <si>
    <t>现金流</t>
    <rPh sb="0" eb="1">
      <t>xian jin liu</t>
    </rPh>
    <phoneticPr fontId="5" type="noConversion"/>
  </si>
  <si>
    <t>现金比率</t>
    <rPh sb="0" eb="1">
      <t>xian jin</t>
    </rPh>
    <rPh sb="2" eb="3">
      <t>bi l</t>
    </rPh>
    <phoneticPr fontId="5" type="noConversion"/>
  </si>
  <si>
    <t>经营活动现金净流量／短期债务</t>
    <rPh sb="0" eb="1">
      <t>jing y</t>
    </rPh>
    <rPh sb="2" eb="3">
      <t>huo d</t>
    </rPh>
    <rPh sb="4" eb="5">
      <t>xian j</t>
    </rPh>
    <rPh sb="6" eb="7">
      <t>jing liu l</t>
    </rPh>
    <rPh sb="10" eb="11">
      <t>duan qi zhai w</t>
    </rPh>
    <phoneticPr fontId="5" type="noConversion"/>
  </si>
  <si>
    <t>经营活动现金净流量／总债务</t>
    <rPh sb="0" eb="1">
      <t>jing y</t>
    </rPh>
    <rPh sb="2" eb="3">
      <t>huo d</t>
    </rPh>
    <rPh sb="4" eb="5">
      <t>xian j</t>
    </rPh>
    <rPh sb="6" eb="7">
      <t>jing l l</t>
    </rPh>
    <rPh sb="10" eb="11">
      <t>zong zhai w</t>
    </rPh>
    <phoneticPr fontId="5" type="noConversion"/>
  </si>
  <si>
    <t>优秀：任意三项大于平均值；
较好：任意两项大于平均值，一项近于平均值；
平均：任意三项及以上近于或等于平均值
较差：任意三项及以上低于平均值；或任意两项大于平均值，一项近于平均值；</t>
    <rPh sb="0" eb="1">
      <t>you xiu</t>
    </rPh>
    <rPh sb="3" eb="4">
      <t>ren yi</t>
    </rPh>
    <rPh sb="5" eb="6">
      <t>san</t>
    </rPh>
    <rPh sb="7" eb="8">
      <t>da yu</t>
    </rPh>
    <rPh sb="9" eb="10">
      <t>ping j z</t>
    </rPh>
    <rPh sb="14" eb="15">
      <t>jiao hao</t>
    </rPh>
    <rPh sb="17" eb="18">
      <t>ren yi</t>
    </rPh>
    <rPh sb="19" eb="20">
      <t>liang</t>
    </rPh>
    <rPh sb="27" eb="28">
      <t>yi xiang</t>
    </rPh>
    <rPh sb="29" eb="30">
      <t>jin yu</t>
    </rPh>
    <rPh sb="31" eb="32">
      <t>p j z</t>
    </rPh>
    <rPh sb="36" eb="37">
      <t>ping j</t>
    </rPh>
    <rPh sb="39" eb="40">
      <t>ren yi</t>
    </rPh>
    <rPh sb="41" eb="42">
      <t>san xiang</t>
    </rPh>
    <rPh sb="43" eb="44">
      <t>ji</t>
    </rPh>
    <rPh sb="44" eb="45">
      <t>yi s</t>
    </rPh>
    <rPh sb="46" eb="47">
      <t>jin yu</t>
    </rPh>
    <rPh sb="48" eb="49">
      <t>huo</t>
    </rPh>
    <rPh sb="49" eb="50">
      <t>deng y</t>
    </rPh>
    <rPh sb="51" eb="52">
      <t>p j z</t>
    </rPh>
    <rPh sb="55" eb="56">
      <t>jiao cha</t>
    </rPh>
    <rPh sb="58" eb="59">
      <t>ren y</t>
    </rPh>
    <rPh sb="60" eb="61">
      <t>san xiang</t>
    </rPh>
    <rPh sb="62" eb="63">
      <t>ji</t>
    </rPh>
    <rPh sb="63" eb="64">
      <t>yi s</t>
    </rPh>
    <rPh sb="65" eb="66">
      <t>di yu</t>
    </rPh>
    <rPh sb="67" eb="68">
      <t>p j z</t>
    </rPh>
    <rPh sb="71" eb="72">
      <t>huo</t>
    </rPh>
    <phoneticPr fontId="5" type="noConversion"/>
  </si>
  <si>
    <t>净资产收益率ROE</t>
    <rPh sb="0" eb="1">
      <t>jing zi c</t>
    </rPh>
    <rPh sb="3" eb="4">
      <t>shou yi l</t>
    </rPh>
    <phoneticPr fontId="5" type="noConversion"/>
  </si>
  <si>
    <t>指标分值</t>
    <rPh sb="0" eb="1">
      <t>zhi b</t>
    </rPh>
    <rPh sb="2" eb="3">
      <t>fen z</t>
    </rPh>
    <phoneticPr fontId="5" type="noConversion"/>
  </si>
  <si>
    <t>风险评分卡评分参数</t>
    <rPh sb="0" eb="1">
      <t>feng x</t>
    </rPh>
    <rPh sb="2" eb="3">
      <t>ping fen k</t>
    </rPh>
    <rPh sb="5" eb="6">
      <t>ping fen</t>
    </rPh>
    <rPh sb="7" eb="8">
      <t>can s</t>
    </rPh>
    <phoneticPr fontId="5" type="noConversion"/>
  </si>
  <si>
    <t>AAA级客户</t>
    <rPh sb="3" eb="4">
      <t>ji</t>
    </rPh>
    <rPh sb="4" eb="5">
      <t>ke h</t>
    </rPh>
    <phoneticPr fontId="5" type="noConversion"/>
  </si>
  <si>
    <t>AA级客户</t>
    <rPh sb="2" eb="3">
      <t>ji</t>
    </rPh>
    <rPh sb="3" eb="4">
      <t>ke h</t>
    </rPh>
    <phoneticPr fontId="5" type="noConversion"/>
  </si>
  <si>
    <t>A级客户</t>
    <rPh sb="1" eb="2">
      <t>ji</t>
    </rPh>
    <rPh sb="2" eb="3">
      <t>ke h</t>
    </rPh>
    <phoneticPr fontId="5" type="noConversion"/>
  </si>
  <si>
    <t>BBB级客户</t>
    <rPh sb="3" eb="4">
      <t>ji</t>
    </rPh>
    <rPh sb="4" eb="5">
      <t>ke h</t>
    </rPh>
    <phoneticPr fontId="5" type="noConversion"/>
  </si>
  <si>
    <t>BB级客户</t>
    <rPh sb="2" eb="3">
      <t>ji</t>
    </rPh>
    <rPh sb="3" eb="4">
      <t>ke h</t>
    </rPh>
    <phoneticPr fontId="5" type="noConversion"/>
  </si>
  <si>
    <t>B级客户</t>
    <rPh sb="1" eb="2">
      <t>ji</t>
    </rPh>
    <rPh sb="2" eb="3">
      <t>ke h</t>
    </rPh>
    <phoneticPr fontId="5" type="noConversion"/>
  </si>
  <si>
    <t>CCC级客户</t>
    <rPh sb="3" eb="4">
      <t>ji</t>
    </rPh>
    <rPh sb="4" eb="5">
      <t>ke h</t>
    </rPh>
    <phoneticPr fontId="5" type="noConversion"/>
  </si>
  <si>
    <t>CC级客户</t>
    <rPh sb="2" eb="3">
      <t>ji</t>
    </rPh>
    <rPh sb="3" eb="4">
      <t>ke h</t>
    </rPh>
    <phoneticPr fontId="5" type="noConversion"/>
  </si>
  <si>
    <t>C级客户</t>
    <rPh sb="1" eb="2">
      <t>ji</t>
    </rPh>
    <rPh sb="2" eb="3">
      <t>ke h</t>
    </rPh>
    <phoneticPr fontId="5" type="noConversion"/>
  </si>
  <si>
    <t xml:space="preserve">3%以下 0分， 3%-7% 1分， 7% -9% 2分， 9%-11% 3分， 11% -13% 4分， 13 - 15% 5分， 15%以上 6分。 </t>
    <phoneticPr fontId="5" type="noConversion"/>
  </si>
  <si>
    <t xml:space="preserve">100万以下1分，100-400万 2分，400-1000万 3分， 1000-2000万 4分， 2000-5000万 5 分， 5000万以上 6分 </t>
    <phoneticPr fontId="5" type="noConversion"/>
  </si>
  <si>
    <t xml:space="preserve">20% 以下  3分， 20% - 35% 4分， 35% - 45% 5分 ， 45% - 60% 6分， 60% - 70% 4 分， 70%-80% 3分， 80%-90% 2分， 90% -100% 1分， 100%以上 0分（预警）。 </t>
    <phoneticPr fontId="5" type="noConversion"/>
  </si>
  <si>
    <t xml:space="preserve">0.3以下 0分， 0.3 -0.5 1分，0.5-0.7 2分， 0.7 - 0.9 4分， 0.9 -1.1 6分， 1.1 - 1.3 5分， 1.3 以上 3分。 </t>
    <phoneticPr fontId="5" type="noConversion"/>
  </si>
  <si>
    <t xml:space="preserve">0.9以下 -1分， 0.9 - 1.1 1分， 1.1 - 1.3 2分， 1.3 -1.6 3分， 1.6 - 1.9 4分， 1.9 -2.2 5分， 2.2 以上 6分。 </t>
    <phoneticPr fontId="5" type="noConversion"/>
  </si>
  <si>
    <t>存货周转期+应收帐款周转期-应付账款周转期</t>
    <rPh sb="0" eb="1">
      <t>cun huo zhou zhuan qi</t>
    </rPh>
    <rPh sb="6" eb="7">
      <t>ying s z k</t>
    </rPh>
    <rPh sb="10" eb="11">
      <t>zhou zhuan qi</t>
    </rPh>
    <rPh sb="14" eb="15">
      <t>ying fu zhang k</t>
    </rPh>
    <rPh sb="18" eb="19">
      <t>zhou z q</t>
    </rPh>
    <phoneticPr fontId="5" type="noConversion"/>
  </si>
  <si>
    <t>销售额现金比</t>
    <phoneticPr fontId="5" type="noConversion"/>
  </si>
  <si>
    <t>0.6以下 0分， 0.6-0.8 1分， 0.8 - 1.0 2分， 1.0- 1.2 3分， 1.2 -1.5 4分， 1.5以上 5分。  3.0以上，0分</t>
    <rPh sb="3" eb="4">
      <t>yi x</t>
    </rPh>
    <rPh sb="7" eb="8">
      <t>fen</t>
    </rPh>
    <rPh sb="19" eb="20">
      <t>fen</t>
    </rPh>
    <rPh sb="33" eb="34">
      <t>fen</t>
    </rPh>
    <rPh sb="46" eb="47">
      <t>fen</t>
    </rPh>
    <rPh sb="59" eb="60">
      <t>fen</t>
    </rPh>
    <rPh sb="65" eb="66">
      <t>yi s</t>
    </rPh>
    <rPh sb="69" eb="70">
      <t>fen</t>
    </rPh>
    <rPh sb="76" eb="77">
      <t>y s</t>
    </rPh>
    <rPh sb="80" eb="81">
      <t>fen</t>
    </rPh>
    <phoneticPr fontId="5" type="noConversion"/>
  </si>
  <si>
    <t>3次以下 0分，3-6次 1分， 6-8次 2分， 8-10次 3分， 10-15 次 4分，15次以上5分。  50次以上，0分</t>
    <rPh sb="1" eb="2">
      <t>ci</t>
    </rPh>
    <rPh sb="2" eb="3">
      <t>yi xia</t>
    </rPh>
    <rPh sb="6" eb="7">
      <t>fen</t>
    </rPh>
    <rPh sb="11" eb="12">
      <t>ci</t>
    </rPh>
    <rPh sb="14" eb="15">
      <t>fen</t>
    </rPh>
    <rPh sb="20" eb="21">
      <t>ci</t>
    </rPh>
    <rPh sb="23" eb="24">
      <t>fen</t>
    </rPh>
    <rPh sb="30" eb="31">
      <t>c</t>
    </rPh>
    <rPh sb="33" eb="34">
      <t>fen</t>
    </rPh>
    <rPh sb="42" eb="43">
      <t>ci</t>
    </rPh>
    <rPh sb="45" eb="46">
      <t>fen</t>
    </rPh>
    <rPh sb="49" eb="50">
      <t>ci</t>
    </rPh>
    <rPh sb="50" eb="51">
      <t>yi s</t>
    </rPh>
    <rPh sb="53" eb="54">
      <t>fe</t>
    </rPh>
    <rPh sb="59" eb="60">
      <t>ci</t>
    </rPh>
    <rPh sb="60" eb="61">
      <t>y s</t>
    </rPh>
    <rPh sb="64" eb="65">
      <t>fen</t>
    </rPh>
    <phoneticPr fontId="5" type="noConversion"/>
  </si>
  <si>
    <t>在-3%以下 0分， 0- -3% 1分，0-1% 2分， 2% - 4% 3分， 4-6% 4分，6%以上 5分。</t>
    <rPh sb="0" eb="1">
      <t>zai</t>
    </rPh>
    <rPh sb="4" eb="5">
      <t>yi x</t>
    </rPh>
    <rPh sb="8" eb="9">
      <t>fen</t>
    </rPh>
    <rPh sb="19" eb="20">
      <t>fen</t>
    </rPh>
    <rPh sb="27" eb="28">
      <t>fen</t>
    </rPh>
    <rPh sb="39" eb="40">
      <t>fen</t>
    </rPh>
    <rPh sb="48" eb="49">
      <t>fen</t>
    </rPh>
    <rPh sb="52" eb="53">
      <t>yi s</t>
    </rPh>
    <rPh sb="56" eb="57">
      <t>fen</t>
    </rPh>
    <phoneticPr fontId="5" type="noConversion"/>
  </si>
  <si>
    <t xml:space="preserve">5%以下 0分，5% - 8% 1分， 8%-12% 2分， 12% - 15% 3分， 15% - 18% 4分， 18% -25% 5分， 25% 以上 6分。 </t>
    <phoneticPr fontId="5" type="noConversion"/>
  </si>
  <si>
    <r>
      <rPr>
        <i/>
        <sz val="11"/>
        <color theme="1"/>
        <rFont val="仿宋"/>
        <family val="3"/>
        <charset val="134"/>
      </rPr>
      <t>6</t>
    </r>
    <r>
      <rPr>
        <sz val="11"/>
        <color theme="1"/>
        <rFont val="仿宋"/>
        <family val="3"/>
        <charset val="134"/>
      </rPr>
      <t xml:space="preserve">%以下 0分，6% - </t>
    </r>
    <r>
      <rPr>
        <i/>
        <sz val="11"/>
        <color theme="1"/>
        <rFont val="仿宋"/>
        <family val="3"/>
        <charset val="134"/>
      </rPr>
      <t>8</t>
    </r>
    <r>
      <rPr>
        <sz val="11"/>
        <color theme="1"/>
        <rFont val="仿宋"/>
        <family val="3"/>
        <charset val="134"/>
      </rPr>
      <t xml:space="preserve">% 1分， 8%-12% 2分， 12% - 15% 3分， 15% - 18% 4分， 18% -25% 5分， 25% 以上 6分。 </t>
    </r>
    <phoneticPr fontId="5" type="noConversion"/>
  </si>
  <si>
    <t xml:space="preserve">0.5 以下 1分， 0.5 - 0.8 为 2分，0.8-0.9 为3分，0.9-1.0为4分， 1.0 -1.2 6分， 1.2 -1.4 5分，1.4-1.6 4分，1.6-1.8 3分， 1.8 -2.0 2分， 2.0 - 2.2 1分， 2.2以上 0分。 </t>
    <rPh sb="34" eb="35">
      <t>wei</t>
    </rPh>
    <rPh sb="36" eb="37">
      <t>fe</t>
    </rPh>
    <rPh sb="45" eb="46">
      <t>wei</t>
    </rPh>
    <rPh sb="47" eb="48">
      <t>fen</t>
    </rPh>
    <rPh sb="95" eb="96">
      <t>fen</t>
    </rPh>
    <phoneticPr fontId="5" type="noConversion"/>
  </si>
  <si>
    <t>1%以下 0分，1%-3% 1分， 3% - 5% 2分， 5%-8% 3分， 8% - 10% 4分， 10% - 15% 5分， 15% -18% 6分，18-22% 7分， 22%-25% 8分 ， 25% 以上 10分。  50%以上0分。</t>
    <rPh sb="15" eb="16">
      <t>fen</t>
    </rPh>
    <rPh sb="87" eb="88">
      <t>fen</t>
    </rPh>
    <rPh sb="99" eb="100">
      <t>fen</t>
    </rPh>
    <rPh sb="119" eb="120">
      <t>y s</t>
    </rPh>
    <rPh sb="122" eb="123">
      <t>fen</t>
    </rPh>
    <phoneticPr fontId="5" type="noConversion"/>
  </si>
  <si>
    <t xml:space="preserve">6%以下 0分， 6%-10% 1分， 10% -13% 2分， 13%-15% 3分， 15 - 20% 4分， 20%以上 5分。 </t>
    <phoneticPr fontId="5" type="noConversion"/>
  </si>
  <si>
    <t>2以下 0分， 2-2.5 1分， 2.5-4 2分， 4-8 5分， 8-15 3分， 15-22 4分， 22以上 2分。</t>
    <rPh sb="42" eb="43">
      <t>fen</t>
    </rPh>
    <rPh sb="52" eb="53">
      <t>fen</t>
    </rPh>
    <rPh sb="57" eb="58">
      <t>y s</t>
    </rPh>
    <rPh sb="61" eb="62">
      <t>fen</t>
    </rPh>
    <phoneticPr fontId="5" type="noConversion"/>
  </si>
  <si>
    <t xml:space="preserve">0以下 -1分， 0-1% 1分， 1%-3% 2分， 3%-6% 3分， 6%—10% 4分，  10% 以上 5分。 </t>
    <phoneticPr fontId="5" type="noConversion"/>
  </si>
  <si>
    <t xml:space="preserve">0.3以下 0分， 0.3 -0.5 1分，0.5-0.7 2分， 0.7 - 0.9 3分， 0.9 -1.5 4分， 1.5 - 2.5 5分， 2.5 以上 3分。 </t>
    <phoneticPr fontId="5" type="noConversion"/>
  </si>
  <si>
    <t>2%以下 0分， 2%-4% 1分， 4%-6% 2分， 6%-9% 3分， 9%- 15% 4分，15% -20% 5分，20%以上 6分， 50%以上，0分。</t>
    <rPh sb="65" eb="66">
      <t>yi s</t>
    </rPh>
    <rPh sb="75" eb="76">
      <t>y s</t>
    </rPh>
    <rPh sb="79" eb="80">
      <t>fen</t>
    </rPh>
    <phoneticPr fontId="5" type="noConversion"/>
  </si>
  <si>
    <t xml:space="preserve">3%以下 0分， 3%-7% 1分， 7% -9% 2分， 9%-11% 3分， 11% -13% 4分，13%以上 5分。 </t>
    <phoneticPr fontId="5" type="noConversion"/>
  </si>
  <si>
    <t xml:space="preserve">5%以下 0分，5% - 8% 1分， 8%-12% 2分， 12%- 18% 3分， 18% -22% 4分， 22% 以上 5分。 </t>
    <phoneticPr fontId="5" type="noConversion"/>
  </si>
  <si>
    <t>总分</t>
    <rPh sb="0" eb="1">
      <t>zong f</t>
    </rPh>
    <phoneticPr fontId="5" type="noConversion"/>
  </si>
  <si>
    <t>税前利润率</t>
    <rPh sb="0" eb="1">
      <t>shui qian</t>
    </rPh>
    <rPh sb="2" eb="3">
      <t>li r lü</t>
    </rPh>
    <phoneticPr fontId="5" type="noConversion"/>
  </si>
  <si>
    <t>营运资金</t>
    <rPh sb="0" eb="1">
      <t>ying yun</t>
    </rPh>
    <rPh sb="2" eb="3">
      <t>zi j</t>
    </rPh>
    <phoneticPr fontId="5" type="noConversion"/>
  </si>
  <si>
    <t>短期偿债能力</t>
    <rPh sb="0" eb="1">
      <t>duan qi</t>
    </rPh>
    <rPh sb="2" eb="3">
      <t>chang zhai</t>
    </rPh>
    <rPh sb="4" eb="5">
      <t>neng l</t>
    </rPh>
    <phoneticPr fontId="5" type="noConversion"/>
  </si>
  <si>
    <t>长期偿债能力</t>
    <rPh sb="0" eb="1">
      <t>chang qi</t>
    </rPh>
    <rPh sb="2" eb="3">
      <t>chang zhai</t>
    </rPh>
    <rPh sb="4" eb="5">
      <t>neng l</t>
    </rPh>
    <phoneticPr fontId="5" type="noConversion"/>
  </si>
  <si>
    <t>负债与所有者权益比</t>
  </si>
  <si>
    <t>负债与有形资产比</t>
  </si>
  <si>
    <t>流动资产周转率</t>
  </si>
  <si>
    <t>固定资产周转率</t>
  </si>
  <si>
    <t>应付账款周转率</t>
    <phoneticPr fontId="5" type="noConversion"/>
  </si>
  <si>
    <t>预付账款周转率</t>
    <phoneticPr fontId="5" type="noConversion"/>
  </si>
  <si>
    <t>预收账款周转率</t>
    <phoneticPr fontId="5" type="noConversion"/>
  </si>
  <si>
    <t>总资产增长率</t>
    <phoneticPr fontId="5" type="noConversion"/>
  </si>
  <si>
    <t>复利计算</t>
    <rPh sb="0" eb="1">
      <t>fu li ji suan</t>
    </rPh>
    <phoneticPr fontId="5" type="noConversion"/>
  </si>
  <si>
    <t>复利计算</t>
    <rPh sb="0" eb="1">
      <t>fu li ji s</t>
    </rPh>
    <phoneticPr fontId="5" type="noConversion"/>
  </si>
  <si>
    <t>复利计算</t>
    <rPh sb="0" eb="1">
      <t>fu ki ji s</t>
    </rPh>
    <phoneticPr fontId="5" type="noConversion"/>
  </si>
  <si>
    <t>净利润/营业收入</t>
  </si>
  <si>
    <t>主营业务利润/营业收入</t>
  </si>
  <si>
    <t>利润总额/营业收入</t>
  </si>
  <si>
    <t>净利润/[(期初所有者权益+期末所有证权益）/2]*100%</t>
    <phoneticPr fontId="5" type="noConversion"/>
  </si>
  <si>
    <t>（利润总额+计入财务费用的利息支出）/[（期初总资产+期末总资产）/2]</t>
    <phoneticPr fontId="5" type="noConversion"/>
  </si>
  <si>
    <t>流动资产/流动负债</t>
    <phoneticPr fontId="5" type="noConversion"/>
  </si>
  <si>
    <t>（流动资产-存货）/流动负债</t>
    <phoneticPr fontId="5" type="noConversion"/>
  </si>
  <si>
    <t>流动资产-流动负债</t>
    <phoneticPr fontId="5" type="noConversion"/>
  </si>
  <si>
    <t>负债总额/资产总额</t>
    <phoneticPr fontId="5" type="noConversion"/>
  </si>
  <si>
    <t>（利润总额+利息费用）/利息费用</t>
    <phoneticPr fontId="5" type="noConversion"/>
  </si>
  <si>
    <t>1/1-资产负债率</t>
    <rPh sb="4" eb="5">
      <t>zi c</t>
    </rPh>
    <rPh sb="6" eb="7">
      <t>fu z l</t>
    </rPh>
    <phoneticPr fontId="5" type="noConversion"/>
  </si>
  <si>
    <t>负债总额/所有者权益合计</t>
  </si>
  <si>
    <t>负债总额/有形净资产</t>
  </si>
  <si>
    <t>营业成本/[(期初存货+期末存货）/2]</t>
    <phoneticPr fontId="5" type="noConversion"/>
  </si>
  <si>
    <t>营业收入/[（（期初应收票据+期初应收账款）+（期末应收票据+期末应收账款））/2]</t>
    <phoneticPr fontId="5" type="noConversion"/>
  </si>
  <si>
    <t>营业收入/[(期初总资产+期末总资产）/2]</t>
    <phoneticPr fontId="5" type="noConversion"/>
  </si>
  <si>
    <t>营业收入/[(期初流动资产+期末流动资产）/2]</t>
    <phoneticPr fontId="5" type="noConversion"/>
  </si>
  <si>
    <t>营业收入/[(期初固定资产净值+期末固定资产净值）/2]</t>
    <phoneticPr fontId="5" type="noConversion"/>
  </si>
  <si>
    <t>营业成本/[(期初应付账款+期末应付账款）/2]</t>
    <phoneticPr fontId="5" type="noConversion"/>
  </si>
  <si>
    <t>营业成本/[(期初预付账款+期末预付账款）/2]</t>
    <phoneticPr fontId="5" type="noConversion"/>
  </si>
  <si>
    <t>营业收入/[(期初预收账款+期末预收账款）/2]</t>
    <phoneticPr fontId="5" type="noConversion"/>
  </si>
  <si>
    <t>（当年净利润/最初年数净利润）^(1/年数）-1</t>
    <rPh sb="1" eb="2">
      <t>dang n</t>
    </rPh>
    <rPh sb="3" eb="4">
      <t>jing li r</t>
    </rPh>
    <rPh sb="7" eb="8">
      <t>zui chu</t>
    </rPh>
    <rPh sb="9" eb="10">
      <t>nian s</t>
    </rPh>
    <rPh sb="11" eb="12">
      <t>jing l r</t>
    </rPh>
    <rPh sb="19" eb="20">
      <t>nian shu</t>
    </rPh>
    <phoneticPr fontId="5" type="noConversion"/>
  </si>
  <si>
    <t>（当年销售收入/最初年数销售收入）^(1/年数）-1</t>
    <rPh sb="1" eb="2">
      <t>dang n</t>
    </rPh>
    <rPh sb="3" eb="4">
      <t>xiao s</t>
    </rPh>
    <rPh sb="5" eb="6">
      <t>shou r</t>
    </rPh>
    <rPh sb="8" eb="9">
      <t>zui chu</t>
    </rPh>
    <rPh sb="10" eb="11">
      <t>nian s</t>
    </rPh>
    <rPh sb="12" eb="13">
      <t>xiao s</t>
    </rPh>
    <rPh sb="14" eb="15">
      <t>shou r</t>
    </rPh>
    <rPh sb="21" eb="22">
      <t>nian shu</t>
    </rPh>
    <phoneticPr fontId="5" type="noConversion"/>
  </si>
  <si>
    <t>（当年总资产/最初年数总资产）^(1/年数）-1</t>
    <rPh sb="1" eb="2">
      <t>dang n</t>
    </rPh>
    <rPh sb="3" eb="4">
      <t>zong zi c</t>
    </rPh>
    <rPh sb="7" eb="8">
      <t>zui chu</t>
    </rPh>
    <rPh sb="9" eb="10">
      <t>nian s</t>
    </rPh>
    <rPh sb="11" eb="12">
      <t>zong zi c</t>
    </rPh>
    <rPh sb="19" eb="20">
      <t>nian shu</t>
    </rPh>
    <phoneticPr fontId="5" type="noConversion"/>
  </si>
  <si>
    <t>经营现金利息偿还能力</t>
    <phoneticPr fontId="5" type="noConversion"/>
  </si>
  <si>
    <t>货币资金/流动负债</t>
    <rPh sb="0" eb="1">
      <t>huo bi</t>
    </rPh>
    <rPh sb="2" eb="3">
      <t>zi j</t>
    </rPh>
    <rPh sb="5" eb="6">
      <t>liu d</t>
    </rPh>
    <rPh sb="7" eb="8">
      <t>fu zhai</t>
    </rPh>
    <phoneticPr fontId="5" type="noConversion"/>
  </si>
  <si>
    <t>经营现金净流量/营业收入</t>
    <phoneticPr fontId="5" type="noConversion"/>
  </si>
  <si>
    <t>经营活动现金流净额/流动债务总额</t>
    <phoneticPr fontId="5" type="noConversion"/>
  </si>
  <si>
    <t>经营活动现金流净额/负债总额</t>
    <phoneticPr fontId="5" type="noConversion"/>
  </si>
  <si>
    <t>经营活动现金流净额/（资本化利息+计入财务费用的利息支出）</t>
    <phoneticPr fontId="5" type="noConversion"/>
  </si>
  <si>
    <t xml:space="preserve">0.5 以下 0分， 0.5 - 1.0 为 1分， 1.0 -1.3 3分， 1.3 -1.8 4分，1.8-2.0 5分， 2.0 -2.2 6分， 2.2 - 2.5 5分， 2.5 -3.0 4分， 3.0以上 2分。 </t>
    <phoneticPr fontId="5" type="noConversion"/>
  </si>
  <si>
    <t>0.3以下 0分， 0.3 - 0.6为 1分， 0.6 -1.1 2分， 1.1 -1.8 3分，1.8-2.2 4分， 2.2以上 5分，</t>
    <rPh sb="3" eb="4">
      <t>yi xia</t>
    </rPh>
    <rPh sb="7" eb="8">
      <t>fen</t>
    </rPh>
    <rPh sb="65" eb="66">
      <t>yi s</t>
    </rPh>
    <phoneticPr fontId="5" type="noConversion"/>
  </si>
  <si>
    <t>0.1以下 0分， 0.1 - 0.3为 1分， 0.3 -0.8 2分， 0.8 -1.5 3分，1.5-2.0 4分， 2.0以上 5分，</t>
    <rPh sb="3" eb="4">
      <t>yi xia</t>
    </rPh>
    <rPh sb="7" eb="8">
      <t>fen</t>
    </rPh>
    <rPh sb="65" eb="66">
      <t>yi s</t>
    </rPh>
    <phoneticPr fontId="5" type="noConversion"/>
  </si>
  <si>
    <t>1.5以上 0分， 1.3-1.5 1分， 1.0-1.3 2分， 0.7-1.0 3分， 0.3-0.7 4分， 0.3以下，5分</t>
    <rPh sb="3" eb="4">
      <t>yi s</t>
    </rPh>
    <rPh sb="7" eb="8">
      <t>fen</t>
    </rPh>
    <rPh sb="19" eb="20">
      <t>fen</t>
    </rPh>
    <rPh sb="31" eb="32">
      <t>fen</t>
    </rPh>
    <rPh sb="43" eb="44">
      <t>fen</t>
    </rPh>
    <rPh sb="55" eb="56">
      <t>fen</t>
    </rPh>
    <rPh sb="61" eb="62">
      <t>yi xia</t>
    </rPh>
    <rPh sb="65" eb="66">
      <t>fen</t>
    </rPh>
    <phoneticPr fontId="5" type="noConversion"/>
  </si>
  <si>
    <t>145分以上</t>
    <rPh sb="3" eb="4">
      <t>fen</t>
    </rPh>
    <rPh sb="4" eb="5">
      <t>yi s</t>
    </rPh>
    <phoneticPr fontId="5" type="noConversion"/>
  </si>
  <si>
    <t>121-144分</t>
    <rPh sb="7" eb="8">
      <t>fen</t>
    </rPh>
    <phoneticPr fontId="5" type="noConversion"/>
  </si>
  <si>
    <t>107-120分</t>
    <rPh sb="7" eb="8">
      <t>fen</t>
    </rPh>
    <phoneticPr fontId="5" type="noConversion"/>
  </si>
  <si>
    <t>89-106分</t>
    <rPh sb="6" eb="7">
      <t>fen</t>
    </rPh>
    <phoneticPr fontId="5" type="noConversion"/>
  </si>
  <si>
    <t>77-88分</t>
    <rPh sb="5" eb="6">
      <t>fen</t>
    </rPh>
    <phoneticPr fontId="5" type="noConversion"/>
  </si>
  <si>
    <t>56-76分</t>
    <phoneticPr fontId="5" type="noConversion"/>
  </si>
  <si>
    <t>45-55分</t>
    <rPh sb="5" eb="6">
      <t>fen</t>
    </rPh>
    <phoneticPr fontId="5" type="noConversion"/>
  </si>
  <si>
    <t>37-44分</t>
    <rPh sb="5" eb="6">
      <t>fen</t>
    </rPh>
    <phoneticPr fontId="5" type="noConversion"/>
  </si>
  <si>
    <t>36分以下</t>
    <rPh sb="2" eb="3">
      <t>fen</t>
    </rPh>
    <rPh sb="3" eb="4">
      <t>y x</t>
    </rPh>
    <phoneticPr fontId="5" type="noConversion"/>
  </si>
  <si>
    <t xml:space="preserve">3%以下 0分， 3%-7% 1分， 7% -9% 2分， 9%-11% 3分， 11% -13% 4分， 13 - 15% 5分， 15%以上 6分。 </t>
  </si>
  <si>
    <t xml:space="preserve">6%以下 0分， 6%-10% 1分， 10% -13% 2分， 13%-15% 3分， 15 - 20% 4分， 20%以上 5分。 </t>
  </si>
  <si>
    <t>净利润/[(期初所有者权益+期末所有证权益）/2]*100%</t>
  </si>
  <si>
    <t>（利润总额+计入财务费用的利息支出）/[（期初总资产+期末总资产）/2]</t>
  </si>
  <si>
    <t>流动资产/流动负债</t>
  </si>
  <si>
    <t xml:space="preserve">0.5 以下 0分， 0.5 - 1.0 为 1分， 1.0 -1.3 3分， 1.3 -1.8 4分，1.8-2.0 5分， 2.0 -2.2 6分， 2.2 - 2.5 5分， 2.5 -3.0 4分， 3.0以上 2分。 </t>
  </si>
  <si>
    <t>（流动资产-存货）/流动负债</t>
  </si>
  <si>
    <t xml:space="preserve">0.3以下 0分， 0.3 -0.5 1分，0.5-0.7 2分， 0.7 - 0.9 4分， 0.9 -1.1 6分， 1.1 - 1.3 5分， 1.3 以上 3分。 </t>
  </si>
  <si>
    <t xml:space="preserve">3%以下 0分， 3%-7% 1分， 7% -9% 2分， 9%-11% 3分， 11% -13% 4分，13%以上 5分。 </t>
  </si>
  <si>
    <t>流动资产-流动负债</t>
  </si>
  <si>
    <t xml:space="preserve">100万以下1分，100-400万 2分，400-1000万 3分， 1000-2000万 4分， 2000-5000万 5 分， 5000万以上 6分 </t>
  </si>
  <si>
    <t>负债总额/资产总额</t>
  </si>
  <si>
    <t xml:space="preserve">20% 以下  3分， 20% - 35% 4分， 35% - 45% 5分 ， 45% - 60% 6分， 60% - 70% 4 分， 70%-80% 3分， 80%-90% 2分， 90% -100% 1分， 100%以上 0分（预警）。 </t>
  </si>
  <si>
    <t>（利润总额+利息费用）/利息费用</t>
  </si>
  <si>
    <t xml:space="preserve">0.9以下 -1分， 0.9 - 1.1 1分， 1.1 - 1.3 2分， 1.3 -1.6 3分， 1.6 - 1.9 4分， 1.9 -2.2 5分， 2.2 以上 6分。 </t>
  </si>
  <si>
    <t>营业成本/[(期初存货+期末存货）/2]</t>
  </si>
  <si>
    <t>营业收入/[（（期初应收票据+期初应收账款）+（期末应收票据+期末应收账款））/2]</t>
  </si>
  <si>
    <t>营业收入/[(期初总资产+期末总资产）/2]</t>
  </si>
  <si>
    <t>营业收入/[(期初流动资产+期末流动资产）/2]</t>
  </si>
  <si>
    <t>营业收入/[(期初固定资产净值+期末固定资产净值）/2]</t>
  </si>
  <si>
    <t>应付账款周转率</t>
  </si>
  <si>
    <t>营业成本/[(期初应付账款+期末应付账款）/2]</t>
  </si>
  <si>
    <t>预付账款周转率</t>
  </si>
  <si>
    <t>营业成本/[(期初预付账款+期末预付账款）/2]</t>
  </si>
  <si>
    <t>预收账款周转率</t>
  </si>
  <si>
    <t>营业收入/[(期初预收账款+期末预收账款）/2]</t>
  </si>
  <si>
    <t xml:space="preserve">0以下 -1分， 0-1% 1分， 1%-3% 2分， 3%-6% 3分， 6%—10% 4分，  10% 以上 5分。 </t>
  </si>
  <si>
    <t>销售额现金比</t>
  </si>
  <si>
    <t>经营现金净流量/营业收入</t>
  </si>
  <si>
    <t xml:space="preserve">0.3以下 0分， 0.3 -0.5 1分，0.5-0.7 2分， 0.7 - 0.9 3分， 0.9 -1.5 4分， 1.5 - 2.5 5分， 2.5 以上 3分。 </t>
  </si>
  <si>
    <t>总资产增长率</t>
  </si>
  <si>
    <t>经营活动现金流净额/流动债务总额</t>
  </si>
  <si>
    <t xml:space="preserve">6%以下 0分，6% - 8% 1分， 8%-12% 2分， 12% - 15% 3分， 15% - 18% 4分， 18% -25% 5分， 25% 以上 6分。 </t>
  </si>
  <si>
    <t>经营活动现金流净额/负债总额</t>
  </si>
  <si>
    <t xml:space="preserve">5%以下 0分，5% - 8% 1分， 8%-12% 2分， 12%- 18% 3分， 18% -22% 4分， 22% 以上 5分。 </t>
  </si>
  <si>
    <t>经营现金利息偿还能力</t>
  </si>
  <si>
    <t>经营活动现金流净额/（资本化利息+计入财务费用的利息支出）</t>
  </si>
  <si>
    <t xml:space="preserve">5%以下 0分，5% - 8% 1分， 8%-12% 2分， 12% - 15% 3分， 15% - 18% 4分， 18% -25% 5分， 25% 以上 6分。 </t>
  </si>
  <si>
    <t>值</t>
    <phoneticPr fontId="5" type="noConversion"/>
  </si>
  <si>
    <t>分</t>
    <phoneticPr fontId="5" type="noConversion"/>
  </si>
  <si>
    <t>求值单位化为万</t>
    <phoneticPr fontId="5" type="noConversion"/>
  </si>
  <si>
    <t>即期报表月份数</t>
    <phoneticPr fontId="5" type="noConversion"/>
  </si>
  <si>
    <t>上年末</t>
    <phoneticPr fontId="5" type="noConversion"/>
  </si>
  <si>
    <t>本年即期</t>
    <phoneticPr fontId="5" type="noConversion"/>
  </si>
  <si>
    <t>总资产</t>
    <phoneticPr fontId="5" type="noConversion"/>
  </si>
  <si>
    <t>总负债</t>
    <phoneticPr fontId="5" type="noConversion"/>
  </si>
  <si>
    <t>货币资金</t>
    <phoneticPr fontId="5" type="noConversion"/>
  </si>
  <si>
    <t>存货</t>
    <phoneticPr fontId="5" type="noConversion"/>
  </si>
  <si>
    <t>所有者权益</t>
    <phoneticPr fontId="5" type="noConversion"/>
  </si>
  <si>
    <t>应收账款</t>
    <phoneticPr fontId="5" type="noConversion"/>
  </si>
  <si>
    <t>应收票据</t>
    <phoneticPr fontId="5" type="noConversion"/>
  </si>
  <si>
    <t>短期投资</t>
    <phoneticPr fontId="5" type="noConversion"/>
  </si>
  <si>
    <t>固定资产</t>
    <phoneticPr fontId="5" type="noConversion"/>
  </si>
  <si>
    <t>流动资产</t>
    <phoneticPr fontId="5" type="noConversion"/>
  </si>
  <si>
    <t>上年末</t>
    <phoneticPr fontId="5" type="noConversion"/>
  </si>
  <si>
    <t>本年累计</t>
    <phoneticPr fontId="5" type="noConversion"/>
  </si>
  <si>
    <t>营业收入</t>
    <phoneticPr fontId="5" type="noConversion"/>
  </si>
  <si>
    <t>营业成本</t>
    <phoneticPr fontId="5" type="noConversion"/>
  </si>
  <si>
    <t>销售费用</t>
    <phoneticPr fontId="5" type="noConversion"/>
  </si>
  <si>
    <t>管理费用</t>
    <phoneticPr fontId="5" type="noConversion"/>
  </si>
  <si>
    <t>财务费用</t>
    <phoneticPr fontId="5" type="noConversion"/>
  </si>
  <si>
    <t>经营活动现金流净额</t>
  </si>
  <si>
    <t>应付账款</t>
    <phoneticPr fontId="5" type="noConversion"/>
  </si>
  <si>
    <t>预收账款</t>
    <phoneticPr fontId="5" type="noConversion"/>
  </si>
  <si>
    <t>短期借款</t>
    <phoneticPr fontId="5" type="noConversion"/>
  </si>
  <si>
    <t>流动负债</t>
    <phoneticPr fontId="5" type="noConversion"/>
  </si>
  <si>
    <t>预付账款</t>
    <phoneticPr fontId="5" type="noConversion"/>
  </si>
  <si>
    <t>其他应收款</t>
    <phoneticPr fontId="5" type="noConversion"/>
  </si>
  <si>
    <t>其他应付款</t>
    <phoneticPr fontId="5" type="noConversion"/>
  </si>
  <si>
    <t>营业利润</t>
    <phoneticPr fontId="5" type="noConversion"/>
  </si>
  <si>
    <t>净利润</t>
    <phoneticPr fontId="5" type="noConversion"/>
  </si>
  <si>
    <t>利润总额</t>
    <phoneticPr fontId="5" type="noConversion"/>
  </si>
  <si>
    <t>2016数据</t>
    <phoneticPr fontId="5" type="noConversion"/>
  </si>
  <si>
    <t>2016数据</t>
    <phoneticPr fontId="5" type="noConversion"/>
  </si>
  <si>
    <t>固定资产净额</t>
    <phoneticPr fontId="5" type="noConversion"/>
  </si>
  <si>
    <t>负债合计/（固定资产净额+存货净额）</t>
    <phoneticPr fontId="5" type="noConversion"/>
  </si>
  <si>
    <t>固定资产净额</t>
    <phoneticPr fontId="5" type="noConversion"/>
  </si>
  <si>
    <t>经营活动现金流净额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</si>
</sst>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b/>
      <sz val="13"/>
      <color theme="3"/>
      <name val="DengXian"/>
      <family val="2"/>
      <charset val="134"/>
      <scheme val="minor"/>
    </font>
    <font>
      <b/>
      <sz val="12"/>
      <color rgb="FF3F3F3F"/>
      <name val="DengXian"/>
      <family val="2"/>
      <charset val="134"/>
      <scheme val="minor"/>
    </font>
    <font>
      <sz val="12"/>
      <color theme="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4"/>
      <charset val="134"/>
      <scheme val="minor"/>
    </font>
    <font>
      <sz val="18"/>
      <color theme="1"/>
      <name val="冬青黑体简体中文 W3"/>
      <family val="2"/>
      <charset val="134"/>
    </font>
    <font>
      <sz val="18"/>
      <color theme="0"/>
      <name val="DengXian"/>
      <family val="2"/>
      <charset val="134"/>
      <scheme val="minor"/>
    </font>
    <font>
      <sz val="16"/>
      <color theme="1"/>
      <name val="黑体"/>
      <family val="3"/>
      <charset val="134"/>
    </font>
    <font>
      <sz val="16"/>
      <color theme="0"/>
      <name val="黑体"/>
      <family val="3"/>
      <charset val="134"/>
    </font>
    <font>
      <sz val="14"/>
      <color theme="0"/>
      <name val="微软雅黑"/>
      <family val="3"/>
      <charset val="134"/>
    </font>
    <font>
      <sz val="12"/>
      <color theme="0"/>
      <name val="微软雅黑"/>
      <family val="3"/>
      <charset val="134"/>
    </font>
    <font>
      <sz val="12"/>
      <color theme="1"/>
      <name val="微软雅黑"/>
      <family val="3"/>
      <charset val="134"/>
    </font>
    <font>
      <sz val="11"/>
      <color theme="1"/>
      <name val="仿宋"/>
      <family val="3"/>
      <charset val="134"/>
    </font>
    <font>
      <sz val="11"/>
      <color rgb="FFFF0000"/>
      <name val="仿宋"/>
      <family val="3"/>
      <charset val="134"/>
    </font>
    <font>
      <sz val="10"/>
      <color theme="1"/>
      <name val="微软雅黑"/>
      <family val="3"/>
      <charset val="134"/>
    </font>
    <font>
      <sz val="12"/>
      <color rgb="FFC00000"/>
      <name val="DengXian"/>
      <family val="2"/>
      <charset val="134"/>
      <scheme val="minor"/>
    </font>
    <font>
      <sz val="12"/>
      <color rgb="FFFF0000"/>
      <name val="微软雅黑"/>
      <family val="3"/>
      <charset val="134"/>
    </font>
    <font>
      <sz val="10"/>
      <color theme="1" tint="0.14996795556505021"/>
      <name val="Microsoft YaHei UI"/>
      <family val="2"/>
      <charset val="134"/>
    </font>
    <font>
      <b/>
      <sz val="12"/>
      <color theme="0" tint="-4.9989318521683403E-2"/>
      <name val="DengXian"/>
      <family val="2"/>
      <charset val="134"/>
      <scheme val="minor"/>
    </font>
    <font>
      <sz val="14"/>
      <color theme="1" tint="0.34998626667073579"/>
      <name val="Microsoft YaHei UI"/>
      <family val="2"/>
      <charset val="134"/>
    </font>
    <font>
      <i/>
      <sz val="11"/>
      <color theme="1"/>
      <name val="仿宋"/>
      <family val="3"/>
      <charset val="134"/>
    </font>
    <font>
      <b/>
      <sz val="12"/>
      <color theme="1"/>
      <name val="仿宋"/>
      <family val="3"/>
      <charset val="134"/>
    </font>
  </fonts>
  <fills count="2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499984740745262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4095E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0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7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7" xfId="0" applyFill="1" applyBorder="1" applyAlignment="1">
      <alignment horizontal="center" vertical="center"/>
    </xf>
    <xf numFmtId="0" fontId="0" fillId="6" borderId="3" xfId="0" applyFill="1" applyBorder="1" applyAlignment="1">
      <alignment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8" fillId="8" borderId="3" xfId="0" applyFont="1" applyFill="1" applyBorder="1" applyAlignment="1">
      <alignment vertical="center"/>
    </xf>
    <xf numFmtId="0" fontId="8" fillId="9" borderId="0" xfId="0" applyFont="1" applyFill="1" applyAlignment="1">
      <alignment horizontal="center" vertical="center"/>
    </xf>
    <xf numFmtId="0" fontId="8" fillId="7" borderId="7" xfId="0" applyFont="1" applyFill="1" applyBorder="1" applyAlignment="1">
      <alignment horizontal="center" vertical="center"/>
    </xf>
    <xf numFmtId="0" fontId="8" fillId="8" borderId="8" xfId="0" applyFont="1" applyFill="1" applyBorder="1" applyAlignment="1">
      <alignment vertical="center"/>
    </xf>
    <xf numFmtId="0" fontId="8" fillId="9" borderId="0" xfId="0" applyFont="1" applyFill="1"/>
    <xf numFmtId="0" fontId="4" fillId="10" borderId="3" xfId="0" applyFont="1" applyFill="1" applyBorder="1" applyAlignment="1">
      <alignment vertical="center"/>
    </xf>
    <xf numFmtId="0" fontId="0" fillId="3" borderId="3" xfId="0" applyFill="1" applyBorder="1" applyAlignment="1">
      <alignment horizontal="center" vertical="center"/>
    </xf>
    <xf numFmtId="0" fontId="0" fillId="3" borderId="3" xfId="0" applyFill="1" applyBorder="1"/>
    <xf numFmtId="0" fontId="0" fillId="12" borderId="0" xfId="0" applyFill="1" applyAlignment="1">
      <alignment vertical="center"/>
    </xf>
    <xf numFmtId="0" fontId="0" fillId="13" borderId="0" xfId="0" applyFill="1"/>
    <xf numFmtId="0" fontId="0" fillId="15" borderId="0" xfId="0" applyFill="1"/>
    <xf numFmtId="0" fontId="0" fillId="15" borderId="0" xfId="0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2" borderId="0" xfId="0" applyFill="1"/>
    <xf numFmtId="0" fontId="13" fillId="17" borderId="0" xfId="0" applyFont="1" applyFill="1" applyAlignment="1">
      <alignment horizontal="center" vertical="center"/>
    </xf>
    <xf numFmtId="0" fontId="14" fillId="17" borderId="0" xfId="0" applyFont="1" applyFill="1" applyAlignment="1">
      <alignment horizontal="center" vertical="center"/>
    </xf>
    <xf numFmtId="0" fontId="14" fillId="17" borderId="0" xfId="0" applyFont="1" applyFill="1"/>
    <xf numFmtId="0" fontId="0" fillId="12" borderId="0" xfId="0" applyFill="1" applyAlignment="1">
      <alignment horizontal="center" vertical="center"/>
    </xf>
    <xf numFmtId="0" fontId="15" fillId="12" borderId="0" xfId="0" applyFont="1" applyFill="1" applyAlignment="1">
      <alignment horizontal="center" vertical="center"/>
    </xf>
    <xf numFmtId="0" fontId="16" fillId="12" borderId="0" xfId="0" applyFont="1" applyFill="1" applyAlignment="1">
      <alignment horizontal="left" vertical="center" wrapText="1"/>
    </xf>
    <xf numFmtId="0" fontId="18" fillId="18" borderId="0" xfId="0" applyFont="1" applyFill="1" applyAlignment="1">
      <alignment horizontal="center" vertical="center" wrapText="1"/>
    </xf>
    <xf numFmtId="0" fontId="16" fillId="12" borderId="9" xfId="0" applyFont="1" applyFill="1" applyBorder="1" applyAlignment="1">
      <alignment horizontal="left" vertical="center" wrapText="1"/>
    </xf>
    <xf numFmtId="0" fontId="14" fillId="19" borderId="0" xfId="0" applyFont="1" applyFill="1" applyAlignment="1">
      <alignment horizontal="center" vertical="center"/>
    </xf>
    <xf numFmtId="0" fontId="16" fillId="20" borderId="0" xfId="0" applyFont="1" applyFill="1" applyAlignment="1">
      <alignment horizontal="left" vertical="center" wrapText="1"/>
    </xf>
    <xf numFmtId="0" fontId="18" fillId="18" borderId="0" xfId="0" applyFont="1" applyFill="1" applyAlignment="1">
      <alignment horizontal="left" vertical="center" wrapText="1"/>
    </xf>
    <xf numFmtId="0" fontId="19" fillId="21" borderId="0" xfId="0" applyFont="1" applyFill="1" applyAlignment="1">
      <alignment horizontal="center" vertical="center"/>
    </xf>
    <xf numFmtId="0" fontId="19" fillId="21" borderId="0" xfId="0" applyFont="1" applyFill="1"/>
    <xf numFmtId="0" fontId="19" fillId="12" borderId="0" xfId="0" applyFont="1" applyFill="1"/>
    <xf numFmtId="0" fontId="20" fillId="12" borderId="0" xfId="0" applyFont="1" applyFill="1" applyAlignment="1">
      <alignment horizontal="center" vertical="center"/>
    </xf>
    <xf numFmtId="0" fontId="17" fillId="12" borderId="0" xfId="0" applyFont="1" applyFill="1" applyAlignment="1">
      <alignment horizontal="left" vertical="center" wrapText="1"/>
    </xf>
    <xf numFmtId="0" fontId="16" fillId="12" borderId="0" xfId="0" applyFont="1" applyFill="1" applyBorder="1" applyAlignment="1">
      <alignment horizontal="center" vertical="center" wrapText="1"/>
    </xf>
    <xf numFmtId="0" fontId="21" fillId="22" borderId="10" xfId="2" applyFont="1" applyFill="1" applyBorder="1" applyAlignment="1">
      <alignment horizontal="center" vertical="center"/>
    </xf>
    <xf numFmtId="0" fontId="18" fillId="24" borderId="0" xfId="0" applyFont="1" applyFill="1" applyAlignment="1">
      <alignment horizontal="center" vertical="center" wrapText="1"/>
    </xf>
    <xf numFmtId="9" fontId="25" fillId="25" borderId="0" xfId="0" applyNumberFormat="1" applyFont="1" applyFill="1" applyAlignment="1">
      <alignment horizontal="center" vertical="center" wrapText="1"/>
    </xf>
    <xf numFmtId="0" fontId="25" fillId="25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/>
    <xf numFmtId="0" fontId="0" fillId="26" borderId="0" xfId="0" applyFill="1" applyAlignment="1"/>
    <xf numFmtId="0" fontId="0" fillId="0" borderId="0" xfId="0" applyFill="1" applyAlignment="1"/>
    <xf numFmtId="0" fontId="0" fillId="27" borderId="0" xfId="0" applyFill="1" applyAlignment="1"/>
    <xf numFmtId="10" fontId="0" fillId="0" borderId="0" xfId="1" applyNumberFormat="1" applyFont="1"/>
    <xf numFmtId="2" fontId="0" fillId="0" borderId="0" xfId="0" applyNumberFormat="1" applyAlignment="1"/>
    <xf numFmtId="0" fontId="0" fillId="28" borderId="0" xfId="0" applyFill="1" applyAlignment="1"/>
    <xf numFmtId="10" fontId="0" fillId="28" borderId="0" xfId="1" applyNumberFormat="1" applyFont="1" applyFill="1"/>
    <xf numFmtId="0" fontId="0" fillId="28" borderId="0" xfId="0" applyFill="1"/>
    <xf numFmtId="0" fontId="10" fillId="14" borderId="0" xfId="0" applyFont="1" applyFill="1" applyAlignment="1">
      <alignment horizontal="left" vertical="center"/>
    </xf>
    <xf numFmtId="0" fontId="23" fillId="5" borderId="0" xfId="0" applyFont="1" applyFill="1" applyBorder="1" applyAlignment="1">
      <alignment horizontal="center" vertical="center"/>
    </xf>
    <xf numFmtId="0" fontId="22" fillId="23" borderId="2" xfId="3" applyFont="1" applyFill="1" applyAlignment="1">
      <alignment horizontal="center" vertical="center"/>
    </xf>
    <xf numFmtId="0" fontId="22" fillId="23" borderId="11" xfId="3" applyFont="1" applyFill="1" applyBorder="1" applyAlignment="1">
      <alignment horizontal="center" vertical="center"/>
    </xf>
    <xf numFmtId="0" fontId="22" fillId="23" borderId="12" xfId="3" applyFont="1" applyFill="1" applyBorder="1" applyAlignment="1">
      <alignment horizontal="center" vertical="center"/>
    </xf>
    <xf numFmtId="0" fontId="8" fillId="7" borderId="7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4" fillId="11" borderId="6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0" fontId="4" fillId="10" borderId="4" xfId="1" applyNumberFormat="1" applyFont="1" applyFill="1" applyBorder="1" applyAlignment="1">
      <alignment horizontal="center" vertical="center"/>
    </xf>
    <xf numFmtId="10" fontId="4" fillId="10" borderId="5" xfId="1" applyNumberFormat="1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</cellXfs>
  <cellStyles count="20">
    <cellStyle name="百分比" xfId="1" builtinId="5"/>
    <cellStyle name="标题 2" xfId="2" builtinId="17"/>
    <cellStyle name="常规" xfId="0" builtinId="0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输出" xfId="3" builtinId="2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2"/>
  <sheetViews>
    <sheetView topLeftCell="B19" zoomScale="80" zoomScaleNormal="80" workbookViewId="0">
      <selection activeCell="G16" sqref="G16:G19"/>
    </sheetView>
  </sheetViews>
  <sheetFormatPr defaultColWidth="10.90625" defaultRowHeight="15.6"/>
  <cols>
    <col min="1" max="1" width="12.6328125" style="21" customWidth="1"/>
    <col min="2" max="2" width="14.08984375" style="25" customWidth="1"/>
    <col min="3" max="3" width="29.453125" style="25" bestFit="1" customWidth="1"/>
    <col min="4" max="5" width="55.453125" style="21" customWidth="1"/>
    <col min="6" max="6" width="32.90625" style="21" bestFit="1" customWidth="1"/>
    <col min="7" max="7" width="10.90625" style="21"/>
    <col min="8" max="8" width="25" style="21" customWidth="1"/>
    <col min="9" max="9" width="16.453125" style="25" bestFit="1" customWidth="1"/>
    <col min="10" max="10" width="12.36328125" style="25" bestFit="1" customWidth="1"/>
    <col min="11" max="11" width="14.36328125" style="25" bestFit="1" customWidth="1"/>
    <col min="12" max="12" width="12.36328125" style="25" bestFit="1" customWidth="1"/>
    <col min="13" max="13" width="31.36328125" style="25" customWidth="1"/>
    <col min="14" max="16384" width="10.90625" style="21"/>
  </cols>
  <sheetData>
    <row r="1" spans="1:13" s="17" customFormat="1">
      <c r="A1" s="16"/>
      <c r="B1" s="53" t="s">
        <v>40</v>
      </c>
      <c r="C1" s="53"/>
      <c r="D1" s="53"/>
      <c r="I1" s="18"/>
      <c r="J1" s="18"/>
      <c r="K1" s="18"/>
      <c r="L1" s="18"/>
      <c r="M1" s="18"/>
    </row>
    <row r="2" spans="1:13" s="17" customFormat="1">
      <c r="A2" s="16"/>
      <c r="B2" s="53"/>
      <c r="C2" s="53"/>
      <c r="D2" s="53"/>
      <c r="I2" s="18"/>
      <c r="J2" s="18"/>
      <c r="K2" s="18"/>
      <c r="L2" s="18"/>
      <c r="M2" s="18"/>
    </row>
    <row r="3" spans="1:13" s="17" customFormat="1">
      <c r="B3" s="18"/>
      <c r="C3" s="18"/>
      <c r="I3" s="18"/>
      <c r="J3" s="18"/>
      <c r="K3" s="18"/>
      <c r="L3" s="18"/>
      <c r="M3" s="18"/>
    </row>
    <row r="5" spans="1:13" ht="15.9" customHeight="1"/>
    <row r="6" spans="1:13" ht="15.9" customHeight="1"/>
    <row r="7" spans="1:13" s="19" customFormat="1" ht="20.399999999999999">
      <c r="B7" s="20" t="s">
        <v>41</v>
      </c>
      <c r="C7" s="20" t="s">
        <v>42</v>
      </c>
      <c r="D7" s="20" t="s">
        <v>43</v>
      </c>
      <c r="E7" s="20" t="s">
        <v>74</v>
      </c>
      <c r="F7" s="20" t="s">
        <v>44</v>
      </c>
      <c r="G7" s="20" t="s">
        <v>106</v>
      </c>
      <c r="I7" s="54" t="s">
        <v>75</v>
      </c>
      <c r="J7" s="54"/>
      <c r="K7" s="54"/>
      <c r="L7" s="25"/>
      <c r="M7" s="25"/>
    </row>
    <row r="8" spans="1:13" ht="20.399999999999999">
      <c r="B8" s="22" t="s">
        <v>45</v>
      </c>
      <c r="C8" s="23"/>
      <c r="D8" s="24"/>
      <c r="E8" s="24"/>
      <c r="F8" s="24"/>
      <c r="G8" s="24"/>
      <c r="H8" s="19"/>
      <c r="I8" s="39" t="s">
        <v>76</v>
      </c>
      <c r="J8" s="55" t="s">
        <v>156</v>
      </c>
      <c r="K8" s="55"/>
    </row>
    <row r="9" spans="1:13" s="25" customFormat="1" ht="28.8">
      <c r="C9" s="26" t="s">
        <v>46</v>
      </c>
      <c r="D9" s="41" t="s">
        <v>122</v>
      </c>
      <c r="E9" s="38" t="s">
        <v>85</v>
      </c>
      <c r="F9" s="28"/>
      <c r="G9" s="40">
        <v>6</v>
      </c>
      <c r="H9" s="19"/>
      <c r="I9" s="39" t="s">
        <v>77</v>
      </c>
      <c r="J9" s="55" t="s">
        <v>157</v>
      </c>
      <c r="K9" s="55"/>
    </row>
    <row r="10" spans="1:13" s="25" customFormat="1" ht="28.8">
      <c r="C10" s="26" t="s">
        <v>47</v>
      </c>
      <c r="D10" s="41" t="s">
        <v>123</v>
      </c>
      <c r="E10" s="38" t="s">
        <v>99</v>
      </c>
      <c r="F10" s="28"/>
      <c r="G10" s="40">
        <v>5</v>
      </c>
      <c r="H10" s="19"/>
      <c r="I10" s="39" t="s">
        <v>78</v>
      </c>
      <c r="J10" s="55" t="s">
        <v>158</v>
      </c>
      <c r="K10" s="55"/>
    </row>
    <row r="11" spans="1:13" s="25" customFormat="1" ht="28.8">
      <c r="C11" s="36" t="s">
        <v>107</v>
      </c>
      <c r="D11" s="41" t="s">
        <v>124</v>
      </c>
      <c r="E11" s="38" t="s">
        <v>99</v>
      </c>
      <c r="F11" s="28"/>
      <c r="G11" s="40">
        <v>5</v>
      </c>
      <c r="H11" s="19"/>
      <c r="I11" s="39" t="s">
        <v>79</v>
      </c>
      <c r="J11" s="55" t="s">
        <v>159</v>
      </c>
      <c r="K11" s="55"/>
    </row>
    <row r="12" spans="1:13" s="25" customFormat="1" ht="43.2">
      <c r="C12" s="26" t="s">
        <v>73</v>
      </c>
      <c r="D12" s="41" t="s">
        <v>125</v>
      </c>
      <c r="E12" s="38" t="s">
        <v>98</v>
      </c>
      <c r="F12" s="28"/>
      <c r="G12" s="40">
        <v>10</v>
      </c>
      <c r="H12" s="19"/>
      <c r="I12" s="39" t="s">
        <v>80</v>
      </c>
      <c r="J12" s="55" t="s">
        <v>160</v>
      </c>
      <c r="K12" s="55"/>
    </row>
    <row r="13" spans="1:13" s="25" customFormat="1" ht="31.2">
      <c r="C13" s="26" t="s">
        <v>66</v>
      </c>
      <c r="D13" s="41" t="s">
        <v>126</v>
      </c>
      <c r="E13" s="37" t="s">
        <v>103</v>
      </c>
      <c r="F13" s="28" t="s">
        <v>65</v>
      </c>
      <c r="G13" s="40">
        <v>6</v>
      </c>
      <c r="H13" s="19"/>
      <c r="I13" s="39" t="s">
        <v>81</v>
      </c>
      <c r="J13" s="56" t="s">
        <v>161</v>
      </c>
      <c r="K13" s="57"/>
    </row>
    <row r="14" spans="1:13" s="25" customFormat="1" ht="57.6">
      <c r="B14" s="30" t="s">
        <v>48</v>
      </c>
      <c r="C14" s="30"/>
      <c r="D14" s="31" t="s">
        <v>49</v>
      </c>
      <c r="E14" s="31"/>
      <c r="F14" s="32" t="s">
        <v>50</v>
      </c>
      <c r="G14" s="40"/>
      <c r="H14" s="19"/>
      <c r="I14" s="39" t="s">
        <v>82</v>
      </c>
      <c r="J14" s="55" t="s">
        <v>162</v>
      </c>
      <c r="K14" s="55"/>
    </row>
    <row r="15" spans="1:13" s="25" customFormat="1" ht="20.399999999999999">
      <c r="B15" s="22" t="s">
        <v>109</v>
      </c>
      <c r="C15" s="23"/>
      <c r="D15" s="24"/>
      <c r="E15" s="24"/>
      <c r="F15" s="24"/>
      <c r="G15" s="24"/>
      <c r="H15" s="19"/>
      <c r="I15" s="39" t="s">
        <v>83</v>
      </c>
      <c r="J15" s="55" t="s">
        <v>163</v>
      </c>
      <c r="K15" s="55"/>
    </row>
    <row r="16" spans="1:13" s="25" customFormat="1" ht="43.2">
      <c r="C16" s="26" t="s">
        <v>52</v>
      </c>
      <c r="D16" s="41" t="s">
        <v>127</v>
      </c>
      <c r="E16" s="27" t="s">
        <v>152</v>
      </c>
      <c r="F16" s="28"/>
      <c r="G16" s="40">
        <v>6</v>
      </c>
      <c r="H16" s="19"/>
      <c r="I16" s="39" t="s">
        <v>84</v>
      </c>
      <c r="J16" s="55" t="s">
        <v>164</v>
      </c>
      <c r="K16" s="55"/>
    </row>
    <row r="17" spans="1:13" s="25" customFormat="1" ht="28.8">
      <c r="C17" s="26" t="s">
        <v>53</v>
      </c>
      <c r="D17" s="41" t="s">
        <v>128</v>
      </c>
      <c r="E17" s="27" t="s">
        <v>88</v>
      </c>
      <c r="F17" s="28"/>
      <c r="G17" s="40">
        <v>6</v>
      </c>
      <c r="H17" s="19"/>
    </row>
    <row r="18" spans="1:13" s="25" customFormat="1" ht="51.9" customHeight="1">
      <c r="C18" s="26" t="s">
        <v>69</v>
      </c>
      <c r="D18" s="41" t="s">
        <v>147</v>
      </c>
      <c r="E18" s="27" t="s">
        <v>104</v>
      </c>
      <c r="F18" s="28"/>
      <c r="G18" s="40">
        <v>5</v>
      </c>
      <c r="H18" s="19"/>
    </row>
    <row r="19" spans="1:13" s="25" customFormat="1" ht="33" customHeight="1">
      <c r="C19" s="26" t="s">
        <v>108</v>
      </c>
      <c r="D19" s="41" t="s">
        <v>129</v>
      </c>
      <c r="E19" s="38" t="s">
        <v>86</v>
      </c>
      <c r="F19" s="28"/>
      <c r="G19" s="40">
        <v>6</v>
      </c>
      <c r="H19" s="19"/>
    </row>
    <row r="20" spans="1:13" s="25" customFormat="1" ht="35.1" customHeight="1">
      <c r="B20" s="22" t="s">
        <v>110</v>
      </c>
      <c r="C20" s="23"/>
      <c r="D20" s="24"/>
      <c r="E20" s="24"/>
      <c r="F20" s="24"/>
      <c r="G20" s="24"/>
      <c r="H20" s="19"/>
    </row>
    <row r="21" spans="1:13" s="25" customFormat="1" ht="35.1" customHeight="1">
      <c r="C21" s="26" t="s">
        <v>51</v>
      </c>
      <c r="D21" s="41" t="s">
        <v>130</v>
      </c>
      <c r="E21" s="27" t="s">
        <v>87</v>
      </c>
      <c r="F21" s="28"/>
      <c r="G21" s="40">
        <v>6</v>
      </c>
      <c r="H21" s="19"/>
    </row>
    <row r="22" spans="1:13" s="25" customFormat="1" ht="35.1" customHeight="1">
      <c r="C22" s="26" t="s">
        <v>54</v>
      </c>
      <c r="D22" s="41" t="s">
        <v>131</v>
      </c>
      <c r="E22" s="29" t="s">
        <v>89</v>
      </c>
      <c r="F22" s="28"/>
      <c r="G22" s="40">
        <v>6</v>
      </c>
      <c r="H22" s="19"/>
    </row>
    <row r="23" spans="1:13" s="25" customFormat="1" ht="43.2">
      <c r="C23" s="36" t="s">
        <v>3</v>
      </c>
      <c r="D23" s="41" t="s">
        <v>132</v>
      </c>
      <c r="E23" s="37" t="s">
        <v>97</v>
      </c>
      <c r="F23" s="28"/>
      <c r="G23" s="40">
        <v>6</v>
      </c>
      <c r="H23" s="19"/>
    </row>
    <row r="24" spans="1:13" s="25" customFormat="1" ht="27.9" customHeight="1">
      <c r="C24" s="36" t="s">
        <v>111</v>
      </c>
      <c r="D24" s="42" t="s">
        <v>133</v>
      </c>
      <c r="E24" s="37" t="s">
        <v>155</v>
      </c>
      <c r="F24" s="28"/>
      <c r="G24" s="40">
        <v>5</v>
      </c>
      <c r="H24" s="19"/>
    </row>
    <row r="25" spans="1:13" s="25" customFormat="1" ht="33.9" customHeight="1">
      <c r="C25" s="36" t="s">
        <v>112</v>
      </c>
      <c r="D25" s="42" t="s">
        <v>134</v>
      </c>
      <c r="E25" s="37" t="s">
        <v>155</v>
      </c>
      <c r="F25" s="28"/>
      <c r="G25" s="40">
        <v>5</v>
      </c>
      <c r="H25" s="19"/>
    </row>
    <row r="26" spans="1:13" s="25" customFormat="1" ht="53.1" customHeight="1">
      <c r="B26" s="30" t="s">
        <v>48</v>
      </c>
      <c r="C26" s="30"/>
      <c r="D26" s="31" t="s">
        <v>55</v>
      </c>
      <c r="E26" s="31"/>
      <c r="F26" s="28"/>
      <c r="G26" s="40"/>
      <c r="H26" s="19"/>
    </row>
    <row r="27" spans="1:13" s="25" customFormat="1" ht="20.399999999999999">
      <c r="B27" s="22" t="s">
        <v>56</v>
      </c>
      <c r="C27" s="23"/>
      <c r="D27" s="24"/>
      <c r="E27" s="24"/>
      <c r="F27" s="24"/>
      <c r="G27" s="24"/>
      <c r="H27" s="19"/>
    </row>
    <row r="28" spans="1:13" s="25" customFormat="1" ht="28.8">
      <c r="A28" s="15"/>
      <c r="C28" s="26" t="s">
        <v>57</v>
      </c>
      <c r="D28" s="41" t="s">
        <v>135</v>
      </c>
      <c r="E28" s="27" t="s">
        <v>93</v>
      </c>
      <c r="F28" s="28" t="s">
        <v>58</v>
      </c>
      <c r="G28" s="40">
        <v>5</v>
      </c>
      <c r="H28" s="19"/>
    </row>
    <row r="29" spans="1:13" s="15" customFormat="1" ht="31.2">
      <c r="B29" s="25"/>
      <c r="C29" s="26" t="s">
        <v>59</v>
      </c>
      <c r="D29" s="41" t="s">
        <v>136</v>
      </c>
      <c r="E29" s="27" t="s">
        <v>100</v>
      </c>
      <c r="F29" s="28" t="s">
        <v>58</v>
      </c>
      <c r="G29" s="40">
        <v>5</v>
      </c>
      <c r="H29" s="19"/>
      <c r="I29" s="25"/>
      <c r="J29" s="25"/>
      <c r="K29" s="25"/>
      <c r="L29" s="25"/>
      <c r="M29" s="25"/>
    </row>
    <row r="30" spans="1:13" s="15" customFormat="1" ht="28.8">
      <c r="B30" s="25"/>
      <c r="C30" s="26" t="s">
        <v>60</v>
      </c>
      <c r="D30" s="41" t="s">
        <v>137</v>
      </c>
      <c r="E30" s="27" t="s">
        <v>92</v>
      </c>
      <c r="F30" s="28" t="s">
        <v>58</v>
      </c>
      <c r="G30" s="40">
        <v>5</v>
      </c>
      <c r="H30" s="19"/>
      <c r="I30" s="25"/>
      <c r="J30" s="25"/>
      <c r="K30" s="25"/>
      <c r="L30" s="25"/>
      <c r="M30" s="25"/>
    </row>
    <row r="31" spans="1:13" s="15" customFormat="1" ht="28.8">
      <c r="B31" s="25"/>
      <c r="C31" s="36" t="s">
        <v>113</v>
      </c>
      <c r="D31" s="41" t="s">
        <v>138</v>
      </c>
      <c r="E31" s="29" t="s">
        <v>153</v>
      </c>
      <c r="F31" s="28" t="s">
        <v>90</v>
      </c>
      <c r="G31" s="40">
        <v>5</v>
      </c>
      <c r="H31" s="19"/>
      <c r="I31" s="25"/>
      <c r="J31" s="25"/>
      <c r="K31" s="25"/>
      <c r="L31" s="25"/>
      <c r="M31" s="25"/>
    </row>
    <row r="32" spans="1:13" s="15" customFormat="1" ht="28.8">
      <c r="B32" s="25"/>
      <c r="C32" s="36" t="s">
        <v>114</v>
      </c>
      <c r="D32" s="41" t="s">
        <v>139</v>
      </c>
      <c r="E32" s="29" t="s">
        <v>154</v>
      </c>
      <c r="F32" s="28" t="s">
        <v>58</v>
      </c>
      <c r="G32" s="40">
        <v>5</v>
      </c>
      <c r="H32" s="19"/>
      <c r="I32" s="25"/>
      <c r="J32" s="25"/>
      <c r="K32" s="25"/>
      <c r="L32" s="25"/>
      <c r="M32" s="25"/>
    </row>
    <row r="33" spans="1:13" s="15" customFormat="1" ht="35.1" customHeight="1">
      <c r="B33" s="25"/>
      <c r="C33" s="36" t="s">
        <v>115</v>
      </c>
      <c r="D33" s="41" t="s">
        <v>140</v>
      </c>
      <c r="E33" s="29" t="s">
        <v>153</v>
      </c>
      <c r="F33" s="28"/>
      <c r="G33" s="40">
        <v>5</v>
      </c>
      <c r="H33" s="19"/>
      <c r="I33" s="25"/>
      <c r="J33" s="25"/>
      <c r="K33" s="25"/>
      <c r="L33" s="25"/>
      <c r="M33" s="25"/>
    </row>
    <row r="34" spans="1:13" s="15" customFormat="1" ht="28.8">
      <c r="B34" s="25"/>
      <c r="C34" s="36" t="s">
        <v>116</v>
      </c>
      <c r="D34" s="41" t="s">
        <v>141</v>
      </c>
      <c r="E34" s="29" t="s">
        <v>153</v>
      </c>
      <c r="F34" s="28"/>
      <c r="G34" s="40">
        <v>5</v>
      </c>
      <c r="H34" s="19"/>
      <c r="I34" s="25"/>
      <c r="J34" s="25"/>
      <c r="K34" s="25"/>
      <c r="L34" s="25"/>
      <c r="M34" s="25"/>
    </row>
    <row r="35" spans="1:13" s="15" customFormat="1" ht="28.8">
      <c r="A35" s="21"/>
      <c r="B35" s="25"/>
      <c r="C35" s="36" t="s">
        <v>117</v>
      </c>
      <c r="D35" s="41" t="s">
        <v>142</v>
      </c>
      <c r="E35" s="29" t="s">
        <v>153</v>
      </c>
      <c r="F35" s="28" t="s">
        <v>58</v>
      </c>
      <c r="G35" s="40">
        <v>5</v>
      </c>
      <c r="H35" s="19"/>
      <c r="I35" s="25"/>
      <c r="J35" s="25"/>
      <c r="K35" s="25"/>
      <c r="L35" s="25"/>
      <c r="M35" s="25"/>
    </row>
    <row r="36" spans="1:13" ht="59.1" customHeight="1">
      <c r="B36" s="30" t="s">
        <v>48</v>
      </c>
      <c r="C36" s="30"/>
      <c r="D36" s="31" t="s">
        <v>61</v>
      </c>
      <c r="E36" s="31"/>
      <c r="F36" s="28"/>
      <c r="G36" s="40"/>
      <c r="H36" s="19"/>
    </row>
    <row r="37" spans="1:13" ht="20.399999999999999">
      <c r="B37" s="22" t="s">
        <v>62</v>
      </c>
      <c r="C37" s="23"/>
      <c r="D37" s="24"/>
      <c r="E37" s="24"/>
      <c r="F37" s="24"/>
      <c r="G37" s="24"/>
      <c r="H37" s="19"/>
    </row>
    <row r="38" spans="1:13" ht="28.8">
      <c r="C38" s="26" t="s">
        <v>63</v>
      </c>
      <c r="D38" s="41" t="s">
        <v>144</v>
      </c>
      <c r="E38" s="27" t="s">
        <v>101</v>
      </c>
      <c r="F38" s="28" t="s">
        <v>119</v>
      </c>
      <c r="G38" s="40">
        <v>5</v>
      </c>
      <c r="H38" s="19"/>
    </row>
    <row r="39" spans="1:13" ht="28.8">
      <c r="C39" s="26" t="s">
        <v>64</v>
      </c>
      <c r="D39" s="41" t="s">
        <v>143</v>
      </c>
      <c r="E39" s="27" t="s">
        <v>94</v>
      </c>
      <c r="F39" s="28" t="s">
        <v>120</v>
      </c>
      <c r="G39" s="40">
        <v>5</v>
      </c>
      <c r="H39" s="19"/>
    </row>
    <row r="40" spans="1:13" ht="28.8">
      <c r="C40" s="36" t="s">
        <v>91</v>
      </c>
      <c r="D40" s="41" t="s">
        <v>148</v>
      </c>
      <c r="E40" s="37" t="s">
        <v>102</v>
      </c>
      <c r="F40" s="28" t="s">
        <v>65</v>
      </c>
      <c r="G40" s="40">
        <v>5</v>
      </c>
      <c r="H40" s="19"/>
    </row>
    <row r="41" spans="1:13" ht="28.8">
      <c r="C41" s="36" t="s">
        <v>118</v>
      </c>
      <c r="D41" s="41" t="s">
        <v>145</v>
      </c>
      <c r="E41" s="27" t="s">
        <v>101</v>
      </c>
      <c r="F41" s="28" t="s">
        <v>121</v>
      </c>
      <c r="G41" s="40">
        <v>5</v>
      </c>
      <c r="H41" s="19"/>
    </row>
    <row r="42" spans="1:13" ht="44.1" customHeight="1">
      <c r="A42" s="35"/>
      <c r="B42" s="30" t="s">
        <v>48</v>
      </c>
      <c r="C42" s="30"/>
      <c r="D42" s="31" t="s">
        <v>67</v>
      </c>
      <c r="E42" s="31"/>
      <c r="F42" s="28"/>
      <c r="G42" s="40"/>
      <c r="H42" s="19"/>
    </row>
    <row r="43" spans="1:13" s="35" customFormat="1" ht="20.399999999999999">
      <c r="A43" s="21"/>
      <c r="B43" s="22" t="s">
        <v>68</v>
      </c>
      <c r="C43" s="33"/>
      <c r="D43" s="34"/>
      <c r="E43" s="34"/>
      <c r="F43" s="34"/>
      <c r="G43" s="34"/>
      <c r="H43" s="19"/>
      <c r="I43" s="25"/>
      <c r="J43" s="25"/>
      <c r="K43" s="25"/>
      <c r="L43" s="25"/>
      <c r="M43" s="25"/>
    </row>
    <row r="44" spans="1:13" ht="28.8">
      <c r="C44" s="26" t="s">
        <v>70</v>
      </c>
      <c r="D44" s="41" t="s">
        <v>149</v>
      </c>
      <c r="E44" s="27" t="s">
        <v>96</v>
      </c>
      <c r="F44" s="28"/>
      <c r="G44" s="40">
        <v>6</v>
      </c>
      <c r="H44" s="19"/>
    </row>
    <row r="45" spans="1:13" ht="28.8">
      <c r="C45" s="26" t="s">
        <v>71</v>
      </c>
      <c r="D45" s="41" t="s">
        <v>150</v>
      </c>
      <c r="E45" s="27" t="s">
        <v>105</v>
      </c>
      <c r="F45" s="28"/>
      <c r="G45" s="40">
        <v>5</v>
      </c>
      <c r="H45" s="19"/>
    </row>
    <row r="46" spans="1:13" ht="28.8">
      <c r="C46" s="26" t="s">
        <v>146</v>
      </c>
      <c r="D46" s="41" t="s">
        <v>151</v>
      </c>
      <c r="E46" s="29" t="s">
        <v>95</v>
      </c>
      <c r="F46" s="28"/>
      <c r="G46" s="40">
        <v>6</v>
      </c>
      <c r="H46" s="19"/>
    </row>
    <row r="47" spans="1:13" ht="72">
      <c r="B47" s="30" t="s">
        <v>48</v>
      </c>
      <c r="C47" s="30"/>
      <c r="D47" s="31" t="s">
        <v>72</v>
      </c>
      <c r="E47" s="31"/>
      <c r="F47" s="28"/>
      <c r="G47" s="40"/>
      <c r="H47" s="19"/>
    </row>
    <row r="48" spans="1:13" ht="20.399999999999999">
      <c r="H48" s="19"/>
    </row>
    <row r="49" spans="8:8" ht="20.399999999999999">
      <c r="H49" s="19"/>
    </row>
    <row r="50" spans="8:8" ht="20.399999999999999">
      <c r="H50" s="19"/>
    </row>
    <row r="51" spans="8:8" ht="20.399999999999999">
      <c r="H51" s="19"/>
    </row>
    <row r="52" spans="8:8" ht="20.399999999999999">
      <c r="H52" s="19"/>
    </row>
    <row r="53" spans="8:8" ht="20.399999999999999">
      <c r="H53" s="19"/>
    </row>
    <row r="54" spans="8:8" ht="20.399999999999999">
      <c r="H54" s="19"/>
    </row>
    <row r="55" spans="8:8" ht="20.399999999999999">
      <c r="H55" s="19"/>
    </row>
    <row r="56" spans="8:8" ht="20.399999999999999">
      <c r="H56" s="19"/>
    </row>
    <row r="57" spans="8:8" ht="20.399999999999999">
      <c r="H57" s="19"/>
    </row>
    <row r="58" spans="8:8" ht="20.399999999999999">
      <c r="H58" s="19"/>
    </row>
    <row r="59" spans="8:8" ht="20.399999999999999">
      <c r="H59" s="19"/>
    </row>
    <row r="60" spans="8:8" ht="20.399999999999999">
      <c r="H60" s="19"/>
    </row>
    <row r="61" spans="8:8" ht="20.399999999999999">
      <c r="H61" s="19"/>
    </row>
    <row r="62" spans="8:8" ht="20.399999999999999">
      <c r="H62" s="19"/>
    </row>
    <row r="63" spans="8:8" ht="20.399999999999999">
      <c r="H63" s="19"/>
    </row>
    <row r="64" spans="8:8" ht="20.399999999999999">
      <c r="H64" s="19"/>
    </row>
    <row r="65" spans="8:8" ht="20.399999999999999">
      <c r="H65" s="19"/>
    </row>
    <row r="66" spans="8:8" ht="20.399999999999999">
      <c r="H66" s="19"/>
    </row>
    <row r="67" spans="8:8" ht="20.399999999999999">
      <c r="H67" s="19"/>
    </row>
    <row r="68" spans="8:8" ht="20.399999999999999">
      <c r="H68" s="19"/>
    </row>
    <row r="69" spans="8:8" ht="20.399999999999999">
      <c r="H69" s="19"/>
    </row>
    <row r="70" spans="8:8" ht="20.399999999999999">
      <c r="H70" s="19"/>
    </row>
    <row r="71" spans="8:8" ht="20.399999999999999">
      <c r="H71" s="19"/>
    </row>
    <row r="72" spans="8:8" ht="20.399999999999999">
      <c r="H72" s="19"/>
    </row>
  </sheetData>
  <mergeCells count="11">
    <mergeCell ref="B1:D2"/>
    <mergeCell ref="I7:K7"/>
    <mergeCell ref="J8:K8"/>
    <mergeCell ref="J9:K9"/>
    <mergeCell ref="J16:K16"/>
    <mergeCell ref="J10:K10"/>
    <mergeCell ref="J11:K11"/>
    <mergeCell ref="J12:K12"/>
    <mergeCell ref="J13:K13"/>
    <mergeCell ref="J14:K14"/>
    <mergeCell ref="J15:K15"/>
  </mergeCells>
  <phoneticPr fontId="5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"/>
  <sheetViews>
    <sheetView workbookViewId="0">
      <selection activeCell="B6" sqref="B6"/>
    </sheetView>
  </sheetViews>
  <sheetFormatPr defaultRowHeight="15.6"/>
  <cols>
    <col min="1" max="1" width="17.90625" style="43" bestFit="1" customWidth="1"/>
    <col min="2" max="2" width="35.26953125" style="43" customWidth="1"/>
    <col min="3" max="3" width="52.08984375" style="43" customWidth="1"/>
    <col min="4" max="4" width="16.08984375" style="43" bestFit="1" customWidth="1"/>
    <col min="5" max="5" width="9" style="43"/>
  </cols>
  <sheetData>
    <row r="1" spans="1:7">
      <c r="F1" t="s">
        <v>203</v>
      </c>
      <c r="G1" t="s">
        <v>204</v>
      </c>
    </row>
    <row r="2" spans="1:7" ht="31.2">
      <c r="A2" s="43" t="s">
        <v>46</v>
      </c>
      <c r="B2" s="43" t="s">
        <v>122</v>
      </c>
      <c r="C2" s="43" t="s">
        <v>165</v>
      </c>
      <c r="E2" s="43">
        <v>6</v>
      </c>
      <c r="F2">
        <v>0.15</v>
      </c>
      <c r="G2">
        <f>LOOKUP(F2,{-9999,0.03,0.07,0.09,0.11,0.13,0.15},{0,1,2,3,4,5,6})</f>
        <v>6</v>
      </c>
    </row>
    <row r="3" spans="1:7" ht="31.2">
      <c r="A3" s="43" t="s">
        <v>47</v>
      </c>
      <c r="B3" s="43" t="s">
        <v>123</v>
      </c>
      <c r="C3" s="43" t="s">
        <v>166</v>
      </c>
      <c r="E3" s="43">
        <v>5</v>
      </c>
      <c r="F3">
        <v>0.2</v>
      </c>
      <c r="G3">
        <f>LOOKUP(F3,{-9999,0.06,0.1,0.13,0.15,0.2},{0,1,2,3,4,5})</f>
        <v>5</v>
      </c>
    </row>
    <row r="4" spans="1:7" ht="31.2">
      <c r="A4" s="43" t="s">
        <v>107</v>
      </c>
      <c r="B4" s="43" t="s">
        <v>124</v>
      </c>
      <c r="C4" s="43" t="s">
        <v>166</v>
      </c>
      <c r="E4" s="43">
        <v>5</v>
      </c>
      <c r="F4">
        <v>0.2</v>
      </c>
      <c r="G4">
        <f>LOOKUP(F4,{-9999,0.06,0.1,0.13,0.15,0.2},{0,1,2,3,4,5})</f>
        <v>5</v>
      </c>
    </row>
    <row r="5" spans="1:7" ht="46.8">
      <c r="A5" s="43" t="s">
        <v>73</v>
      </c>
      <c r="B5" s="43" t="s">
        <v>167</v>
      </c>
      <c r="C5" s="43" t="s">
        <v>98</v>
      </c>
      <c r="E5" s="43">
        <v>10</v>
      </c>
      <c r="F5">
        <v>0.25</v>
      </c>
      <c r="G5">
        <f>LOOKUP(F5,{-9999,0.01,0.03,0.05,0.08,0.1,0.15,0.18,0.22,0.25,0.5},{0,1,2,3,4,5,6,7,8,10,0})</f>
        <v>10</v>
      </c>
    </row>
    <row r="6" spans="1:7" ht="31.2">
      <c r="A6" s="43" t="s">
        <v>66</v>
      </c>
      <c r="B6" s="43" t="s">
        <v>168</v>
      </c>
      <c r="C6" s="43" t="s">
        <v>103</v>
      </c>
      <c r="D6" s="43" t="s">
        <v>65</v>
      </c>
      <c r="E6" s="43">
        <v>6</v>
      </c>
      <c r="F6">
        <v>0.2</v>
      </c>
      <c r="G6">
        <f>LOOKUP(F6,{-9999,0.02,0.04,0.06,0.09,0.15,0.2,0.5},{0,1,2,3,4,5,6,0})</f>
        <v>6</v>
      </c>
    </row>
    <row r="7" spans="1:7" ht="46.8">
      <c r="A7" s="43" t="s">
        <v>52</v>
      </c>
      <c r="B7" s="43" t="s">
        <v>169</v>
      </c>
      <c r="C7" s="43" t="s">
        <v>170</v>
      </c>
      <c r="E7" s="43">
        <v>6</v>
      </c>
      <c r="F7">
        <v>2.1</v>
      </c>
      <c r="G7">
        <f>LOOKUP(F7,{-9999,0.5,1,1.3,1.8,2,2.2,2.5,3},{0,1,3,4,5,6,5,4,2})</f>
        <v>6</v>
      </c>
    </row>
    <row r="8" spans="1:7" ht="31.2">
      <c r="A8" s="43" t="s">
        <v>53</v>
      </c>
      <c r="B8" s="43" t="s">
        <v>171</v>
      </c>
      <c r="C8" s="43" t="s">
        <v>172</v>
      </c>
      <c r="E8" s="43">
        <v>6</v>
      </c>
      <c r="F8">
        <v>1</v>
      </c>
      <c r="G8">
        <f>LOOKUP(F8,{-9999,0.3,0.5,0.7,0.9,1.1,1.3},{0,1,2,4,6,5,3})</f>
        <v>6</v>
      </c>
    </row>
    <row r="9" spans="1:7" ht="31.2">
      <c r="A9" s="43" t="s">
        <v>69</v>
      </c>
      <c r="B9" s="43" t="s">
        <v>147</v>
      </c>
      <c r="C9" s="43" t="s">
        <v>173</v>
      </c>
      <c r="E9" s="43">
        <v>5</v>
      </c>
      <c r="F9">
        <v>0.13</v>
      </c>
      <c r="G9">
        <f>LOOKUP(F9,{-9999,0.03,0.07,0.09,0.11,0.13},{0,1,2,3,4,5})</f>
        <v>5</v>
      </c>
    </row>
    <row r="10" spans="1:7" ht="31.2">
      <c r="A10" s="43" t="s">
        <v>108</v>
      </c>
      <c r="B10" s="43" t="s">
        <v>174</v>
      </c>
      <c r="C10" s="43" t="s">
        <v>175</v>
      </c>
      <c r="D10" s="43" t="s">
        <v>205</v>
      </c>
      <c r="E10" s="43">
        <v>6</v>
      </c>
      <c r="F10">
        <v>5102</v>
      </c>
      <c r="G10">
        <f>LOOKUP(F10,{-999999,100,400,1000,2000,5000},{1,2,3,4,5,6})</f>
        <v>6</v>
      </c>
    </row>
    <row r="11" spans="1:7" ht="46.8">
      <c r="A11" s="43" t="s">
        <v>51</v>
      </c>
      <c r="B11" s="43" t="s">
        <v>176</v>
      </c>
      <c r="C11" s="43" t="s">
        <v>177</v>
      </c>
      <c r="E11" s="43">
        <v>6</v>
      </c>
      <c r="F11">
        <v>0.5</v>
      </c>
      <c r="G11">
        <f>LOOKUP(F11,{-9999,0.2,0.35,0.45,0.6,0.7,0.8,0.9,1},{3,4,5,6,4,3,2,1,0})</f>
        <v>6</v>
      </c>
    </row>
    <row r="12" spans="1:7" ht="31.2">
      <c r="A12" s="43" t="s">
        <v>54</v>
      </c>
      <c r="B12" s="43" t="s">
        <v>178</v>
      </c>
      <c r="C12" s="43" t="s">
        <v>179</v>
      </c>
      <c r="E12" s="43">
        <v>6</v>
      </c>
      <c r="F12">
        <v>2.2000000000000002</v>
      </c>
      <c r="G12">
        <f>LOOKUP(F12,{-9999,0.9,1.1,1.3,1.6,1.9,2.2},{-1,1,2,3,4,5,6})</f>
        <v>6</v>
      </c>
    </row>
    <row r="13" spans="1:7" ht="46.8">
      <c r="A13" s="43" t="s">
        <v>3</v>
      </c>
      <c r="B13" s="43" t="s">
        <v>132</v>
      </c>
      <c r="C13" s="43" t="s">
        <v>97</v>
      </c>
      <c r="E13" s="43">
        <v>6</v>
      </c>
      <c r="F13">
        <v>1.1000000000000001</v>
      </c>
      <c r="G13">
        <f>LOOKUP(F13,{-9999,0.5,0.8,0.9,1,1.2,1.4,1.6,1.8,2,2.2},{1,2,3,4,6,5,4,3,2,1,0})</f>
        <v>6</v>
      </c>
    </row>
    <row r="14" spans="1:7" ht="31.2">
      <c r="A14" s="43" t="s">
        <v>111</v>
      </c>
      <c r="B14" s="43" t="s">
        <v>133</v>
      </c>
      <c r="C14" s="43" t="s">
        <v>155</v>
      </c>
      <c r="E14" s="43">
        <v>5</v>
      </c>
      <c r="F14">
        <v>0.2</v>
      </c>
      <c r="G14">
        <f>LOOKUP(F14,{-9999,0.3,0.7,1,1.3,1.5},{5,4,3,2,1,0})</f>
        <v>5</v>
      </c>
    </row>
    <row r="15" spans="1:7" ht="31.2">
      <c r="A15" s="43" t="s">
        <v>112</v>
      </c>
      <c r="B15" s="43" t="s">
        <v>134</v>
      </c>
      <c r="C15" s="43" t="s">
        <v>155</v>
      </c>
      <c r="E15" s="43">
        <v>5</v>
      </c>
      <c r="F15">
        <v>0.2</v>
      </c>
      <c r="G15">
        <f>LOOKUP(F15,{-9999,0.3,0.7,1,1.3,1.5},{5,4,3,2,1,0})</f>
        <v>5</v>
      </c>
    </row>
    <row r="16" spans="1:7" ht="31.2">
      <c r="A16" s="43" t="s">
        <v>57</v>
      </c>
      <c r="B16" s="43" t="s">
        <v>180</v>
      </c>
      <c r="C16" s="43" t="s">
        <v>93</v>
      </c>
      <c r="D16" s="43" t="s">
        <v>58</v>
      </c>
      <c r="E16" s="43">
        <v>5</v>
      </c>
      <c r="F16">
        <v>49</v>
      </c>
      <c r="G16">
        <f>LOOKUP(F16,{-9999,3,6,8,10,15,50},{0,1,2,3,4,5,0})</f>
        <v>5</v>
      </c>
    </row>
    <row r="17" spans="1:7" ht="46.8">
      <c r="A17" s="43" t="s">
        <v>59</v>
      </c>
      <c r="B17" s="43" t="s">
        <v>181</v>
      </c>
      <c r="C17" s="43" t="s">
        <v>100</v>
      </c>
      <c r="D17" s="43" t="s">
        <v>58</v>
      </c>
      <c r="E17" s="43">
        <v>5</v>
      </c>
      <c r="F17">
        <v>4</v>
      </c>
      <c r="G17">
        <f>LOOKUP(F17,{-9999,2,2.5,4,8,15,22},{0,1,2,5,3,4,2})</f>
        <v>5</v>
      </c>
    </row>
    <row r="18" spans="1:7" ht="31.2">
      <c r="A18" s="43" t="s">
        <v>60</v>
      </c>
      <c r="B18" s="43" t="s">
        <v>182</v>
      </c>
      <c r="C18" s="43" t="s">
        <v>92</v>
      </c>
      <c r="D18" s="43" t="s">
        <v>58</v>
      </c>
      <c r="E18" s="43">
        <v>5</v>
      </c>
      <c r="F18">
        <v>2.9</v>
      </c>
      <c r="G18">
        <f>LOOKUP(F18,{-9999,0.6,0.8,1,1.2,1.5,3},{0,1,2,3,4,5,0})</f>
        <v>5</v>
      </c>
    </row>
    <row r="19" spans="1:7" ht="46.8">
      <c r="A19" s="43" t="s">
        <v>113</v>
      </c>
      <c r="B19" s="43" t="s">
        <v>183</v>
      </c>
      <c r="C19" s="43" t="s">
        <v>153</v>
      </c>
      <c r="D19" s="43" t="s">
        <v>90</v>
      </c>
      <c r="E19" s="43">
        <v>5</v>
      </c>
      <c r="F19">
        <v>2.2000000000000002</v>
      </c>
      <c r="G19">
        <f>LOOKUP(F19,{-9999,0.3,0.6,1.1,1.8,2.2},{0,1,2,3,4,5})</f>
        <v>5</v>
      </c>
    </row>
    <row r="20" spans="1:7" ht="31.2">
      <c r="A20" s="43" t="s">
        <v>114</v>
      </c>
      <c r="B20" s="43" t="s">
        <v>184</v>
      </c>
      <c r="C20" s="43" t="s">
        <v>154</v>
      </c>
      <c r="D20" s="43" t="s">
        <v>58</v>
      </c>
      <c r="E20" s="43">
        <v>5</v>
      </c>
      <c r="F20">
        <v>2</v>
      </c>
      <c r="G20">
        <f>LOOKUP(F20,{-9999,0.1,0.3,0.8,1.5,2},{0,1,2,3,4,5})</f>
        <v>5</v>
      </c>
    </row>
    <row r="21" spans="1:7" ht="31.2">
      <c r="A21" s="43" t="s">
        <v>185</v>
      </c>
      <c r="B21" s="43" t="s">
        <v>186</v>
      </c>
      <c r="C21" s="43" t="s">
        <v>153</v>
      </c>
      <c r="E21" s="43">
        <v>5</v>
      </c>
      <c r="F21">
        <v>2.2000000000000002</v>
      </c>
      <c r="G21">
        <f>LOOKUP(F21,{-9999,0.3,0.6,1.1,1.8,2.2},{0,1,2,3,4,5})</f>
        <v>5</v>
      </c>
    </row>
    <row r="22" spans="1:7" ht="31.2">
      <c r="A22" s="43" t="s">
        <v>187</v>
      </c>
      <c r="B22" s="43" t="s">
        <v>188</v>
      </c>
      <c r="C22" s="43" t="s">
        <v>153</v>
      </c>
      <c r="E22" s="43">
        <v>5</v>
      </c>
      <c r="F22">
        <v>2.2000000000000002</v>
      </c>
      <c r="G22">
        <f>LOOKUP(F22,{-9999,0.3,0.6,1.1,1.8,2.2},{0,1,2,3,4,5})</f>
        <v>5</v>
      </c>
    </row>
    <row r="23" spans="1:7" ht="31.2">
      <c r="A23" s="43" t="s">
        <v>189</v>
      </c>
      <c r="B23" s="43" t="s">
        <v>190</v>
      </c>
      <c r="C23" s="43" t="s">
        <v>153</v>
      </c>
      <c r="D23" s="43" t="s">
        <v>58</v>
      </c>
      <c r="E23" s="43">
        <v>5</v>
      </c>
      <c r="F23">
        <v>2.2000000000000002</v>
      </c>
      <c r="G23">
        <f>LOOKUP(F23,{-9999,0.3,0.6,1.1,1.8,2.2},{0,1,2,3,4,5})</f>
        <v>5</v>
      </c>
    </row>
    <row r="24" spans="1:7" ht="31.2">
      <c r="A24" s="43" t="s">
        <v>63</v>
      </c>
      <c r="B24" s="43" t="s">
        <v>144</v>
      </c>
      <c r="C24" s="43" t="s">
        <v>191</v>
      </c>
      <c r="D24" s="43" t="s">
        <v>119</v>
      </c>
      <c r="E24" s="43">
        <v>5</v>
      </c>
      <c r="F24">
        <v>0.1</v>
      </c>
      <c r="G24">
        <f>LOOKUP(F24,{-9999,0,0.01,0.03,0.06,0.1},{-1,1,2,3,4,5})</f>
        <v>5</v>
      </c>
    </row>
    <row r="25" spans="1:7" ht="31.2">
      <c r="A25" s="43" t="s">
        <v>64</v>
      </c>
      <c r="B25" s="43" t="s">
        <v>143</v>
      </c>
      <c r="C25" s="43" t="s">
        <v>94</v>
      </c>
      <c r="D25" s="43" t="s">
        <v>120</v>
      </c>
      <c r="E25" s="43">
        <v>5</v>
      </c>
      <c r="F25">
        <v>0.06</v>
      </c>
      <c r="G25">
        <f>LOOKUP(F25,{-9999,-0.03,0,0.01,0.04,0.06},{0,1,2,3,4,5})</f>
        <v>5</v>
      </c>
    </row>
    <row r="26" spans="1:7" ht="31.2">
      <c r="A26" s="43" t="s">
        <v>192</v>
      </c>
      <c r="B26" s="43" t="s">
        <v>193</v>
      </c>
      <c r="C26" s="43" t="s">
        <v>194</v>
      </c>
      <c r="D26" s="43" t="s">
        <v>65</v>
      </c>
      <c r="E26" s="43">
        <v>5</v>
      </c>
      <c r="F26">
        <v>1.5</v>
      </c>
      <c r="G26">
        <f>LOOKUP(F26,{-9999,0.3,0.5,0.7,0.9,1.5,2.5},{0,1,2,3,4,5,3})</f>
        <v>5</v>
      </c>
    </row>
    <row r="27" spans="1:7" ht="31.2">
      <c r="A27" s="43" t="s">
        <v>195</v>
      </c>
      <c r="B27" s="43" t="s">
        <v>145</v>
      </c>
      <c r="C27" s="43" t="s">
        <v>191</v>
      </c>
      <c r="D27" s="43" t="s">
        <v>121</v>
      </c>
      <c r="E27" s="43">
        <v>5</v>
      </c>
      <c r="F27">
        <v>0.1</v>
      </c>
      <c r="G27">
        <f>LOOKUP(F27,{-9999,0,0.01,0.03,0.06,0.1},{-1,1,2,3,4,5})</f>
        <v>5</v>
      </c>
    </row>
    <row r="28" spans="1:7" ht="31.2">
      <c r="A28" s="43" t="s">
        <v>70</v>
      </c>
      <c r="B28" s="43" t="s">
        <v>196</v>
      </c>
      <c r="C28" s="43" t="s">
        <v>197</v>
      </c>
      <c r="E28" s="43">
        <v>6</v>
      </c>
      <c r="F28">
        <v>0.25</v>
      </c>
      <c r="G28">
        <f>LOOKUP(F28,{-9999,0.06,0.08,0.12,0.15,0.18,0.25},{0,1,2,3,4,5,6})</f>
        <v>6</v>
      </c>
    </row>
    <row r="29" spans="1:7" ht="31.2">
      <c r="A29" s="43" t="s">
        <v>71</v>
      </c>
      <c r="B29" s="43" t="s">
        <v>198</v>
      </c>
      <c r="C29" s="43" t="s">
        <v>199</v>
      </c>
      <c r="E29" s="43">
        <v>5</v>
      </c>
      <c r="F29">
        <v>0.22</v>
      </c>
      <c r="G29">
        <f>LOOKUP(F29,{-9999,0.05,0.08,0.12,0.18,0.22},{0,1,2,3,4,5})</f>
        <v>5</v>
      </c>
    </row>
    <row r="30" spans="1:7" ht="31.2">
      <c r="A30" s="43" t="s">
        <v>200</v>
      </c>
      <c r="B30" s="43" t="s">
        <v>201</v>
      </c>
      <c r="C30" s="43" t="s">
        <v>202</v>
      </c>
      <c r="E30" s="43">
        <v>6</v>
      </c>
      <c r="F30">
        <v>0.25</v>
      </c>
      <c r="G30">
        <f>LOOKUP(F30,{-9999,0.05,0.08,0.12,0.15,0.18,0.25},{0,1,2,3,4,5,6})</f>
        <v>6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0"/>
  <sheetViews>
    <sheetView topLeftCell="A13" workbookViewId="0">
      <selection activeCell="I28" sqref="I28:I30"/>
    </sheetView>
  </sheetViews>
  <sheetFormatPr defaultRowHeight="15.6"/>
  <cols>
    <col min="1" max="1" width="20.453125" style="44" bestFit="1" customWidth="1"/>
    <col min="2" max="6" width="9" style="44"/>
    <col min="7" max="7" width="35.90625" style="44" customWidth="1"/>
    <col min="8" max="8" width="10" bestFit="1" customWidth="1"/>
  </cols>
  <sheetData>
    <row r="1" spans="1:9">
      <c r="A1" s="44" t="s">
        <v>206</v>
      </c>
      <c r="B1" s="44">
        <v>12</v>
      </c>
    </row>
    <row r="2" spans="1:9">
      <c r="B2" s="44" t="s">
        <v>207</v>
      </c>
      <c r="C2" s="44" t="s">
        <v>208</v>
      </c>
      <c r="G2" s="44" t="s">
        <v>46</v>
      </c>
      <c r="H2" s="48">
        <f>C28/C21</f>
        <v>8.8276994254160135E-2</v>
      </c>
      <c r="I2">
        <f>LOOKUP(H2,{-9999,0.03,0.07,0.09,0.11,0.13,0.15},{0,1,2,3,4,5,6})</f>
        <v>2</v>
      </c>
    </row>
    <row r="3" spans="1:9">
      <c r="A3" s="44" t="s">
        <v>211</v>
      </c>
      <c r="B3" s="44">
        <v>324</v>
      </c>
      <c r="C3" s="44">
        <v>342</v>
      </c>
      <c r="G3" s="44" t="s">
        <v>47</v>
      </c>
      <c r="H3" s="48">
        <f>C23/C21</f>
        <v>0.16957689724647415</v>
      </c>
      <c r="I3">
        <f>LOOKUP(H3,{-9999,0.06,0.1,0.13,0.15,0.2},{0,1,2,3,4,5})</f>
        <v>4</v>
      </c>
    </row>
    <row r="4" spans="1:9">
      <c r="A4" s="44" t="s">
        <v>216</v>
      </c>
      <c r="G4" s="44" t="s">
        <v>107</v>
      </c>
      <c r="H4" s="48">
        <f>C27/C21</f>
        <v>0.11771509588836654</v>
      </c>
      <c r="I4">
        <f>LOOKUP(H4,{-9999,0.06,0.1,0.13,0.15,0.2},{0,1,2,3,4,5})</f>
        <v>2</v>
      </c>
    </row>
    <row r="5" spans="1:9">
      <c r="A5" s="44" t="s">
        <v>214</v>
      </c>
      <c r="B5" s="44">
        <v>163</v>
      </c>
      <c r="C5" s="44">
        <v>512</v>
      </c>
      <c r="G5" s="44" t="s">
        <v>73</v>
      </c>
      <c r="H5" s="48">
        <f>C28/(B19+C19)*2</f>
        <v>0.22767513471901463</v>
      </c>
      <c r="I5">
        <f>LOOKUP(H5,{-9999,0.01,0.03,0.05,0.08,0.1,0.15,0.18,0.22,0.25,0.5},{0,1,2,3,4,5,6,7,8,10,0})</f>
        <v>8</v>
      </c>
    </row>
    <row r="6" spans="1:9">
      <c r="A6" s="44" t="s">
        <v>215</v>
      </c>
      <c r="G6" s="44" t="s">
        <v>66</v>
      </c>
      <c r="H6" s="48">
        <f>(C27+C26)/(B12+C12)*2</f>
        <v>0.2087763871898623</v>
      </c>
      <c r="I6">
        <f>LOOKUP(H6,{-9999,0.02,0.04,0.06,0.09,0.15,0.2,0.5},{0,1,2,3,4,5,6,0})</f>
        <v>6</v>
      </c>
    </row>
    <row r="7" spans="1:9">
      <c r="A7" s="44" t="s">
        <v>231</v>
      </c>
      <c r="B7" s="44">
        <v>0</v>
      </c>
      <c r="C7" s="44">
        <v>459</v>
      </c>
      <c r="G7" s="44" t="s">
        <v>52</v>
      </c>
      <c r="H7" s="48">
        <f>C10/C17</f>
        <v>4.153645833333333</v>
      </c>
      <c r="I7">
        <f>LOOKUP(H7,{-9999,0.5,1,1.3,1.8,2,2.2,2.5,3},{0,1,3,4,5,6,5,4,2})</f>
        <v>2</v>
      </c>
    </row>
    <row r="8" spans="1:9">
      <c r="A8" s="44" t="s">
        <v>232</v>
      </c>
      <c r="B8" s="44">
        <v>543</v>
      </c>
      <c r="C8" s="44">
        <v>1017</v>
      </c>
      <c r="G8" s="44" t="s">
        <v>53</v>
      </c>
      <c r="H8" s="48">
        <f>(C10-C9)/C17</f>
        <v>2.0225694444444446</v>
      </c>
      <c r="I8">
        <f>LOOKUP(H8,{-9999,0.3,0.5,0.7,0.9,1.1,1.3},{0,1,2,4,6,5,3})</f>
        <v>3</v>
      </c>
    </row>
    <row r="9" spans="1:9">
      <c r="A9" s="44" t="s">
        <v>212</v>
      </c>
      <c r="B9" s="44">
        <v>2026</v>
      </c>
      <c r="C9" s="44">
        <v>2455</v>
      </c>
      <c r="G9" s="44" t="s">
        <v>69</v>
      </c>
      <c r="H9" s="48">
        <f>C3/C17</f>
        <v>0.296875</v>
      </c>
      <c r="I9">
        <f>LOOKUP(H9,{-9999,0.03,0.07,0.09,0.11,0.13},{0,1,2,3,4,5})</f>
        <v>5</v>
      </c>
    </row>
    <row r="10" spans="1:9">
      <c r="A10" s="44" t="s">
        <v>218</v>
      </c>
      <c r="B10" s="45">
        <f>SUM(B3:B9)</f>
        <v>3056</v>
      </c>
      <c r="C10" s="45">
        <f>SUM(C3:C9)</f>
        <v>4785</v>
      </c>
      <c r="G10" s="44" t="s">
        <v>108</v>
      </c>
      <c r="H10">
        <f>C10-C17</f>
        <v>3633</v>
      </c>
      <c r="I10">
        <f>LOOKUP(H10,{-999999,100,400,1000,2000,5000},{1,2,3,4,5,6})</f>
        <v>5</v>
      </c>
    </row>
    <row r="11" spans="1:9">
      <c r="A11" s="44" t="s">
        <v>217</v>
      </c>
      <c r="B11" s="44">
        <v>10151</v>
      </c>
      <c r="C11" s="44">
        <v>9220</v>
      </c>
      <c r="G11" s="44" t="s">
        <v>51</v>
      </c>
      <c r="H11" s="48">
        <f>C18/C12</f>
        <v>0.36304581144438797</v>
      </c>
      <c r="I11">
        <f>LOOKUP(H11,{-9999,0.2,0.35,0.45,0.6,0.7,0.8,0.9,1},{3,4,5,6,4,3,2,1,0})</f>
        <v>5</v>
      </c>
    </row>
    <row r="12" spans="1:9">
      <c r="A12" s="44" t="s">
        <v>209</v>
      </c>
      <c r="B12" s="44">
        <v>14178</v>
      </c>
      <c r="C12" s="44">
        <v>17703</v>
      </c>
      <c r="G12" s="44" t="s">
        <v>54</v>
      </c>
      <c r="H12" s="48">
        <f>(C27+C26)/C26</f>
        <v>19.23699421965318</v>
      </c>
      <c r="I12">
        <f>LOOKUP(H12,{-9999,0.9,1.1,1.3,1.6,1.9,2.2},{-1,1,2,3,4,5,6})</f>
        <v>6</v>
      </c>
    </row>
    <row r="13" spans="1:9">
      <c r="A13" s="44" t="s">
        <v>229</v>
      </c>
      <c r="B13" s="44">
        <v>2910</v>
      </c>
      <c r="C13" s="44">
        <v>567</v>
      </c>
      <c r="G13" s="44" t="s">
        <v>3</v>
      </c>
      <c r="H13" s="48">
        <f>1/(1-C18/C12)</f>
        <v>1.569971621142249</v>
      </c>
      <c r="I13">
        <f>LOOKUP(H13,{-9999,0.5,0.8,0.9,1,1.2,1.4,1.6,1.8,2,2.2},{1,2,3,4,6,5,4,3,2,1,0})</f>
        <v>4</v>
      </c>
    </row>
    <row r="14" spans="1:9">
      <c r="A14" s="44" t="s">
        <v>227</v>
      </c>
      <c r="G14" s="44" t="s">
        <v>111</v>
      </c>
      <c r="H14" s="48">
        <f>C18/C19</f>
        <v>0.57002217294900226</v>
      </c>
      <c r="I14">
        <f>LOOKUP(H14,{-9999,0.3,0.7,1,1.3,1.5},{5,4,3,2,1,0})</f>
        <v>4</v>
      </c>
    </row>
    <row r="15" spans="1:9">
      <c r="A15" s="44" t="s">
        <v>228</v>
      </c>
      <c r="G15" s="44" t="s">
        <v>112</v>
      </c>
      <c r="H15" s="48">
        <f>C18/(C10+C11)</f>
        <v>0.45890753302392001</v>
      </c>
      <c r="I15">
        <f>LOOKUP(H15,{-9999,0.3,0.7,1,1.3,1.5},{5,4,3,2,1,0})</f>
        <v>4</v>
      </c>
    </row>
    <row r="16" spans="1:9">
      <c r="A16" s="44" t="s">
        <v>233</v>
      </c>
      <c r="B16" s="44">
        <v>5</v>
      </c>
      <c r="C16" s="44">
        <v>501</v>
      </c>
      <c r="G16" s="44" t="s">
        <v>57</v>
      </c>
      <c r="H16" s="48">
        <f>C22/(B9+C9)*2</f>
        <v>9.9290336978353047</v>
      </c>
      <c r="I16">
        <f>LOOKUP(H16,{-9999,3,6,8,10,15,50},{0,1,2,3,4,5,0})</f>
        <v>3</v>
      </c>
    </row>
    <row r="17" spans="1:9">
      <c r="A17" s="44" t="s">
        <v>230</v>
      </c>
      <c r="B17" s="46">
        <v>2952</v>
      </c>
      <c r="C17" s="46">
        <v>1152</v>
      </c>
      <c r="G17" s="44" t="s">
        <v>59</v>
      </c>
      <c r="H17" s="48">
        <f>C21/(B5+B6+C5+C6)*2</f>
        <v>79.413333333333327</v>
      </c>
      <c r="I17">
        <f>LOOKUP(H17,{-9999,2,2.5,4,8,15,22},{0,1,2,5,3,4,2})</f>
        <v>2</v>
      </c>
    </row>
    <row r="18" spans="1:9">
      <c r="A18" s="44" t="s">
        <v>210</v>
      </c>
      <c r="B18" s="46">
        <v>4668</v>
      </c>
      <c r="C18" s="46">
        <v>6427</v>
      </c>
      <c r="G18" s="44" t="s">
        <v>60</v>
      </c>
      <c r="H18" s="48">
        <f>C21/(B12+C12)*2</f>
        <v>1.6813776230356638</v>
      </c>
      <c r="I18">
        <f>LOOKUP(H18,{-9999,0.6,0.8,1,1.2,1.5,3},{0,1,2,3,4,5,0})</f>
        <v>5</v>
      </c>
    </row>
    <row r="19" spans="1:9">
      <c r="A19" s="44" t="s">
        <v>213</v>
      </c>
      <c r="B19" s="46">
        <v>9509</v>
      </c>
      <c r="C19" s="46">
        <v>11275</v>
      </c>
      <c r="G19" s="44" t="s">
        <v>113</v>
      </c>
      <c r="H19" s="48">
        <f>C21/(B10+C10)*2</f>
        <v>6.8363729116184162</v>
      </c>
      <c r="I19">
        <f>LOOKUP(H19,{-9999,0.3,0.6,1.1,1.8,2.2},{0,1,2,3,4,5})</f>
        <v>5</v>
      </c>
    </row>
    <row r="20" spans="1:9">
      <c r="B20" s="44" t="s">
        <v>219</v>
      </c>
      <c r="C20" s="44" t="s">
        <v>220</v>
      </c>
      <c r="G20" s="44" t="s">
        <v>114</v>
      </c>
      <c r="H20" s="48">
        <f>C21/(B11+C11)*2</f>
        <v>2.7672293634814928</v>
      </c>
      <c r="I20">
        <f>LOOKUP(H20,{-9999,0.1,0.3,0.8,1.5,2},{0,1,2,3,4,5})</f>
        <v>5</v>
      </c>
    </row>
    <row r="21" spans="1:9">
      <c r="A21" s="44" t="s">
        <v>221</v>
      </c>
      <c r="B21" s="44">
        <v>22929</v>
      </c>
      <c r="C21" s="44">
        <v>26802</v>
      </c>
      <c r="G21" s="44" t="s">
        <v>185</v>
      </c>
      <c r="H21">
        <f>IFERROR(C21/(B14+C14)*2,0)</f>
        <v>0</v>
      </c>
      <c r="I21">
        <f>LOOKUP(H21,{-9999,0.3,0.6,1.1,1.8,2.2},{0,1,2,3,4,5})</f>
        <v>0</v>
      </c>
    </row>
    <row r="22" spans="1:9">
      <c r="A22" s="44" t="s">
        <v>222</v>
      </c>
      <c r="B22" s="44">
        <v>19022</v>
      </c>
      <c r="C22" s="44">
        <v>22246</v>
      </c>
      <c r="G22" s="44" t="s">
        <v>187</v>
      </c>
      <c r="H22" s="48">
        <f>C21/(B7+C7)*2</f>
        <v>116.78431372549019</v>
      </c>
      <c r="I22">
        <f>LOOKUP(H22,{-9999,0.3,0.6,1.1,1.8,2.2},{0,1,2,3,4,5})</f>
        <v>5</v>
      </c>
    </row>
    <row r="23" spans="1:9">
      <c r="A23" s="44" t="s">
        <v>234</v>
      </c>
      <c r="B23" s="44">
        <v>3818</v>
      </c>
      <c r="C23" s="44">
        <v>4545</v>
      </c>
      <c r="G23" s="44" t="s">
        <v>189</v>
      </c>
      <c r="H23">
        <f>IFERROR(C21/(B15+C15)*2,0)</f>
        <v>0</v>
      </c>
      <c r="I23">
        <f>LOOKUP(H23,{-9999,0.3,0.6,1.1,1.8,2.2},{0,1,2,3,4,5})</f>
        <v>0</v>
      </c>
    </row>
    <row r="24" spans="1:9">
      <c r="A24" s="44" t="s">
        <v>223</v>
      </c>
      <c r="B24" s="44">
        <v>1083</v>
      </c>
      <c r="C24" s="44">
        <v>956</v>
      </c>
      <c r="G24" s="44" t="s">
        <v>63</v>
      </c>
      <c r="H24" s="48">
        <f>C21/B1*12/B21-1</f>
        <v>0.16891273060316636</v>
      </c>
      <c r="I24">
        <f>LOOKUP(H24,{-9999,0,0.01,0.03,0.06,0.1},{-1,1,2,3,4,5})</f>
        <v>5</v>
      </c>
    </row>
    <row r="25" spans="1:9">
      <c r="A25" s="44" t="s">
        <v>224</v>
      </c>
      <c r="B25" s="44">
        <v>242</v>
      </c>
      <c r="C25" s="44">
        <v>335</v>
      </c>
      <c r="G25" s="44" t="s">
        <v>64</v>
      </c>
      <c r="H25" s="48">
        <f>C28/B1*12/B28-1</f>
        <v>0.30501930501930508</v>
      </c>
      <c r="I25">
        <f>LOOKUP(H25,{-9999,-0.03,0,0.01,0.04,0.06},{0,1,2,3,4,5})</f>
        <v>5</v>
      </c>
    </row>
    <row r="26" spans="1:9">
      <c r="A26" s="44" t="s">
        <v>225</v>
      </c>
      <c r="B26" s="44">
        <v>206</v>
      </c>
      <c r="C26" s="44">
        <v>173</v>
      </c>
      <c r="G26" s="44" t="s">
        <v>192</v>
      </c>
      <c r="H26" s="48">
        <f>C29/C21</f>
        <v>8.9582866950227588E-2</v>
      </c>
      <c r="I26">
        <f>LOOKUP(H26,{-9999,0.3,0.5,0.7,0.9,1.5,2.5},{0,1,2,3,4,5,3})</f>
        <v>0</v>
      </c>
    </row>
    <row r="27" spans="1:9">
      <c r="A27" s="44" t="s">
        <v>236</v>
      </c>
      <c r="B27" s="44">
        <v>2418</v>
      </c>
      <c r="C27" s="44">
        <v>3155</v>
      </c>
      <c r="G27" s="44" t="s">
        <v>195</v>
      </c>
      <c r="H27" s="48">
        <f>C12/B12-1</f>
        <v>0.24862462970799837</v>
      </c>
      <c r="I27">
        <f>LOOKUP(H27,{-9999,0,0.01,0.03,0.06,0.1},{-1,1,2,3,4,5})</f>
        <v>5</v>
      </c>
    </row>
    <row r="28" spans="1:9">
      <c r="A28" s="44" t="s">
        <v>235</v>
      </c>
      <c r="B28" s="44">
        <v>1813</v>
      </c>
      <c r="C28" s="44">
        <v>2366</v>
      </c>
      <c r="G28" s="44" t="s">
        <v>70</v>
      </c>
      <c r="H28" s="48">
        <f>C29/C17</f>
        <v>2.0842013888888888</v>
      </c>
      <c r="I28">
        <f>LOOKUP(H28,{-9999,0.06,0.08,0.12,0.15,0.18,0.25},{0,1,2,3,4,5,6})</f>
        <v>6</v>
      </c>
    </row>
    <row r="29" spans="1:9">
      <c r="A29" s="44" t="s">
        <v>226</v>
      </c>
      <c r="B29" s="47"/>
      <c r="C29" s="44">
        <v>2401</v>
      </c>
      <c r="G29" s="44" t="s">
        <v>71</v>
      </c>
      <c r="H29" s="48">
        <f>C29/C18</f>
        <v>0.37358020849541002</v>
      </c>
      <c r="I29">
        <f>LOOKUP(H29,{-9999,0.05,0.08,0.12,0.18,0.22},{0,1,2,3,4,5})</f>
        <v>5</v>
      </c>
    </row>
    <row r="30" spans="1:9">
      <c r="G30" s="44" t="s">
        <v>200</v>
      </c>
      <c r="H30" s="48">
        <f>C29/C26</f>
        <v>13.878612716763005</v>
      </c>
      <c r="I30">
        <f>LOOKUP(H30,{-9999,0.05,0.08,0.12,0.15,0.18,0.25},{0,1,2,3,4,5,6})</f>
        <v>6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0"/>
  <sheetViews>
    <sheetView tabSelected="1" workbookViewId="0">
      <selection activeCell="H6" sqref="H6"/>
    </sheetView>
  </sheetViews>
  <sheetFormatPr defaultRowHeight="15.6"/>
  <cols>
    <col min="1" max="1" width="20.453125" style="44" bestFit="1" customWidth="1"/>
    <col min="2" max="2" width="12.7265625" style="44" customWidth="1"/>
    <col min="3" max="3" width="11.36328125" style="44" customWidth="1"/>
    <col min="4" max="4" width="11.6328125" style="44" bestFit="1" customWidth="1"/>
    <col min="5" max="6" width="9" style="44"/>
    <col min="7" max="7" width="35.90625" style="44" customWidth="1"/>
    <col min="8" max="8" width="10" bestFit="1" customWidth="1"/>
  </cols>
  <sheetData>
    <row r="1" spans="1:13">
      <c r="A1" s="44" t="s">
        <v>206</v>
      </c>
      <c r="B1" s="44">
        <v>12</v>
      </c>
    </row>
    <row r="2" spans="1:13">
      <c r="B2" s="44" t="s">
        <v>207</v>
      </c>
      <c r="C2" s="44" t="s">
        <v>208</v>
      </c>
      <c r="G2" s="44" t="s">
        <v>46</v>
      </c>
      <c r="H2" s="48">
        <f>C28/C21</f>
        <v>6.2399113402558604E-2</v>
      </c>
      <c r="I2">
        <f>LOOKUP(H2,{-9999,0.03,0.07,0.09,0.11,0.13,0.15},{0,1,2,3,4,5,6})</f>
        <v>1</v>
      </c>
    </row>
    <row r="3" spans="1:13">
      <c r="A3" s="44" t="s">
        <v>211</v>
      </c>
      <c r="B3" s="44">
        <v>180</v>
      </c>
      <c r="C3" s="44">
        <v>532</v>
      </c>
      <c r="G3" s="44" t="s">
        <v>47</v>
      </c>
      <c r="H3" s="48">
        <f>C23/C21</f>
        <v>0.35695183944876768</v>
      </c>
      <c r="I3">
        <f>LOOKUP(H3,{-9999,0.06,0.1,0.13,0.15,0.2},{0,1,2,3,4,5})</f>
        <v>5</v>
      </c>
    </row>
    <row r="4" spans="1:13">
      <c r="A4" s="44" t="s">
        <v>216</v>
      </c>
      <c r="G4" s="44" t="s">
        <v>107</v>
      </c>
      <c r="H4" s="48">
        <f>C27/C21</f>
        <v>6.7386224010407877E-2</v>
      </c>
      <c r="I4">
        <f>LOOKUP(H4,{-9999,0.06,0.1,0.13,0.15,0.2},{0,1,2,3,4,5})</f>
        <v>1</v>
      </c>
    </row>
    <row r="5" spans="1:13">
      <c r="A5" s="44" t="s">
        <v>214</v>
      </c>
      <c r="B5" s="44">
        <v>2248</v>
      </c>
      <c r="C5" s="44">
        <v>1705</v>
      </c>
      <c r="G5" s="44" t="s">
        <v>73</v>
      </c>
      <c r="H5" s="48">
        <f>C28/((B19+C19)/2)</f>
        <v>0.30039434006031085</v>
      </c>
      <c r="I5">
        <f>LOOKUP(H5,{-9999,0.01,0.03,0.05,0.08,0.1,0.15,0.18,0.22,0.25,0.5},{0,1,2,3,4,5,6,7,8,10,0})</f>
        <v>10</v>
      </c>
    </row>
    <row r="6" spans="1:13">
      <c r="A6" s="44" t="s">
        <v>215</v>
      </c>
      <c r="G6" s="44" t="s">
        <v>66</v>
      </c>
      <c r="H6" s="48">
        <f>(C27+C26)/(B12+C12)*2</f>
        <v>0.17019493939563202</v>
      </c>
      <c r="I6">
        <f>LOOKUP(H6,{-9999,0.02,0.04,0.06,0.09,0.15,0.2,0.5},{0,1,2,3,4,5,6,0})</f>
        <v>5</v>
      </c>
    </row>
    <row r="7" spans="1:13">
      <c r="A7" s="44" t="s">
        <v>231</v>
      </c>
      <c r="B7" s="44">
        <v>493</v>
      </c>
      <c r="C7" s="44">
        <v>0</v>
      </c>
      <c r="G7" s="44" t="s">
        <v>52</v>
      </c>
      <c r="H7" s="48">
        <f>C10/C17</f>
        <v>0.64762945757617163</v>
      </c>
      <c r="I7">
        <f>LOOKUP(H7,{-9999,0.5,1,1.3,1.8,2,2.2,2.5,3},{0,1,3,4,5,6,5,4,2})</f>
        <v>1</v>
      </c>
    </row>
    <row r="8" spans="1:13">
      <c r="A8" s="44" t="s">
        <v>232</v>
      </c>
      <c r="B8" s="44">
        <v>388</v>
      </c>
      <c r="C8" s="44">
        <v>45</v>
      </c>
      <c r="G8" s="44" t="s">
        <v>53</v>
      </c>
      <c r="H8" s="48">
        <f>(C10-C9)/C17</f>
        <v>0.31179122830987838</v>
      </c>
      <c r="I8">
        <f>LOOKUP(H8,{-9999,0.3,0.5,0.7,0.9,1.1,1.3},{0,1,2,4,6,5,3})</f>
        <v>1</v>
      </c>
    </row>
    <row r="9" spans="1:13">
      <c r="A9" s="44" t="s">
        <v>212</v>
      </c>
      <c r="B9" s="44">
        <v>2088</v>
      </c>
      <c r="C9" s="44">
        <v>2458</v>
      </c>
      <c r="G9" s="44" t="s">
        <v>69</v>
      </c>
      <c r="H9" s="48">
        <f>C3/C17</f>
        <v>7.2687525618253854E-2</v>
      </c>
      <c r="I9">
        <f>LOOKUP(H9,{-9999,0.03,0.07,0.09,0.11,0.13},{0,1,2,3,4,5})</f>
        <v>2</v>
      </c>
    </row>
    <row r="10" spans="1:13">
      <c r="A10" s="44" t="s">
        <v>218</v>
      </c>
      <c r="B10" s="45">
        <f>SUM(B3:B9)</f>
        <v>5397</v>
      </c>
      <c r="C10" s="45">
        <f>SUM(C3:C9)</f>
        <v>4740</v>
      </c>
      <c r="G10" s="44" t="s">
        <v>108</v>
      </c>
      <c r="H10">
        <f>C10-C17</f>
        <v>-2579</v>
      </c>
      <c r="I10">
        <f>LOOKUP(H10,{-999999,100,400,1000,2000,5000},{1,2,3,4,5,6})</f>
        <v>1</v>
      </c>
    </row>
    <row r="11" spans="1:13">
      <c r="A11" s="44" t="s">
        <v>241</v>
      </c>
      <c r="B11" s="44">
        <v>4662</v>
      </c>
      <c r="C11" s="44">
        <v>7891</v>
      </c>
      <c r="G11" s="44" t="s">
        <v>51</v>
      </c>
      <c r="H11" s="48">
        <f>C18/C12</f>
        <v>0.58841349545586585</v>
      </c>
      <c r="I11">
        <f>LOOKUP(H11,{-9999,0.2,0.35,0.45,0.6,0.7,0.8,0.9,1},{3,4,5,6,4,3,2,1,0})</f>
        <v>6</v>
      </c>
    </row>
    <row r="12" spans="1:13">
      <c r="A12" s="44" t="s">
        <v>209</v>
      </c>
      <c r="B12" s="44">
        <v>11709</v>
      </c>
      <c r="C12" s="44">
        <v>24097</v>
      </c>
      <c r="G12" s="44" t="s">
        <v>54</v>
      </c>
      <c r="H12" s="48">
        <f>(C27+C26)/C26</f>
        <v>12.188000000000001</v>
      </c>
      <c r="I12">
        <f>LOOKUP(H12,{-9999,0.9,1.1,1.3,1.6,1.9,2.2},{-1,1,2,3,4,5,6})</f>
        <v>6</v>
      </c>
    </row>
    <row r="13" spans="1:13">
      <c r="A13" s="44" t="s">
        <v>229</v>
      </c>
      <c r="B13" s="44">
        <v>2650</v>
      </c>
      <c r="C13" s="44">
        <v>2400</v>
      </c>
      <c r="G13" s="44" t="s">
        <v>3</v>
      </c>
      <c r="H13" s="48">
        <f>1/(1-C18/C12)</f>
        <v>2.4296229078443234</v>
      </c>
      <c r="I13">
        <f>LOOKUP(H13,{-9999,0.5,0.8,0.9,1,1.2,1.4,1.6,1.8,2,2.2},{1,2,3,4,6,5,4,3,2,1,0})</f>
        <v>0</v>
      </c>
    </row>
    <row r="14" spans="1:13">
      <c r="A14" s="44" t="s">
        <v>227</v>
      </c>
      <c r="B14" s="44">
        <v>500</v>
      </c>
      <c r="C14" s="44">
        <v>3651</v>
      </c>
      <c r="G14" s="44" t="s">
        <v>111</v>
      </c>
      <c r="H14" s="48">
        <f>C18/C19</f>
        <v>1.4297670666532218</v>
      </c>
      <c r="I14">
        <f>LOOKUP(H14,{-9999,0.3,0.7,1,1.3,1.5},{5,4,3,2,1,0})</f>
        <v>1</v>
      </c>
    </row>
    <row r="15" spans="1:13">
      <c r="A15" s="44" t="s">
        <v>228</v>
      </c>
      <c r="B15" s="44">
        <v>102</v>
      </c>
      <c r="C15" s="44">
        <v>426</v>
      </c>
      <c r="G15" s="50" t="s">
        <v>112</v>
      </c>
      <c r="H15" s="48">
        <f>C18/(C9+C11)</f>
        <v>1.3700840660933424</v>
      </c>
      <c r="I15">
        <f>LOOKUP(H15,{-9999,0.3,0.7,1,1.3,1.5},{5,4,3,2,1,0})</f>
        <v>1</v>
      </c>
      <c r="J15" s="52" t="s">
        <v>240</v>
      </c>
      <c r="K15" s="52"/>
      <c r="L15" s="52"/>
      <c r="M15" s="52"/>
    </row>
    <row r="16" spans="1:13">
      <c r="A16" s="44" t="s">
        <v>233</v>
      </c>
      <c r="B16" s="44">
        <v>78</v>
      </c>
      <c r="C16" s="44">
        <v>0</v>
      </c>
      <c r="G16" s="44" t="s">
        <v>57</v>
      </c>
      <c r="H16" s="48">
        <f>C22/(B9+C9)*2</f>
        <v>11.531016278046634</v>
      </c>
      <c r="I16">
        <f>LOOKUP(H16,{-9999,3,6,8,10,15,50},{0,1,2,3,4,5,0})</f>
        <v>4</v>
      </c>
    </row>
    <row r="17" spans="1:10">
      <c r="A17" s="44" t="s">
        <v>230</v>
      </c>
      <c r="B17" s="46">
        <v>3521</v>
      </c>
      <c r="C17" s="46">
        <v>7319</v>
      </c>
      <c r="G17" s="44" t="s">
        <v>59</v>
      </c>
      <c r="H17" s="48">
        <f>C21/(B5+B6+C5+C6)*2</f>
        <v>21.000252972426004</v>
      </c>
      <c r="I17">
        <f>LOOKUP(H17,{-9999,2,2.5,4,8,15,22},{0,1,2,5,3,4,2})</f>
        <v>4</v>
      </c>
    </row>
    <row r="18" spans="1:10">
      <c r="A18" s="44" t="s">
        <v>210</v>
      </c>
      <c r="B18" s="46">
        <v>4381</v>
      </c>
      <c r="C18" s="46">
        <v>14179</v>
      </c>
      <c r="G18" s="44" t="s">
        <v>60</v>
      </c>
      <c r="H18" s="48">
        <f>C21/(B12+C12)*2</f>
        <v>2.3184382505725298</v>
      </c>
      <c r="I18">
        <f>LOOKUP(H18,{-9999,0.6,0.8,1,1.2,1.5,3},{0,1,2,3,4,5,0})</f>
        <v>5</v>
      </c>
    </row>
    <row r="19" spans="1:10">
      <c r="A19" s="44" t="s">
        <v>213</v>
      </c>
      <c r="B19" s="46">
        <v>7327</v>
      </c>
      <c r="C19" s="46">
        <v>9917</v>
      </c>
      <c r="G19" s="44" t="s">
        <v>113</v>
      </c>
      <c r="H19" s="48">
        <f>C21/(B10+C10)*2</f>
        <v>8.1892078524218217</v>
      </c>
      <c r="I19">
        <f>LOOKUP(H19,{-9999,0.3,0.6,1.1,1.8,2.2},{0,1,2,3,4,5})</f>
        <v>5</v>
      </c>
    </row>
    <row r="20" spans="1:10">
      <c r="B20" s="44" t="s">
        <v>207</v>
      </c>
      <c r="C20" s="44" t="s">
        <v>220</v>
      </c>
      <c r="G20" s="44" t="s">
        <v>114</v>
      </c>
      <c r="H20" s="51">
        <f>C21/(B11+C11)*2</f>
        <v>6.6130805385166891</v>
      </c>
      <c r="I20">
        <f>LOOKUP(H20,{-9999,0.1,0.3,0.8,1.5,2},{0,1,2,3,4,5})</f>
        <v>5</v>
      </c>
      <c r="J20" t="s">
        <v>239</v>
      </c>
    </row>
    <row r="21" spans="1:10">
      <c r="A21" s="44" t="s">
        <v>221</v>
      </c>
      <c r="B21" s="44">
        <v>30227</v>
      </c>
      <c r="C21" s="44">
        <v>41507</v>
      </c>
      <c r="G21" s="44" t="s">
        <v>185</v>
      </c>
      <c r="H21">
        <f>IFERROR(C21/(B14+C14)*2,0)</f>
        <v>19.998554565165019</v>
      </c>
      <c r="I21">
        <f>LOOKUP(H21,{-9999,0.3,0.6,1.1,1.8,2.2},{0,1,2,3,4,5})</f>
        <v>5</v>
      </c>
    </row>
    <row r="22" spans="1:10">
      <c r="A22" s="44" t="s">
        <v>222</v>
      </c>
      <c r="B22" s="44">
        <v>20026</v>
      </c>
      <c r="C22" s="44">
        <v>26210</v>
      </c>
      <c r="G22" s="44" t="s">
        <v>187</v>
      </c>
      <c r="H22" s="48">
        <f>C21/(B7+C7)*2</f>
        <v>168.38539553752537</v>
      </c>
      <c r="I22">
        <f>LOOKUP(H22,{-9999,0.3,0.6,1.1,1.8,2.2},{0,1,2,3,4,5})</f>
        <v>5</v>
      </c>
    </row>
    <row r="23" spans="1:10">
      <c r="A23" s="44" t="s">
        <v>234</v>
      </c>
      <c r="B23" s="44">
        <v>10011</v>
      </c>
      <c r="C23" s="44">
        <v>14816</v>
      </c>
      <c r="G23" s="44" t="s">
        <v>189</v>
      </c>
      <c r="H23">
        <f>IFERROR(C21/(B15+C15)*2,0)</f>
        <v>157.22348484848484</v>
      </c>
      <c r="I23">
        <f>LOOKUP(H23,{-9999,0.3,0.6,1.1,1.8,2.2},{0,1,2,3,4,5})</f>
        <v>5</v>
      </c>
    </row>
    <row r="24" spans="1:10">
      <c r="A24" s="44" t="s">
        <v>223</v>
      </c>
      <c r="B24" s="44">
        <v>3420</v>
      </c>
      <c r="C24" s="44">
        <v>9539</v>
      </c>
      <c r="G24" s="44" t="s">
        <v>63</v>
      </c>
      <c r="H24" s="48">
        <f>C21/B1*12/B21-1</f>
        <v>0.3731762993350316</v>
      </c>
      <c r="I24">
        <f>LOOKUP(H24,{-9999,0,0.01,0.03,0.06,0.1},{-1,1,2,3,4,5})</f>
        <v>5</v>
      </c>
    </row>
    <row r="25" spans="1:10">
      <c r="A25" s="44" t="s">
        <v>224</v>
      </c>
      <c r="B25" s="44">
        <v>3255</v>
      </c>
      <c r="C25" s="44">
        <v>2227</v>
      </c>
      <c r="G25" s="44" t="s">
        <v>64</v>
      </c>
      <c r="H25" s="48">
        <f>C28/B1*12/B28-1</f>
        <v>0.17194570135746612</v>
      </c>
      <c r="I25">
        <f>LOOKUP(H25,{-9999,-0.03,0,0.01,0.04,0.06},{0,1,2,3,4,5})</f>
        <v>5</v>
      </c>
    </row>
    <row r="26" spans="1:10">
      <c r="A26" s="44" t="s">
        <v>225</v>
      </c>
      <c r="B26" s="44">
        <v>386</v>
      </c>
      <c r="C26" s="44">
        <v>250</v>
      </c>
      <c r="G26" s="44" t="s">
        <v>192</v>
      </c>
      <c r="H26" s="48">
        <f>C29/C21</f>
        <v>0.19307586672127594</v>
      </c>
      <c r="I26">
        <f>LOOKUP(H26,{-9999,0.3,0.5,0.7,0.9,1.5,2.5},{0,1,2,3,4,5,3})</f>
        <v>0</v>
      </c>
    </row>
    <row r="27" spans="1:10">
      <c r="A27" s="44" t="s">
        <v>236</v>
      </c>
      <c r="B27" s="44">
        <v>2947</v>
      </c>
      <c r="C27" s="44">
        <v>2797</v>
      </c>
      <c r="G27" s="44" t="s">
        <v>195</v>
      </c>
      <c r="H27" s="48">
        <f>C12/B12-1</f>
        <v>1.0579895806644464</v>
      </c>
      <c r="I27">
        <f>LOOKUP(H27,{-9999,0,0.01,0.03,0.06,0.1},{-1,1,2,3,4,5})</f>
        <v>5</v>
      </c>
    </row>
    <row r="28" spans="1:10">
      <c r="A28" s="44" t="s">
        <v>235</v>
      </c>
      <c r="B28" s="44">
        <v>2210</v>
      </c>
      <c r="C28" s="44">
        <v>2590</v>
      </c>
      <c r="G28" s="44" t="s">
        <v>70</v>
      </c>
      <c r="H28" s="48">
        <f>C29/C17</f>
        <v>1.094958327640388</v>
      </c>
      <c r="I28">
        <f>LOOKUP(H28,{-9999,0.06,0.08,0.12,0.15,0.18,0.25},{0,1,2,3,4,5,6})</f>
        <v>6</v>
      </c>
    </row>
    <row r="29" spans="1:10">
      <c r="A29" s="44" t="s">
        <v>242</v>
      </c>
      <c r="B29" s="47"/>
      <c r="C29" s="44">
        <v>8014</v>
      </c>
      <c r="G29" s="44" t="s">
        <v>71</v>
      </c>
      <c r="H29" s="48">
        <f>C29/C18</f>
        <v>0.56520205938359547</v>
      </c>
      <c r="I29">
        <f>LOOKUP(H29,{-9999,0.05,0.08,0.12,0.18,0.22},{0,1,2,3,4,5})</f>
        <v>5</v>
      </c>
    </row>
    <row r="30" spans="1:10">
      <c r="G30" s="44" t="s">
        <v>200</v>
      </c>
      <c r="H30" s="48">
        <f>C29/C26</f>
        <v>32.055999999999997</v>
      </c>
      <c r="I30">
        <f>LOOKUP(H30,{-9999,0.05,0.08,0.12,0.15,0.18,0.25},{0,1,2,3,4,5,6})</f>
        <v>6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0"/>
  <sheetViews>
    <sheetView topLeftCell="A19" workbookViewId="0">
      <selection activeCell="D30" sqref="D30"/>
    </sheetView>
  </sheetViews>
  <sheetFormatPr defaultRowHeight="15.6"/>
  <cols>
    <col min="1" max="1" width="20.453125" style="44" bestFit="1" customWidth="1"/>
    <col min="2" max="6" width="9" style="44"/>
    <col min="7" max="7" width="35.90625" style="44" customWidth="1"/>
    <col min="8" max="8" width="10" bestFit="1" customWidth="1"/>
  </cols>
  <sheetData>
    <row r="1" spans="1:9">
      <c r="A1" s="44" t="s">
        <v>206</v>
      </c>
      <c r="B1" s="44">
        <v>9</v>
      </c>
    </row>
    <row r="2" spans="1:9">
      <c r="B2" s="44" t="s">
        <v>207</v>
      </c>
      <c r="C2" s="44" t="s">
        <v>208</v>
      </c>
      <c r="G2" s="44" t="s">
        <v>46</v>
      </c>
      <c r="H2" s="48">
        <f>C28/C21</f>
        <v>8.0199141713679548E-2</v>
      </c>
      <c r="I2">
        <f>LOOKUP(H2,{-9999,0.03,0.07,0.09,0.11,0.13,0.15},{0,1,2,3,4,5,6})</f>
        <v>2</v>
      </c>
    </row>
    <row r="3" spans="1:9">
      <c r="A3" s="44" t="s">
        <v>211</v>
      </c>
      <c r="B3" s="44">
        <v>1609</v>
      </c>
      <c r="C3" s="44">
        <v>456</v>
      </c>
      <c r="G3" s="44" t="s">
        <v>47</v>
      </c>
      <c r="H3" s="48">
        <f>C23/C21</f>
        <v>0.21053329475866725</v>
      </c>
      <c r="I3">
        <f>LOOKUP(H3,{-9999,0.06,0.1,0.13,0.15,0.2},{0,1,2,3,4,5})</f>
        <v>5</v>
      </c>
    </row>
    <row r="4" spans="1:9">
      <c r="A4" s="44" t="s">
        <v>216</v>
      </c>
      <c r="G4" s="44" t="s">
        <v>107</v>
      </c>
      <c r="H4" s="48">
        <f>C27/C21</f>
        <v>8.0223250879984567E-2</v>
      </c>
      <c r="I4">
        <f>LOOKUP(H4,{-9999,0.06,0.1,0.13,0.15,0.2},{0,1,2,3,4,5})</f>
        <v>1</v>
      </c>
    </row>
    <row r="5" spans="1:9">
      <c r="A5" s="44" t="s">
        <v>214</v>
      </c>
      <c r="B5" s="44">
        <v>21814</v>
      </c>
      <c r="C5" s="44">
        <v>36994</v>
      </c>
      <c r="G5" s="44" t="s">
        <v>73</v>
      </c>
      <c r="H5" s="48">
        <f>C28/(B19+C19)*2</f>
        <v>8.8256558219745956E-2</v>
      </c>
      <c r="I5">
        <f>LOOKUP(H5,{-9999,0.01,0.03,0.05,0.08,0.1,0.15,0.18,0.22,0.25,0.5},{0,1,2,3,4,5,6,7,8,10,0})</f>
        <v>4</v>
      </c>
    </row>
    <row r="6" spans="1:9">
      <c r="A6" s="44" t="s">
        <v>215</v>
      </c>
      <c r="G6" s="44" t="s">
        <v>66</v>
      </c>
      <c r="H6" s="48">
        <f>(C27+C26)/(B12+C12)*2</f>
        <v>7.6655469145460398E-2</v>
      </c>
      <c r="I6">
        <f>LOOKUP(H6,{-9999,0.02,0.04,0.06,0.09,0.15,0.2,0.5},{0,1,2,3,4,5,6,0})</f>
        <v>3</v>
      </c>
    </row>
    <row r="7" spans="1:9">
      <c r="A7" s="44" t="s">
        <v>231</v>
      </c>
      <c r="B7" s="44">
        <v>14830</v>
      </c>
      <c r="C7" s="44">
        <v>7443</v>
      </c>
      <c r="G7" s="44" t="s">
        <v>52</v>
      </c>
      <c r="H7" s="48">
        <f>C10/C17</f>
        <v>2.5704274702172389</v>
      </c>
      <c r="I7">
        <f>LOOKUP(H7,{-9999,0.5,1,1.3,1.8,2,2.2,2.5,3},{0,1,3,4,5,6,5,4,2})</f>
        <v>4</v>
      </c>
    </row>
    <row r="8" spans="1:9">
      <c r="A8" s="44" t="s">
        <v>232</v>
      </c>
      <c r="B8" s="44">
        <v>4379</v>
      </c>
      <c r="C8" s="44">
        <v>9727</v>
      </c>
      <c r="G8" s="44" t="s">
        <v>53</v>
      </c>
      <c r="H8" s="48">
        <f>(C10-C9)/C17</f>
        <v>2.2560699121975349</v>
      </c>
      <c r="I8">
        <f>LOOKUP(H8,{-9999,0.3,0.5,0.7,0.9,1.1,1.3},{0,1,2,4,6,5,3})</f>
        <v>3</v>
      </c>
    </row>
    <row r="9" spans="1:9">
      <c r="A9" s="44" t="s">
        <v>212</v>
      </c>
      <c r="B9" s="44">
        <v>17543</v>
      </c>
      <c r="C9" s="44">
        <v>7626</v>
      </c>
      <c r="G9" s="44" t="s">
        <v>69</v>
      </c>
      <c r="H9" s="48">
        <f>C3/C17</f>
        <v>1.8797147450430769E-2</v>
      </c>
      <c r="I9">
        <f>LOOKUP(H9,{-9999,0.03,0.07,0.09,0.11,0.13},{0,1,2,3,4,5})</f>
        <v>0</v>
      </c>
    </row>
    <row r="10" spans="1:9">
      <c r="A10" s="44" t="s">
        <v>218</v>
      </c>
      <c r="B10" s="45">
        <v>60547</v>
      </c>
      <c r="C10" s="45">
        <v>62356</v>
      </c>
      <c r="G10" s="44" t="s">
        <v>108</v>
      </c>
      <c r="H10">
        <f>C10-C17</f>
        <v>38097</v>
      </c>
      <c r="I10">
        <f>LOOKUP(H10,{-999999,100,400,1000,2000,5000},{1,2,3,4,5,6})</f>
        <v>6</v>
      </c>
    </row>
    <row r="11" spans="1:9">
      <c r="A11" s="44" t="s">
        <v>217</v>
      </c>
      <c r="B11" s="44">
        <v>27787</v>
      </c>
      <c r="C11" s="44">
        <v>32997</v>
      </c>
      <c r="G11" s="44" t="s">
        <v>51</v>
      </c>
      <c r="H11" s="48">
        <f>C18/C12</f>
        <v>0.25713152015457735</v>
      </c>
      <c r="I11">
        <f>LOOKUP(H11,{-9999,0.2,0.35,0.45,0.6,0.7,0.8,0.9,1},{3,4,5,6,4,3,2,1,0})</f>
        <v>4</v>
      </c>
    </row>
    <row r="12" spans="1:9">
      <c r="A12" s="44" t="s">
        <v>209</v>
      </c>
      <c r="B12" s="44">
        <v>101381</v>
      </c>
      <c r="C12" s="44">
        <v>115929</v>
      </c>
      <c r="G12" s="44" t="s">
        <v>54</v>
      </c>
      <c r="H12" s="48">
        <f>(C27+C26)/C26</f>
        <v>4.9755077658303462</v>
      </c>
      <c r="I12">
        <f>LOOKUP(H12,{-9999,0.9,1.1,1.3,1.6,1.9,2.2},{-1,1,2,3,4,5,6})</f>
        <v>6</v>
      </c>
    </row>
    <row r="13" spans="1:9">
      <c r="A13" s="44" t="s">
        <v>229</v>
      </c>
      <c r="B13" s="44">
        <v>14669</v>
      </c>
      <c r="C13" s="44">
        <v>16800</v>
      </c>
      <c r="G13" s="44" t="s">
        <v>3</v>
      </c>
      <c r="H13" s="48">
        <f>1/(1-C18/C12)</f>
        <v>1.3461333023687878</v>
      </c>
      <c r="I13">
        <f>LOOKUP(H13,{-9999,0.5,0.8,0.9,1,1.2,1.4,1.6,1.8,2,2.2},{1,2,3,4,6,5,4,3,2,1,0})</f>
        <v>5</v>
      </c>
    </row>
    <row r="14" spans="1:9">
      <c r="A14" s="44" t="s">
        <v>227</v>
      </c>
      <c r="B14" s="44">
        <v>3936</v>
      </c>
      <c r="C14" s="44">
        <v>2679</v>
      </c>
      <c r="G14" s="44" t="s">
        <v>111</v>
      </c>
      <c r="H14" s="48">
        <f>C18/C19</f>
        <v>0.34613732161311672</v>
      </c>
      <c r="I14">
        <f>LOOKUP(H14,{-9999,0.3,0.7,1,1.3,1.5},{5,4,3,2,1,0})</f>
        <v>4</v>
      </c>
    </row>
    <row r="15" spans="1:9">
      <c r="A15" s="44" t="s">
        <v>228</v>
      </c>
      <c r="B15" s="44">
        <v>6091</v>
      </c>
      <c r="C15" s="44">
        <v>1471</v>
      </c>
      <c r="G15" s="44" t="s">
        <v>112</v>
      </c>
      <c r="H15" s="48">
        <f>C18/(C10+C11)</f>
        <v>0.31261732719473956</v>
      </c>
      <c r="I15">
        <f>LOOKUP(H15,{-9999,0.3,0.7,1,1.3,1.5},{5,4,3,2,1,0})</f>
        <v>4</v>
      </c>
    </row>
    <row r="16" spans="1:9">
      <c r="A16" s="44" t="s">
        <v>233</v>
      </c>
      <c r="B16" s="44">
        <v>1590</v>
      </c>
      <c r="C16" s="44">
        <v>3547</v>
      </c>
      <c r="G16" s="44" t="s">
        <v>57</v>
      </c>
      <c r="H16" s="48">
        <f>C22/(B9+C9)*2</f>
        <v>5.1762088283205534</v>
      </c>
      <c r="I16">
        <f>LOOKUP(H16,{-9999,3,6,8,10,15,50},{0,1,2,3,4,5,0})</f>
        <v>1</v>
      </c>
    </row>
    <row r="17" spans="1:9">
      <c r="A17" s="44" t="s">
        <v>230</v>
      </c>
      <c r="B17" s="46">
        <v>26385</v>
      </c>
      <c r="C17" s="46">
        <v>24259</v>
      </c>
      <c r="G17" s="44" t="s">
        <v>59</v>
      </c>
      <c r="H17" s="48">
        <f>C21/(B5+B6+C5+C6)*2</f>
        <v>2.8212488096857569</v>
      </c>
      <c r="I17">
        <f>LOOKUP(H17,{-9999,2,2.5,4,8,15,22},{0,1,2,5,3,4,2})</f>
        <v>2</v>
      </c>
    </row>
    <row r="18" spans="1:9">
      <c r="A18" s="44" t="s">
        <v>210</v>
      </c>
      <c r="B18" s="46">
        <v>36735</v>
      </c>
      <c r="C18" s="46">
        <v>29809</v>
      </c>
      <c r="G18" s="44" t="s">
        <v>60</v>
      </c>
      <c r="H18" s="48">
        <f>C21/(B12+C12)*2</f>
        <v>0.76348074179743219</v>
      </c>
      <c r="I18">
        <f>LOOKUP(H18,{-9999,0.6,0.8,1,1.2,1.5,3},{0,1,2,3,4,5,0})</f>
        <v>1</v>
      </c>
    </row>
    <row r="19" spans="1:9">
      <c r="A19" s="44" t="s">
        <v>213</v>
      </c>
      <c r="B19" s="46">
        <v>64646</v>
      </c>
      <c r="C19" s="46">
        <v>86119</v>
      </c>
      <c r="G19" s="44" t="s">
        <v>113</v>
      </c>
      <c r="H19" s="48">
        <f>C21/(B10+C10)*2</f>
        <v>1.3499426376898855</v>
      </c>
      <c r="I19">
        <f>LOOKUP(H19,{-9999,0.3,0.6,1.1,1.8,2.2},{0,1,2,3,4,5})</f>
        <v>3</v>
      </c>
    </row>
    <row r="20" spans="1:9">
      <c r="B20" s="44" t="s">
        <v>207</v>
      </c>
      <c r="C20" s="44" t="s">
        <v>220</v>
      </c>
      <c r="G20" s="44" t="s">
        <v>114</v>
      </c>
      <c r="H20" s="48">
        <f>C21/(B11+C11)*2</f>
        <v>2.7295340879178731</v>
      </c>
      <c r="I20">
        <f>LOOKUP(H20,{-9999,0.1,0.3,0.8,1.5,2},{0,1,2,3,4,5})</f>
        <v>5</v>
      </c>
    </row>
    <row r="21" spans="1:9">
      <c r="A21" s="44" t="s">
        <v>221</v>
      </c>
      <c r="B21" s="44">
        <v>95612</v>
      </c>
      <c r="C21" s="44">
        <v>82956</v>
      </c>
      <c r="G21" s="44" t="s">
        <v>185</v>
      </c>
      <c r="H21">
        <f>IFERROR(C21/(B14+C14)*2,0)</f>
        <v>25.081179138321996</v>
      </c>
      <c r="I21">
        <f>LOOKUP(H21,{-9999,0.3,0.6,1.1,1.8,2.2},{0,1,2,3,4,5})</f>
        <v>5</v>
      </c>
    </row>
    <row r="22" spans="1:9">
      <c r="A22" s="44" t="s">
        <v>222</v>
      </c>
      <c r="B22" s="44">
        <v>70209</v>
      </c>
      <c r="C22" s="44">
        <v>65140</v>
      </c>
      <c r="G22" s="44" t="s">
        <v>187</v>
      </c>
      <c r="H22" s="48">
        <f>C21/(B7+C7)*2</f>
        <v>7.4490189916041842</v>
      </c>
      <c r="I22">
        <f>LOOKUP(H22,{-9999,0.3,0.6,1.1,1.8,2.2},{0,1,2,3,4,5})</f>
        <v>5</v>
      </c>
    </row>
    <row r="23" spans="1:9">
      <c r="A23" s="44" t="s">
        <v>234</v>
      </c>
      <c r="B23" s="44">
        <v>24604</v>
      </c>
      <c r="C23" s="44">
        <v>17465</v>
      </c>
      <c r="G23" s="44" t="s">
        <v>189</v>
      </c>
      <c r="H23">
        <f>IFERROR(C21/(B15+C15)*2,0)</f>
        <v>21.940227453054746</v>
      </c>
      <c r="I23">
        <f>LOOKUP(H23,{-9999,0.3,0.6,1.1,1.8,2.2},{0,1,2,3,4,5})</f>
        <v>5</v>
      </c>
    </row>
    <row r="24" spans="1:9">
      <c r="A24" s="44" t="s">
        <v>223</v>
      </c>
      <c r="B24" s="44">
        <v>9773</v>
      </c>
      <c r="C24" s="44">
        <v>7105</v>
      </c>
      <c r="G24" s="44" t="s">
        <v>63</v>
      </c>
      <c r="H24" s="48">
        <f>C21/B1*12/B21-1</f>
        <v>0.15684223737606162</v>
      </c>
      <c r="I24">
        <f>LOOKUP(H24,{-9999,0,0.01,0.03,0.06,0.1},{-1,1,2,3,4,5})</f>
        <v>5</v>
      </c>
    </row>
    <row r="25" spans="1:9">
      <c r="A25" s="44" t="s">
        <v>224</v>
      </c>
      <c r="B25" s="44">
        <v>4881</v>
      </c>
      <c r="C25" s="44">
        <v>2346</v>
      </c>
      <c r="G25" s="44" t="s">
        <v>64</v>
      </c>
      <c r="H25" s="48">
        <f>C28/B1*12/B28-1</f>
        <v>3.9328256199960832E-2</v>
      </c>
      <c r="I25">
        <f>LOOKUP(H25,{-9999,-0.03,0,0.01,0.04,0.06},{0,1,2,3,4,5})</f>
        <v>3</v>
      </c>
    </row>
    <row r="26" spans="1:9">
      <c r="A26" s="44" t="s">
        <v>225</v>
      </c>
      <c r="B26" s="44">
        <v>1901</v>
      </c>
      <c r="C26" s="44">
        <v>1674</v>
      </c>
      <c r="G26" s="44" t="s">
        <v>192</v>
      </c>
      <c r="H26" s="48">
        <f>C29/C21</f>
        <v>3.6465114036356626E-2</v>
      </c>
      <c r="I26">
        <f>LOOKUP(H26,{-9999,0.3,0.5,0.7,0.9,1.5,2.5},{0,1,2,3,4,5,3})</f>
        <v>0</v>
      </c>
    </row>
    <row r="27" spans="1:9">
      <c r="A27" s="44" t="s">
        <v>236</v>
      </c>
      <c r="B27" s="44">
        <v>8540</v>
      </c>
      <c r="C27" s="44">
        <v>6655</v>
      </c>
      <c r="G27" s="44" t="s">
        <v>195</v>
      </c>
      <c r="H27" s="48">
        <f>C12/B12-1</f>
        <v>0.14349828863396485</v>
      </c>
      <c r="I27">
        <f>LOOKUP(H27,{-9999,0,0.01,0.03,0.06,0.1},{-1,1,2,3,4,5})</f>
        <v>5</v>
      </c>
    </row>
    <row r="28" spans="1:9">
      <c r="A28" s="44" t="s">
        <v>235</v>
      </c>
      <c r="B28" s="44">
        <v>8535</v>
      </c>
      <c r="C28" s="44">
        <v>6653</v>
      </c>
      <c r="G28" s="44" t="s">
        <v>70</v>
      </c>
      <c r="H28" s="48">
        <f>C29/C17</f>
        <v>0.12469598911744095</v>
      </c>
      <c r="I28">
        <f>LOOKUP(H28,{-9999,0.06,0.08,0.12,0.15,0.18,0.25},{0,1,2,3,4,5,6})</f>
        <v>3</v>
      </c>
    </row>
    <row r="29" spans="1:9">
      <c r="A29" s="44" t="s">
        <v>226</v>
      </c>
      <c r="B29" s="47"/>
      <c r="C29" s="45">
        <v>3025</v>
      </c>
      <c r="D29" s="44" t="s">
        <v>237</v>
      </c>
      <c r="G29" s="44" t="s">
        <v>71</v>
      </c>
      <c r="H29" s="48">
        <f>C29/C18</f>
        <v>0.10147941896742595</v>
      </c>
      <c r="I29">
        <f>LOOKUP(H29,{-9999,0.05,0.08,0.12,0.18,0.22},{0,1,2,3,4,5})</f>
        <v>2</v>
      </c>
    </row>
    <row r="30" spans="1:9">
      <c r="G30" s="44" t="s">
        <v>200</v>
      </c>
      <c r="H30" s="48">
        <f>C29/C26</f>
        <v>1.8070489844683393</v>
      </c>
      <c r="I30">
        <f>LOOKUP(H30,{-9999,0.05,0.08,0.12,0.15,0.18,0.25},{0,1,2,3,4,5,6})</f>
        <v>6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0"/>
  <sheetViews>
    <sheetView topLeftCell="A13" workbookViewId="0">
      <selection activeCell="D30" sqref="D30"/>
    </sheetView>
  </sheetViews>
  <sheetFormatPr defaultRowHeight="15.6"/>
  <cols>
    <col min="1" max="1" width="20.453125" style="44" bestFit="1" customWidth="1"/>
    <col min="2" max="6" width="9" style="44"/>
    <col min="7" max="7" width="35.90625" style="44" customWidth="1"/>
    <col min="8" max="8" width="10" bestFit="1" customWidth="1"/>
  </cols>
  <sheetData>
    <row r="1" spans="1:9">
      <c r="A1" s="44" t="s">
        <v>206</v>
      </c>
      <c r="B1" s="44">
        <v>11</v>
      </c>
    </row>
    <row r="2" spans="1:9">
      <c r="B2" s="44" t="s">
        <v>207</v>
      </c>
      <c r="C2" s="44" t="s">
        <v>208</v>
      </c>
      <c r="G2" s="44" t="s">
        <v>46</v>
      </c>
      <c r="H2" s="48">
        <f>C28/C21</f>
        <v>0.13252043843528341</v>
      </c>
      <c r="I2">
        <f>LOOKUP(H2,{-9999,0.03,0.07,0.09,0.11,0.13,0.15},{0,1,2,3,4,5,6})</f>
        <v>5</v>
      </c>
    </row>
    <row r="3" spans="1:9">
      <c r="A3" s="44" t="s">
        <v>211</v>
      </c>
      <c r="B3" s="44">
        <v>5734.6744250000002</v>
      </c>
      <c r="C3" s="44">
        <v>6357.9675859999998</v>
      </c>
      <c r="G3" s="44" t="s">
        <v>47</v>
      </c>
      <c r="H3" s="48">
        <f>C23/C21</f>
        <v>0.32625009019996604</v>
      </c>
      <c r="I3">
        <f>LOOKUP(H3,{-9999,0.06,0.1,0.13,0.15,0.2},{0,1,2,3,4,5})</f>
        <v>5</v>
      </c>
    </row>
    <row r="4" spans="1:9">
      <c r="A4" s="44" t="s">
        <v>216</v>
      </c>
      <c r="B4" s="44">
        <v>0</v>
      </c>
      <c r="C4" s="44">
        <v>0</v>
      </c>
      <c r="G4" s="44" t="s">
        <v>107</v>
      </c>
      <c r="H4" s="48">
        <f>C27/C21</f>
        <v>0.13253053223978747</v>
      </c>
      <c r="I4">
        <f>LOOKUP(H4,{-9999,0.06,0.1,0.13,0.15,0.2},{0,1,2,3,4,5})</f>
        <v>3</v>
      </c>
    </row>
    <row r="5" spans="1:9">
      <c r="A5" s="44" t="s">
        <v>214</v>
      </c>
      <c r="B5" s="44">
        <v>10300.655032999999</v>
      </c>
      <c r="C5" s="44">
        <v>10971.437679000001</v>
      </c>
      <c r="G5" s="44" t="s">
        <v>73</v>
      </c>
      <c r="H5" s="48">
        <f>C28/(B19+C19)*2</f>
        <v>5.6950058444475031E-2</v>
      </c>
      <c r="I5">
        <f>LOOKUP(H5,{-9999,0.01,0.03,0.05,0.08,0.1,0.15,0.18,0.22,0.25,0.5},{0,1,2,3,4,5,6,7,8,10,0})</f>
        <v>3</v>
      </c>
    </row>
    <row r="6" spans="1:9">
      <c r="A6" s="44" t="s">
        <v>215</v>
      </c>
      <c r="B6" s="44">
        <v>2550</v>
      </c>
      <c r="C6" s="44">
        <v>2400</v>
      </c>
      <c r="G6" s="44" t="s">
        <v>66</v>
      </c>
      <c r="H6" s="48">
        <f>(C27+C26)/(B12+C12)*2</f>
        <v>5.9409551008054277E-2</v>
      </c>
      <c r="I6">
        <f>LOOKUP(H6,{-9999,0.02,0.04,0.06,0.09,0.15,0.2,0.5},{0,1,2,3,4,5,6,0})</f>
        <v>2</v>
      </c>
    </row>
    <row r="7" spans="1:9">
      <c r="A7" s="44" t="s">
        <v>231</v>
      </c>
      <c r="B7" s="44">
        <v>3932.5211729999996</v>
      </c>
      <c r="C7" s="44">
        <v>7925.2228720000003</v>
      </c>
      <c r="G7" s="44" t="s">
        <v>52</v>
      </c>
      <c r="H7" s="48">
        <f>C10/C17</f>
        <v>3.02793546503126</v>
      </c>
      <c r="I7">
        <f>LOOKUP(H7,{-9999,0.5,1,1.3,1.8,2,2.2,2.5,3},{0,1,3,4,5,6,5,4,2})</f>
        <v>2</v>
      </c>
    </row>
    <row r="8" spans="1:9">
      <c r="A8" s="44" t="s">
        <v>232</v>
      </c>
      <c r="B8" s="44">
        <v>2296.5842750000002</v>
      </c>
      <c r="C8" s="44">
        <v>4180.8084060000001</v>
      </c>
      <c r="G8" s="44" t="s">
        <v>53</v>
      </c>
      <c r="H8" s="48">
        <f>(C10-C9)/C17</f>
        <v>2.3294322936061125</v>
      </c>
      <c r="I8">
        <f>LOOKUP(H8,{-9999,0.3,0.5,0.7,0.9,1.1,1.3},{0,1,2,4,6,5,3})</f>
        <v>3</v>
      </c>
    </row>
    <row r="9" spans="1:9">
      <c r="A9" s="44" t="s">
        <v>212</v>
      </c>
      <c r="B9" s="44">
        <v>10332.559873999999</v>
      </c>
      <c r="C9" s="44">
        <v>9583.893653000001</v>
      </c>
      <c r="G9" s="44" t="s">
        <v>69</v>
      </c>
      <c r="H9" s="48">
        <f>C3/C17</f>
        <v>0.4633879176287734</v>
      </c>
      <c r="I9">
        <f>LOOKUP(H9,{-9999,0.03,0.07,0.09,0.11,0.13},{0,1,2,3,4,5})</f>
        <v>5</v>
      </c>
    </row>
    <row r="10" spans="1:9">
      <c r="A10" s="44" t="s">
        <v>218</v>
      </c>
      <c r="B10" s="45">
        <v>35272.803778999994</v>
      </c>
      <c r="C10" s="45">
        <v>41545.139195000003</v>
      </c>
      <c r="G10" s="44" t="s">
        <v>108</v>
      </c>
      <c r="H10">
        <f>C10-C17</f>
        <v>27824.523391000002</v>
      </c>
      <c r="I10">
        <f>LOOKUP(H10,{-999999,100,400,1000,2000,5000},{1,2,3,4,5,6})</f>
        <v>6</v>
      </c>
    </row>
    <row r="11" spans="1:9">
      <c r="A11" s="44" t="s">
        <v>217</v>
      </c>
      <c r="B11" s="44">
        <v>10703.748062000001</v>
      </c>
      <c r="C11" s="44">
        <v>10393.0041</v>
      </c>
      <c r="G11" s="44" t="s">
        <v>51</v>
      </c>
      <c r="H11" s="48">
        <f>C18/C12</f>
        <v>0.27969759027172086</v>
      </c>
      <c r="I11">
        <f>LOOKUP(H11,{-9999,0.2,0.35,0.45,0.6,0.7,0.8,0.9,1},{3,4,5,6,4,3,2,1,0})</f>
        <v>4</v>
      </c>
    </row>
    <row r="12" spans="1:9">
      <c r="A12" s="44" t="s">
        <v>209</v>
      </c>
      <c r="B12" s="44">
        <v>85822.721086000005</v>
      </c>
      <c r="C12" s="44">
        <v>89163.574444000013</v>
      </c>
      <c r="G12" s="44" t="s">
        <v>54</v>
      </c>
      <c r="H12" s="48">
        <f>(C27+C26)/C26</f>
        <v>3.1448114193443448</v>
      </c>
      <c r="I12">
        <f>LOOKUP(H12,{-9999,0.9,1.1,1.3,1.6,1.9,2.2},{-1,1,2,3,4,5,6})</f>
        <v>6</v>
      </c>
    </row>
    <row r="13" spans="1:9">
      <c r="A13" s="44" t="s">
        <v>229</v>
      </c>
      <c r="B13" s="44">
        <v>9300</v>
      </c>
      <c r="C13" s="44">
        <v>5800</v>
      </c>
      <c r="G13" s="44" t="s">
        <v>3</v>
      </c>
      <c r="H13" s="48">
        <f>1/(1-C18/C12)</f>
        <v>1.388305781702482</v>
      </c>
      <c r="I13">
        <f>LOOKUP(H13,{-9999,0.5,0.8,0.9,1,1.2,1.4,1.6,1.8,2,2.2},{1,2,3,4,6,5,4,3,2,1,0})</f>
        <v>5</v>
      </c>
    </row>
    <row r="14" spans="1:9">
      <c r="A14" s="44" t="s">
        <v>227</v>
      </c>
      <c r="B14" s="44">
        <v>966.14302599999996</v>
      </c>
      <c r="C14" s="44">
        <v>941.63519499999995</v>
      </c>
      <c r="G14" s="44" t="s">
        <v>111</v>
      </c>
      <c r="H14" s="48">
        <f>C18/C19</f>
        <v>0.38830578170248203</v>
      </c>
      <c r="I14">
        <f>LOOKUP(H14,{-9999,0.3,0.7,1,1.3,1.5},{5,4,3,2,1,0})</f>
        <v>4</v>
      </c>
    </row>
    <row r="15" spans="1:9">
      <c r="A15" s="44" t="s">
        <v>228</v>
      </c>
      <c r="B15" s="44">
        <v>23.744560999999997</v>
      </c>
      <c r="C15" s="44">
        <v>108.91249999999999</v>
      </c>
      <c r="G15" s="44" t="s">
        <v>112</v>
      </c>
      <c r="H15" s="48">
        <f>C18/(C10+C11)</f>
        <v>0.48016419782955194</v>
      </c>
      <c r="I15">
        <f>LOOKUP(H15,{-9999,0.3,0.7,1,1.3,1.5},{5,4,3,2,1,0})</f>
        <v>4</v>
      </c>
    </row>
    <row r="16" spans="1:9">
      <c r="A16" s="44" t="s">
        <v>233</v>
      </c>
      <c r="B16" s="44">
        <v>528.59578899999997</v>
      </c>
      <c r="C16" s="44">
        <v>6609.7524030000004</v>
      </c>
      <c r="G16" s="44" t="s">
        <v>57</v>
      </c>
      <c r="H16" s="48">
        <f>C22/(B9+C9)*2</f>
        <v>1.8093805966582721</v>
      </c>
      <c r="I16">
        <f>LOOKUP(H16,{-9999,3,6,8,10,15,50},{0,1,2,3,4,5,0})</f>
        <v>0</v>
      </c>
    </row>
    <row r="17" spans="1:9">
      <c r="A17" s="44" t="s">
        <v>230</v>
      </c>
      <c r="B17" s="46">
        <v>11061.987693000001</v>
      </c>
      <c r="C17" s="46">
        <v>13720.615804000003</v>
      </c>
      <c r="G17" s="44" t="s">
        <v>59</v>
      </c>
      <c r="H17" s="48">
        <f>C21/(B5+B6+C5+C6)*2</f>
        <v>2.0401942637292891</v>
      </c>
      <c r="I17">
        <f>LOOKUP(H17,{-9999,2,2.5,4,8,15,22},{0,1,2,5,3,4,2})</f>
        <v>1</v>
      </c>
    </row>
    <row r="18" spans="1:9">
      <c r="A18" s="44" t="s">
        <v>210</v>
      </c>
      <c r="B18" s="46">
        <v>25559.438278000001</v>
      </c>
      <c r="C18" s="46">
        <v>24938.836911999999</v>
      </c>
      <c r="G18" s="44" t="s">
        <v>60</v>
      </c>
      <c r="H18" s="48">
        <f>C21/(B12+C12)*2</f>
        <v>0.30572773126012126</v>
      </c>
      <c r="I18">
        <f>LOOKUP(H18,{-9999,0.6,0.8,1,1.2,1.5,3},{0,1,2,3,4,5,0})</f>
        <v>0</v>
      </c>
    </row>
    <row r="19" spans="1:9">
      <c r="A19" s="44" t="s">
        <v>213</v>
      </c>
      <c r="B19" s="46">
        <v>60263.282807999989</v>
      </c>
      <c r="C19" s="46">
        <v>64224.737532000006</v>
      </c>
      <c r="G19" s="44" t="s">
        <v>113</v>
      </c>
      <c r="H19" s="48">
        <f>C21/(B10+C10)*2</f>
        <v>0.69642795762061893</v>
      </c>
      <c r="I19">
        <f>LOOKUP(H19,{-9999,0.3,0.6,1.1,1.8,2.2},{0,1,2,3,4,5})</f>
        <v>2</v>
      </c>
    </row>
    <row r="20" spans="1:9">
      <c r="B20" s="44" t="s">
        <v>207</v>
      </c>
      <c r="C20" s="44" t="s">
        <v>220</v>
      </c>
      <c r="G20" s="44" t="s">
        <v>114</v>
      </c>
      <c r="H20" s="48">
        <f>C21/(B11+C11)*2</f>
        <v>2.5358483013495428</v>
      </c>
      <c r="I20">
        <f>LOOKUP(H20,{-9999,0.1,0.3,0.8,1.5,2},{0,1,2,3,4,5})</f>
        <v>5</v>
      </c>
    </row>
    <row r="21" spans="1:9">
      <c r="A21" s="44" t="s">
        <v>221</v>
      </c>
      <c r="B21" s="49">
        <v>29074.602913999999</v>
      </c>
      <c r="C21" s="49">
        <v>26749.081566999997</v>
      </c>
      <c r="G21" s="44" t="s">
        <v>185</v>
      </c>
      <c r="H21">
        <f>IFERROR(C21/(B14+C14)*2,0)</f>
        <v>28.042129082466339</v>
      </c>
      <c r="I21">
        <f>LOOKUP(H21,{-9999,0.3,0.6,1.1,1.8,2.2},{0,1,2,3,4,5})</f>
        <v>5</v>
      </c>
    </row>
    <row r="22" spans="1:9">
      <c r="A22" s="44" t="s">
        <v>222</v>
      </c>
      <c r="B22" s="49">
        <v>19297.844955</v>
      </c>
      <c r="C22" s="49">
        <v>18018.222283000003</v>
      </c>
      <c r="G22" s="44" t="s">
        <v>187</v>
      </c>
      <c r="H22" s="48">
        <f>C21/(B7+C7)*2</f>
        <v>4.5116645232832733</v>
      </c>
      <c r="I22">
        <f>LOOKUP(H22,{-9999,0.3,0.6,1.1,1.8,2.2},{0,1,2,3,4,5})</f>
        <v>5</v>
      </c>
    </row>
    <row r="23" spans="1:9">
      <c r="A23" s="44" t="s">
        <v>234</v>
      </c>
      <c r="B23" s="49">
        <v>9761.4526419999966</v>
      </c>
      <c r="C23" s="49">
        <v>8726.8902739999976</v>
      </c>
      <c r="G23" s="44" t="s">
        <v>189</v>
      </c>
      <c r="H23">
        <f>IFERROR(C21/(B15+C15)*2,0)</f>
        <v>403.28168535257987</v>
      </c>
      <c r="I23">
        <f>LOOKUP(H23,{-9999,0.3,0.6,1.1,1.8,2.2},{0,1,2,3,4,5})</f>
        <v>5</v>
      </c>
    </row>
    <row r="24" spans="1:9">
      <c r="A24" s="44" t="s">
        <v>223</v>
      </c>
      <c r="B24" s="49">
        <v>512.20130900000004</v>
      </c>
      <c r="C24" s="49">
        <v>608.19797599999993</v>
      </c>
      <c r="G24" s="44" t="s">
        <v>63</v>
      </c>
      <c r="H24" s="48">
        <f>C21/B1*12/B21-1</f>
        <v>3.6531312645353697E-3</v>
      </c>
      <c r="I24">
        <f>LOOKUP(H24,{-9999,0,0.01,0.03,0.06,0.1},{-1,1,2,3,4,5})</f>
        <v>1</v>
      </c>
    </row>
    <row r="25" spans="1:9">
      <c r="A25" s="44" t="s">
        <v>224</v>
      </c>
      <c r="B25" s="49">
        <v>2018.679214</v>
      </c>
      <c r="C25" s="49">
        <v>1321.861866</v>
      </c>
      <c r="G25" s="44" t="s">
        <v>64</v>
      </c>
      <c r="H25" s="48">
        <f>C28/B1*12/B28-1</f>
        <v>-0.20266565116033952</v>
      </c>
      <c r="I25">
        <f>LOOKUP(H25,{-9999,-0.03,0,0.01,0.04,0.06},{0,1,2,3,4,5})</f>
        <v>0</v>
      </c>
    </row>
    <row r="26" spans="1:9">
      <c r="A26" s="44" t="s">
        <v>225</v>
      </c>
      <c r="B26" s="49">
        <v>1136.6188869999999</v>
      </c>
      <c r="C26" s="49">
        <v>1652.858608</v>
      </c>
      <c r="G26" s="44" t="s">
        <v>192</v>
      </c>
      <c r="H26" s="48">
        <f>C29/C21</f>
        <v>-0.10688217435947828</v>
      </c>
      <c r="I26">
        <f>LOOKUP(H26,{-9999,0.3,0.5,0.7,0.9,1.5,2.5},{0,1,2,3,4,5,3})</f>
        <v>0</v>
      </c>
    </row>
    <row r="27" spans="1:9">
      <c r="A27" s="44" t="s">
        <v>236</v>
      </c>
      <c r="B27" s="49">
        <v>4854.2407589999975</v>
      </c>
      <c r="C27" s="49">
        <v>3545.0700169999977</v>
      </c>
      <c r="G27" s="44" t="s">
        <v>195</v>
      </c>
      <c r="H27" s="48">
        <f>C12/B12-1</f>
        <v>3.8927376290624149E-2</v>
      </c>
      <c r="I27">
        <f>LOOKUP(H27,{-9999,0,0.01,0.03,0.06,0.1},{-1,1,2,3,4,5})</f>
        <v>3</v>
      </c>
    </row>
    <row r="28" spans="1:9">
      <c r="A28" s="44" t="s">
        <v>235</v>
      </c>
      <c r="B28" s="49">
        <v>4849.9786439999971</v>
      </c>
      <c r="C28" s="49">
        <v>3544.8000169999978</v>
      </c>
      <c r="G28" s="44" t="s">
        <v>70</v>
      </c>
      <c r="H28" s="48">
        <f>C29/C17</f>
        <v>-0.2083725716717838</v>
      </c>
      <c r="I28">
        <f>LOOKUP(H28,{-9999,0.06,0.08,0.12,0.15,0.18,0.25},{0,1,2,3,4,5,6})</f>
        <v>0</v>
      </c>
    </row>
    <row r="29" spans="1:9">
      <c r="A29" s="44" t="s">
        <v>226</v>
      </c>
      <c r="B29" s="47"/>
      <c r="C29" s="49">
        <v>-2859</v>
      </c>
      <c r="D29" s="44" t="s">
        <v>238</v>
      </c>
      <c r="G29" s="44" t="s">
        <v>71</v>
      </c>
      <c r="H29" s="48">
        <f>C29/C18</f>
        <v>-0.11464047060768558</v>
      </c>
      <c r="I29">
        <f>LOOKUP(H29,{-9999,0.05,0.08,0.12,0.18,0.22},{0,1,2,3,4,5})</f>
        <v>0</v>
      </c>
    </row>
    <row r="30" spans="1:9">
      <c r="G30" s="44" t="s">
        <v>200</v>
      </c>
      <c r="H30" s="48">
        <f>C29/C26</f>
        <v>-1.7297305324013534</v>
      </c>
      <c r="I30">
        <f>LOOKUP(H30,{-9999,0.05,0.08,0.12,0.15,0.18,0.25},{0,1,2,3,4,5,6})</f>
        <v>0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0"/>
  <sheetViews>
    <sheetView topLeftCell="A10" workbookViewId="0">
      <selection activeCell="I14" sqref="I14"/>
    </sheetView>
  </sheetViews>
  <sheetFormatPr defaultRowHeight="15.6"/>
  <cols>
    <col min="1" max="1" width="20.453125" style="44" bestFit="1" customWidth="1"/>
    <col min="2" max="6" width="9" style="44"/>
    <col min="7" max="7" width="35.90625" style="44" customWidth="1"/>
    <col min="8" max="8" width="10" bestFit="1" customWidth="1"/>
  </cols>
  <sheetData>
    <row r="1" spans="1:9">
      <c r="A1" s="44" t="s">
        <v>206</v>
      </c>
      <c r="B1" s="44">
        <v>9</v>
      </c>
    </row>
    <row r="2" spans="1:9">
      <c r="B2" s="44" t="s">
        <v>207</v>
      </c>
      <c r="C2" s="44" t="s">
        <v>208</v>
      </c>
      <c r="G2" s="44" t="s">
        <v>46</v>
      </c>
      <c r="H2" s="48">
        <f>C28/C21</f>
        <v>1.2322915706339695E-2</v>
      </c>
      <c r="I2">
        <f>LOOKUP(H2,{-9999,0.03,0.07,0.09,0.11,0.13,0.15},{0,1,2,3,4,5,6})</f>
        <v>0</v>
      </c>
    </row>
    <row r="3" spans="1:9">
      <c r="A3" s="44" t="s">
        <v>211</v>
      </c>
      <c r="B3" s="44">
        <v>312</v>
      </c>
      <c r="C3" s="44">
        <v>243</v>
      </c>
      <c r="G3" s="44" t="s">
        <v>47</v>
      </c>
      <c r="H3" s="48">
        <f>C23/C21</f>
        <v>1.7024676561875788E-2</v>
      </c>
      <c r="I3">
        <f>LOOKUP(H3,{-9999,0.06,0.1,0.13,0.15,0.2},{0,1,2,3,4,5})</f>
        <v>0</v>
      </c>
    </row>
    <row r="4" spans="1:9">
      <c r="A4" s="44" t="s">
        <v>216</v>
      </c>
      <c r="G4" s="44" t="s">
        <v>107</v>
      </c>
      <c r="H4" s="48">
        <f>C27/C21</f>
        <v>1.6993946098767709E-2</v>
      </c>
      <c r="I4">
        <f>LOOKUP(H4,{-9999,0.06,0.1,0.13,0.15,0.2},{0,1,2,3,4,5})</f>
        <v>0</v>
      </c>
    </row>
    <row r="5" spans="1:9">
      <c r="A5" s="44" t="s">
        <v>214</v>
      </c>
      <c r="B5" s="44">
        <v>5187</v>
      </c>
      <c r="C5" s="44">
        <v>9063</v>
      </c>
      <c r="G5" s="44" t="s">
        <v>73</v>
      </c>
      <c r="H5" s="48">
        <f>C28/(B19+C19)*2</f>
        <v>4.4121692248445837E-2</v>
      </c>
      <c r="I5">
        <f>LOOKUP(H5,{-9999,0.01,0.03,0.05,0.08,0.1,0.15,0.18,0.22,0.25,0.5},{0,1,2,3,4,5,6,7,8,10,0})</f>
        <v>2</v>
      </c>
    </row>
    <row r="6" spans="1:9">
      <c r="A6" s="44" t="s">
        <v>215</v>
      </c>
      <c r="G6" s="44" t="s">
        <v>66</v>
      </c>
      <c r="H6" s="48">
        <f>(C27+C26)/(B12+C12)*2</f>
        <v>4.38017520700828E-2</v>
      </c>
      <c r="I6">
        <f>LOOKUP(H6,{-9999,0.02,0.04,0.06,0.09,0.15,0.2,0.5},{0,1,2,3,4,5,6,0})</f>
        <v>2</v>
      </c>
    </row>
    <row r="7" spans="1:9">
      <c r="A7" s="44" t="s">
        <v>231</v>
      </c>
      <c r="B7" s="44">
        <v>2662</v>
      </c>
      <c r="G7" s="44" t="s">
        <v>52</v>
      </c>
      <c r="H7" s="48">
        <f>C10/C17</f>
        <v>1.9975853018372702</v>
      </c>
      <c r="I7">
        <f>LOOKUP(H7,{-9999,0.5,1,1.3,1.8,2,2.2,2.5,3},{0,1,3,4,5,6,5,4,2})</f>
        <v>5</v>
      </c>
    </row>
    <row r="8" spans="1:9">
      <c r="A8" s="44" t="s">
        <v>232</v>
      </c>
      <c r="B8" s="44">
        <v>27</v>
      </c>
      <c r="C8" s="44">
        <v>129</v>
      </c>
      <c r="G8" s="44" t="s">
        <v>53</v>
      </c>
      <c r="H8" s="48">
        <f>(C10-C9)/C17</f>
        <v>0.99055118110236218</v>
      </c>
      <c r="I8">
        <f>LOOKUP(H8,{-9999,0.3,0.5,0.7,0.9,1.1,1.3},{0,1,2,4,6,5,3})</f>
        <v>6</v>
      </c>
    </row>
    <row r="9" spans="1:9">
      <c r="A9" s="44" t="s">
        <v>212</v>
      </c>
      <c r="B9" s="44">
        <v>3252</v>
      </c>
      <c r="C9" s="44">
        <v>9592</v>
      </c>
      <c r="G9" s="44" t="s">
        <v>69</v>
      </c>
      <c r="H9" s="48">
        <f>C3/C17</f>
        <v>2.5511811023622048E-2</v>
      </c>
      <c r="I9">
        <f>LOOKUP(H9,{-9999,0.03,0.07,0.09,0.11,0.13},{0,1,2,3,4,5})</f>
        <v>0</v>
      </c>
    </row>
    <row r="10" spans="1:9">
      <c r="A10" s="44" t="s">
        <v>218</v>
      </c>
      <c r="B10" s="45">
        <f>SUM(B3:B9)</f>
        <v>11440</v>
      </c>
      <c r="C10" s="45">
        <f>SUM(C3:C9)</f>
        <v>19027</v>
      </c>
      <c r="G10" s="44" t="s">
        <v>108</v>
      </c>
      <c r="H10">
        <f>C10-C17</f>
        <v>9502</v>
      </c>
      <c r="I10">
        <f>LOOKUP(H10,{-999999,100,400,1000,2000,5000},{1,2,3,4,5,6})</f>
        <v>6</v>
      </c>
    </row>
    <row r="11" spans="1:9">
      <c r="A11" s="44" t="s">
        <v>217</v>
      </c>
      <c r="B11" s="44">
        <v>180</v>
      </c>
      <c r="C11" s="44">
        <v>5</v>
      </c>
      <c r="G11" s="44" t="s">
        <v>51</v>
      </c>
      <c r="H11" s="48">
        <f>C18/C12</f>
        <v>0.47085866824855405</v>
      </c>
      <c r="I11">
        <f>LOOKUP(H11,{-9999,0.2,0.35,0.45,0.6,0.7,0.8,0.9,1},{3,4,5,6,4,3,2,1,0})</f>
        <v>6</v>
      </c>
    </row>
    <row r="12" spans="1:9">
      <c r="A12" s="44" t="s">
        <v>209</v>
      </c>
      <c r="B12" s="44">
        <v>13103</v>
      </c>
      <c r="C12" s="44">
        <v>20229</v>
      </c>
      <c r="G12" s="44" t="s">
        <v>54</v>
      </c>
      <c r="H12" s="48">
        <f>(C27+C26)/C26</f>
        <v>4.1242937853107344</v>
      </c>
      <c r="I12">
        <f>LOOKUP(H12,{-9999,0.9,1.1,1.3,1.6,1.9,2.2},{-1,1,2,3,4,5,6})</f>
        <v>6</v>
      </c>
    </row>
    <row r="13" spans="1:9">
      <c r="A13" s="44" t="s">
        <v>229</v>
      </c>
      <c r="B13" s="44">
        <v>1770</v>
      </c>
      <c r="C13" s="44">
        <v>1770</v>
      </c>
      <c r="G13" s="44" t="s">
        <v>3</v>
      </c>
      <c r="H13" s="48">
        <f>1/(1-C18/C12)</f>
        <v>1.8898542600896862</v>
      </c>
      <c r="I13">
        <v>3</v>
      </c>
    </row>
    <row r="14" spans="1:9">
      <c r="A14" s="44" t="s">
        <v>227</v>
      </c>
      <c r="B14" s="44">
        <v>3690</v>
      </c>
      <c r="C14" s="44">
        <v>8213</v>
      </c>
      <c r="G14" s="44" t="s">
        <v>111</v>
      </c>
      <c r="H14" s="48">
        <f>C18/C19</f>
        <v>0.88985426008968604</v>
      </c>
      <c r="I14">
        <f>LOOKUP(H14,{-9999,0.3,0.7,1,1.3,1.5},{5,4,3,2,1,0})</f>
        <v>3</v>
      </c>
    </row>
    <row r="15" spans="1:9">
      <c r="A15" s="44" t="s">
        <v>228</v>
      </c>
      <c r="B15" s="44">
        <v>0.6</v>
      </c>
      <c r="G15" s="44" t="s">
        <v>112</v>
      </c>
      <c r="H15" s="48">
        <f>C18/(C10+C11)</f>
        <v>0.50047288776796972</v>
      </c>
      <c r="I15">
        <f>LOOKUP(H15,{-9999,0.3,0.7,1,1.3,1.5},{5,4,3,2,1,0})</f>
        <v>4</v>
      </c>
    </row>
    <row r="16" spans="1:9">
      <c r="A16" s="44" t="s">
        <v>233</v>
      </c>
      <c r="B16" s="44">
        <v>83</v>
      </c>
      <c r="C16" s="44">
        <v>146</v>
      </c>
      <c r="G16" s="44" t="s">
        <v>57</v>
      </c>
      <c r="H16" s="48">
        <f>C22/(B9+C9)*2</f>
        <v>4.9808470881345377</v>
      </c>
      <c r="I16">
        <f>LOOKUP(H16,{-9999,3,6,8,10,15,50},{0,1,2,3,4,5,0})</f>
        <v>1</v>
      </c>
    </row>
    <row r="17" spans="1:9">
      <c r="A17" s="44" t="s">
        <v>230</v>
      </c>
      <c r="B17" s="46">
        <v>5629</v>
      </c>
      <c r="C17" s="46">
        <v>9525</v>
      </c>
      <c r="G17" s="44" t="s">
        <v>59</v>
      </c>
      <c r="H17" s="48">
        <f>C21/(B5+B6+C5+C6)*2</f>
        <v>4.5671578947368419</v>
      </c>
      <c r="I17">
        <f>LOOKUP(H17,{-9999,2,2.5,4,8,15,22},{0,1,2,5,3,4,2})</f>
        <v>5</v>
      </c>
    </row>
    <row r="18" spans="1:9">
      <c r="A18" s="44" t="s">
        <v>210</v>
      </c>
      <c r="B18" s="46">
        <v>5629</v>
      </c>
      <c r="C18" s="46">
        <v>9525</v>
      </c>
      <c r="G18" s="44" t="s">
        <v>60</v>
      </c>
      <c r="H18" s="48">
        <f>C21/(B12+C12)*2</f>
        <v>1.952538101524061</v>
      </c>
      <c r="I18">
        <f>LOOKUP(H18,{-9999,0.6,0.8,1,1.2,1.5,3},{0,1,2,3,4,5,0})</f>
        <v>5</v>
      </c>
    </row>
    <row r="19" spans="1:9">
      <c r="A19" s="44" t="s">
        <v>213</v>
      </c>
      <c r="B19" s="46">
        <v>7473</v>
      </c>
      <c r="C19" s="46">
        <v>10704</v>
      </c>
      <c r="G19" s="44" t="s">
        <v>113</v>
      </c>
      <c r="H19" s="48">
        <f>C21/(B10+C10)*2</f>
        <v>2.1361473069222439</v>
      </c>
      <c r="I19">
        <f>LOOKUP(H19,{-9999,0.3,0.6,1.1,1.8,2.2},{0,1,2,3,4,5})</f>
        <v>4</v>
      </c>
    </row>
    <row r="20" spans="1:9">
      <c r="B20" s="44" t="s">
        <v>207</v>
      </c>
      <c r="C20" s="44" t="s">
        <v>220</v>
      </c>
      <c r="G20" s="44" t="s">
        <v>114</v>
      </c>
      <c r="H20" s="48">
        <f>C21/(B11+C11)*2</f>
        <v>351.79459459459457</v>
      </c>
      <c r="I20">
        <f>LOOKUP(H20,{-9999,0.1,0.3,0.8,1.5,2},{0,1,2,3,4,5})</f>
        <v>5</v>
      </c>
    </row>
    <row r="21" spans="1:9">
      <c r="A21" s="44" t="s">
        <v>221</v>
      </c>
      <c r="B21" s="44">
        <v>27767</v>
      </c>
      <c r="C21" s="44">
        <v>32541</v>
      </c>
      <c r="G21" s="44" t="s">
        <v>185</v>
      </c>
      <c r="H21">
        <f>IFERROR(C21/(B14+C14)*2,0)</f>
        <v>5.4676972191884401</v>
      </c>
      <c r="I21">
        <f>LOOKUP(H21,{-9999,0.3,0.6,1.1,1.8,2.2},{0,1,2,3,4,5})</f>
        <v>5</v>
      </c>
    </row>
    <row r="22" spans="1:9">
      <c r="A22" s="44" t="s">
        <v>222</v>
      </c>
      <c r="B22" s="44">
        <v>27083</v>
      </c>
      <c r="C22" s="44">
        <v>31987</v>
      </c>
      <c r="G22" s="44" t="s">
        <v>187</v>
      </c>
      <c r="H22" s="48">
        <f>C21/(B7+C7)*2</f>
        <v>24.448534936138241</v>
      </c>
      <c r="I22">
        <f>LOOKUP(H22,{-9999,0.3,0.6,1.1,1.8,2.2},{0,1,2,3,4,5})</f>
        <v>5</v>
      </c>
    </row>
    <row r="23" spans="1:9">
      <c r="A23" s="44" t="s">
        <v>234</v>
      </c>
      <c r="B23" s="44">
        <v>684</v>
      </c>
      <c r="C23" s="44">
        <v>554</v>
      </c>
      <c r="G23" s="44" t="s">
        <v>189</v>
      </c>
      <c r="H23">
        <f>IFERROR(C21/(B15+C15)*2,0)</f>
        <v>108470</v>
      </c>
      <c r="I23">
        <f>LOOKUP(H23,{-9999,0.3,0.6,1.1,1.8,2.2},{0,1,2,3,4,5})</f>
        <v>5</v>
      </c>
    </row>
    <row r="24" spans="1:9">
      <c r="A24" s="44" t="s">
        <v>223</v>
      </c>
      <c r="G24" s="44" t="s">
        <v>63</v>
      </c>
      <c r="H24" s="48">
        <f>C21/B1*12/B21-1</f>
        <v>0.56257427882018218</v>
      </c>
      <c r="I24">
        <f>LOOKUP(H24,{-9999,0,0.01,0.03,0.06,0.1},{-1,1,2,3,4,5})</f>
        <v>5</v>
      </c>
    </row>
    <row r="25" spans="1:9">
      <c r="A25" s="44" t="s">
        <v>224</v>
      </c>
      <c r="G25" s="44" t="s">
        <v>64</v>
      </c>
      <c r="H25" s="48">
        <f>C28/B1*12/B28-1</f>
        <v>-0.14997350291467926</v>
      </c>
      <c r="I25">
        <f>LOOKUP(H25,{-9999,-0.03,0,0.01,0.04,0.06},{0,1,2,3,4,5})</f>
        <v>0</v>
      </c>
    </row>
    <row r="26" spans="1:9">
      <c r="A26" s="44" t="s">
        <v>225</v>
      </c>
      <c r="C26" s="44">
        <v>177</v>
      </c>
      <c r="G26" s="44" t="s">
        <v>192</v>
      </c>
      <c r="H26" s="48">
        <f>C29/C21</f>
        <v>-9.5786853507882366E-2</v>
      </c>
      <c r="I26">
        <f>LOOKUP(H26,{-9999,0.3,0.5,0.7,0.9,1.5,2.5},{0,1,2,3,4,5,3})</f>
        <v>0</v>
      </c>
    </row>
    <row r="27" spans="1:9">
      <c r="A27" s="44" t="s">
        <v>236</v>
      </c>
      <c r="B27" s="44">
        <v>939</v>
      </c>
      <c r="C27" s="44">
        <v>553</v>
      </c>
      <c r="G27" s="44" t="s">
        <v>195</v>
      </c>
      <c r="H27" s="48">
        <f>C12/B12-1</f>
        <v>0.54384492101045567</v>
      </c>
      <c r="I27">
        <f>LOOKUP(H27,{-9999,0,0.01,0.03,0.06,0.1},{-1,1,2,3,4,5})</f>
        <v>5</v>
      </c>
    </row>
    <row r="28" spans="1:9">
      <c r="A28" s="44" t="s">
        <v>235</v>
      </c>
      <c r="B28" s="44">
        <v>629</v>
      </c>
      <c r="C28" s="44">
        <v>401</v>
      </c>
      <c r="G28" s="44" t="s">
        <v>70</v>
      </c>
      <c r="H28" s="48">
        <f>C29/C17</f>
        <v>-0.32724409448818897</v>
      </c>
      <c r="I28">
        <f>LOOKUP(H28,{-9999,0.06,0.08,0.12,0.15,0.18,0.25},{0,1,2,3,4,5,6})</f>
        <v>0</v>
      </c>
    </row>
    <row r="29" spans="1:9">
      <c r="A29" s="44" t="s">
        <v>226</v>
      </c>
      <c r="B29" s="47"/>
      <c r="C29" s="44">
        <v>-3117</v>
      </c>
      <c r="G29" s="44" t="s">
        <v>71</v>
      </c>
      <c r="H29" s="48">
        <f>C29/C18</f>
        <v>-0.32724409448818897</v>
      </c>
      <c r="I29">
        <f>LOOKUP(H29,{-9999,0.05,0.08,0.12,0.18,0.22},{0,1,2,3,4,5})</f>
        <v>0</v>
      </c>
    </row>
    <row r="30" spans="1:9">
      <c r="G30" s="44" t="s">
        <v>200</v>
      </c>
      <c r="H30" s="48">
        <f>C29/C26</f>
        <v>-17.610169491525422</v>
      </c>
      <c r="I30">
        <f>LOOKUP(H30,{-9999,0.05,0.08,0.12,0.15,0.18,0.25},{0,1,2,3,4,5,6})</f>
        <v>0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0"/>
  <sheetViews>
    <sheetView topLeftCell="A13" workbookViewId="0">
      <selection activeCell="H27" sqref="H27"/>
    </sheetView>
  </sheetViews>
  <sheetFormatPr defaultRowHeight="15.6"/>
  <cols>
    <col min="1" max="1" width="20.453125" style="44" bestFit="1" customWidth="1"/>
    <col min="2" max="6" width="9" style="44"/>
    <col min="7" max="7" width="35.90625" style="44" customWidth="1"/>
    <col min="8" max="8" width="10" bestFit="1" customWidth="1"/>
  </cols>
  <sheetData>
    <row r="1" spans="1:9">
      <c r="A1" s="44" t="s">
        <v>206</v>
      </c>
      <c r="B1" s="44">
        <v>11</v>
      </c>
    </row>
    <row r="2" spans="1:9">
      <c r="B2" s="44" t="s">
        <v>207</v>
      </c>
      <c r="C2" s="44" t="s">
        <v>208</v>
      </c>
      <c r="G2" s="44" t="s">
        <v>46</v>
      </c>
      <c r="H2" s="48">
        <f>C28/C21</f>
        <v>0.1236827195467422</v>
      </c>
      <c r="I2">
        <f>LOOKUP(H2,{-9999,0.03,0.07,0.09,0.11,0.13,0.15},{0,1,2,3,4,5,6})</f>
        <v>4</v>
      </c>
    </row>
    <row r="3" spans="1:9">
      <c r="A3" s="44" t="s">
        <v>211</v>
      </c>
      <c r="B3" s="44">
        <v>695</v>
      </c>
      <c r="C3" s="44">
        <v>270</v>
      </c>
      <c r="G3" s="44" t="s">
        <v>47</v>
      </c>
      <c r="H3" s="48">
        <f>C23/C21</f>
        <v>0.1611614730878187</v>
      </c>
      <c r="I3">
        <f>LOOKUP(H3,{-9999,0.06,0.1,0.13,0.15,0.2},{0,1,2,3,4,5})</f>
        <v>4</v>
      </c>
    </row>
    <row r="4" spans="1:9">
      <c r="A4" s="44" t="s">
        <v>216</v>
      </c>
      <c r="G4" s="44" t="s">
        <v>107</v>
      </c>
      <c r="H4" s="48">
        <f>C27/C21</f>
        <v>0.16490084985835693</v>
      </c>
      <c r="I4">
        <f>LOOKUP(H4,{-9999,0.06,0.1,0.13,0.15,0.2},{0,1,2,3,4,5})</f>
        <v>4</v>
      </c>
    </row>
    <row r="5" spans="1:9">
      <c r="A5" s="44" t="s">
        <v>214</v>
      </c>
      <c r="B5" s="44">
        <v>3525</v>
      </c>
      <c r="C5" s="44">
        <v>6861</v>
      </c>
      <c r="G5" s="44" t="s">
        <v>73</v>
      </c>
      <c r="H5" s="48" t="e">
        <f>C28/(B19+C19)*2</f>
        <v>#DIV/0!</v>
      </c>
      <c r="I5" t="e">
        <f>LOOKUP(H5,{-9999,0.01,0.03,0.05,0.08,0.1,0.15,0.18,0.22,0.25,0.5},{0,1,2,3,4,5,6,7,8,10,0})</f>
        <v>#DIV/0!</v>
      </c>
    </row>
    <row r="6" spans="1:9">
      <c r="A6" s="44" t="s">
        <v>215</v>
      </c>
      <c r="B6" s="44">
        <v>178</v>
      </c>
      <c r="C6" s="44">
        <v>400</v>
      </c>
      <c r="G6" s="44" t="s">
        <v>66</v>
      </c>
      <c r="H6" s="48">
        <f>(C27+C26)/(B12+C12)*2</f>
        <v>0.13769041536569213</v>
      </c>
      <c r="I6">
        <f>LOOKUP(H6,{-9999,0.02,0.04,0.06,0.09,0.15,0.2,0.5},{0,1,2,3,4,5,6,0})</f>
        <v>4</v>
      </c>
    </row>
    <row r="7" spans="1:9">
      <c r="A7" s="44" t="s">
        <v>231</v>
      </c>
      <c r="G7" s="44" t="s">
        <v>52</v>
      </c>
      <c r="H7" s="48">
        <f>C10/C17</f>
        <v>1.2773934030571199</v>
      </c>
      <c r="I7">
        <f>LOOKUP(H7,{-9999,0.5,1,1.3,1.8,2,2.2,2.5,3},{0,1,3,4,5,6,5,4,2})</f>
        <v>3</v>
      </c>
    </row>
    <row r="8" spans="1:9">
      <c r="A8" s="44" t="s">
        <v>232</v>
      </c>
      <c r="B8" s="44">
        <v>537</v>
      </c>
      <c r="C8" s="44">
        <v>580</v>
      </c>
      <c r="G8" s="44" t="s">
        <v>53</v>
      </c>
      <c r="H8" s="48">
        <f>(C10-C9)/C17</f>
        <v>0.43502279431482971</v>
      </c>
      <c r="I8">
        <f>LOOKUP(H8,{-9999,0.3,0.5,0.7,0.9,1.1,1.3},{0,1,2,4,6,5,3})</f>
        <v>1</v>
      </c>
    </row>
    <row r="9" spans="1:9">
      <c r="A9" s="44" t="s">
        <v>212</v>
      </c>
      <c r="B9" s="44">
        <v>16976</v>
      </c>
      <c r="C9" s="44">
        <v>15706</v>
      </c>
      <c r="G9" s="44" t="s">
        <v>69</v>
      </c>
      <c r="H9" s="48">
        <f>C3/C17</f>
        <v>1.4481094127111826E-2</v>
      </c>
      <c r="I9">
        <f>LOOKUP(H9,{-9999,0.03,0.07,0.09,0.11,0.13},{0,1,2,3,4,5})</f>
        <v>0</v>
      </c>
    </row>
    <row r="10" spans="1:9">
      <c r="A10" s="44" t="s">
        <v>218</v>
      </c>
      <c r="B10" s="45">
        <f>SUM(B3:B9)</f>
        <v>21911</v>
      </c>
      <c r="C10" s="45">
        <f>SUM(C3:C9)</f>
        <v>23817</v>
      </c>
      <c r="G10" s="44" t="s">
        <v>108</v>
      </c>
      <c r="H10">
        <f>C10-C17</f>
        <v>5172</v>
      </c>
      <c r="I10">
        <f>LOOKUP(H10,{-999999,100,400,1000,2000,5000},{1,2,3,4,5,6})</f>
        <v>6</v>
      </c>
    </row>
    <row r="11" spans="1:9">
      <c r="A11" s="44" t="s">
        <v>217</v>
      </c>
      <c r="B11" s="44">
        <v>4497</v>
      </c>
      <c r="C11" s="44">
        <v>5570</v>
      </c>
      <c r="G11" s="44" t="s">
        <v>51</v>
      </c>
      <c r="H11" s="48">
        <f>C18/C12</f>
        <v>0.42571409000616478</v>
      </c>
      <c r="I11">
        <f>LOOKUP(H11,{-9999,0.2,0.35,0.45,0.6,0.7,0.8,0.9,1},{3,4,5,6,4,3,2,1,0})</f>
        <v>5</v>
      </c>
    </row>
    <row r="12" spans="1:9">
      <c r="A12" s="44" t="s">
        <v>209</v>
      </c>
      <c r="B12" s="44">
        <v>40755</v>
      </c>
      <c r="C12" s="44">
        <v>43797</v>
      </c>
      <c r="G12" s="44" t="s">
        <v>54</v>
      </c>
      <c r="H12" s="48" t="e">
        <f>(C27+C26)/C26</f>
        <v>#DIV/0!</v>
      </c>
      <c r="I12" t="e">
        <f>LOOKUP(H12,{-9999,0.9,1.1,1.3,1.6,1.9,2.2},{-1,1,2,3,4,5,6})</f>
        <v>#DIV/0!</v>
      </c>
    </row>
    <row r="13" spans="1:9">
      <c r="A13" s="44" t="s">
        <v>229</v>
      </c>
      <c r="B13" s="44">
        <v>0</v>
      </c>
      <c r="C13" s="44">
        <v>4000</v>
      </c>
      <c r="G13" s="44" t="s">
        <v>3</v>
      </c>
      <c r="H13" s="48">
        <f>1/(1-C18/C12)</f>
        <v>1.7412929389312977</v>
      </c>
      <c r="I13">
        <f>LOOKUP(H13,{-9999,0.5,0.8,0.9,1,1.2,1.4,1.6,1.8,2,2.2},{1,2,3,4,6,5,4,3,2,1,0})</f>
        <v>3</v>
      </c>
    </row>
    <row r="14" spans="1:9">
      <c r="A14" s="44" t="s">
        <v>227</v>
      </c>
      <c r="B14" s="44">
        <v>6307</v>
      </c>
      <c r="C14" s="44">
        <v>5047</v>
      </c>
      <c r="G14" s="44" t="s">
        <v>111</v>
      </c>
      <c r="H14" s="48" t="e">
        <f>C18/C19</f>
        <v>#DIV/0!</v>
      </c>
      <c r="I14" t="e">
        <f>LOOKUP(H14,{-9999,0.3,0.7,1,1.3,1.5},{5,4,3,2,1,0})</f>
        <v>#DIV/0!</v>
      </c>
    </row>
    <row r="15" spans="1:9">
      <c r="A15" s="44" t="s">
        <v>228</v>
      </c>
      <c r="G15" s="44" t="s">
        <v>112</v>
      </c>
      <c r="H15" s="48">
        <f>C18/(C10+C11)</f>
        <v>0.63446421887229043</v>
      </c>
      <c r="I15">
        <f>LOOKUP(H15,{-9999,0.3,0.7,1,1.3,1.5},{5,4,3,2,1,0})</f>
        <v>4</v>
      </c>
    </row>
    <row r="16" spans="1:9">
      <c r="A16" s="44" t="s">
        <v>233</v>
      </c>
      <c r="B16" s="44">
        <v>10761</v>
      </c>
      <c r="C16" s="44">
        <v>9190</v>
      </c>
      <c r="G16" s="44" t="s">
        <v>57</v>
      </c>
      <c r="H16" s="48">
        <f>C22/(B9+C9)*2</f>
        <v>1.8120678049079004</v>
      </c>
      <c r="I16">
        <f>LOOKUP(H16,{-9999,3,6,8,10,15,50},{0,1,2,3,4,5,0})</f>
        <v>0</v>
      </c>
    </row>
    <row r="17" spans="1:9">
      <c r="A17" s="44" t="s">
        <v>230</v>
      </c>
      <c r="B17" s="46">
        <v>17837</v>
      </c>
      <c r="C17" s="46">
        <v>18645</v>
      </c>
      <c r="G17" s="44" t="s">
        <v>59</v>
      </c>
      <c r="H17" s="48">
        <f>C21/(B5+B6+C5+C6)*2</f>
        <v>6.4392557460780733</v>
      </c>
      <c r="I17">
        <f>LOOKUP(H17,{-9999,2,2.5,4,8,15,22},{0,1,2,5,3,4,2})</f>
        <v>5</v>
      </c>
    </row>
    <row r="18" spans="1:9">
      <c r="A18" s="44" t="s">
        <v>210</v>
      </c>
      <c r="B18" s="46">
        <v>19968</v>
      </c>
      <c r="C18" s="46">
        <v>18645</v>
      </c>
      <c r="G18" s="44" t="s">
        <v>60</v>
      </c>
      <c r="H18" s="48">
        <f>C21/(B12+C12)*2</f>
        <v>0.8349891191219605</v>
      </c>
      <c r="I18">
        <f>LOOKUP(H18,{-9999,0.6,0.8,1,1.2,1.5,3},{0,1,2,3,4,5,0})</f>
        <v>2</v>
      </c>
    </row>
    <row r="19" spans="1:9">
      <c r="A19" s="44" t="s">
        <v>213</v>
      </c>
      <c r="B19" s="46"/>
      <c r="C19" s="46"/>
      <c r="G19" s="44" t="s">
        <v>113</v>
      </c>
      <c r="H19" s="48">
        <f>C21/(B10+C10)*2</f>
        <v>1.5439118264520644</v>
      </c>
      <c r="I19">
        <f>LOOKUP(H19,{-9999,0.3,0.6,1.1,1.8,2.2},{0,1,2,3,4,5})</f>
        <v>3</v>
      </c>
    </row>
    <row r="20" spans="1:9">
      <c r="B20" s="44" t="s">
        <v>207</v>
      </c>
      <c r="C20" s="44" t="s">
        <v>220</v>
      </c>
      <c r="G20" s="44" t="s">
        <v>114</v>
      </c>
      <c r="H20" s="48">
        <f>C21/(B11+C11)*2</f>
        <v>7.0130128141452266</v>
      </c>
      <c r="I20">
        <f>LOOKUP(H20,{-9999,0.1,0.3,0.8,1.5,2},{0,1,2,3,4,5})</f>
        <v>5</v>
      </c>
    </row>
    <row r="21" spans="1:9">
      <c r="A21" s="44" t="s">
        <v>221</v>
      </c>
      <c r="B21" s="44">
        <v>20094</v>
      </c>
      <c r="C21" s="44">
        <v>35300</v>
      </c>
      <c r="G21" s="44" t="s">
        <v>185</v>
      </c>
      <c r="H21">
        <f>IFERROR(C21/(B14+C14)*2,0)</f>
        <v>6.2180729258411134</v>
      </c>
      <c r="I21">
        <f>LOOKUP(H21,{-9999,0.3,0.6,1.1,1.8,2.2},{0,1,2,3,4,5})</f>
        <v>5</v>
      </c>
    </row>
    <row r="22" spans="1:9">
      <c r="A22" s="44" t="s">
        <v>222</v>
      </c>
      <c r="B22" s="44">
        <v>17586</v>
      </c>
      <c r="C22" s="44">
        <v>29611</v>
      </c>
      <c r="G22" s="44" t="s">
        <v>187</v>
      </c>
      <c r="H22" s="48" t="e">
        <f>C21/(B7+C7)*2</f>
        <v>#DIV/0!</v>
      </c>
      <c r="I22" t="e">
        <f>LOOKUP(H22,{-9999,0.3,0.6,1.1,1.8,2.2},{0,1,2,3,4,5})</f>
        <v>#DIV/0!</v>
      </c>
    </row>
    <row r="23" spans="1:9">
      <c r="A23" s="44" t="s">
        <v>234</v>
      </c>
      <c r="B23" s="44">
        <v>2508</v>
      </c>
      <c r="C23" s="44">
        <v>5689</v>
      </c>
      <c r="G23" s="44" t="s">
        <v>189</v>
      </c>
      <c r="H23">
        <f>IFERROR(C21/(B15+C15)*2,0)</f>
        <v>0</v>
      </c>
      <c r="I23">
        <f>LOOKUP(H23,{-9999,0.3,0.6,1.1,1.8,2.2},{0,1,2,3,4,5})</f>
        <v>0</v>
      </c>
    </row>
    <row r="24" spans="1:9">
      <c r="A24" s="44" t="s">
        <v>223</v>
      </c>
      <c r="G24" s="44" t="s">
        <v>63</v>
      </c>
      <c r="H24" s="48">
        <f>C21/B1*12/B21-1</f>
        <v>0.9164472434105162</v>
      </c>
      <c r="I24">
        <f>LOOKUP(H24,{-9999,0,0.01,0.03,0.06,0.1},{-1,1,2,3,4,5})</f>
        <v>5</v>
      </c>
    </row>
    <row r="25" spans="1:9">
      <c r="A25" s="44" t="s">
        <v>224</v>
      </c>
      <c r="G25" s="44" t="s">
        <v>64</v>
      </c>
      <c r="H25" s="48">
        <f>C28/B1*12/B28-1</f>
        <v>0.91281489594742604</v>
      </c>
      <c r="I25">
        <f>LOOKUP(H25,{-9999,-0.03,0,0.01,0.04,0.06},{0,1,2,3,4,5})</f>
        <v>5</v>
      </c>
    </row>
    <row r="26" spans="1:9">
      <c r="A26" s="44" t="s">
        <v>225</v>
      </c>
      <c r="G26" s="44" t="s">
        <v>192</v>
      </c>
      <c r="H26" s="48">
        <f>C29/C21</f>
        <v>-2.8328611898016997E-5</v>
      </c>
      <c r="I26">
        <f>LOOKUP(H26,{-9999,0.3,0.5,0.7,0.9,1.5,2.5},{0,1,2,3,4,5,3})</f>
        <v>0</v>
      </c>
    </row>
    <row r="27" spans="1:9">
      <c r="A27" s="44" t="s">
        <v>236</v>
      </c>
      <c r="B27" s="44">
        <v>2604</v>
      </c>
      <c r="C27" s="44">
        <v>5821</v>
      </c>
      <c r="G27" s="44" t="s">
        <v>195</v>
      </c>
      <c r="H27" s="48">
        <f>C12/B12-1</f>
        <v>7.4641148325358841E-2</v>
      </c>
      <c r="I27">
        <f>LOOKUP(H27,{-9999,0,0.01,0.03,0.06,0.1},{-1,1,2,3,4,5})</f>
        <v>4</v>
      </c>
    </row>
    <row r="28" spans="1:9">
      <c r="A28" s="44" t="s">
        <v>235</v>
      </c>
      <c r="B28" s="44">
        <v>2490</v>
      </c>
      <c r="C28" s="44">
        <v>4366</v>
      </c>
      <c r="G28" s="44" t="s">
        <v>70</v>
      </c>
      <c r="H28" s="48">
        <f>C29/C17</f>
        <v>-5.3633681952266026E-5</v>
      </c>
      <c r="I28">
        <f>LOOKUP(H28,{-9999,0.06,0.08,0.12,0.15,0.18,0.25},{0,1,2,3,4,5,6})</f>
        <v>0</v>
      </c>
    </row>
    <row r="29" spans="1:9">
      <c r="A29" s="44" t="s">
        <v>226</v>
      </c>
      <c r="B29" s="47"/>
      <c r="C29" s="44">
        <v>-1</v>
      </c>
      <c r="G29" s="44" t="s">
        <v>71</v>
      </c>
      <c r="H29" s="48">
        <f>C29/C18</f>
        <v>-5.3633681952266026E-5</v>
      </c>
      <c r="I29">
        <f>LOOKUP(H29,{-9999,0.05,0.08,0.12,0.18,0.22},{0,1,2,3,4,5})</f>
        <v>0</v>
      </c>
    </row>
    <row r="30" spans="1:9">
      <c r="G30" s="44" t="s">
        <v>200</v>
      </c>
      <c r="H30" s="48" t="e">
        <f>C29/C26</f>
        <v>#DIV/0!</v>
      </c>
      <c r="I30" t="e">
        <f>LOOKUP(H30,{-9999,0.05,0.08,0.12,0.15,0.18,0.25},{0,1,2,3,4,5,6})</f>
        <v>#DIV/0!</v>
      </c>
    </row>
  </sheetData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56"/>
  <sheetViews>
    <sheetView topLeftCell="D7" workbookViewId="0">
      <selection activeCell="G5" sqref="G5:H5"/>
    </sheetView>
  </sheetViews>
  <sheetFormatPr defaultColWidth="10.90625" defaultRowHeight="15.6"/>
  <cols>
    <col min="1" max="2" width="10.90625" style="1"/>
    <col min="3" max="3" width="12" style="1" customWidth="1"/>
    <col min="4" max="4" width="10.90625" style="1"/>
    <col min="5" max="5" width="13" style="1" customWidth="1"/>
    <col min="6" max="6" width="15.453125" style="1" bestFit="1" customWidth="1"/>
    <col min="7" max="7" width="13.36328125" style="1" customWidth="1"/>
    <col min="8" max="8" width="10.90625" style="1"/>
    <col min="9" max="9" width="13" style="1" customWidth="1"/>
    <col min="10" max="10" width="10.90625" style="6"/>
    <col min="11" max="11" width="15.453125" style="1" bestFit="1" customWidth="1"/>
    <col min="12" max="12" width="8.90625" style="1" customWidth="1"/>
    <col min="13" max="13" width="10.90625" style="1"/>
    <col min="14" max="14" width="15.08984375" style="1" customWidth="1"/>
    <col min="15" max="16384" width="10.90625" style="1"/>
  </cols>
  <sheetData>
    <row r="1" spans="2:12" s="2" customFormat="1" ht="21" customHeight="1">
      <c r="B1" s="61" t="s">
        <v>0</v>
      </c>
      <c r="C1" s="61"/>
      <c r="D1" s="61"/>
      <c r="E1" s="61"/>
      <c r="F1" s="61"/>
      <c r="G1" s="61"/>
      <c r="J1" s="5"/>
    </row>
    <row r="2" spans="2:12" s="2" customFormat="1" ht="21" customHeight="1">
      <c r="B2" s="61"/>
      <c r="C2" s="61"/>
      <c r="D2" s="61"/>
      <c r="E2" s="61"/>
      <c r="F2" s="61"/>
      <c r="G2" s="61"/>
      <c r="J2" s="5"/>
    </row>
    <row r="4" spans="2:12">
      <c r="G4" s="62" t="s">
        <v>1</v>
      </c>
      <c r="H4" s="62"/>
    </row>
    <row r="5" spans="2:12">
      <c r="G5" s="63">
        <f>E8*I8</f>
        <v>6.964930676919491E-2</v>
      </c>
      <c r="H5" s="64"/>
    </row>
    <row r="7" spans="2:12">
      <c r="E7" s="62" t="s">
        <v>2</v>
      </c>
      <c r="F7" s="62"/>
      <c r="I7" s="58" t="s">
        <v>3</v>
      </c>
      <c r="J7" s="58"/>
    </row>
    <row r="8" spans="2:12">
      <c r="E8" s="63">
        <f>D13*J13</f>
        <v>5.6486818482471883E-2</v>
      </c>
      <c r="F8" s="64"/>
      <c r="I8" s="59">
        <f>1 /(1- K10/K16)</f>
        <v>1.2330187580100198</v>
      </c>
      <c r="J8" s="60"/>
    </row>
    <row r="9" spans="2:12">
      <c r="K9" s="62" t="s">
        <v>32</v>
      </c>
      <c r="L9" s="62"/>
    </row>
    <row r="10" spans="2:12">
      <c r="K10" s="65">
        <v>10000</v>
      </c>
      <c r="L10" s="66"/>
    </row>
    <row r="12" spans="2:12">
      <c r="D12" s="62" t="s">
        <v>4</v>
      </c>
      <c r="E12" s="62"/>
      <c r="J12" s="62" t="s">
        <v>5</v>
      </c>
      <c r="K12" s="62"/>
    </row>
    <row r="13" spans="2:12">
      <c r="D13" s="63">
        <f>C16/E16</f>
        <v>0.95130490133672818</v>
      </c>
      <c r="E13" s="64"/>
      <c r="J13" s="63">
        <f>I16/K16</f>
        <v>5.9378248133799487E-2</v>
      </c>
      <c r="K13" s="64"/>
    </row>
    <row r="15" spans="2:12">
      <c r="C15" s="3" t="s">
        <v>6</v>
      </c>
      <c r="E15" s="3" t="s">
        <v>7</v>
      </c>
      <c r="I15" s="3" t="s">
        <v>7</v>
      </c>
      <c r="K15" s="3" t="s">
        <v>8</v>
      </c>
    </row>
    <row r="16" spans="2:12">
      <c r="C16" s="12">
        <f>A19-C19+E19-G19</f>
        <v>2989</v>
      </c>
      <c r="E16" s="12">
        <f>A19</f>
        <v>3142</v>
      </c>
      <c r="I16" s="12">
        <f>E16</f>
        <v>3142</v>
      </c>
      <c r="K16" s="12">
        <f>K20+N20+K22+N22</f>
        <v>52915</v>
      </c>
    </row>
    <row r="18" spans="1:14">
      <c r="A18" s="3" t="s">
        <v>7</v>
      </c>
      <c r="C18" s="3" t="s">
        <v>9</v>
      </c>
      <c r="E18" s="3" t="s">
        <v>10</v>
      </c>
      <c r="G18" s="3" t="s">
        <v>11</v>
      </c>
    </row>
    <row r="19" spans="1:14">
      <c r="A19" s="4">
        <v>3142</v>
      </c>
      <c r="C19" s="12">
        <f>C22+C25+C28+C31+C34</f>
        <v>132</v>
      </c>
      <c r="E19" s="4">
        <v>12</v>
      </c>
      <c r="G19" s="4">
        <v>33</v>
      </c>
      <c r="K19" s="3" t="s">
        <v>18</v>
      </c>
      <c r="N19" s="3" t="s">
        <v>19</v>
      </c>
    </row>
    <row r="20" spans="1:14">
      <c r="J20" s="6" t="s">
        <v>21</v>
      </c>
      <c r="K20" s="12">
        <f>K26+K31+K36+K41+K46</f>
        <v>3807</v>
      </c>
      <c r="M20" s="6" t="s">
        <v>21</v>
      </c>
      <c r="N20" s="12">
        <f>N26+N31+N36+N41+N46</f>
        <v>21551</v>
      </c>
    </row>
    <row r="21" spans="1:14">
      <c r="C21" s="3" t="s">
        <v>12</v>
      </c>
      <c r="M21" s="6"/>
    </row>
    <row r="22" spans="1:14">
      <c r="C22" s="4">
        <v>22</v>
      </c>
      <c r="J22" s="6" t="s">
        <v>23</v>
      </c>
      <c r="K22" s="12">
        <f>K28+K33+K38+K43+K48</f>
        <v>4316</v>
      </c>
      <c r="M22" s="6" t="s">
        <v>23</v>
      </c>
      <c r="N22" s="12">
        <f>N28+N33+N38+N43+N48</f>
        <v>23241</v>
      </c>
    </row>
    <row r="24" spans="1:14">
      <c r="C24" s="3" t="s">
        <v>13</v>
      </c>
    </row>
    <row r="25" spans="1:14">
      <c r="C25" s="4">
        <v>11</v>
      </c>
      <c r="K25" s="3" t="s">
        <v>24</v>
      </c>
      <c r="M25" s="8"/>
      <c r="N25" s="9" t="s">
        <v>25</v>
      </c>
    </row>
    <row r="26" spans="1:14">
      <c r="J26" s="6" t="s">
        <v>21</v>
      </c>
      <c r="K26" s="4">
        <v>100</v>
      </c>
      <c r="M26" s="8" t="s">
        <v>20</v>
      </c>
      <c r="N26" s="10">
        <v>50</v>
      </c>
    </row>
    <row r="27" spans="1:14">
      <c r="C27" s="3" t="s">
        <v>14</v>
      </c>
      <c r="M27" s="8"/>
      <c r="N27" s="11"/>
    </row>
    <row r="28" spans="1:14">
      <c r="C28" s="4">
        <v>33</v>
      </c>
      <c r="J28" s="6" t="s">
        <v>23</v>
      </c>
      <c r="K28" s="4">
        <v>200</v>
      </c>
      <c r="M28" s="8" t="s">
        <v>22</v>
      </c>
      <c r="N28" s="7">
        <v>23</v>
      </c>
    </row>
    <row r="30" spans="1:14">
      <c r="C30" s="3" t="s">
        <v>15</v>
      </c>
      <c r="J30" s="8"/>
      <c r="K30" s="9" t="s">
        <v>17</v>
      </c>
      <c r="M30" s="8"/>
      <c r="N30" s="9" t="s">
        <v>17</v>
      </c>
    </row>
    <row r="31" spans="1:14">
      <c r="C31" s="4">
        <v>44</v>
      </c>
      <c r="J31" s="8" t="s">
        <v>20</v>
      </c>
      <c r="K31" s="10">
        <v>111</v>
      </c>
      <c r="M31" s="8" t="s">
        <v>20</v>
      </c>
      <c r="N31" s="10">
        <v>33</v>
      </c>
    </row>
    <row r="32" spans="1:14">
      <c r="J32" s="8"/>
      <c r="K32" s="11"/>
      <c r="M32" s="8"/>
      <c r="N32" s="11"/>
    </row>
    <row r="33" spans="3:14">
      <c r="C33" s="3" t="s">
        <v>16</v>
      </c>
      <c r="J33" s="8" t="s">
        <v>22</v>
      </c>
      <c r="K33" s="7">
        <v>231</v>
      </c>
      <c r="M33" s="8" t="s">
        <v>22</v>
      </c>
      <c r="N33" s="7">
        <v>22</v>
      </c>
    </row>
    <row r="34" spans="3:14">
      <c r="C34" s="4">
        <v>22</v>
      </c>
    </row>
    <row r="35" spans="3:14">
      <c r="J35" s="8"/>
      <c r="K35" s="9" t="s">
        <v>26</v>
      </c>
      <c r="M35" s="8"/>
      <c r="N35" s="9" t="s">
        <v>27</v>
      </c>
    </row>
    <row r="36" spans="3:14">
      <c r="J36" s="8" t="s">
        <v>20</v>
      </c>
      <c r="K36" s="10">
        <v>231</v>
      </c>
      <c r="M36" s="8" t="s">
        <v>20</v>
      </c>
      <c r="N36" s="10">
        <v>123</v>
      </c>
    </row>
    <row r="37" spans="3:14">
      <c r="J37" s="8"/>
      <c r="K37" s="11"/>
      <c r="M37" s="8"/>
      <c r="N37" s="11"/>
    </row>
    <row r="38" spans="3:14">
      <c r="J38" s="8" t="s">
        <v>22</v>
      </c>
      <c r="K38" s="7">
        <v>432</v>
      </c>
      <c r="M38" s="8" t="s">
        <v>22</v>
      </c>
      <c r="N38" s="7">
        <v>54</v>
      </c>
    </row>
    <row r="40" spans="3:14">
      <c r="J40" s="8"/>
      <c r="K40" s="9" t="s">
        <v>28</v>
      </c>
      <c r="M40" s="8"/>
      <c r="N40" s="9" t="s">
        <v>29</v>
      </c>
    </row>
    <row r="41" spans="3:14">
      <c r="J41" s="8" t="s">
        <v>20</v>
      </c>
      <c r="K41" s="10">
        <v>21</v>
      </c>
      <c r="M41" s="8" t="s">
        <v>20</v>
      </c>
      <c r="N41" s="10">
        <v>11</v>
      </c>
    </row>
    <row r="42" spans="3:14">
      <c r="J42" s="8"/>
      <c r="K42" s="11"/>
      <c r="M42" s="8"/>
      <c r="N42" s="11"/>
    </row>
    <row r="43" spans="3:14">
      <c r="J43" s="8" t="s">
        <v>22</v>
      </c>
      <c r="K43" s="7">
        <v>11</v>
      </c>
      <c r="M43" s="8" t="s">
        <v>22</v>
      </c>
      <c r="N43" s="7">
        <v>0</v>
      </c>
    </row>
    <row r="45" spans="3:14">
      <c r="J45" s="8"/>
      <c r="K45" s="9" t="s">
        <v>30</v>
      </c>
      <c r="M45" s="8"/>
      <c r="N45" s="9" t="s">
        <v>31</v>
      </c>
    </row>
    <row r="46" spans="3:14">
      <c r="J46" s="8" t="s">
        <v>20</v>
      </c>
      <c r="K46" s="10">
        <v>3344</v>
      </c>
      <c r="M46" s="8" t="s">
        <v>20</v>
      </c>
      <c r="N46" s="10">
        <v>21334</v>
      </c>
    </row>
    <row r="47" spans="3:14">
      <c r="J47" s="8"/>
      <c r="K47" s="11"/>
      <c r="M47" s="8"/>
      <c r="N47" s="11"/>
    </row>
    <row r="48" spans="3:14">
      <c r="J48" s="8" t="s">
        <v>22</v>
      </c>
      <c r="K48" s="7">
        <v>3442</v>
      </c>
      <c r="M48" s="8" t="s">
        <v>22</v>
      </c>
      <c r="N48" s="7">
        <v>23142</v>
      </c>
    </row>
    <row r="52" spans="3:11">
      <c r="C52" s="13" t="s">
        <v>36</v>
      </c>
      <c r="D52" s="13" t="s">
        <v>33</v>
      </c>
      <c r="E52" s="13" t="s">
        <v>34</v>
      </c>
      <c r="F52" s="13" t="s">
        <v>3</v>
      </c>
      <c r="G52" s="13" t="s">
        <v>35</v>
      </c>
      <c r="H52" s="13" t="s">
        <v>37</v>
      </c>
      <c r="I52" s="13" t="s">
        <v>38</v>
      </c>
      <c r="J52" s="13" t="s">
        <v>39</v>
      </c>
      <c r="K52" s="13" t="s">
        <v>6</v>
      </c>
    </row>
    <row r="53" spans="3:11">
      <c r="C53" s="14"/>
      <c r="D53" s="14"/>
      <c r="E53" s="14"/>
      <c r="F53" s="14"/>
      <c r="G53" s="14"/>
      <c r="H53" s="14"/>
      <c r="I53" s="14"/>
      <c r="J53" s="14"/>
      <c r="K53" s="14"/>
    </row>
    <row r="54" spans="3:11" s="6" customFormat="1">
      <c r="C54" s="14"/>
      <c r="D54" s="14"/>
      <c r="E54" s="14"/>
      <c r="F54" s="14"/>
      <c r="G54" s="14"/>
      <c r="H54" s="14"/>
      <c r="I54" s="14"/>
      <c r="J54" s="14"/>
      <c r="K54" s="14"/>
    </row>
    <row r="55" spans="3:11">
      <c r="C55" s="14"/>
      <c r="D55" s="14"/>
      <c r="E55" s="14"/>
      <c r="F55" s="14"/>
      <c r="G55" s="14"/>
      <c r="H55" s="14"/>
      <c r="I55" s="14"/>
      <c r="J55" s="14"/>
      <c r="K55" s="14"/>
    </row>
    <row r="56" spans="3:11">
      <c r="C56" s="14"/>
      <c r="D56" s="14"/>
      <c r="E56" s="14"/>
      <c r="F56" s="14"/>
      <c r="G56" s="14"/>
      <c r="H56" s="14"/>
      <c r="I56" s="14"/>
      <c r="J56" s="14"/>
      <c r="K56" s="14"/>
    </row>
  </sheetData>
  <mergeCells count="13">
    <mergeCell ref="K9:L9"/>
    <mergeCell ref="K10:L10"/>
    <mergeCell ref="D12:E12"/>
    <mergeCell ref="D13:E13"/>
    <mergeCell ref="J12:K12"/>
    <mergeCell ref="J13:K13"/>
    <mergeCell ref="I7:J7"/>
    <mergeCell ref="I8:J8"/>
    <mergeCell ref="B1:G2"/>
    <mergeCell ref="G4:H4"/>
    <mergeCell ref="G5:H5"/>
    <mergeCell ref="E7:F7"/>
    <mergeCell ref="E8:F8"/>
  </mergeCells>
  <phoneticPr fontId="5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财务分析</vt:lpstr>
      <vt:lpstr>公式计算</vt:lpstr>
      <vt:lpstr>小炊事117</vt:lpstr>
      <vt:lpstr>真牛112（菜菜）</vt:lpstr>
      <vt:lpstr>茂华102</vt:lpstr>
      <vt:lpstr>多尔克司84</vt:lpstr>
      <vt:lpstr>锦聚成87</vt:lpstr>
      <vt:lpstr>华创</vt:lpstr>
      <vt:lpstr>杜邦分析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15451</cp:lastModifiedBy>
  <dcterms:created xsi:type="dcterms:W3CDTF">2018-02-28T09:18:48Z</dcterms:created>
  <dcterms:modified xsi:type="dcterms:W3CDTF">2018-04-19T10:52:26Z</dcterms:modified>
</cp:coreProperties>
</file>